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omments1.xml" ContentType="application/vnd.openxmlformats-officedocument.spreadsheetml.comments+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comments2.xml" ContentType="application/vnd.openxmlformats-officedocument.spreadsheetml.comments+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2.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S:\EFF\StLouisMO\ees_evergy_ci\ENERGY EFFICIENCY\PROGRAM DEVELOPMENT\Applications\Final Applications\"/>
    </mc:Choice>
  </mc:AlternateContent>
  <xr:revisionPtr revIDLastSave="0" documentId="13_ncr:1_{9BC5C281-787D-4176-A727-E3E3BBE43708}" xr6:coauthVersionLast="47" xr6:coauthVersionMax="47" xr10:uidLastSave="{00000000-0000-0000-0000-000000000000}"/>
  <workbookProtection workbookAlgorithmName="SHA-512" workbookHashValue="KxhaF6XKk+tpkgYLfLNyUeAimls8IMVpyLkcKmApTCoPaR1dmU6PQqO99sCvanWGahqd2X4/+fYtn/omjFnToA==" workbookSaltValue="qyzktbnBcHh5noFxdQY/8g==" workbookSpinCount="100000" lockStructure="1"/>
  <bookViews>
    <workbookView showSheetTabs="0" xWindow="-120" yWindow="-120" windowWidth="51840" windowHeight="21120" firstSheet="9" activeTab="9" xr2:uid="{F7BF99D2-0873-4213-B2F9-6E60B7BBFD4A}"/>
  </bookViews>
  <sheets>
    <sheet name="Changelog" sheetId="107" state="hidden" r:id="rId1"/>
    <sheet name="MASTER" sheetId="247" state="hidden" r:id="rId2"/>
    <sheet name="DATA TABLES" sheetId="109" state="hidden" r:id="rId3"/>
    <sheet name="CBDATA" sheetId="108" state="hidden" r:id="rId4"/>
    <sheet name="TEMPLATE" sheetId="3" state="hidden" r:id="rId5"/>
    <sheet name="MEASURES1_M" sheetId="173" state="hidden" r:id="rId6"/>
    <sheet name="MEASURES2_M" sheetId="202" state="hidden" r:id="rId7"/>
    <sheet name="MEASURES3_M" sheetId="106" state="hidden" r:id="rId8"/>
    <sheet name="EXPORT" sheetId="257" state="hidden" r:id="rId9"/>
    <sheet name="M01-S01" sheetId="8" r:id="rId10"/>
    <sheet name="M01-S02" sheetId="172" r:id="rId11"/>
    <sheet name="M01-S03" sheetId="152" r:id="rId12"/>
    <sheet name="M02-S01" sheetId="144" r:id="rId13"/>
    <sheet name="M02-S02" sheetId="166" r:id="rId14"/>
    <sheet name="M02-S03" sheetId="147" r:id="rId15"/>
    <sheet name="M02-S04" sheetId="148" r:id="rId16"/>
    <sheet name="M03-S01" sheetId="251" r:id="rId17"/>
    <sheet name="M03-S01A" sheetId="252" r:id="rId18"/>
    <sheet name="M03-S01B" sheetId="253" r:id="rId19"/>
    <sheet name="M03-S01C" sheetId="254" r:id="rId20"/>
    <sheet name="M03-S02" sheetId="158" r:id="rId21"/>
    <sheet name="M03-S03" sheetId="159" r:id="rId22"/>
    <sheet name="M03-S04" sheetId="160" r:id="rId23"/>
    <sheet name="M03-S05" sheetId="161" r:id="rId24"/>
    <sheet name="M03-S08" sheetId="182" r:id="rId25"/>
    <sheet name="M03-S06" sheetId="162" r:id="rId26"/>
    <sheet name="M03-S07" sheetId="163" r:id="rId27"/>
    <sheet name="M04-S02" sheetId="167" r:id="rId28"/>
    <sheet name="M04-S03" sheetId="168" r:id="rId29"/>
    <sheet name="M04-S04" sheetId="169" r:id="rId30"/>
    <sheet name="M04-S05" sheetId="170" r:id="rId31"/>
    <sheet name="M04-S08" sheetId="175" r:id="rId32"/>
    <sheet name="M04-S06" sheetId="171" r:id="rId33"/>
    <sheet name="M04-S07" sheetId="13" r:id="rId34"/>
    <sheet name="M04-S09" sheetId="176" r:id="rId35"/>
    <sheet name="M04-S10" sheetId="255" r:id="rId36"/>
    <sheet name="M04-S13" sheetId="256" r:id="rId37"/>
    <sheet name="M05-S01" sheetId="153" r:id="rId38"/>
    <sheet name="M05-S02" sheetId="154" r:id="rId39"/>
    <sheet name="M05-S02-1" sheetId="180" r:id="rId40"/>
    <sheet name="M05-S03" sheetId="14" r:id="rId41"/>
    <sheet name="M05-S04" sheetId="155" r:id="rId42"/>
    <sheet name="M05-S05" sheetId="156" r:id="rId43"/>
    <sheet name="M05-S07" sheetId="81" r:id="rId44"/>
  </sheets>
  <definedNames>
    <definedName name="ACTIVEBLOCK">'M05-S07'!$AN$22</definedName>
    <definedName name="ACTIVEBLOCK_N">#REF!</definedName>
    <definedName name="ACTIVEBLOCK_X">#REF!</definedName>
    <definedName name="ACTIVEBONUS">TEMPLATE!$H$5</definedName>
    <definedName name="ACTIVEBONUS_N">#REF!</definedName>
    <definedName name="ACTIVEBONUS_X">#REF!</definedName>
    <definedName name="ACTIVECOMPL">'M05-S07'!$AN$21</definedName>
    <definedName name="ACTIVECOMPL_N">#REF!</definedName>
    <definedName name="ACTIVECOMPL_X">#REF!</definedName>
    <definedName name="ACTIVEINC">'M05-S07'!$AN$23</definedName>
    <definedName name="ACTIVEINC_N">#REF!</definedName>
    <definedName name="ACTIVEINC_X">#REF!</definedName>
    <definedName name="ACTIVEOFFER">'M05-S07'!$AN$20</definedName>
    <definedName name="ACTIVEOFFER_N">#REF!</definedName>
    <definedName name="ACTIVEOFFER_X">#REF!</definedName>
    <definedName name="ACTIVERCX_X">#REF!</definedName>
    <definedName name="ACTIVEWBP_N">#REF!</definedName>
    <definedName name="APP_TYPE">MASTER!$B$3</definedName>
    <definedName name="BLOCKBIDRATE">'DATA TABLES'!$D$104</definedName>
    <definedName name="BUILDING">BUILDINGTYPE[Building Type]</definedName>
    <definedName name="BUILDINGSELECT">#REF!</definedName>
    <definedName name="BUSDEVELNAME">BUSDEVEL[Business Development Lead]</definedName>
    <definedName name="CBALL">TEMPLATE!$S$30</definedName>
    <definedName name="CBALL_N">#REF!</definedName>
    <definedName name="CBCUSE">TEMPLATE!$S$29</definedName>
    <definedName name="CBCUST_N">#REF!</definedName>
    <definedName name="CBLIGHT_N">#REF!</definedName>
    <definedName name="CBPRESE">TEMPLATE!$S$28</definedName>
    <definedName name="CBPROJ_N">#REF!</definedName>
    <definedName name="CBRCX">#REF!</definedName>
    <definedName name="CBREQ">'DATA TABLES'!$D$98</definedName>
    <definedName name="CBXALL">#REF!</definedName>
    <definedName name="CBXCUS">#REF!</definedName>
    <definedName name="CITIES_LIST">CITIES[City]</definedName>
    <definedName name="CLLIGHTBASEMAX">CLLIGHT[Baseline Max Wattage]</definedName>
    <definedName name="CLLIGHTBASEMIN">CLLIGHT[Baseline Min Wattage]</definedName>
    <definedName name="CLLIGHTCATLIST">CLLIGHTCAT[Eff Category 1]</definedName>
    <definedName name="CLLIGHTEFFMAX">CLLIGHT[Eff Max Wattage]</definedName>
    <definedName name="CLLIGHTEFFMIN">STDLIGHT[Eff Min Wattage]</definedName>
    <definedName name="CLLIGHTINEFCAT1_LIST">INDEX(STDLIGHTINEFCAT1[Options],MATCH(INDEX(CLLIGHT[Ineff Dropdown 1],MATCH('M04-S10'!$G1,CLLIGHT[Measure Name],0)),STDLIGHTINEFCAT1[Ineff Dropdown 1],0),1):INDEX(STDLIGHTINEFCAT1[Options],MATCH(INDEX(CLLIGHT[Ineff Dropdown 1],MATCH('M04-S10'!$G1,CLLIGHT[Measure Name],0)),STDLIGHTINEFCAT1[Ineff Dropdown 1],1),1)</definedName>
    <definedName name="CLLIGHTINEFCAT2_LIST">INDEX(STDLIGHTINEFCAT2[Options],MATCH('M04-S10'!$M1&amp;"_"&amp;INDEX(CLLIGHT[Ineff Dropdown 2],MATCH('M04-S10'!$G1,CLLIGHT[Measure Name],0)),STDLIGHTINEFCAT2[Match],0),1):INDEX(STDLIGHTINEFCAT2[Options],MATCH('M04-S10'!$M1&amp;"_"&amp;INDEX(CLLIGHT[Ineff Dropdown 2],MATCH('M04-S10'!$G1,CLLIGHT[Measure Name],0)),STDLIGHTINEFCAT2[Match],1),1)</definedName>
    <definedName name="CLLIGHTMEASURELIST">INDEX(CLLIGHT[Measure Name],MATCH('M04-S10'!$C1,CLLIGHT[Eff Category 1],0),1):INDEX(CLLIGHT[Measure Name],MATCH('M04-S10'!$C1,CLLIGHT[Eff Category 1],1),1)</definedName>
    <definedName name="CLLIGHTMEASURES">CLLIGHT[Measure Name]</definedName>
    <definedName name="CMECOMPAIRDESC">INDEX(CMECOMPAIR[Proj Desc 1],MATCH('M04-S06'!$AF1,CMECOMPAIR[Cost Basis],0),1):INDEX(CMECOMPAIR[Proj Desc 1],MATCH('M04-S06'!$AF1,CMECOMPAIR[Cost Basis],1),1)</definedName>
    <definedName name="CMECOMPAIRLIST_N">#REF!</definedName>
    <definedName name="CMECOOKDESC">INDEX(CMECOOK[Proj Desc 1],MATCH('M04-S07'!$AF1,CMECOOK[Cost Basis],0),1):INDEX(CMECOOK[Proj Desc 1],MATCH('M04-S07'!$AF1,CMECOOK[Cost Basis],1),1)</definedName>
    <definedName name="CMECOOKLIST_N">#REF!</definedName>
    <definedName name="CMEHVACDESC">INDEX(CMEHVAC[Proj Desc 1],MATCH('M04-S05'!$AF1,CMEHVAC[Cost Basis],0),1):INDEX(CMEHVAC[Proj Desc 1],MATCH('M04-S05'!$AF1,CMEHVAC[Cost Basis],1),1)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1],MATCH('M04-S03'!$G1,CMELIGHTCON[Project Category],0),1):INDEX(CMELIGHTCON[Proj Desc 1],MATCH('M04-S03'!$G1,CMELIGHTCON[Project Category],1),1)</definedName>
    <definedName name="CMELIGHTEFF1">CMLIGHTEFF[Eff Desc 1]</definedName>
    <definedName name="CMELIGHTEFFBASEW">CMLIGHTEFF[Eff Watt 1]</definedName>
    <definedName name="CMEMISC2DESC">CMEMISC2[Proj Desc 1]</definedName>
    <definedName name="CMEMISC3DESC">INDEX(CMEMISC3[Proj Desc 1],MATCH('M04-S09'!$AF1,CMEMISC3[Cost Basis],0),0):INDEX(CMEMISC3[Proj Desc 1],MATCH('M04-S09'!$AF1,CMEMISC3[Cost Basis],1),0)</definedName>
    <definedName name="CMEMISCDESC">INDEX(CMEMISC[Proj Desc 1],MATCH('M04-S09'!$AF1,CMEMISC[Cost Basis],0),1):INDEX(CMEMISC[Proj Desc 1],MATCH('M04-S09'!$AF1,CMEMISC[Cost Basis],1),1)</definedName>
    <definedName name="CMEMISCLIST_N">#REF!</definedName>
    <definedName name="CMEMOTORDESC">INDEX(CMEMOTOR[Proj Desc 1],MATCH('M04-S08'!$AF1,CMEMOTOR[Cost Basis],0),1):INDEX(CMEMOTOR[Proj Desc 1],MATCH('M04-S08'!$AF1,CMEMOTOR[Cost Basis],1),1)</definedName>
    <definedName name="CMEMOTORLIST_N">#REF!</definedName>
    <definedName name="CMEREFRIDESC">INDEX(CMEREFRI[Proj Desc 1], MATCH('M04-S04'!$AF1, CMEREFRI[Cost Basis], 0), 1):INDEX(CMEREFRI[Proj Desc 1], MATCH('M04-S04'!$AF1, CMEREFRI[Cost Basis], 1), 1)</definedName>
    <definedName name="CMEREFRILIST_N">#REF!</definedName>
    <definedName name="CODE_CITY_M">INDEX( CITYCOUNTYCODES[], MATCH( M02S04F09, CITYCOUNTYCODES[City], 0), 3)</definedName>
    <definedName name="CODE_CITY_N">INDEX( CITYCOUNTYCODES[], MATCH( N02S03F17, CITYCOUNTYCODES[City], 0), 3)</definedName>
    <definedName name="CODE_COUNTY_M">OFFSET(INDEX(ZIPCODES, 1, 1), MATCH(M02S04F11, ZIPCODES, 0) - 1, 4)</definedName>
    <definedName name="CODE_COUNTY_N">OFFSET(INDEX(ZIPCODES_N, 1, 1), MATCH(N02S03F19, ZIPCODES_N, 0) - 1, 4)</definedName>
    <definedName name="CODE_PROJECT_M">'M05-S07'!$AK$53</definedName>
    <definedName name="CODE_PROJECT_N">#REF!</definedName>
    <definedName name="COMPBUILD">TEMPLATE!$E$116</definedName>
    <definedName name="COMPBUILD_N">#REF!</definedName>
    <definedName name="COMPBUILD_X">#REF!</definedName>
    <definedName name="COMPCUSTOMER">TEMPLATE!$E$103</definedName>
    <definedName name="COMPDTM_N">#REF!</definedName>
    <definedName name="COMPMEASURE">TEMPLATE!$E$144</definedName>
    <definedName name="COMPMEASURE_N">#REF!</definedName>
    <definedName name="COMPMEASURE_X">#REF!</definedName>
    <definedName name="COMPPAY">TEMPLATE!$E$149</definedName>
    <definedName name="COMPPAY_N">#REF!</definedName>
    <definedName name="COMPPAY_X">#REF!</definedName>
    <definedName name="COMPRCX">#REF!</definedName>
    <definedName name="COMPSELECT">#REF!</definedName>
    <definedName name="COMPSUMMARY">TEMPLATE!$E$167</definedName>
    <definedName name="COMPTA">TEMPLATE!$E$83</definedName>
    <definedName name="COMPTA_N">#REF!</definedName>
    <definedName name="COMPTA_X">#REF!</definedName>
    <definedName name="COMPTERMS">TEMPLATE!$E$77</definedName>
    <definedName name="COMPTERMS_N">#REF!</definedName>
    <definedName name="COMPTERMS_X">#REF!</definedName>
    <definedName name="COMPWBP_N">#REF!</definedName>
    <definedName name="COSTTOTAL">TEMPLATE!$O$30</definedName>
    <definedName name="COSTTOTAL_N">#REF!</definedName>
    <definedName name="COSTTOTALALL">TEMPLATE!$K$30</definedName>
    <definedName name="COSTTOTALALL_N">#REF!</definedName>
    <definedName name="COSTTOTALALLCUSE">TEMPLATE!$K$29</definedName>
    <definedName name="COSTTOTALALLPRESE">TEMPLATE!$K$28</definedName>
    <definedName name="COSTTOTALALLRCXE">#REF!</definedName>
    <definedName name="COSTTOTALALLX">#REF!</definedName>
    <definedName name="COSTTOTALALLXCUS">#REF!</definedName>
    <definedName name="COSTTOTALCUSE">TEMPLATE!$O$29</definedName>
    <definedName name="COSTTOTALCUST_N">#REF!</definedName>
    <definedName name="COSTTOTALLIGHT_N">#REF!</definedName>
    <definedName name="COSTTOTALPRESE">TEMPLATE!$O$28</definedName>
    <definedName name="COSTTOTALSTD_N">#REF!</definedName>
    <definedName name="COSTTOTALWBP_N">#REF!</definedName>
    <definedName name="COSTTYPELIST">COSTTYPE[Cost Type]</definedName>
    <definedName name="CUSTINFOLIST">CUSTINFO[Customer Info]</definedName>
    <definedName name="CUSTLIGHTCONTLIST">CMELIGHTCON[Proj Desc 1]</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ENDUSEALL[End Use to Coincident Peak Demand Factors]</definedName>
    <definedName name="ENERGYCODESLIST">ENERGYCODES[Codes]</definedName>
    <definedName name="ENERGYMODELLIST">ENERGYMODEL[Energy Modeling Software]</definedName>
    <definedName name="ENGCALC">'M05-S04'!$Q$43</definedName>
    <definedName name="ENGCALC_N">#REF!</definedName>
    <definedName name="ENGCALC_X">#REF!</definedName>
    <definedName name="ENGDATE">'M05-S04'!$AI$42</definedName>
    <definedName name="ENGDATE_N">#REF!</definedName>
    <definedName name="ENGDATE_X">#REF!</definedName>
    <definedName name="ENGNRSNAMES">ENGNRS[Engineers]</definedName>
    <definedName name="ENGSIGN">'M05-S04'!$Q$42</definedName>
    <definedName name="ENGSIGN_N">#REF!</definedName>
    <definedName name="ENGSIGN_X">#REF!</definedName>
    <definedName name="Excel_Ack_Compl_Main">INDIRECT(Excel_Ack_Compl[Main])</definedName>
    <definedName name="Excel_Ack_Compl_NC">INDIRECT(Excel_Ack_Compl[NC])</definedName>
    <definedName name="Excel_Ack_Compl_RCx">INDIRECT(Excel_Ack_Compl[RCx])</definedName>
    <definedName name="Excel_Ack_Contact_Main">INDIRECT(Excel_Ack_Contact[Main])</definedName>
    <definedName name="Excel_Ack_Contact_NC">INDIRECT(Excel_Ack_Contact[NC])</definedName>
    <definedName name="Excel_Ack_Contact_RCx">INDIRECT(Excel_Ack_Contact[RCx])</definedName>
    <definedName name="Excel_Ack_Main">INDIRECT(Excel_Ack[Main])</definedName>
    <definedName name="Excel_Ack_NC">INDIRECT(Excel_Ack[NC])</definedName>
    <definedName name="Excel_Ack_Offer_Main">INDIRECT(Excel_Ack_Offer[Main])</definedName>
    <definedName name="Excel_Ack_Offer_NC">INDIRECT(Excel_Ack_Offer[NC])</definedName>
    <definedName name="Excel_Ack_Offer_RCx">INDIRECT(Excel_Ack_Offer[RCx])</definedName>
    <definedName name="Excel_Ack_RCx">INDIRECT(Excel_Ack[RCx])</definedName>
    <definedName name="EXPIRATION">MASTER!$B$6</definedName>
    <definedName name="EXPIRATION_DATE">MASTER!$B$5</definedName>
    <definedName name="EXPNOTICE">'M01-S01'!$U$1</definedName>
    <definedName name="EXPNOTICE_N">#REF!</definedName>
    <definedName name="EXPNOTICE_X">#REF!</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CBDATA!$N$43</definedName>
    <definedName name="GLOSS">CBDATA!$N$42</definedName>
    <definedName name="GROWBASELABOR">#REF!</definedName>
    <definedName name="GROWBASELABOR2">#REF!</definedName>
    <definedName name="GROWBASELABOR3">#REF!</definedName>
    <definedName name="GROWBASELABOR4">#REF!</definedName>
    <definedName name="GROWBASEMATERIAL">#REF!</definedName>
    <definedName name="GROWBASEMATERIAL2">#REF!</definedName>
    <definedName name="GROWBASEMATERIAL3">#REF!</definedName>
    <definedName name="GROWBASEMATERIAL4">#REF!</definedName>
    <definedName name="GROWBASEWATT">#REF!</definedName>
    <definedName name="GROWBASEWATT2">#REF!</definedName>
    <definedName name="GROWBASEWATT3">#REF!</definedName>
    <definedName name="GROWBASEWATT4">#REF!</definedName>
    <definedName name="GROWEFFLABOR">#REF!</definedName>
    <definedName name="GROWEFFLABOR2">#REF!</definedName>
    <definedName name="GROWEFFLABOR3">#REF!</definedName>
    <definedName name="GROWEFFLABOR4">#REF!</definedName>
    <definedName name="GROWEFFMATERIAL">#REF!</definedName>
    <definedName name="GROWEFFMATERIAL2">#REF!</definedName>
    <definedName name="GROWEFFMATERIAL3">#REF!</definedName>
    <definedName name="GROWEFFMATERIAL4">#REF!</definedName>
    <definedName name="GROWEFFPPF">#REF!</definedName>
    <definedName name="GROWEFFPPF2">#REF!</definedName>
    <definedName name="GROWEFFPPF3">#REF!</definedName>
    <definedName name="GROWEFFPPF4">#REF!</definedName>
    <definedName name="GROWEFFWATT">#REF!</definedName>
    <definedName name="GROWEFFWATT2">#REF!</definedName>
    <definedName name="GROWEFFWATT3">#REF!</definedName>
    <definedName name="GROWEFFWATT4">#REF!</definedName>
    <definedName name="Hotline">"(844)687-0229"</definedName>
    <definedName name="HTRB_Rate">'DATA TABLES'!$A$2</definedName>
    <definedName name="IMPLSPECNAME">IMPLSPEC[Impl. Specialist]</definedName>
    <definedName name="INCCOSTCAP">'DATA TABLES'!$D$103</definedName>
    <definedName name="INCENSTATUS">TEMPLATE!$H$2</definedName>
    <definedName name="INCENSTATUS_N">#REF!</definedName>
    <definedName name="INCENSTATUS_X">#REF!</definedName>
    <definedName name="INCENTOTAL">TEMPLATE!$L$30</definedName>
    <definedName name="INCENTOTAL_N">#REF!</definedName>
    <definedName name="INCENTOTAL_X">#REF!</definedName>
    <definedName name="INCENTOTALCUSE">TEMPLATE!$L$29</definedName>
    <definedName name="INCENTOTALCUST_N">#REF!</definedName>
    <definedName name="INCENTOTALLIGHT_N">#REF!</definedName>
    <definedName name="INCENTOTALPRESE">TEMPLATE!$L$28</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CPREAPPROVAL">'DATA TABLES'!$D$110</definedName>
    <definedName name="INSTALL">INSTALLER[Installer]</definedName>
    <definedName name="INSTALLERLIST">INSTALLER[Installer]</definedName>
    <definedName name="INTLPDNUMBER">#REF!</definedName>
    <definedName name="JotForm_FT">"https://trc.jotform.com/Evergy/Fast-Track-Application"</definedName>
    <definedName name="JotForm_PA">"https://trc.jotform.com/Evergy/Pre-Approval-Application"</definedName>
    <definedName name="KWHRATEMAX">'DATA TABLES'!$D$101</definedName>
    <definedName name="KWHRATEMIN">'DATA TABLES'!$D$100</definedName>
    <definedName name="KWHSTATUS">TEMPLATE!$H$1</definedName>
    <definedName name="KWHSTATUS_N">#REF!</definedName>
    <definedName name="KWHSTATUS_X">#REF!</definedName>
    <definedName name="KWHTOTAL">TEMPLATE!$M$30</definedName>
    <definedName name="KWHTOTAL_N">#REF!</definedName>
    <definedName name="KWHTOTALALL">TEMPLATE!$I$30</definedName>
    <definedName name="KWHTOTALALL_N">#REF!</definedName>
    <definedName name="KWHTOTALALLCUSE">TEMPLATE!$I$29</definedName>
    <definedName name="KWHTOTALALLCUST_N">#REF!</definedName>
    <definedName name="KWHTOTALALLLIGHT_N">#REF!</definedName>
    <definedName name="KWHTOTALALLPRESE">TEMPLATE!$I$28</definedName>
    <definedName name="KWHTOTALALLRCXE">#REF!</definedName>
    <definedName name="KWHTOTALALLSTD_N">#REF!</definedName>
    <definedName name="KWHTOTALALLWBP_N">#REF!</definedName>
    <definedName name="KWHTOTALALLX">#REF!</definedName>
    <definedName name="KWHTOTALALLXCUS">#REF!</definedName>
    <definedName name="KWHTOTALCUSE">TEMPLATE!$M$29</definedName>
    <definedName name="KWHTOTALCUST_N">#REF!</definedName>
    <definedName name="KWHTOTALLIGHT_N">#REF!</definedName>
    <definedName name="KWHTOTALPRESE">TEMPLATE!$M$28</definedName>
    <definedName name="KWHTOTALPROV_N">#REF!</definedName>
    <definedName name="KWHTOTALSTD_N">#REF!</definedName>
    <definedName name="KWHTOTALWBP_N">#REF!</definedName>
    <definedName name="KWRATE">'DATA TABLES'!$D$105</definedName>
    <definedName name="KWTOTAL">TEMPLATE!$N$30</definedName>
    <definedName name="KWTOTAL_N">#REF!</definedName>
    <definedName name="KWTOTALALL">TEMPLATE!$J$30</definedName>
    <definedName name="KWTOTALALL_N">#REF!</definedName>
    <definedName name="KWTOTALALLCUSE">TEMPLATE!$J$29</definedName>
    <definedName name="KWTOTALALLPRESE">TEMPLATE!$J$28</definedName>
    <definedName name="KWTOTALALLRCXE">#REF!</definedName>
    <definedName name="KWTOTALALLXCUS">#REF!</definedName>
    <definedName name="KWTOTALCUSE">TEMPLATE!$N$29</definedName>
    <definedName name="KWTOTALCUST_N">#REF!</definedName>
    <definedName name="KWTOTALLIGHT_N">#REF!</definedName>
    <definedName name="KWTOTALPRESE">TEMPLATE!$N$28</definedName>
    <definedName name="KWTOTALPROV_N">#REF!</definedName>
    <definedName name="KWTOTALSTD_N">#REF!</definedName>
    <definedName name="KWTOTALWBP_N">#REF!</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UNIT_List">INDEX(#REF!,MATCH(#REF!,#REF!,0)):INDEX(#REF!,MATCH(#REF!,#REF!,1))</definedName>
    <definedName name="LIGHTHEATCOIN">'DATA TABLES'!#REF!</definedName>
    <definedName name="LIST_Transformer_LF">BUILDINGTYPE[Transformer LF]</definedName>
    <definedName name="LOCATIONTYPELIST">LOCATIONTYPE[Location Type]</definedName>
    <definedName name="LPDSPACELIST">#REF!</definedName>
    <definedName name="M02S01F01">'M02-S01'!$H$27</definedName>
    <definedName name="M02S01F02">'M02-S01'!$Z$27</definedName>
    <definedName name="M02S01F03">'M02-S01'!$AN$27</definedName>
    <definedName name="M02S02F01">'M02-S02'!$AB$13</definedName>
    <definedName name="M02S02F02">'M02-S02'!$H$18</definedName>
    <definedName name="M02S02F03">'M02-S02'!$O$18</definedName>
    <definedName name="M02S02F04">'M02-S02'!$V$18</definedName>
    <definedName name="M02S02F05">'M02-S02'!$AC$18</definedName>
    <definedName name="M02S02F06">'M02-S02'!$AJ$18</definedName>
    <definedName name="M02S02F07">'M02-S02'!$H$21</definedName>
    <definedName name="M02S02F08">'M02-S02'!$O$21</definedName>
    <definedName name="M02S02F09">'M02-S02'!$V$21</definedName>
    <definedName name="M02S02F10">'M02-S02'!$AC$21</definedName>
    <definedName name="M02S02F11">'M02-S02'!$AJ$21</definedName>
    <definedName name="M02S02F12">'M02-S02'!$AB$15</definedName>
    <definedName name="M02S02F13">'M02-S02'!$H$26</definedName>
    <definedName name="M02S02F14">'M02-S02'!$O$26</definedName>
    <definedName name="M02S02F15">'M02-S02'!$V$26</definedName>
    <definedName name="M02S02F16">'M02-S02'!$AC$26</definedName>
    <definedName name="M02S02F17">'M02-S02'!$AJ$26</definedName>
    <definedName name="M02S03F01">'M02-S03'!$H$15</definedName>
    <definedName name="M02S03F02">'M02-S03'!$O$15</definedName>
    <definedName name="M02S03F03">'M02-S03'!$V$15</definedName>
    <definedName name="M02S03F04">'M02-S03'!$AC$15</definedName>
    <definedName name="M02S03F05">'M02-S03'!$AJ$15</definedName>
    <definedName name="M02S03F06">'M02-S03'!$H$18</definedName>
    <definedName name="M02S03F07">'M02-S03'!$O$18</definedName>
    <definedName name="M02S03F08">'M02-S03'!$V$18</definedName>
    <definedName name="M02S03F09">'M02-S03'!$AC$18</definedName>
    <definedName name="M02S03F10">'M02-S03'!$AJ$18</definedName>
    <definedName name="M02S03F11">'M02-S03'!$H$21</definedName>
    <definedName name="M02S03F12">'M02-S03'!$H$24</definedName>
    <definedName name="M02S03F13">'M02-S03'!$H$27</definedName>
    <definedName name="M02S04F01">'M02-S04'!$BL$12</definedName>
    <definedName name="M02S04F02">'M02-S04'!$X$23</definedName>
    <definedName name="M02S04F03">'M02-S04'!$K$15</definedName>
    <definedName name="M02S04F04">'M02-S04'!$R$15</definedName>
    <definedName name="M02S04F05">'M02-S04'!$Y$15</definedName>
    <definedName name="M02S04F06">'M02-S04'!$AF$15</definedName>
    <definedName name="M02S04F07">'M02-S04'!$H$21</definedName>
    <definedName name="M02S04F08">'M02-S04'!$O$21</definedName>
    <definedName name="M02S04F09">'M02-S04'!$V$21</definedName>
    <definedName name="M02S04F10">'M02-S04'!$AC$21</definedName>
    <definedName name="M02S04F11">'M02-S04'!$AJ$21</definedName>
    <definedName name="M02S04F12">'M02-S04'!$H$26</definedName>
    <definedName name="M02S04F13">'M02-S04'!$O$26</definedName>
    <definedName name="M02S04F14">'M02-S04'!$V$26</definedName>
    <definedName name="M02S04F15">'M02-S04'!$AC$26</definedName>
    <definedName name="M02S04F16">'M02-S04'!$AJ$26</definedName>
    <definedName name="M02S04F17">'M02-S04'!$AZ$15</definedName>
    <definedName name="M02S04F18">'M02-S04'!$K$32</definedName>
    <definedName name="M02S04F19">'M02-S04'!$K$35</definedName>
    <definedName name="M02S04F20">'M02-S04'!$R$35</definedName>
    <definedName name="M02S04F21">'M02-S04'!$Y$35</definedName>
    <definedName name="M02S04F22">'M02-S04'!$AF$35</definedName>
    <definedName name="M02S04F23">'M02-S04'!$H$38</definedName>
    <definedName name="M02S04F24">'M02-S04'!$R$32</definedName>
    <definedName name="M02S04F25">'M02-S04'!$Y$32</definedName>
    <definedName name="M05S01F01">'M05-S01'!$X$13</definedName>
    <definedName name="M05S01F02">'M05-S01'!$H$16</definedName>
    <definedName name="M05S01F03">'M05-S01'!$O$16</definedName>
    <definedName name="M05S01F04">'M05-S01'!$V$16</definedName>
    <definedName name="M05S01F05">'M05-S01'!$AC$16</definedName>
    <definedName name="M05S01F06">'M05-S01'!$AJ$16</definedName>
    <definedName name="M05S01F07">'M05-S01'!$H$19</definedName>
    <definedName name="M05S01F08">'M05-S01'!$O$19</definedName>
    <definedName name="M05S01F09">'M05-S01'!$V$19</definedName>
    <definedName name="M05S01F10">'M05-S01'!$AC$19</definedName>
    <definedName name="M05S01F11">'M05-S01'!$AC$22</definedName>
    <definedName name="M05S01F12">'M05-S01'!$AJ$22</definedName>
    <definedName name="M05S01F13">'M05-S01'!$AL$22</definedName>
    <definedName name="M05S01F14">'M05-S01'!$AJ$19</definedName>
    <definedName name="M05S02F01">'M05-S02'!$AD$40</definedName>
    <definedName name="M05S02F02">'M05-S02'!$AK$40</definedName>
    <definedName name="M05S02HIDE">'M05-S02'!$L$6</definedName>
    <definedName name="M05S04F01">'M05-S04'!$M$51</definedName>
    <definedName name="M05S04F02">'M05-S04'!$S$51</definedName>
    <definedName name="M05S04F03">'M05-S04'!$AA$51</definedName>
    <definedName name="M05S04F04">'M05-S04'!$AI$51</definedName>
    <definedName name="M05S05F01">'M05-S05'!$M$58</definedName>
    <definedName name="M05S05F02">'M05-S05'!$U$58</definedName>
    <definedName name="M05S07F02">'M05-S07'!$AN$13</definedName>
    <definedName name="M05S07F03">'M05-S07'!$AN$14</definedName>
    <definedName name="M05S07F04">'M05-S07'!$AN$15</definedName>
    <definedName name="M05S07F05">'M05-S07'!$AN$16</definedName>
    <definedName name="M05S07F06">'M05-S07'!$AN$17</definedName>
    <definedName name="M05S07F07">'M05-S07'!$I$19</definedName>
    <definedName name="M05S07F08">'M05-S07'!$Y$12</definedName>
    <definedName name="M05S07F09">'M05-S07'!$Y$19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6">TEMPLATE!$B$33</definedName>
    <definedName name="M3S7">TEMPLATE!$B$34</definedName>
    <definedName name="M3S8">TEMPLATE!$B$35</definedName>
    <definedName name="M4S1">TEMPLATE!$B$37</definedName>
    <definedName name="M4S10">TEMPLATE!$B$46</definedName>
    <definedName name="M4S13">TEMPLATE!$B$47</definedName>
    <definedName name="M4S2">TEMPLATE!$B$38</definedName>
    <definedName name="M4S3">TEMPLATE!$B$39</definedName>
    <definedName name="M4S4">TEMPLATE!$B$40</definedName>
    <definedName name="M4S4UNITCHECK">'M04-S04'!$AY$200</definedName>
    <definedName name="M4S5">TEMPLATE!$B$41</definedName>
    <definedName name="M4S5UNITCHECK">'M04-S05'!$AY$200</definedName>
    <definedName name="M4S6">TEMPLATE!$B$42</definedName>
    <definedName name="M4S6UNITCHECK">'M04-S06'!$AY$200</definedName>
    <definedName name="M4S7">TEMPLATE!$B$43</definedName>
    <definedName name="M4S7UNITCHECK">'M04-S07'!$AY$200</definedName>
    <definedName name="M4S8">TEMPLATE!$B$44</definedName>
    <definedName name="M4S8UNITCHECK">'M04-S08'!$AY$200</definedName>
    <definedName name="M4S9">TEMPLATE!$B$45</definedName>
    <definedName name="M4S9UNITCHECK">'M04-S09'!$AY$200</definedName>
    <definedName name="M5S1">TEMPLATE!$B$49</definedName>
    <definedName name="M5S2">TEMPLATE!$B$50</definedName>
    <definedName name="M5S3">TEMPLATE!$B$51</definedName>
    <definedName name="M5S4">TEMPLATE!$B$52</definedName>
    <definedName name="M5S5">TEMPLATE!$B$53</definedName>
    <definedName name="M5S6">TEMPLATE!$B$54</definedName>
    <definedName name="M5S7">TEMPLATE!$B$55</definedName>
    <definedName name="M5S8">TEMPLATE!$B$56</definedName>
    <definedName name="M6S1">TEMPLATE!$B$58</definedName>
    <definedName name="M6S2">TEMPLATE!$B$59</definedName>
    <definedName name="M6S3">TEMPLATE!$B$60</definedName>
    <definedName name="M6S4">TEMPLATE!$B$61</definedName>
    <definedName name="M6S5">TEMPLATE!$B$62</definedName>
    <definedName name="M6S6">TEMPLATE!$B$63</definedName>
    <definedName name="M6S7">TEMPLATE!$B$64</definedName>
    <definedName name="M6S8">TEMPLATE!$B$65</definedName>
    <definedName name="M7S1">TEMPLATE!$B$67</definedName>
    <definedName name="M7S2">TEMPLATE!$B$68</definedName>
    <definedName name="M7S3">TEMPLATE!$B$69</definedName>
    <definedName name="M7S4">TEMPLATE!$B$70</definedName>
    <definedName name="M7S5">TEMPLATE!$B$71</definedName>
    <definedName name="M7S6">TEMPLATE!$B$72</definedName>
    <definedName name="M7S7">TEMPLATE!$B$73</definedName>
    <definedName name="M7S8">TEMPLATE!$B$74</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TEMPLATE!$B$48</definedName>
    <definedName name="MAIN5_N">#REF!</definedName>
    <definedName name="MAIN5_X">#REF!</definedName>
    <definedName name="MAIN6">TEMPLATE!$B$57</definedName>
    <definedName name="MAIN6_N">#REF!</definedName>
    <definedName name="MAIN6_X">#REF!</definedName>
    <definedName name="MAIN7">TEMPLATE!$B$66</definedName>
    <definedName name="MAIN7_N">#REF!</definedName>
    <definedName name="MEASTOTALALL">TEMPLATE!$H$30</definedName>
    <definedName name="MEASTOTALALL_N">#REF!</definedName>
    <definedName name="MEASTOTALALL_X">#REF!</definedName>
    <definedName name="MEASTOTALCUS_N">#REF!</definedName>
    <definedName name="MEASTOTALCUSE">TEMPLATE!$H$29</definedName>
    <definedName name="MEASTOTALCUSPA">TEMPLATE!$H$32</definedName>
    <definedName name="MEASTOTALLIGHT_N">#REF!</definedName>
    <definedName name="MEASTOTALPRES_N">#REF!</definedName>
    <definedName name="MEASTOTALPRESE">TEMPLATE!$H$28</definedName>
    <definedName name="MEASTOTALWBP_N">#REF!</definedName>
    <definedName name="MEASUREBLDG">'DATA TABLES'!$C$89</definedName>
    <definedName name="MEASURECB">'DATA TABLES'!$C$82</definedName>
    <definedName name="MEASUREELI">'DATA TABLES'!$C$79</definedName>
    <definedName name="MEASUREINCR">'DATA TABLES'!$C$93</definedName>
    <definedName name="MEASURELPD">'DATA TABLES'!$C$92</definedName>
    <definedName name="MEASUREPAY">'DATA TABLES'!$C$81</definedName>
    <definedName name="MEASURERATE">'DATA TABLES'!$C$85</definedName>
    <definedName name="MEASURESAVE">'DATA TABLES'!$C$80</definedName>
    <definedName name="MEASURESITE">'DATA TABLES'!$C$90</definedName>
    <definedName name="MEASURESTEP1">'DATA TABLES'!$C$91</definedName>
    <definedName name="MEASURESUBMIT">'DATA TABLES'!$C$83</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2S04F10">#REF!</definedName>
    <definedName name="N02S04F11">#REF!</definedName>
    <definedName name="N02S04F12">#REF!</definedName>
    <definedName name="N02S04F13">#REF!</definedName>
    <definedName name="N02S04F14">#REF!</definedName>
    <definedName name="N02S04F15">#REF!</definedName>
    <definedName name="N02S04F16">#REF!</definedName>
    <definedName name="N02S04F17">#REF!</definedName>
    <definedName name="N02S04F18">#REF!</definedName>
    <definedName name="N02S04F19">#REF!</definedName>
    <definedName name="N02S04F20">#REF!</definedName>
    <definedName name="N02S04F21">#REF!</definedName>
    <definedName name="N02S04F22">#REF!</definedName>
    <definedName name="N02S04F23">#REF!</definedName>
    <definedName name="N02S04F24">#REF!</definedName>
    <definedName name="N02S04F25">#REF!</definedName>
    <definedName name="N02S04F26">#REF!</definedName>
    <definedName name="N02S04F27">#REF!</definedName>
    <definedName name="N02S04F28">#REF!</definedName>
    <definedName name="N02S04F29">#REF!</definedName>
    <definedName name="N02S04F30">#REF!</definedName>
    <definedName name="N02S04F31">#REF!</definedName>
    <definedName name="N02S04F32">#REF!</definedName>
    <definedName name="N02S04F33">#REF!</definedName>
    <definedName name="N02S04F34">#REF!</definedName>
    <definedName name="N02S04F35">#REF!</definedName>
    <definedName name="N02S04F36">#REF!</definedName>
    <definedName name="N02S04F37">#REF!</definedName>
    <definedName name="N02S04F38">#REF!</definedName>
    <definedName name="N02S04F39">#REF!</definedName>
    <definedName name="N02S04F40">#REF!</definedName>
    <definedName name="N02S04F41">#REF!</definedName>
    <definedName name="N02S04TB1">#REF!</definedName>
    <definedName name="N02S04TB10">#REF!</definedName>
    <definedName name="N02S04TB11">#REF!</definedName>
    <definedName name="N02S04TB12">#REF!</definedName>
    <definedName name="N02S04TB13">#REF!</definedName>
    <definedName name="N02S04TB14">#REF!</definedName>
    <definedName name="N02S04TB15">#REF!</definedName>
    <definedName name="N02S04TB2">#REF!</definedName>
    <definedName name="N02S04TB3">#REF!</definedName>
    <definedName name="N02S04TB4">#REF!</definedName>
    <definedName name="N02S04TB5">#REF!</definedName>
    <definedName name="N02S04TB6">#REF!</definedName>
    <definedName name="N02S04TB7">#REF!</definedName>
    <definedName name="N02S04TB8">#REF!</definedName>
    <definedName name="N02S04TB9">#REF!</definedName>
    <definedName name="N02S05F04">#REF!</definedName>
    <definedName name="N02S05F05">#REF!</definedName>
    <definedName name="N02S05F06">#REF!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5">#REF!</definedName>
    <definedName name="N3S6">#REF!</definedName>
    <definedName name="N3S7">#REF!</definedName>
    <definedName name="N3S8">#REF!</definedName>
    <definedName name="N3S9">#REF!</definedName>
    <definedName name="N4S1">#REF!</definedName>
    <definedName name="N4S1UNITCHECK">#REF!</definedName>
    <definedName name="N4S2">#REF!</definedName>
    <definedName name="N4S2UNITCHECK">#REF!</definedName>
    <definedName name="N4S3">#REF!</definedName>
    <definedName name="N4S3UNITCHECK">#REF!</definedName>
    <definedName name="N4S4">#REF!</definedName>
    <definedName name="N4S4UNITCHECK">#REF!</definedName>
    <definedName name="N4S5">#REF!</definedName>
    <definedName name="N4S5UNITCHECK">#REF!</definedName>
    <definedName name="N4S6">#REF!</definedName>
    <definedName name="N4S6UNITCHECK">#REF!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TABLES'!$D$108</definedName>
    <definedName name="NCLIGHTINGRATE">'DATA TABLES'!$D$107</definedName>
    <definedName name="OVERRIDETOTAL">TEMPLATE!$Q$30</definedName>
    <definedName name="OVERRIDETOTAL_N">#REF!</definedName>
    <definedName name="OVERRIDETOTAL_X">#REF!</definedName>
    <definedName name="PAYALL">TEMPLATE!$T$30</definedName>
    <definedName name="PAYALL_N">#REF!</definedName>
    <definedName name="PAYBACKREQ">'DATA TABLES'!$D$99</definedName>
    <definedName name="PAYCUSE">TEMPLATE!$T$29</definedName>
    <definedName name="PAYCUST_N">#REF!</definedName>
    <definedName name="PayeeChckBox">TEMPLATE!$C$164</definedName>
    <definedName name="PayeeChckBox_N">#REF!</definedName>
    <definedName name="PayeeChckBox_X">#REF!</definedName>
    <definedName name="PAYLIGHT_N">#REF!</definedName>
    <definedName name="PAYMENTLIST">PAYMENT[Payment to]</definedName>
    <definedName name="PAYMENTLIST_N">PAYMENT_N[Payment to]</definedName>
    <definedName name="Paymentlist_x">PAYMENT_X[Payment to]</definedName>
    <definedName name="PAYPRESE">TEMPLATE!$T$28</definedName>
    <definedName name="PAYPROJ_N">#REF!</definedName>
    <definedName name="PAYRCX">#REF!</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'M01-S01'!$A$4:$AW$202</definedName>
    <definedName name="_xlnm.Print_Area" localSheetId="10">'M01-S02'!$A$4:$AW$202</definedName>
    <definedName name="_xlnm.Print_Area" localSheetId="11">'M01-S03'!$A$1:$AW$202</definedName>
    <definedName name="_xlnm.Print_Area" localSheetId="12">'M02-S01'!$A$1:$AW$202</definedName>
    <definedName name="_xlnm.Print_Area" localSheetId="13">'M02-S02'!$A$1:$AW$202</definedName>
    <definedName name="_xlnm.Print_Area" localSheetId="14">'M02-S03'!$A$1:$AW$202</definedName>
    <definedName name="_xlnm.Print_Area" localSheetId="15">'M02-S04'!$A$1:$AW$202</definedName>
    <definedName name="_xlnm.Print_Area" localSheetId="16">'M03-S01'!$A$1:$AW$202</definedName>
    <definedName name="_xlnm.Print_Area" localSheetId="17">'M03-S01A'!$A$1:$AW$202</definedName>
    <definedName name="_xlnm.Print_Area" localSheetId="18">'M03-S01B'!$A$1:$AW$202</definedName>
    <definedName name="_xlnm.Print_Area" localSheetId="19">'M03-S01C'!$A$1:$AW$202</definedName>
    <definedName name="_xlnm.Print_Area" localSheetId="20">'M03-S02'!$A$1:$AW$202</definedName>
    <definedName name="_xlnm.Print_Area" localSheetId="21">'M03-S03'!$A$1:$AW$202</definedName>
    <definedName name="_xlnm.Print_Area" localSheetId="22">'M03-S04'!$A$1:$AW$202</definedName>
    <definedName name="_xlnm.Print_Area" localSheetId="23">'M03-S05'!$A$1:$AW$202</definedName>
    <definedName name="_xlnm.Print_Area" localSheetId="25">'M03-S06'!$A$1:$AW$202</definedName>
    <definedName name="_xlnm.Print_Area" localSheetId="26">'M03-S07'!$A$1:$AW$202</definedName>
    <definedName name="_xlnm.Print_Area" localSheetId="24">'M03-S08'!$A$1:$AW$202</definedName>
    <definedName name="_xlnm.Print_Area" localSheetId="27">'M04-S02'!$A$1:$AW$202</definedName>
    <definedName name="_xlnm.Print_Area" localSheetId="28">'M04-S03'!$A$1:$AW$202</definedName>
    <definedName name="_xlnm.Print_Area" localSheetId="29">'M04-S04'!$A$1:$AW$202</definedName>
    <definedName name="_xlnm.Print_Area" localSheetId="30">'M04-S05'!$A$1:$AW$202</definedName>
    <definedName name="_xlnm.Print_Area" localSheetId="32">'M04-S06'!$A$1:$AW$202</definedName>
    <definedName name="_xlnm.Print_Area" localSheetId="33">'M04-S07'!$A$1:$AW$202</definedName>
    <definedName name="_xlnm.Print_Area" localSheetId="31">'M04-S08'!$A$1:$AW$202</definedName>
    <definedName name="_xlnm.Print_Area" localSheetId="34">'M04-S09'!$A$1:$AW$202</definedName>
    <definedName name="_xlnm.Print_Area" localSheetId="35">'M04-S10'!$A$1:$AW$202</definedName>
    <definedName name="_xlnm.Print_Area" localSheetId="36">'M04-S13'!$A$1:$AW$202</definedName>
    <definedName name="_xlnm.Print_Area" localSheetId="37">'M05-S01'!$A$1:$AW$202</definedName>
    <definedName name="_xlnm.Print_Area" localSheetId="38">'M05-S02'!$A$1:$AW$202</definedName>
    <definedName name="_xlnm.Print_Area" localSheetId="39">'M05-S02-1'!$A$1:$AW$202</definedName>
    <definedName name="_xlnm.Print_Area" localSheetId="40">'M05-S03'!$L$16:$AL$77</definedName>
    <definedName name="_xlnm.Print_Area" localSheetId="41">'M05-S04'!$L$14:$AL$73</definedName>
    <definedName name="_xlnm.Print_Area" localSheetId="42">'M05-S05'!$L$14:$AL$72</definedName>
    <definedName name="_xlnm.Print_Area" localSheetId="43">'M05-S07'!$E$10:$AS$48</definedName>
    <definedName name="PROGRAM">PROGRAMTYPE[Project Type]</definedName>
    <definedName name="Program_Banner">IF( ACTIVEINC &lt;&gt; "", ACTIVEINC, Program_Result)</definedName>
    <definedName name="Program_Banner_N">IF( ACTIVEINC_N &lt;&gt; "", ACTIVEINC_N, Program_Result_N)</definedName>
    <definedName name="Program_Banner_X">IF( ACTIVEINC_X &lt;&gt; "", ACTIVEINC_X, Program_Result_X)</definedName>
    <definedName name="Program_Result">IF(ISNUMBER(SEARCH("SGS", M02S04F05)), "Small Business / Non-Profit", IF(AND( M02S03F11 = "Yes", M02S03F12 = "Yes", M02S03F13 = "Yes"), "Small Business / Non-Profit", "Business Energy Savings"))</definedName>
    <definedName name="Program_Result_N">IF(ISNUMBER(SEARCH("SGS", N02S03F13)), "Hard-to-Reach Business", IF(AND( N02S05F04 = "Yes", N02S05F05 = "Yes", N02S05F06 = "Yes"), "Hard-to-Reach Business", "Whole Business Efficiency"))</definedName>
    <definedName name="Program_Result_X">IF(ISNUMBER(SEARCH("SGS", X02S03F22)), "Hard-to-Reach Business", IF(AND( X02S05F04 = "Yes", X02S05F05 = "Yes", X02S05F06 = "Yes"), "Hard-to-Reach Business", "Whole Business Efficiency"))</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'M05-S07'!$AN$12</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TABLES'!$D$106</definedName>
    <definedName name="REFRIGSELECT">#REF!</definedName>
    <definedName name="SHEAT">SPACEHEAT[Space Conditioning]</definedName>
    <definedName name="SPACECONDTYPE">'DATA TABLES'!$C$84</definedName>
    <definedName name="SPACELPD1">#REF!</definedName>
    <definedName name="SPACELPD2">#REF!</definedName>
    <definedName name="SPACELPD3">#REF!</definedName>
    <definedName name="SPACELPD4">#REF!</definedName>
    <definedName name="SPACELPD5">#REF!</definedName>
    <definedName name="SPACELPD6">#REF!</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TABLES'!$A$111</definedName>
    <definedName name="SPOpts_X">#REF!</definedName>
    <definedName name="STATESABBREV">STATES[Abbrev]</definedName>
    <definedName name="STDCOMPRESSINC">STDCOMPRESS[BESP Incentive]</definedName>
    <definedName name="STDCOMPRESSLIST">STDCOMPRESS[Measure Name]</definedName>
    <definedName name="STDHVACEFFMIN">CLHVAC[Base Efficiency 1]</definedName>
    <definedName name="STDHVACEFFMIN_N">#REF!</definedName>
    <definedName name="STDHVACEFFMIN2">#REF!</definedName>
    <definedName name="STDHVACEFFMIN2_N">#REF!</definedName>
    <definedName name="STDHVACINC">CLHVAC[BESP Incentive]</definedName>
    <definedName name="STDHVACINC_N">#REF!</definedName>
    <definedName name="STDHVACLIST">CLHVAC[Measure Name]</definedName>
    <definedName name="STDHVACLIST_N">#REF!</definedName>
    <definedName name="STDHVACMEASURES">CLHVAC[Measure Name]</definedName>
    <definedName name="STDHVACMEASURES_N">#REF!</definedName>
    <definedName name="STDHVACTONMAX">CLHVAC[Max Tons]</definedName>
    <definedName name="STDHVACTONMAX_N">#REF!</definedName>
    <definedName name="STDHVACTONMIN">CLHVAC[Min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Controlled],MATCH('M03-S03'!$G1,STDLIGHTCONT[Measure Name],0))</definedName>
    <definedName name="STDLIGHTCONTINC">STDLIGHTCONT[BESP Incentive]</definedName>
    <definedName name="STDLIGHTCONTLIST">STDLIGHTCONT[Measure Name]</definedName>
    <definedName name="STDLIGHTEFFMAX">STDLIGHT[Eff Max Wattage]</definedName>
    <definedName name="STDLIGHTEFFMIN">STDLIGHT[Eff Min Wattage]</definedName>
    <definedName name="STDLIGHTINC">STDLIGHT[BESP Incentive]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LIST">STDLIGHT[Measure Name]</definedName>
    <definedName name="STDLIGHTMEASURELIST">INDEX(STDLIGHT[Measure Name],MATCH('M03-S02'!$C1,STDLIGHT[Eff Category 1],0),1):INDEX(STDLIGHT[Measure Name],MATCH('M03-S02'!$C1,STDLIGHT[Eff Category 1],1),1)</definedName>
    <definedName name="STDLIGHTMEASURES">STDLIGHT[Measure Name]</definedName>
    <definedName name="STDMOTORSHPMAX">STDMOTORS[Max Unit]</definedName>
    <definedName name="STDMOTORSHPMIN">STDMOTORS[Min Unit]</definedName>
    <definedName name="STDMOTORSINC">STDMOTORS[BESP Incentive]</definedName>
    <definedName name="STDMOTORSLIST">STDMOTORS[Measure Name]</definedName>
    <definedName name="STDREFRIGINC">STDREFRIG[BESP Incentive]</definedName>
    <definedName name="STDREFRIGINC_N">#REF!</definedName>
    <definedName name="STDREFRIGLIST">STDREFRIG[Measure Name]</definedName>
    <definedName name="STDREFRIGLIST_N">#REF!</definedName>
    <definedName name="STDWATERINC">STDWATER[BESP Incentive]</definedName>
    <definedName name="STDWATERINC_N">#REF!</definedName>
    <definedName name="STDWATERLIST">STDWATER[Measure Name]</definedName>
    <definedName name="STDWATERLIST_N">#REF!</definedName>
    <definedName name="TAXLIST">TAXENTITY[Tax Entity]</definedName>
    <definedName name="TOTALCOSTALLSTUDY">#REF!</definedName>
    <definedName name="TOTCOSTCAP">'DATA TABLES'!$D$102</definedName>
    <definedName name="TRANSFERID">MASTER!$B$4</definedName>
    <definedName name="VERSION">MASTER!$B$1</definedName>
    <definedName name="WBPCAP">'DATA TABLES'!$D$109</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2S05F04">#REF!</definedName>
    <definedName name="X02S05F05">#REF!</definedName>
    <definedName name="X02S05F06">#REF!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8" i="170" l="1"/>
  <c r="AJ20" i="170"/>
  <c r="AF18" i="170"/>
  <c r="T18" i="255"/>
  <c r="T18" i="158" l="1"/>
  <c r="AG150" i="106" l="1" a="1"/>
  <c r="AG150" i="106" s="1"/>
  <c r="AG151" i="106" a="1"/>
  <c r="AG151" i="106" s="1"/>
  <c r="AG152" i="106" a="1"/>
  <c r="AG152" i="106" s="1"/>
  <c r="AG153" i="106" a="1"/>
  <c r="AG153" i="106" s="1"/>
  <c r="AG154" i="106" a="1"/>
  <c r="AG154" i="106" s="1"/>
  <c r="AG155" i="106" a="1"/>
  <c r="AG155" i="106" s="1"/>
  <c r="AG134" i="106" a="1"/>
  <c r="AG134" i="106" s="1"/>
  <c r="AG135" i="106" a="1"/>
  <c r="AG135" i="106" s="1"/>
  <c r="AG136" i="106" a="1"/>
  <c r="AG136" i="106" s="1"/>
  <c r="AG137" i="106" a="1"/>
  <c r="AG137" i="106" s="1"/>
  <c r="AG138" i="106" a="1"/>
  <c r="AG138" i="106" s="1"/>
  <c r="AG139" i="106" a="1"/>
  <c r="AG139" i="106" s="1"/>
  <c r="AG140" i="106" a="1"/>
  <c r="AG140" i="106" s="1"/>
  <c r="AG141" i="106" a="1"/>
  <c r="AG141" i="106" s="1"/>
  <c r="AG142" i="106" a="1"/>
  <c r="AG142" i="106" s="1"/>
  <c r="AG143" i="106" a="1"/>
  <c r="AG143" i="106" s="1"/>
  <c r="AG120" i="106" a="1"/>
  <c r="AG120" i="106" s="1"/>
  <c r="AG121" i="106" a="1"/>
  <c r="AG121" i="106" s="1"/>
  <c r="AG122" i="106" a="1"/>
  <c r="AG122" i="106" s="1"/>
  <c r="AG123" i="106" a="1"/>
  <c r="AG123" i="106" s="1"/>
  <c r="AG124" i="106" a="1"/>
  <c r="AG124" i="106" s="1"/>
  <c r="AG125" i="106" a="1"/>
  <c r="AG125" i="106" s="1"/>
  <c r="AG126" i="106" a="1"/>
  <c r="AG126" i="106" s="1"/>
  <c r="AG127" i="106" a="1"/>
  <c r="AG127" i="106" s="1"/>
  <c r="AG128" i="106" a="1"/>
  <c r="AG128" i="106" s="1"/>
  <c r="AG129" i="106" a="1"/>
  <c r="AG129" i="106" s="1"/>
  <c r="AG130" i="106" a="1"/>
  <c r="AG130" i="106" s="1"/>
  <c r="AG131" i="106" a="1"/>
  <c r="AG131" i="106" s="1"/>
  <c r="AG98" i="106" a="1"/>
  <c r="AG98" i="106" s="1"/>
  <c r="AG99" i="106" a="1"/>
  <c r="AG99" i="106" s="1"/>
  <c r="AG100" i="106" a="1"/>
  <c r="AG100" i="106" s="1"/>
  <c r="AG101" i="106" a="1"/>
  <c r="AG101" i="106" s="1"/>
  <c r="AG102" i="106" a="1"/>
  <c r="AG102" i="106" s="1"/>
  <c r="AG103" i="106" a="1"/>
  <c r="AG103" i="106" s="1"/>
  <c r="AG104" i="106" a="1"/>
  <c r="AG104" i="106" s="1"/>
  <c r="AG105" i="106" a="1"/>
  <c r="AG105" i="106" s="1"/>
  <c r="AG106" i="106" a="1"/>
  <c r="AG106" i="106" s="1"/>
  <c r="AG107" i="106" a="1"/>
  <c r="AG107" i="106" s="1"/>
  <c r="AG108" i="106" a="1"/>
  <c r="AG108" i="106" s="1"/>
  <c r="AG109" i="106" a="1"/>
  <c r="AG109" i="106" s="1"/>
  <c r="AG110" i="106" a="1"/>
  <c r="AG110" i="106" s="1"/>
  <c r="AG111" i="106" a="1"/>
  <c r="AG111" i="106" s="1"/>
  <c r="AG112" i="106" a="1"/>
  <c r="AG112" i="106" s="1"/>
  <c r="AG113" i="106" a="1"/>
  <c r="AG113" i="106" s="1"/>
  <c r="AG114" i="106" a="1"/>
  <c r="AG114" i="106" s="1"/>
  <c r="AG115" i="106" a="1"/>
  <c r="AG115" i="106" s="1"/>
  <c r="AG116" i="106" a="1"/>
  <c r="AG116" i="106" s="1"/>
  <c r="AG117" i="106" a="1"/>
  <c r="AG117" i="106" s="1"/>
  <c r="AG78" i="106" a="1"/>
  <c r="AG78" i="106" s="1"/>
  <c r="AG79" i="106" a="1"/>
  <c r="AG79" i="106" s="1"/>
  <c r="AG80" i="106" a="1"/>
  <c r="AG80" i="106" s="1"/>
  <c r="AG81" i="106" a="1"/>
  <c r="AG81" i="106" s="1"/>
  <c r="AG82" i="106" a="1"/>
  <c r="AG82" i="106" s="1"/>
  <c r="AG83" i="106" a="1"/>
  <c r="AG83" i="106" s="1"/>
  <c r="AG84" i="106" a="1"/>
  <c r="AG84" i="106" s="1"/>
  <c r="AG85" i="106" a="1"/>
  <c r="AG85" i="106" s="1"/>
  <c r="AG86" i="106" a="1"/>
  <c r="AG86" i="106" s="1"/>
  <c r="AG87" i="106" a="1"/>
  <c r="AG87" i="106" s="1"/>
  <c r="AG88" i="106" a="1"/>
  <c r="AG88" i="106" s="1"/>
  <c r="AG89" i="106" a="1"/>
  <c r="AG89" i="106" s="1"/>
  <c r="AG90" i="106" a="1"/>
  <c r="AG90" i="106" s="1"/>
  <c r="AG91" i="106" a="1"/>
  <c r="AG91" i="106" s="1"/>
  <c r="AG92" i="106" a="1"/>
  <c r="AG92" i="106" s="1"/>
  <c r="AG93" i="106" a="1"/>
  <c r="AG93" i="106" s="1"/>
  <c r="AG94" i="106" a="1"/>
  <c r="AG94" i="106" s="1"/>
  <c r="AG95" i="106" a="1"/>
  <c r="AG95" i="106" s="1"/>
  <c r="AG64" i="106" a="1"/>
  <c r="AG64" i="106" s="1"/>
  <c r="AG65" i="106" a="1"/>
  <c r="AG65" i="106" s="1"/>
  <c r="AG66" i="106" a="1"/>
  <c r="AG66" i="106" s="1"/>
  <c r="AG67" i="106" a="1"/>
  <c r="AG67" i="106" s="1"/>
  <c r="AG68" i="106" a="1"/>
  <c r="AG68" i="106" s="1"/>
  <c r="AG69" i="106" a="1"/>
  <c r="AG69" i="106" s="1"/>
  <c r="AG70" i="106" a="1"/>
  <c r="AG70" i="106" s="1"/>
  <c r="AG71" i="106" a="1"/>
  <c r="AG71" i="106" s="1"/>
  <c r="AG72" i="106" a="1"/>
  <c r="AG72" i="106" s="1"/>
  <c r="AG73" i="106" a="1"/>
  <c r="AG73" i="106" s="1"/>
  <c r="AG74" i="106" a="1"/>
  <c r="AG74" i="106" s="1"/>
  <c r="AG75" i="106" a="1"/>
  <c r="AG75" i="106" s="1"/>
  <c r="AG54" i="106" a="1"/>
  <c r="AG54" i="106" s="1"/>
  <c r="AG55" i="106" a="1"/>
  <c r="AG55" i="106" s="1"/>
  <c r="AG56" i="106" a="1"/>
  <c r="AG56" i="106" s="1"/>
  <c r="AG57" i="106" a="1"/>
  <c r="AG57" i="106" s="1"/>
  <c r="AG58" i="106" a="1"/>
  <c r="AG58" i="106" s="1"/>
  <c r="AG59" i="106" a="1"/>
  <c r="AG59" i="106" s="1"/>
  <c r="AG60" i="106" a="1"/>
  <c r="AG60" i="106" s="1"/>
  <c r="AG53" i="106" a="1"/>
  <c r="AG53" i="106" s="1"/>
  <c r="AG52" i="106" a="1"/>
  <c r="AG52" i="106" s="1"/>
  <c r="AG3" i="106" a="1"/>
  <c r="AG3" i="106" s="1"/>
  <c r="AG4" i="106" a="1"/>
  <c r="AG4" i="106" s="1"/>
  <c r="AG5" i="106" a="1"/>
  <c r="AG5" i="106" s="1"/>
  <c r="AG6" i="106" a="1"/>
  <c r="AG6" i="106" s="1"/>
  <c r="AG7" i="106" a="1"/>
  <c r="AG7" i="106" s="1"/>
  <c r="AG8" i="106" a="1"/>
  <c r="AG8" i="106" s="1"/>
  <c r="AG9" i="106" a="1"/>
  <c r="AG9" i="106" s="1"/>
  <c r="AG10" i="106" a="1"/>
  <c r="AG10" i="106" s="1"/>
  <c r="AG11" i="106" a="1"/>
  <c r="AG11" i="106" s="1"/>
  <c r="AG12" i="106" a="1"/>
  <c r="AG12" i="106" s="1"/>
  <c r="AG13" i="106" a="1"/>
  <c r="AG13" i="106" s="1"/>
  <c r="AG14" i="106" a="1"/>
  <c r="AG14" i="106" s="1"/>
  <c r="AG15" i="106" a="1"/>
  <c r="AG15" i="106" s="1"/>
  <c r="AG16" i="106" a="1"/>
  <c r="AG16" i="106" s="1"/>
  <c r="AG17" i="106" a="1"/>
  <c r="AG17" i="106" s="1"/>
  <c r="AG18" i="106" a="1"/>
  <c r="AG18" i="106" s="1"/>
  <c r="AG19" i="106" a="1"/>
  <c r="AG19" i="106" s="1"/>
  <c r="AG20" i="106" a="1"/>
  <c r="AG20" i="106" s="1"/>
  <c r="AG21" i="106" a="1"/>
  <c r="AG21" i="106" s="1"/>
  <c r="AG22" i="106" a="1"/>
  <c r="AG22" i="106" s="1"/>
  <c r="AG23" i="106" a="1"/>
  <c r="AG23" i="106" s="1"/>
  <c r="AG24" i="106" a="1"/>
  <c r="AG24" i="106" s="1"/>
  <c r="AG25" i="106" a="1"/>
  <c r="AG25" i="106" s="1"/>
  <c r="AG26" i="106" a="1"/>
  <c r="AG26" i="106" s="1"/>
  <c r="AG27" i="106" a="1"/>
  <c r="AG27" i="106" s="1"/>
  <c r="AG28" i="106" a="1"/>
  <c r="AG28" i="106" s="1"/>
  <c r="AG29" i="106" a="1"/>
  <c r="AG29" i="106" s="1"/>
  <c r="AG30" i="106" a="1"/>
  <c r="AG30" i="106" s="1"/>
  <c r="AG31" i="106" a="1"/>
  <c r="AG31" i="106" s="1"/>
  <c r="AG32" i="106" a="1"/>
  <c r="AG32" i="106" s="1"/>
  <c r="AG33" i="106" a="1"/>
  <c r="AG33" i="106" s="1"/>
  <c r="AG34" i="106" a="1"/>
  <c r="AG34" i="106" s="1"/>
  <c r="AG35" i="106" a="1"/>
  <c r="AG35" i="106" s="1"/>
  <c r="AG36" i="106" a="1"/>
  <c r="AG36" i="106" s="1"/>
  <c r="AG37" i="106" a="1"/>
  <c r="AG37" i="106" s="1"/>
  <c r="AG38" i="106" a="1"/>
  <c r="AG38" i="106" s="1"/>
  <c r="AG39" i="106" a="1"/>
  <c r="AG39" i="106" s="1"/>
  <c r="AG40" i="106" a="1"/>
  <c r="AG40" i="106" s="1"/>
  <c r="AG41" i="106" a="1"/>
  <c r="AG41" i="106" s="1"/>
  <c r="AG42" i="106" a="1"/>
  <c r="AG42" i="106" s="1"/>
  <c r="AG43" i="106" a="1"/>
  <c r="AG43" i="106" s="1"/>
  <c r="AG44" i="106" a="1"/>
  <c r="AG44" i="106" s="1"/>
  <c r="AG45" i="106" a="1"/>
  <c r="AG45" i="106" s="1"/>
  <c r="AG46" i="106" a="1"/>
  <c r="AG46" i="106" s="1"/>
  <c r="B118" i="173" a="1"/>
  <c r="B118" i="173" s="1"/>
  <c r="B119" i="173" a="1"/>
  <c r="B119" i="173" s="1"/>
  <c r="B120" i="173" a="1"/>
  <c r="B120" i="173" s="1"/>
  <c r="B121" i="173" a="1"/>
  <c r="B121" i="173" s="1"/>
  <c r="B122" i="173" a="1"/>
  <c r="B122" i="173" s="1"/>
  <c r="B88" i="173" a="1"/>
  <c r="B88" i="173" s="1"/>
  <c r="B89" i="173" a="1"/>
  <c r="B89" i="173" s="1"/>
  <c r="B90" i="173" a="1"/>
  <c r="B90" i="173" s="1"/>
  <c r="B91" i="173" a="1"/>
  <c r="B91" i="173" s="1"/>
  <c r="B92" i="173" a="1"/>
  <c r="B92" i="173" s="1"/>
  <c r="B93" i="173" a="1"/>
  <c r="B93" i="173" s="1"/>
  <c r="B94" i="173" a="1"/>
  <c r="B94" i="173" s="1"/>
  <c r="B95" i="173" a="1"/>
  <c r="B95" i="173" s="1"/>
  <c r="B96" i="173" a="1"/>
  <c r="B96" i="173" s="1"/>
  <c r="B97" i="173" a="1"/>
  <c r="B97" i="173" s="1"/>
  <c r="B98" i="173" a="1"/>
  <c r="B98" i="173" s="1"/>
  <c r="B99" i="173" a="1"/>
  <c r="B99" i="173" s="1"/>
  <c r="B100" i="173" a="1"/>
  <c r="B100" i="173" s="1"/>
  <c r="B101" i="173" a="1"/>
  <c r="B101" i="173" s="1"/>
  <c r="B102" i="173" a="1"/>
  <c r="B102" i="173" s="1"/>
  <c r="B103" i="173" a="1"/>
  <c r="B103" i="173" s="1"/>
  <c r="B104" i="173" a="1"/>
  <c r="B104" i="173" s="1"/>
  <c r="B105" i="173" a="1"/>
  <c r="B105" i="173" s="1"/>
  <c r="B106" i="173" a="1"/>
  <c r="B106" i="173" s="1"/>
  <c r="B107" i="173" a="1"/>
  <c r="B107" i="173" s="1"/>
  <c r="B108" i="173" a="1"/>
  <c r="B108" i="173" s="1"/>
  <c r="B109" i="173" a="1"/>
  <c r="B109" i="173" s="1"/>
  <c r="B110" i="173" a="1"/>
  <c r="B110" i="173" s="1"/>
  <c r="B111" i="173" a="1"/>
  <c r="B111" i="173" s="1"/>
  <c r="B112" i="173" a="1"/>
  <c r="B112" i="173" s="1"/>
  <c r="B113" i="173" a="1"/>
  <c r="B113" i="173" s="1"/>
  <c r="B114" i="173" a="1"/>
  <c r="B114" i="173" s="1"/>
  <c r="B115" i="173" a="1"/>
  <c r="B115" i="173" s="1"/>
  <c r="B68" i="173" a="1"/>
  <c r="B68" i="173" s="1"/>
  <c r="B69" i="173" a="1"/>
  <c r="B69" i="173" s="1"/>
  <c r="B70" i="173" a="1"/>
  <c r="B70" i="173" s="1"/>
  <c r="B71" i="173" a="1"/>
  <c r="B71" i="173" s="1"/>
  <c r="B72" i="173" a="1"/>
  <c r="B72" i="173" s="1"/>
  <c r="B73" i="173" a="1"/>
  <c r="B73" i="173" s="1"/>
  <c r="B74" i="173" a="1"/>
  <c r="B74" i="173" s="1"/>
  <c r="B75" i="173" a="1"/>
  <c r="B75" i="173" s="1"/>
  <c r="B76" i="173" a="1"/>
  <c r="B76" i="173" s="1"/>
  <c r="B77" i="173" a="1"/>
  <c r="B77" i="173" s="1"/>
  <c r="B78" i="173" a="1"/>
  <c r="B78" i="173" s="1"/>
  <c r="B79" i="173" a="1"/>
  <c r="B79" i="173" s="1"/>
  <c r="B80" i="173" a="1"/>
  <c r="B80" i="173" s="1"/>
  <c r="B81" i="173" a="1"/>
  <c r="B81" i="173" s="1"/>
  <c r="B82" i="173" a="1"/>
  <c r="B82" i="173" s="1"/>
  <c r="B83" i="173" a="1"/>
  <c r="B83" i="173" s="1"/>
  <c r="B84" i="173" a="1"/>
  <c r="B84" i="173" s="1"/>
  <c r="B85" i="173" a="1"/>
  <c r="B85" i="173" s="1"/>
  <c r="B61" i="173" a="1"/>
  <c r="B61" i="173" s="1"/>
  <c r="B62" i="173" a="1"/>
  <c r="B62" i="173" s="1"/>
  <c r="B63" i="173" a="1"/>
  <c r="B63" i="173" s="1"/>
  <c r="B64" i="173" a="1"/>
  <c r="B64" i="173" s="1"/>
  <c r="B65" i="173" a="1"/>
  <c r="B65" i="173" s="1"/>
  <c r="B52" i="173" a="1"/>
  <c r="B52" i="173" s="1"/>
  <c r="B53" i="173" a="1"/>
  <c r="B53" i="173" s="1"/>
  <c r="B54" i="173" a="1"/>
  <c r="B54" i="173" s="1"/>
  <c r="B55" i="173" a="1"/>
  <c r="B55" i="173" s="1"/>
  <c r="B56" i="173" a="1"/>
  <c r="B56" i="173" s="1"/>
  <c r="B57" i="173" a="1"/>
  <c r="B57" i="173" s="1"/>
  <c r="B58" i="173" a="1"/>
  <c r="B58" i="173" s="1"/>
  <c r="B48" i="173" a="1"/>
  <c r="B48" i="173" s="1"/>
  <c r="B49" i="173" a="1"/>
  <c r="B49" i="173" s="1"/>
  <c r="B38" i="173" a="1"/>
  <c r="B38" i="173" s="1"/>
  <c r="B39" i="173" a="1"/>
  <c r="B39" i="173" s="1"/>
  <c r="B40" i="173" a="1"/>
  <c r="B40" i="173" s="1"/>
  <c r="B41" i="173" a="1"/>
  <c r="B41" i="173" s="1"/>
  <c r="B42" i="173" a="1"/>
  <c r="B42" i="173" s="1"/>
  <c r="B43" i="173" a="1"/>
  <c r="B43" i="173" s="1"/>
  <c r="B44" i="173" a="1"/>
  <c r="B44" i="173" s="1"/>
  <c r="B45" i="173" a="1"/>
  <c r="B45" i="173" s="1"/>
  <c r="B3" i="173" a="1"/>
  <c r="B3" i="173" s="1"/>
  <c r="B4" i="173" a="1"/>
  <c r="B4" i="173" s="1"/>
  <c r="B5" i="173" a="1"/>
  <c r="B5" i="173" s="1"/>
  <c r="B6" i="173" a="1"/>
  <c r="B6" i="173" s="1"/>
  <c r="B7" i="173" a="1"/>
  <c r="B7" i="173" s="1"/>
  <c r="B8" i="173" a="1"/>
  <c r="B8" i="173" s="1"/>
  <c r="B9" i="173" a="1"/>
  <c r="B9" i="173" s="1"/>
  <c r="B10" i="173" a="1"/>
  <c r="B10" i="173" s="1"/>
  <c r="B11" i="173" a="1"/>
  <c r="B11" i="173" s="1"/>
  <c r="B12" i="173" a="1"/>
  <c r="B12" i="173" s="1"/>
  <c r="B13" i="173" a="1"/>
  <c r="B13" i="173" s="1"/>
  <c r="B14" i="173" a="1"/>
  <c r="B14" i="173" s="1"/>
  <c r="B15" i="173" a="1"/>
  <c r="B15" i="173" s="1"/>
  <c r="B16" i="173" a="1"/>
  <c r="B16" i="173" s="1"/>
  <c r="B17" i="173" a="1"/>
  <c r="B17" i="173" s="1"/>
  <c r="B18" i="173" a="1"/>
  <c r="B18" i="173" s="1"/>
  <c r="B19" i="173" a="1"/>
  <c r="B19" i="173" s="1"/>
  <c r="B20" i="173" a="1"/>
  <c r="B20" i="173" s="1"/>
  <c r="B21" i="173" a="1"/>
  <c r="B21" i="173" s="1"/>
  <c r="B22" i="173" a="1"/>
  <c r="B22" i="173" s="1"/>
  <c r="B23" i="173" a="1"/>
  <c r="B23" i="173" s="1"/>
  <c r="B24" i="173" a="1"/>
  <c r="B24" i="173" s="1"/>
  <c r="B25" i="173" a="1"/>
  <c r="B25" i="173" s="1"/>
  <c r="B26" i="173" a="1"/>
  <c r="B26" i="173" s="1"/>
  <c r="B27" i="173" a="1"/>
  <c r="B27" i="173" s="1"/>
  <c r="B28" i="173" a="1"/>
  <c r="B28" i="173" s="1"/>
  <c r="B29" i="173" a="1"/>
  <c r="B29" i="173" s="1"/>
  <c r="B30" i="173" a="1"/>
  <c r="B30" i="173" s="1"/>
  <c r="B31" i="173" a="1"/>
  <c r="B31" i="173" s="1"/>
  <c r="B32" i="173" a="1"/>
  <c r="B32" i="173" s="1"/>
  <c r="B33" i="173" a="1"/>
  <c r="B33" i="173" s="1"/>
  <c r="B34" i="173" a="1"/>
  <c r="B34" i="173" s="1"/>
  <c r="B35" i="173" a="1"/>
  <c r="B35" i="173" s="1"/>
  <c r="AN291" i="257" a="1"/>
  <c r="AN291" i="257" s="1"/>
  <c r="AN292" i="257" a="1"/>
  <c r="AN292" i="257" s="1"/>
  <c r="AN293" i="257" a="1"/>
  <c r="AN293" i="257" s="1"/>
  <c r="AN294" i="257" a="1"/>
  <c r="AN294" i="257" s="1"/>
  <c r="AN295" i="257" a="1"/>
  <c r="AN295" i="257" s="1"/>
  <c r="AN296" i="257" a="1"/>
  <c r="AN296" i="257" s="1"/>
  <c r="AN297" i="257" a="1"/>
  <c r="AN297" i="257" s="1"/>
  <c r="AN298" i="257" a="1"/>
  <c r="AN298" i="257" s="1"/>
  <c r="AN299" i="257" a="1"/>
  <c r="AN299" i="257" s="1"/>
  <c r="AN300" i="257" a="1"/>
  <c r="AN300" i="257" s="1"/>
  <c r="AN301" i="257" a="1"/>
  <c r="AN301" i="257" s="1"/>
  <c r="AN302" i="257" a="1"/>
  <c r="AN302" i="257" s="1"/>
  <c r="AN303" i="257" a="1"/>
  <c r="AN303" i="257" s="1"/>
  <c r="AN304" i="257" a="1"/>
  <c r="AN304" i="257" s="1"/>
  <c r="AN305" i="257" a="1"/>
  <c r="AN305" i="257" s="1"/>
  <c r="AN306" i="257" a="1"/>
  <c r="AN306" i="257" s="1"/>
  <c r="AN307" i="257" a="1"/>
  <c r="AN307" i="257" s="1"/>
  <c r="AN308" i="257" a="1"/>
  <c r="AN308" i="257" s="1"/>
  <c r="AN309" i="257" a="1"/>
  <c r="AN309" i="257" s="1"/>
  <c r="AN310" i="257" a="1"/>
  <c r="AN310" i="257" s="1"/>
  <c r="AN311" i="257" a="1"/>
  <c r="AN311" i="257" s="1"/>
  <c r="AN312" i="257" a="1"/>
  <c r="AN312" i="257" s="1"/>
  <c r="AN313" i="257" a="1"/>
  <c r="AN313" i="257" s="1"/>
  <c r="AN314" i="257" a="1"/>
  <c r="AN314" i="257" s="1"/>
  <c r="AN315" i="257" a="1"/>
  <c r="AN315" i="257" s="1"/>
  <c r="AN316" i="257" a="1"/>
  <c r="AN316" i="257" s="1"/>
  <c r="AN317" i="257" a="1"/>
  <c r="AN317" i="257" s="1"/>
  <c r="AN318" i="257" a="1"/>
  <c r="AN318" i="257" s="1"/>
  <c r="AN319" i="257" a="1"/>
  <c r="AN319" i="257" s="1"/>
  <c r="AN320" i="257" a="1"/>
  <c r="AN320" i="257" s="1"/>
  <c r="AN321" i="257" a="1"/>
  <c r="AN321" i="257" s="1"/>
  <c r="AN322" i="257" a="1"/>
  <c r="AN322" i="257" s="1"/>
  <c r="AN323" i="257" a="1"/>
  <c r="AN323" i="257" s="1"/>
  <c r="AN324" i="257" a="1"/>
  <c r="AN324" i="257" s="1"/>
  <c r="AN290" i="257" a="1"/>
  <c r="AN290" i="257" s="1"/>
  <c r="AM237" i="257" a="1"/>
  <c r="AM237" i="257" s="1"/>
  <c r="AN237" i="257" a="1"/>
  <c r="AN237" i="257" s="1"/>
  <c r="AM238" i="257" a="1"/>
  <c r="AM238" i="257" s="1"/>
  <c r="AN238" i="257" a="1"/>
  <c r="AN238" i="257" s="1"/>
  <c r="AM239" i="257" a="1"/>
  <c r="AM239" i="257" s="1"/>
  <c r="AN239" i="257" a="1"/>
  <c r="AN239" i="257" s="1"/>
  <c r="AM240" i="257" a="1"/>
  <c r="AM240" i="257" s="1"/>
  <c r="AN240" i="257" a="1"/>
  <c r="AN240" i="257" s="1"/>
  <c r="AM241" i="257" a="1"/>
  <c r="AM241" i="257" s="1"/>
  <c r="AN241" i="257" a="1"/>
  <c r="AN241" i="257" s="1"/>
  <c r="AM221" i="257" a="1"/>
  <c r="AM221" i="257" s="1"/>
  <c r="AN221" i="257" a="1"/>
  <c r="AN221" i="257" s="1"/>
  <c r="AM222" i="257" a="1"/>
  <c r="AM222" i="257" s="1"/>
  <c r="AN222" i="257" a="1"/>
  <c r="AN222" i="257" s="1"/>
  <c r="AM223" i="257" a="1"/>
  <c r="AM223" i="257" s="1"/>
  <c r="AN223" i="257" a="1"/>
  <c r="AN223" i="257" s="1"/>
  <c r="AM224" i="257" a="1"/>
  <c r="AM224" i="257" s="1"/>
  <c r="AN224" i="257" a="1"/>
  <c r="AN224" i="257" s="1"/>
  <c r="AM225" i="257" a="1"/>
  <c r="AM225" i="257" s="1"/>
  <c r="AN225" i="257" a="1"/>
  <c r="AN225" i="257" s="1"/>
  <c r="AM205" i="257" a="1"/>
  <c r="AM205" i="257" s="1"/>
  <c r="AN205" i="257" a="1"/>
  <c r="AN205" i="257" s="1"/>
  <c r="AM206" i="257" a="1"/>
  <c r="AM206" i="257" s="1"/>
  <c r="AN206" i="257" a="1"/>
  <c r="AN206" i="257" s="1"/>
  <c r="AM207" i="257" a="1"/>
  <c r="AM207" i="257" s="1"/>
  <c r="AN207" i="257" a="1"/>
  <c r="AN207" i="257" s="1"/>
  <c r="AM208" i="257" a="1"/>
  <c r="AM208" i="257" s="1"/>
  <c r="AN208" i="257" a="1"/>
  <c r="AN208" i="257" s="1"/>
  <c r="AM209" i="257" a="1"/>
  <c r="AM209" i="257" s="1"/>
  <c r="AN209" i="257" a="1"/>
  <c r="AN209" i="257" s="1"/>
  <c r="AM189" i="257" a="1"/>
  <c r="AM189" i="257" s="1"/>
  <c r="AN189" i="257" a="1"/>
  <c r="AN189" i="257" s="1"/>
  <c r="AM190" i="257" a="1"/>
  <c r="AM190" i="257" s="1"/>
  <c r="AN190" i="257" a="1"/>
  <c r="AN190" i="257" s="1"/>
  <c r="AM191" i="257" a="1"/>
  <c r="AM191" i="257" s="1"/>
  <c r="AN191" i="257" a="1"/>
  <c r="AN191" i="257" s="1"/>
  <c r="AM192" i="257" a="1"/>
  <c r="AM192" i="257" s="1"/>
  <c r="AN192" i="257" a="1"/>
  <c r="AN192" i="257" s="1"/>
  <c r="AM193" i="257" a="1"/>
  <c r="AM193" i="257" s="1"/>
  <c r="AN193" i="257" a="1"/>
  <c r="AN193" i="257" s="1"/>
  <c r="AM173" i="257" a="1"/>
  <c r="AM173" i="257" s="1"/>
  <c r="AN173" i="257" a="1"/>
  <c r="AN173" i="257" s="1"/>
  <c r="AM174" i="257" a="1"/>
  <c r="AM174" i="257" s="1"/>
  <c r="AN174" i="257" a="1"/>
  <c r="AN174" i="257" s="1"/>
  <c r="AM175" i="257" a="1"/>
  <c r="AM175" i="257" s="1"/>
  <c r="AN175" i="257" a="1"/>
  <c r="AN175" i="257" s="1"/>
  <c r="AM176" i="257" a="1"/>
  <c r="AM176" i="257" s="1"/>
  <c r="AN176" i="257" a="1"/>
  <c r="AN176" i="257" s="1"/>
  <c r="AM177" i="257" a="1"/>
  <c r="AM177" i="257" s="1"/>
  <c r="AN177" i="257" a="1"/>
  <c r="AN177" i="257" s="1"/>
  <c r="AM157" i="257" a="1"/>
  <c r="AM157" i="257" s="1"/>
  <c r="AN157" i="257" a="1"/>
  <c r="AN157" i="257" s="1"/>
  <c r="AM158" i="257" a="1"/>
  <c r="AM158" i="257" s="1"/>
  <c r="AN158" i="257" a="1"/>
  <c r="AN158" i="257" s="1"/>
  <c r="AM159" i="257" a="1"/>
  <c r="AM159" i="257" s="1"/>
  <c r="AN159" i="257" a="1"/>
  <c r="AN159" i="257" s="1"/>
  <c r="AM160" i="257" a="1"/>
  <c r="AM160" i="257" s="1"/>
  <c r="AN160" i="257" a="1"/>
  <c r="AN160" i="257" s="1"/>
  <c r="AM161" i="257" a="1"/>
  <c r="AM161" i="257" s="1"/>
  <c r="AN161" i="257" a="1"/>
  <c r="AN161" i="257" s="1"/>
  <c r="AJ101" i="257"/>
  <c r="AL101" i="257"/>
  <c r="AM101" i="257"/>
  <c r="AN101" i="257"/>
  <c r="AJ102" i="257"/>
  <c r="AL102" i="257"/>
  <c r="AM102" i="257"/>
  <c r="AN102" i="257"/>
  <c r="AJ103" i="257"/>
  <c r="AL103" i="257"/>
  <c r="AM103" i="257"/>
  <c r="AN103" i="257"/>
  <c r="AJ104" i="257"/>
  <c r="AL104" i="257"/>
  <c r="AM104" i="257"/>
  <c r="AN104" i="257"/>
  <c r="AJ105" i="257"/>
  <c r="AL105" i="257"/>
  <c r="AM105" i="257"/>
  <c r="AN105" i="257"/>
  <c r="AJ106" i="257"/>
  <c r="AL106" i="257"/>
  <c r="AM106" i="257"/>
  <c r="AN106" i="257"/>
  <c r="AJ107" i="257"/>
  <c r="AL107" i="257"/>
  <c r="AM107" i="257"/>
  <c r="AN107" i="257"/>
  <c r="AJ108" i="257"/>
  <c r="AL108" i="257"/>
  <c r="AM108" i="257"/>
  <c r="AN108" i="257"/>
  <c r="AJ109" i="257"/>
  <c r="AL109" i="257"/>
  <c r="AM109" i="257"/>
  <c r="AN109" i="257"/>
  <c r="AI110" i="257"/>
  <c r="AJ110" i="257"/>
  <c r="AK110" i="257"/>
  <c r="AL110" i="257"/>
  <c r="AM110" i="257"/>
  <c r="AN110" i="257"/>
  <c r="AI111" i="257"/>
  <c r="AJ111" i="257"/>
  <c r="AK111" i="257"/>
  <c r="AL111" i="257"/>
  <c r="AM111" i="257"/>
  <c r="AN111" i="257"/>
  <c r="AI112" i="257"/>
  <c r="AJ112" i="257"/>
  <c r="AK112" i="257"/>
  <c r="AL112" i="257"/>
  <c r="AM112" i="257"/>
  <c r="AN112" i="257"/>
  <c r="AI113" i="257"/>
  <c r="AJ113" i="257"/>
  <c r="AK113" i="257"/>
  <c r="AL113" i="257"/>
  <c r="AM113" i="257"/>
  <c r="AN113" i="257"/>
  <c r="AI114" i="257"/>
  <c r="AJ114" i="257"/>
  <c r="AK114" i="257"/>
  <c r="AL114" i="257"/>
  <c r="AM114" i="257"/>
  <c r="AN114" i="257"/>
  <c r="AN100" i="257"/>
  <c r="AM100" i="257"/>
  <c r="AL100" i="257"/>
  <c r="AJ100" i="257"/>
  <c r="AJ85" i="257"/>
  <c r="AL85" i="257"/>
  <c r="AM85" i="257"/>
  <c r="AN85" i="257"/>
  <c r="AJ86" i="257"/>
  <c r="AL86" i="257"/>
  <c r="AM86" i="257"/>
  <c r="AN86" i="257"/>
  <c r="AJ87" i="257"/>
  <c r="AL87" i="257"/>
  <c r="AM87" i="257"/>
  <c r="AN87" i="257"/>
  <c r="AJ88" i="257"/>
  <c r="AL88" i="257"/>
  <c r="AM88" i="257"/>
  <c r="AN88" i="257"/>
  <c r="AJ89" i="257"/>
  <c r="AL89" i="257"/>
  <c r="AM89" i="257"/>
  <c r="AN89" i="257"/>
  <c r="AJ90" i="257"/>
  <c r="AL90" i="257"/>
  <c r="AM90" i="257"/>
  <c r="AN90" i="257"/>
  <c r="AJ91" i="257"/>
  <c r="AL91" i="257"/>
  <c r="AM91" i="257"/>
  <c r="AN91" i="257"/>
  <c r="AJ92" i="257"/>
  <c r="AL92" i="257"/>
  <c r="AM92" i="257"/>
  <c r="AN92" i="257"/>
  <c r="AJ93" i="257"/>
  <c r="AL93" i="257"/>
  <c r="AM93" i="257"/>
  <c r="AN93" i="257"/>
  <c r="AI94" i="257"/>
  <c r="AJ94" i="257"/>
  <c r="AK94" i="257"/>
  <c r="AL94" i="257"/>
  <c r="AM94" i="257"/>
  <c r="AN94" i="257"/>
  <c r="AI95" i="257"/>
  <c r="AJ95" i="257"/>
  <c r="AK95" i="257"/>
  <c r="AL95" i="257"/>
  <c r="AM95" i="257"/>
  <c r="AN95" i="257"/>
  <c r="AI96" i="257"/>
  <c r="AJ96" i="257"/>
  <c r="AK96" i="257"/>
  <c r="AL96" i="257"/>
  <c r="AM96" i="257"/>
  <c r="AN96" i="257"/>
  <c r="AI97" i="257"/>
  <c r="AJ97" i="257"/>
  <c r="AK97" i="257"/>
  <c r="AL97" i="257"/>
  <c r="AM97" i="257"/>
  <c r="AN97" i="257"/>
  <c r="AI98" i="257"/>
  <c r="AJ98" i="257"/>
  <c r="AK98" i="257"/>
  <c r="AL98" i="257"/>
  <c r="AM98" i="257"/>
  <c r="AN98" i="257"/>
  <c r="AN84" i="257"/>
  <c r="AM84" i="257"/>
  <c r="AL84" i="257"/>
  <c r="AJ84" i="257"/>
  <c r="AJ69" i="257"/>
  <c r="AL69" i="257"/>
  <c r="AM69" i="257"/>
  <c r="AN69" i="257"/>
  <c r="AJ70" i="257"/>
  <c r="AL70" i="257"/>
  <c r="AM70" i="257"/>
  <c r="AN70" i="257"/>
  <c r="AJ71" i="257"/>
  <c r="AL71" i="257"/>
  <c r="AM71" i="257"/>
  <c r="AN71" i="257"/>
  <c r="AJ72" i="257"/>
  <c r="AL72" i="257"/>
  <c r="AM72" i="257"/>
  <c r="AN72" i="257"/>
  <c r="AJ73" i="257"/>
  <c r="AL73" i="257"/>
  <c r="AM73" i="257"/>
  <c r="AN73" i="257"/>
  <c r="AJ74" i="257"/>
  <c r="AL74" i="257"/>
  <c r="AM74" i="257"/>
  <c r="AN74" i="257"/>
  <c r="AJ75" i="257"/>
  <c r="AL75" i="257"/>
  <c r="AM75" i="257"/>
  <c r="AN75" i="257"/>
  <c r="AJ76" i="257"/>
  <c r="AL76" i="257"/>
  <c r="AM76" i="257"/>
  <c r="AN76" i="257"/>
  <c r="AJ77" i="257"/>
  <c r="AL77" i="257"/>
  <c r="AM77" i="257"/>
  <c r="AN77" i="257"/>
  <c r="AI78" i="257"/>
  <c r="AJ78" i="257"/>
  <c r="AK78" i="257"/>
  <c r="AL78" i="257"/>
  <c r="AM78" i="257"/>
  <c r="AN78" i="257"/>
  <c r="AI79" i="257"/>
  <c r="AJ79" i="257"/>
  <c r="AK79" i="257"/>
  <c r="AL79" i="257"/>
  <c r="AM79" i="257"/>
  <c r="AN79" i="257"/>
  <c r="AI80" i="257"/>
  <c r="AJ80" i="257"/>
  <c r="AK80" i="257"/>
  <c r="AL80" i="257"/>
  <c r="AM80" i="257"/>
  <c r="AN80" i="257"/>
  <c r="AI81" i="257"/>
  <c r="AJ81" i="257"/>
  <c r="AK81" i="257"/>
  <c r="AL81" i="257"/>
  <c r="AM81" i="257"/>
  <c r="AN81" i="257"/>
  <c r="AI82" i="257"/>
  <c r="AJ82" i="257"/>
  <c r="AK82" i="257"/>
  <c r="AL82" i="257"/>
  <c r="AM82" i="257"/>
  <c r="AN82" i="257"/>
  <c r="AN68" i="257"/>
  <c r="AM68" i="257"/>
  <c r="AL68" i="257"/>
  <c r="AJ68" i="257"/>
  <c r="AJ52" i="257"/>
  <c r="AL52" i="257"/>
  <c r="AM52" i="257"/>
  <c r="AN52" i="257"/>
  <c r="AJ53" i="257"/>
  <c r="AL53" i="257"/>
  <c r="AM53" i="257"/>
  <c r="AN53" i="257"/>
  <c r="AJ54" i="257"/>
  <c r="AL54" i="257"/>
  <c r="AM54" i="257"/>
  <c r="AN54" i="257"/>
  <c r="AJ55" i="257"/>
  <c r="AL55" i="257"/>
  <c r="AM55" i="257"/>
  <c r="AN55" i="257"/>
  <c r="AJ56" i="257"/>
  <c r="AL56" i="257"/>
  <c r="AM56" i="257"/>
  <c r="AN56" i="257"/>
  <c r="AJ57" i="257"/>
  <c r="AL57" i="257"/>
  <c r="AM57" i="257"/>
  <c r="AN57" i="257"/>
  <c r="AJ58" i="257"/>
  <c r="AL58" i="257"/>
  <c r="AM58" i="257"/>
  <c r="AN58" i="257"/>
  <c r="AJ59" i="257"/>
  <c r="AL59" i="257"/>
  <c r="AM59" i="257"/>
  <c r="AN59" i="257"/>
  <c r="AJ60" i="257"/>
  <c r="AL60" i="257"/>
  <c r="AM60" i="257"/>
  <c r="AN60" i="257"/>
  <c r="AI61" i="257"/>
  <c r="AJ61" i="257"/>
  <c r="AK61" i="257"/>
  <c r="AL61" i="257"/>
  <c r="AM61" i="257"/>
  <c r="AN61" i="257"/>
  <c r="AI62" i="257"/>
  <c r="AJ62" i="257"/>
  <c r="AK62" i="257"/>
  <c r="AL62" i="257"/>
  <c r="AM62" i="257"/>
  <c r="AN62" i="257"/>
  <c r="AI63" i="257"/>
  <c r="AJ63" i="257"/>
  <c r="AK63" i="257"/>
  <c r="AL63" i="257"/>
  <c r="AM63" i="257"/>
  <c r="AN63" i="257"/>
  <c r="AI64" i="257"/>
  <c r="AJ64" i="257"/>
  <c r="AK64" i="257"/>
  <c r="AL64" i="257"/>
  <c r="AM64" i="257"/>
  <c r="AN64" i="257"/>
  <c r="AI65" i="257"/>
  <c r="AJ65" i="257"/>
  <c r="AK65" i="257"/>
  <c r="AL65" i="257"/>
  <c r="AM65" i="257"/>
  <c r="AN65" i="257"/>
  <c r="AN51" i="257"/>
  <c r="AM51" i="257"/>
  <c r="AL51" i="257"/>
  <c r="AJ51" i="257"/>
  <c r="BX30" i="176" a="1"/>
  <c r="BX30" i="176" s="1"/>
  <c r="BH20" i="159" a="1"/>
  <c r="BH20" i="159" s="1"/>
  <c r="BI20" i="159" a="1"/>
  <c r="BI20" i="159" s="1"/>
  <c r="BH22" i="159" a="1"/>
  <c r="BH22" i="159" s="1"/>
  <c r="BI22" i="159" a="1"/>
  <c r="BI22" i="159" s="1"/>
  <c r="BH24" i="159" a="1"/>
  <c r="BH24" i="159" s="1"/>
  <c r="BI24" i="159" a="1"/>
  <c r="BI24" i="159" s="1"/>
  <c r="BH26" i="159" a="1"/>
  <c r="BH26" i="159" s="1"/>
  <c r="BI26" i="159" a="1"/>
  <c r="BI26" i="159" s="1"/>
  <c r="BH28" i="159" a="1"/>
  <c r="BH28" i="159" s="1"/>
  <c r="BI28" i="159" a="1"/>
  <c r="BI28" i="159" s="1"/>
  <c r="BH30" i="159" a="1"/>
  <c r="BH30" i="159" s="1"/>
  <c r="BI30" i="159" a="1"/>
  <c r="BI30" i="159" s="1"/>
  <c r="BH32" i="159" a="1"/>
  <c r="BH32" i="159" s="1"/>
  <c r="BI32" i="159" a="1"/>
  <c r="BI32" i="159" s="1"/>
  <c r="BH34" i="159" a="1"/>
  <c r="BH34" i="159" s="1"/>
  <c r="BI34" i="159" a="1"/>
  <c r="BI34" i="159" s="1"/>
  <c r="BH36" i="159" a="1"/>
  <c r="BH36" i="159" s="1"/>
  <c r="BI36" i="159" a="1"/>
  <c r="BI36" i="159" s="1"/>
  <c r="BI18" i="159" a="1"/>
  <c r="BI18" i="159" s="1"/>
  <c r="BH18" i="159" a="1"/>
  <c r="BH18" i="159" s="1"/>
  <c r="AZ12" i="158" a="1"/>
  <c r="AZ12" i="158" s="1"/>
  <c r="AZ11" i="158" a="1"/>
  <c r="AZ11" i="158" s="1"/>
  <c r="AM18" i="158" a="1"/>
  <c r="AM18" i="158" s="1"/>
  <c r="Y20" i="147" l="1"/>
  <c r="Q17" i="148"/>
  <c r="AZ20" i="160" l="1"/>
  <c r="AZ22" i="160"/>
  <c r="AZ24" i="160"/>
  <c r="AZ26" i="160"/>
  <c r="AZ28" i="160"/>
  <c r="AZ30" i="160"/>
  <c r="AZ32" i="160"/>
  <c r="AZ34" i="160"/>
  <c r="AZ36" i="160"/>
  <c r="AZ18" i="160"/>
  <c r="AY20" i="160"/>
  <c r="AY22" i="160"/>
  <c r="AY24" i="160"/>
  <c r="AY26" i="160"/>
  <c r="AY28" i="160"/>
  <c r="AY30" i="160"/>
  <c r="AY32" i="160"/>
  <c r="AY34" i="160"/>
  <c r="AY36" i="160"/>
  <c r="AY18" i="160"/>
  <c r="M260" i="257" l="1"/>
  <c r="M261" i="257"/>
  <c r="M262" i="257"/>
  <c r="M263" i="257"/>
  <c r="M264" i="257"/>
  <c r="M265" i="257"/>
  <c r="M266" i="257"/>
  <c r="M267" i="257"/>
  <c r="M268" i="257"/>
  <c r="M269" i="257"/>
  <c r="M270" i="257"/>
  <c r="M271" i="257"/>
  <c r="M272" i="257"/>
  <c r="M273" i="257"/>
  <c r="M274" i="257"/>
  <c r="M275" i="257"/>
  <c r="M276" i="257"/>
  <c r="M277" i="257"/>
  <c r="M278" i="257"/>
  <c r="M279" i="257"/>
  <c r="M280" i="257"/>
  <c r="M281" i="257"/>
  <c r="M282" i="257"/>
  <c r="M283" i="257"/>
  <c r="M284" i="257"/>
  <c r="M285" i="257"/>
  <c r="M286" i="257"/>
  <c r="M287" i="257"/>
  <c r="M288" i="257"/>
  <c r="M259" i="257"/>
  <c r="M117" i="257"/>
  <c r="M118" i="257"/>
  <c r="M119" i="257"/>
  <c r="M120" i="257"/>
  <c r="M121" i="257"/>
  <c r="M122" i="257"/>
  <c r="M123" i="257"/>
  <c r="M124" i="257"/>
  <c r="M125" i="257"/>
  <c r="M126" i="257"/>
  <c r="M127" i="257"/>
  <c r="M128" i="257"/>
  <c r="M129" i="257"/>
  <c r="M130" i="257"/>
  <c r="M131" i="257"/>
  <c r="M132" i="257"/>
  <c r="M133" i="257"/>
  <c r="M134" i="257"/>
  <c r="M135" i="257"/>
  <c r="M136" i="257"/>
  <c r="M137" i="257"/>
  <c r="M138" i="257"/>
  <c r="M139" i="257"/>
  <c r="M140" i="257"/>
  <c r="M141" i="257"/>
  <c r="M142" i="257"/>
  <c r="M143" i="257"/>
  <c r="M144" i="257"/>
  <c r="M145" i="257"/>
  <c r="M116" i="257"/>
  <c r="M101" i="257"/>
  <c r="M102" i="257"/>
  <c r="M103" i="257"/>
  <c r="M104" i="257"/>
  <c r="M105" i="257"/>
  <c r="M106" i="257"/>
  <c r="M107" i="257"/>
  <c r="M108" i="257"/>
  <c r="M109" i="257"/>
  <c r="M110" i="257"/>
  <c r="M111" i="257"/>
  <c r="M112" i="257"/>
  <c r="M113" i="257"/>
  <c r="M114" i="257"/>
  <c r="M100" i="257"/>
  <c r="M85" i="257"/>
  <c r="M86" i="257"/>
  <c r="M87" i="257"/>
  <c r="M88" i="257"/>
  <c r="M89" i="257"/>
  <c r="M90" i="257"/>
  <c r="M91" i="257"/>
  <c r="M92" i="257"/>
  <c r="M93" i="257"/>
  <c r="M94" i="257"/>
  <c r="M95" i="257"/>
  <c r="M96" i="257"/>
  <c r="M97" i="257"/>
  <c r="M98" i="257"/>
  <c r="M84" i="257"/>
  <c r="M69" i="257"/>
  <c r="M70" i="257"/>
  <c r="M71" i="257"/>
  <c r="M72" i="257"/>
  <c r="M73" i="257"/>
  <c r="M74" i="257"/>
  <c r="M75" i="257"/>
  <c r="M76" i="257"/>
  <c r="M77" i="257"/>
  <c r="M78" i="257"/>
  <c r="M79" i="257"/>
  <c r="M80" i="257"/>
  <c r="M81" i="257"/>
  <c r="M82" i="257"/>
  <c r="M68" i="257"/>
  <c r="M52" i="257"/>
  <c r="M53" i="257"/>
  <c r="M54" i="257"/>
  <c r="M55" i="257"/>
  <c r="M56" i="257"/>
  <c r="M57" i="257"/>
  <c r="M58" i="257"/>
  <c r="M59" i="257"/>
  <c r="M60" i="257"/>
  <c r="M61" i="257"/>
  <c r="M62" i="257"/>
  <c r="M63" i="257"/>
  <c r="M64" i="257"/>
  <c r="M65" i="257"/>
  <c r="M51" i="257"/>
  <c r="M36" i="257"/>
  <c r="M37" i="257"/>
  <c r="M38" i="257"/>
  <c r="M39" i="257"/>
  <c r="M40" i="257"/>
  <c r="M41" i="257"/>
  <c r="M42" i="257"/>
  <c r="M43" i="257"/>
  <c r="M44" i="257"/>
  <c r="M45" i="257"/>
  <c r="M46" i="257"/>
  <c r="M47" i="257"/>
  <c r="M48" i="257"/>
  <c r="M49" i="257"/>
  <c r="M35" i="257"/>
  <c r="M33" i="257"/>
  <c r="M5" i="257"/>
  <c r="M6" i="257"/>
  <c r="M7" i="257"/>
  <c r="M8" i="257"/>
  <c r="M9" i="257"/>
  <c r="M10" i="257"/>
  <c r="M11" i="257"/>
  <c r="M12" i="257"/>
  <c r="M13" i="257"/>
  <c r="M14" i="257"/>
  <c r="M15" i="257"/>
  <c r="M16" i="257"/>
  <c r="M17" i="257"/>
  <c r="M18" i="257"/>
  <c r="M19" i="257"/>
  <c r="M20" i="257"/>
  <c r="M21" i="257"/>
  <c r="M22" i="257"/>
  <c r="M23" i="257"/>
  <c r="M24" i="257"/>
  <c r="M25" i="257"/>
  <c r="M26" i="257"/>
  <c r="M27" i="257"/>
  <c r="M28" i="257"/>
  <c r="M29" i="257"/>
  <c r="M30" i="257"/>
  <c r="M31" i="257"/>
  <c r="M32" i="257"/>
  <c r="M4" i="257"/>
  <c r="L237" i="257"/>
  <c r="L238" i="257"/>
  <c r="L239" i="257"/>
  <c r="L240" i="257"/>
  <c r="L241" i="257"/>
  <c r="L221" i="257"/>
  <c r="L222" i="257"/>
  <c r="L223" i="257"/>
  <c r="L224" i="257"/>
  <c r="L225" i="257"/>
  <c r="L205" i="257"/>
  <c r="L206" i="257"/>
  <c r="L207" i="257"/>
  <c r="L208" i="257"/>
  <c r="L209" i="257"/>
  <c r="L189" i="257"/>
  <c r="L190" i="257"/>
  <c r="L191" i="257"/>
  <c r="L192" i="257"/>
  <c r="L193" i="257"/>
  <c r="L173" i="257"/>
  <c r="L174" i="257"/>
  <c r="L175" i="257"/>
  <c r="L176" i="257"/>
  <c r="L177" i="257"/>
  <c r="L157" i="257"/>
  <c r="L158" i="257"/>
  <c r="L159" i="257"/>
  <c r="L160" i="257"/>
  <c r="L161" i="257"/>
  <c r="L110" i="257"/>
  <c r="L111" i="257"/>
  <c r="L112" i="257"/>
  <c r="L113" i="257"/>
  <c r="L114" i="257"/>
  <c r="L94" i="257"/>
  <c r="L95" i="257"/>
  <c r="L96" i="257"/>
  <c r="L97" i="257"/>
  <c r="L98" i="257"/>
  <c r="L78" i="257"/>
  <c r="L79" i="257"/>
  <c r="L80" i="257"/>
  <c r="L81" i="257"/>
  <c r="L82" i="257"/>
  <c r="L61" i="257"/>
  <c r="L62" i="257"/>
  <c r="L63" i="257"/>
  <c r="L64" i="257"/>
  <c r="L65" i="257"/>
  <c r="L45" i="257"/>
  <c r="L46" i="257"/>
  <c r="L47" i="257"/>
  <c r="L48" i="257"/>
  <c r="L49" i="257"/>
  <c r="U157" i="257"/>
  <c r="U158" i="257"/>
  <c r="U159" i="257"/>
  <c r="U160" i="257"/>
  <c r="U161" i="257"/>
  <c r="U110" i="257"/>
  <c r="U111" i="257"/>
  <c r="U112" i="257"/>
  <c r="U113" i="257"/>
  <c r="U114" i="257"/>
  <c r="U94" i="257"/>
  <c r="U95" i="257"/>
  <c r="U96" i="257"/>
  <c r="U97" i="257"/>
  <c r="U98" i="257"/>
  <c r="U78" i="257"/>
  <c r="U79" i="257"/>
  <c r="U80" i="257"/>
  <c r="U81" i="257"/>
  <c r="U82" i="257"/>
  <c r="U61" i="257"/>
  <c r="U62" i="257"/>
  <c r="U63" i="257"/>
  <c r="U64" i="257"/>
  <c r="U65" i="257"/>
  <c r="U45" i="257"/>
  <c r="U46" i="257"/>
  <c r="U47" i="257"/>
  <c r="U48" i="257"/>
  <c r="U49" i="257"/>
  <c r="AY20" i="255"/>
  <c r="AZ20" i="255"/>
  <c r="AY22" i="255"/>
  <c r="AZ22" i="255"/>
  <c r="AY24" i="255"/>
  <c r="AZ24" i="255"/>
  <c r="AY26" i="255"/>
  <c r="AZ26" i="255"/>
  <c r="AY28" i="255"/>
  <c r="AZ28" i="255"/>
  <c r="AY30" i="255"/>
  <c r="AZ30" i="255"/>
  <c r="AY32" i="255"/>
  <c r="AZ32" i="255"/>
  <c r="AY34" i="255"/>
  <c r="AZ34" i="255"/>
  <c r="AY36" i="255"/>
  <c r="AZ36" i="255"/>
  <c r="AY38" i="255"/>
  <c r="AZ38" i="255"/>
  <c r="AY40" i="255"/>
  <c r="AZ40" i="255"/>
  <c r="AY42" i="255"/>
  <c r="AZ42" i="255"/>
  <c r="AY44" i="255"/>
  <c r="AZ44" i="255"/>
  <c r="AY46" i="255"/>
  <c r="AZ46" i="255"/>
  <c r="AY48" i="255"/>
  <c r="AZ48" i="255"/>
  <c r="AY50" i="255"/>
  <c r="AZ50" i="255"/>
  <c r="AY52" i="255"/>
  <c r="AZ52" i="255"/>
  <c r="AY54" i="255"/>
  <c r="AZ54" i="255"/>
  <c r="AY56" i="255"/>
  <c r="AZ56" i="255"/>
  <c r="AY58" i="255"/>
  <c r="AZ58" i="255"/>
  <c r="AY60" i="255"/>
  <c r="AZ60" i="255"/>
  <c r="AY62" i="255"/>
  <c r="AZ62" i="255"/>
  <c r="AY64" i="255"/>
  <c r="AZ64" i="255"/>
  <c r="AY66" i="255"/>
  <c r="AZ66" i="255"/>
  <c r="AY68" i="255"/>
  <c r="AZ68" i="255"/>
  <c r="AY70" i="255"/>
  <c r="AZ70" i="255"/>
  <c r="AY72" i="255"/>
  <c r="AZ72" i="255"/>
  <c r="AY74" i="255"/>
  <c r="AZ74" i="255"/>
  <c r="AY76" i="255"/>
  <c r="AZ76" i="255"/>
  <c r="AZ18" i="255"/>
  <c r="AY18" i="255"/>
  <c r="T157" i="257"/>
  <c r="T158" i="257"/>
  <c r="T159" i="257"/>
  <c r="T160" i="257"/>
  <c r="T161" i="257"/>
  <c r="T110" i="257"/>
  <c r="T111" i="257"/>
  <c r="T112" i="257"/>
  <c r="T113" i="257"/>
  <c r="T114" i="257"/>
  <c r="T94" i="257"/>
  <c r="T95" i="257"/>
  <c r="T96" i="257"/>
  <c r="T97" i="257"/>
  <c r="T98" i="257"/>
  <c r="T78" i="257"/>
  <c r="T79" i="257"/>
  <c r="T80" i="257"/>
  <c r="T81" i="257"/>
  <c r="T82" i="257"/>
  <c r="T61" i="257"/>
  <c r="T62" i="257"/>
  <c r="T63" i="257"/>
  <c r="T64" i="257"/>
  <c r="T65" i="257"/>
  <c r="T45" i="257"/>
  <c r="T46" i="257"/>
  <c r="T47" i="257"/>
  <c r="T48" i="257"/>
  <c r="T49" i="257"/>
  <c r="AY20" i="168"/>
  <c r="T148" i="257" s="1"/>
  <c r="AZ20" i="168"/>
  <c r="U148" i="257" s="1"/>
  <c r="AY22" i="168"/>
  <c r="T149" i="257" s="1"/>
  <c r="AZ22" i="168"/>
  <c r="U149" i="257" s="1"/>
  <c r="AY24" i="168"/>
  <c r="T150" i="257" s="1"/>
  <c r="AZ24" i="168"/>
  <c r="U150" i="257" s="1"/>
  <c r="AY26" i="168"/>
  <c r="T151" i="257" s="1"/>
  <c r="AZ26" i="168"/>
  <c r="U151" i="257" s="1"/>
  <c r="AY28" i="168"/>
  <c r="T152" i="257" s="1"/>
  <c r="AZ28" i="168"/>
  <c r="U152" i="257" s="1"/>
  <c r="AY30" i="168"/>
  <c r="T153" i="257" s="1"/>
  <c r="AZ30" i="168"/>
  <c r="U153" i="257" s="1"/>
  <c r="AY32" i="168"/>
  <c r="T154" i="257" s="1"/>
  <c r="AZ32" i="168"/>
  <c r="U154" i="257" s="1"/>
  <c r="AY34" i="168"/>
  <c r="T155" i="257" s="1"/>
  <c r="AZ34" i="168"/>
  <c r="U155" i="257" s="1"/>
  <c r="AY36" i="168"/>
  <c r="T156" i="257" s="1"/>
  <c r="AZ36" i="168"/>
  <c r="U156" i="257" s="1"/>
  <c r="AY18" i="168"/>
  <c r="T147" i="257" s="1"/>
  <c r="AZ18" i="168"/>
  <c r="U147" i="257" s="1"/>
  <c r="AY20" i="167"/>
  <c r="T117" i="257" s="1"/>
  <c r="AZ20" i="167"/>
  <c r="U117" i="257" s="1"/>
  <c r="AY22" i="167"/>
  <c r="T118" i="257" s="1"/>
  <c r="AZ22" i="167"/>
  <c r="U118" i="257" s="1"/>
  <c r="AY24" i="167"/>
  <c r="T119" i="257" s="1"/>
  <c r="AZ24" i="167"/>
  <c r="U119" i="257" s="1"/>
  <c r="AY26" i="167"/>
  <c r="T120" i="257" s="1"/>
  <c r="AZ26" i="167"/>
  <c r="U120" i="257" s="1"/>
  <c r="AY28" i="167"/>
  <c r="T121" i="257" s="1"/>
  <c r="AZ28" i="167"/>
  <c r="U121" i="257" s="1"/>
  <c r="AY30" i="167"/>
  <c r="T122" i="257" s="1"/>
  <c r="AZ30" i="167"/>
  <c r="U122" i="257" s="1"/>
  <c r="AY32" i="167"/>
  <c r="T123" i="257" s="1"/>
  <c r="AZ32" i="167"/>
  <c r="U123" i="257" s="1"/>
  <c r="AY34" i="167"/>
  <c r="T124" i="257" s="1"/>
  <c r="AZ34" i="167"/>
  <c r="U124" i="257" s="1"/>
  <c r="AY36" i="167"/>
  <c r="T125" i="257" s="1"/>
  <c r="AZ36" i="167"/>
  <c r="U125" i="257" s="1"/>
  <c r="AY38" i="167"/>
  <c r="T126" i="257" s="1"/>
  <c r="AZ38" i="167"/>
  <c r="U126" i="257" s="1"/>
  <c r="AY40" i="167"/>
  <c r="T127" i="257" s="1"/>
  <c r="AZ40" i="167"/>
  <c r="U127" i="257" s="1"/>
  <c r="AY42" i="167"/>
  <c r="T128" i="257" s="1"/>
  <c r="AZ42" i="167"/>
  <c r="U128" i="257" s="1"/>
  <c r="AY44" i="167"/>
  <c r="T129" i="257" s="1"/>
  <c r="AZ44" i="167"/>
  <c r="U129" i="257" s="1"/>
  <c r="AY46" i="167"/>
  <c r="T130" i="257" s="1"/>
  <c r="AZ46" i="167"/>
  <c r="U130" i="257" s="1"/>
  <c r="AY48" i="167"/>
  <c r="T131" i="257" s="1"/>
  <c r="AZ48" i="167"/>
  <c r="U131" i="257" s="1"/>
  <c r="AY50" i="167"/>
  <c r="T132" i="257" s="1"/>
  <c r="AZ50" i="167"/>
  <c r="U132" i="257" s="1"/>
  <c r="AY52" i="167"/>
  <c r="T133" i="257" s="1"/>
  <c r="AZ52" i="167"/>
  <c r="U133" i="257" s="1"/>
  <c r="AY54" i="167"/>
  <c r="T134" i="257" s="1"/>
  <c r="AZ54" i="167"/>
  <c r="U134" i="257" s="1"/>
  <c r="AY56" i="167"/>
  <c r="T135" i="257" s="1"/>
  <c r="AZ56" i="167"/>
  <c r="U135" i="257" s="1"/>
  <c r="AY58" i="167"/>
  <c r="T136" i="257" s="1"/>
  <c r="AZ58" i="167"/>
  <c r="U136" i="257" s="1"/>
  <c r="AY60" i="167"/>
  <c r="T137" i="257" s="1"/>
  <c r="AZ60" i="167"/>
  <c r="U137" i="257" s="1"/>
  <c r="AY62" i="167"/>
  <c r="T138" i="257" s="1"/>
  <c r="AZ62" i="167"/>
  <c r="U138" i="257" s="1"/>
  <c r="AY64" i="167"/>
  <c r="T139" i="257" s="1"/>
  <c r="AZ64" i="167"/>
  <c r="U139" i="257" s="1"/>
  <c r="AY66" i="167"/>
  <c r="T140" i="257" s="1"/>
  <c r="AZ66" i="167"/>
  <c r="U140" i="257" s="1"/>
  <c r="AY68" i="167"/>
  <c r="T141" i="257" s="1"/>
  <c r="AZ68" i="167"/>
  <c r="U141" i="257" s="1"/>
  <c r="AY70" i="167"/>
  <c r="T142" i="257" s="1"/>
  <c r="AZ70" i="167"/>
  <c r="U142" i="257" s="1"/>
  <c r="AY72" i="167"/>
  <c r="T143" i="257" s="1"/>
  <c r="AZ72" i="167"/>
  <c r="U143" i="257" s="1"/>
  <c r="AY74" i="167"/>
  <c r="T144" i="257" s="1"/>
  <c r="AZ74" i="167"/>
  <c r="U144" i="257" s="1"/>
  <c r="AY76" i="167"/>
  <c r="T145" i="257" s="1"/>
  <c r="AZ76" i="167"/>
  <c r="U145" i="257" s="1"/>
  <c r="AZ18" i="167"/>
  <c r="U116" i="257" s="1"/>
  <c r="AY18" i="167"/>
  <c r="T116" i="257" s="1"/>
  <c r="AY20" i="163"/>
  <c r="T85" i="257" s="1"/>
  <c r="AZ20" i="163"/>
  <c r="U85" i="257" s="1"/>
  <c r="AY22" i="163"/>
  <c r="T86" i="257" s="1"/>
  <c r="AZ22" i="163"/>
  <c r="U86" i="257" s="1"/>
  <c r="AY24" i="163"/>
  <c r="T87" i="257" s="1"/>
  <c r="AZ24" i="163"/>
  <c r="U87" i="257" s="1"/>
  <c r="AY26" i="163"/>
  <c r="T88" i="257" s="1"/>
  <c r="AZ26" i="163"/>
  <c r="U88" i="257" s="1"/>
  <c r="AY28" i="163"/>
  <c r="T89" i="257" s="1"/>
  <c r="AZ28" i="163"/>
  <c r="U89" i="257" s="1"/>
  <c r="AY30" i="163"/>
  <c r="T90" i="257" s="1"/>
  <c r="AZ30" i="163"/>
  <c r="U90" i="257" s="1"/>
  <c r="AY32" i="163"/>
  <c r="T91" i="257" s="1"/>
  <c r="AZ32" i="163"/>
  <c r="U91" i="257" s="1"/>
  <c r="AY34" i="163"/>
  <c r="T92" i="257" s="1"/>
  <c r="AZ34" i="163"/>
  <c r="U92" i="257" s="1"/>
  <c r="AY36" i="163"/>
  <c r="T93" i="257" s="1"/>
  <c r="AZ36" i="163"/>
  <c r="U93" i="257" s="1"/>
  <c r="AZ18" i="163"/>
  <c r="U84" i="257" s="1"/>
  <c r="AY18" i="163"/>
  <c r="T84" i="257" s="1"/>
  <c r="AY20" i="162"/>
  <c r="T69" i="257" s="1"/>
  <c r="AZ20" i="162"/>
  <c r="U69" i="257" s="1"/>
  <c r="AY22" i="162"/>
  <c r="T70" i="257" s="1"/>
  <c r="AZ22" i="162"/>
  <c r="U70" i="257" s="1"/>
  <c r="AY24" i="162"/>
  <c r="T71" i="257" s="1"/>
  <c r="AZ24" i="162"/>
  <c r="U71" i="257" s="1"/>
  <c r="AY26" i="162"/>
  <c r="T72" i="257" s="1"/>
  <c r="AZ26" i="162"/>
  <c r="U72" i="257" s="1"/>
  <c r="AY28" i="162"/>
  <c r="T73" i="257" s="1"/>
  <c r="AZ28" i="162"/>
  <c r="U73" i="257" s="1"/>
  <c r="AY30" i="162"/>
  <c r="T74" i="257" s="1"/>
  <c r="AZ30" i="162"/>
  <c r="U74" i="257" s="1"/>
  <c r="AY32" i="162"/>
  <c r="T75" i="257" s="1"/>
  <c r="AZ32" i="162"/>
  <c r="U75" i="257" s="1"/>
  <c r="AY34" i="162"/>
  <c r="T76" i="257" s="1"/>
  <c r="AZ34" i="162"/>
  <c r="U76" i="257" s="1"/>
  <c r="AY36" i="162"/>
  <c r="T77" i="257" s="1"/>
  <c r="AZ36" i="162"/>
  <c r="U77" i="257" s="1"/>
  <c r="AZ18" i="162"/>
  <c r="U68" i="257" s="1"/>
  <c r="AY18" i="162"/>
  <c r="T68" i="257" s="1"/>
  <c r="AY20" i="182"/>
  <c r="T101" i="257" s="1"/>
  <c r="AZ20" i="182"/>
  <c r="U101" i="257" s="1"/>
  <c r="AY22" i="182"/>
  <c r="T102" i="257" s="1"/>
  <c r="AZ22" i="182"/>
  <c r="U102" i="257" s="1"/>
  <c r="AY24" i="182"/>
  <c r="T103" i="257" s="1"/>
  <c r="AZ24" i="182"/>
  <c r="U103" i="257" s="1"/>
  <c r="AY26" i="182"/>
  <c r="T104" i="257" s="1"/>
  <c r="AZ26" i="182"/>
  <c r="U104" i="257" s="1"/>
  <c r="AY28" i="182"/>
  <c r="T105" i="257" s="1"/>
  <c r="AZ28" i="182"/>
  <c r="U105" i="257" s="1"/>
  <c r="AY30" i="182"/>
  <c r="T106" i="257" s="1"/>
  <c r="AZ30" i="182"/>
  <c r="U106" i="257" s="1"/>
  <c r="AY32" i="182"/>
  <c r="T107" i="257" s="1"/>
  <c r="AZ32" i="182"/>
  <c r="U107" i="257" s="1"/>
  <c r="AY34" i="182"/>
  <c r="T108" i="257" s="1"/>
  <c r="AZ34" i="182"/>
  <c r="U108" i="257" s="1"/>
  <c r="AY36" i="182"/>
  <c r="T109" i="257" s="1"/>
  <c r="AZ36" i="182"/>
  <c r="U109" i="257" s="1"/>
  <c r="AZ18" i="182"/>
  <c r="U100" i="257" s="1"/>
  <c r="AY18" i="182"/>
  <c r="T100" i="257" s="1"/>
  <c r="T52" i="257"/>
  <c r="U52" i="257"/>
  <c r="T53" i="257"/>
  <c r="U53" i="257"/>
  <c r="T54" i="257"/>
  <c r="U54" i="257"/>
  <c r="T55" i="257"/>
  <c r="U55" i="257"/>
  <c r="T56" i="257"/>
  <c r="U56" i="257"/>
  <c r="T57" i="257"/>
  <c r="U57" i="257"/>
  <c r="T58" i="257"/>
  <c r="U58" i="257"/>
  <c r="T59" i="257"/>
  <c r="U59" i="257"/>
  <c r="T60" i="257"/>
  <c r="U60" i="257"/>
  <c r="U51" i="257"/>
  <c r="T51" i="257"/>
  <c r="AY20" i="159"/>
  <c r="T36" i="257" s="1"/>
  <c r="AZ20" i="159"/>
  <c r="U36" i="257" s="1"/>
  <c r="AY22" i="159"/>
  <c r="T37" i="257" s="1"/>
  <c r="AZ22" i="159"/>
  <c r="U37" i="257" s="1"/>
  <c r="AY24" i="159"/>
  <c r="T38" i="257" s="1"/>
  <c r="AZ24" i="159"/>
  <c r="U38" i="257" s="1"/>
  <c r="AY26" i="159"/>
  <c r="T39" i="257" s="1"/>
  <c r="AZ26" i="159"/>
  <c r="U39" i="257" s="1"/>
  <c r="AY28" i="159"/>
  <c r="T40" i="257" s="1"/>
  <c r="AZ28" i="159"/>
  <c r="U40" i="257" s="1"/>
  <c r="AY30" i="159"/>
  <c r="T41" i="257" s="1"/>
  <c r="AZ30" i="159"/>
  <c r="U41" i="257" s="1"/>
  <c r="AY32" i="159"/>
  <c r="T42" i="257" s="1"/>
  <c r="AZ32" i="159"/>
  <c r="U42" i="257" s="1"/>
  <c r="AY34" i="159"/>
  <c r="T43" i="257" s="1"/>
  <c r="AZ34" i="159"/>
  <c r="U43" i="257" s="1"/>
  <c r="AY36" i="159"/>
  <c r="T44" i="257" s="1"/>
  <c r="AZ36" i="159"/>
  <c r="U44" i="257" s="1"/>
  <c r="AZ18" i="159"/>
  <c r="U35" i="257" s="1"/>
  <c r="AY18" i="159"/>
  <c r="T35" i="257" s="1"/>
  <c r="AY20" i="158"/>
  <c r="T5" i="257" s="1"/>
  <c r="AZ20" i="158"/>
  <c r="U5" i="257" s="1"/>
  <c r="AY22" i="158"/>
  <c r="T6" i="257" s="1"/>
  <c r="AZ22" i="158"/>
  <c r="U6" i="257" s="1"/>
  <c r="AY24" i="158"/>
  <c r="T7" i="257" s="1"/>
  <c r="AZ24" i="158"/>
  <c r="U7" i="257" s="1"/>
  <c r="AY26" i="158"/>
  <c r="T8" i="257" s="1"/>
  <c r="AZ26" i="158"/>
  <c r="U8" i="257" s="1"/>
  <c r="AY28" i="158"/>
  <c r="T9" i="257" s="1"/>
  <c r="AZ28" i="158"/>
  <c r="U9" i="257" s="1"/>
  <c r="AY30" i="158"/>
  <c r="T10" i="257" s="1"/>
  <c r="AZ30" i="158"/>
  <c r="U10" i="257" s="1"/>
  <c r="AY32" i="158"/>
  <c r="T11" i="257" s="1"/>
  <c r="AZ32" i="158"/>
  <c r="U11" i="257" s="1"/>
  <c r="AY34" i="158"/>
  <c r="T12" i="257" s="1"/>
  <c r="AZ34" i="158"/>
  <c r="U12" i="257" s="1"/>
  <c r="AY36" i="158"/>
  <c r="T13" i="257" s="1"/>
  <c r="AZ36" i="158"/>
  <c r="U13" i="257" s="1"/>
  <c r="AY38" i="158"/>
  <c r="T14" i="257" s="1"/>
  <c r="AZ38" i="158"/>
  <c r="U14" i="257" s="1"/>
  <c r="AY40" i="158"/>
  <c r="T15" i="257" s="1"/>
  <c r="AZ40" i="158"/>
  <c r="U15" i="257" s="1"/>
  <c r="AY42" i="158"/>
  <c r="T16" i="257" s="1"/>
  <c r="AZ42" i="158"/>
  <c r="U16" i="257" s="1"/>
  <c r="AY44" i="158"/>
  <c r="T17" i="257" s="1"/>
  <c r="AZ44" i="158"/>
  <c r="U17" i="257" s="1"/>
  <c r="AY46" i="158"/>
  <c r="T18" i="257" s="1"/>
  <c r="AZ46" i="158"/>
  <c r="U18" i="257" s="1"/>
  <c r="AY48" i="158"/>
  <c r="T19" i="257" s="1"/>
  <c r="AZ48" i="158"/>
  <c r="U19" i="257" s="1"/>
  <c r="AY50" i="158"/>
  <c r="T20" i="257" s="1"/>
  <c r="AZ50" i="158"/>
  <c r="U20" i="257" s="1"/>
  <c r="AY52" i="158"/>
  <c r="T21" i="257" s="1"/>
  <c r="AZ52" i="158"/>
  <c r="U21" i="257" s="1"/>
  <c r="AY54" i="158"/>
  <c r="T22" i="257" s="1"/>
  <c r="AZ54" i="158"/>
  <c r="U22" i="257" s="1"/>
  <c r="AY56" i="158"/>
  <c r="T23" i="257" s="1"/>
  <c r="AZ56" i="158"/>
  <c r="U23" i="257" s="1"/>
  <c r="AY58" i="158"/>
  <c r="T24" i="257" s="1"/>
  <c r="AZ58" i="158"/>
  <c r="U24" i="257" s="1"/>
  <c r="AY60" i="158"/>
  <c r="T25" i="257" s="1"/>
  <c r="AZ60" i="158"/>
  <c r="U25" i="257" s="1"/>
  <c r="AY62" i="158"/>
  <c r="T26" i="257" s="1"/>
  <c r="AZ62" i="158"/>
  <c r="U26" i="257" s="1"/>
  <c r="AY64" i="158"/>
  <c r="T27" i="257" s="1"/>
  <c r="AZ64" i="158"/>
  <c r="U27" i="257" s="1"/>
  <c r="AY66" i="158"/>
  <c r="T28" i="257" s="1"/>
  <c r="AZ66" i="158"/>
  <c r="U28" i="257" s="1"/>
  <c r="AY68" i="158"/>
  <c r="T29" i="257" s="1"/>
  <c r="AZ68" i="158"/>
  <c r="U29" i="257" s="1"/>
  <c r="AY70" i="158"/>
  <c r="T30" i="257" s="1"/>
  <c r="AZ70" i="158"/>
  <c r="U30" i="257" s="1"/>
  <c r="AY72" i="158"/>
  <c r="T31" i="257" s="1"/>
  <c r="AZ72" i="158"/>
  <c r="U31" i="257" s="1"/>
  <c r="AY74" i="158"/>
  <c r="T32" i="257" s="1"/>
  <c r="AZ74" i="158"/>
  <c r="U32" i="257" s="1"/>
  <c r="AY76" i="158"/>
  <c r="T33" i="257" s="1"/>
  <c r="AZ76" i="158"/>
  <c r="U33" i="257" s="1"/>
  <c r="AZ18" i="158"/>
  <c r="U4" i="257" s="1"/>
  <c r="AY18" i="158"/>
  <c r="T4" i="257" s="1"/>
  <c r="BM20" i="182" l="1"/>
  <c r="BM22" i="182"/>
  <c r="BM24" i="182"/>
  <c r="BM26" i="182"/>
  <c r="BM28" i="182"/>
  <c r="BM30" i="182"/>
  <c r="BM32" i="182"/>
  <c r="BM34" i="182"/>
  <c r="BM36" i="182"/>
  <c r="BM18" i="182"/>
  <c r="BM20" i="163"/>
  <c r="BM22" i="163"/>
  <c r="BM24" i="163"/>
  <c r="BM26" i="163"/>
  <c r="BM28" i="163"/>
  <c r="BM30" i="163"/>
  <c r="BM32" i="163"/>
  <c r="BM34" i="163"/>
  <c r="BM36" i="163"/>
  <c r="BM18" i="163"/>
  <c r="BM20" i="162"/>
  <c r="BM22" i="162"/>
  <c r="BM24" i="162"/>
  <c r="BM26" i="162"/>
  <c r="BM28" i="162"/>
  <c r="BM30" i="162"/>
  <c r="BM32" i="162"/>
  <c r="BM34" i="162"/>
  <c r="BM36" i="162"/>
  <c r="BM18" i="162"/>
  <c r="BM20" i="160"/>
  <c r="BM22" i="160"/>
  <c r="BM24" i="160"/>
  <c r="BM26" i="160"/>
  <c r="BM28" i="160"/>
  <c r="BM30" i="160"/>
  <c r="BM32" i="160"/>
  <c r="BM34" i="160"/>
  <c r="BM36" i="160"/>
  <c r="BM18" i="160"/>
  <c r="BM20" i="159"/>
  <c r="BM22" i="159"/>
  <c r="BM24" i="159"/>
  <c r="BM26" i="159"/>
  <c r="BM28" i="159"/>
  <c r="BM30" i="159"/>
  <c r="BM32" i="159"/>
  <c r="BM34" i="159"/>
  <c r="BM36" i="159"/>
  <c r="BM18" i="159"/>
  <c r="BM20" i="158"/>
  <c r="AG5" i="257" s="1"/>
  <c r="BM22" i="158"/>
  <c r="AG6" i="257" s="1"/>
  <c r="BM24" i="158"/>
  <c r="AG7" i="257" s="1"/>
  <c r="BM26" i="158"/>
  <c r="AG8" i="257" s="1"/>
  <c r="BM28" i="158"/>
  <c r="AG9" i="257" s="1"/>
  <c r="BM30" i="158"/>
  <c r="AG10" i="257" s="1"/>
  <c r="BM32" i="158"/>
  <c r="AG11" i="257" s="1"/>
  <c r="BM34" i="158"/>
  <c r="AG12" i="257" s="1"/>
  <c r="BM36" i="158"/>
  <c r="AG13" i="257" s="1"/>
  <c r="BM38" i="158"/>
  <c r="AG14" i="257" s="1"/>
  <c r="BM40" i="158"/>
  <c r="AG15" i="257" s="1"/>
  <c r="BM42" i="158"/>
  <c r="AG16" i="257" s="1"/>
  <c r="BM44" i="158"/>
  <c r="AG17" i="257" s="1"/>
  <c r="BM46" i="158"/>
  <c r="AG18" i="257" s="1"/>
  <c r="BM48" i="158"/>
  <c r="AG19" i="257" s="1"/>
  <c r="BM50" i="158"/>
  <c r="AG20" i="257" s="1"/>
  <c r="BM52" i="158"/>
  <c r="AG21" i="257" s="1"/>
  <c r="BM54" i="158"/>
  <c r="AG22" i="257" s="1"/>
  <c r="BM56" i="158"/>
  <c r="AG23" i="257" s="1"/>
  <c r="BM58" i="158"/>
  <c r="AG24" i="257" s="1"/>
  <c r="BM60" i="158"/>
  <c r="AG25" i="257" s="1"/>
  <c r="BM62" i="158"/>
  <c r="AG26" i="257" s="1"/>
  <c r="BM64" i="158"/>
  <c r="AG27" i="257" s="1"/>
  <c r="BM66" i="158"/>
  <c r="AG28" i="257" s="1"/>
  <c r="BM68" i="158"/>
  <c r="AG29" i="257" s="1"/>
  <c r="BM70" i="158"/>
  <c r="AG30" i="257" s="1"/>
  <c r="BM72" i="158"/>
  <c r="AG31" i="257" s="1"/>
  <c r="BM74" i="158"/>
  <c r="AG32" i="257" s="1"/>
  <c r="BM76" i="158"/>
  <c r="AG33" i="257" s="1"/>
  <c r="BM18" i="158"/>
  <c r="AG4" i="257" s="1"/>
  <c r="BL18" i="256"/>
  <c r="BL20" i="255"/>
  <c r="BL22" i="255"/>
  <c r="BL24" i="255"/>
  <c r="BL26" i="255"/>
  <c r="BL28" i="255"/>
  <c r="BL30" i="255"/>
  <c r="BL32" i="255"/>
  <c r="BL34" i="255"/>
  <c r="BL36" i="255"/>
  <c r="BL38" i="255"/>
  <c r="BL40" i="255"/>
  <c r="BL42" i="255"/>
  <c r="BL44" i="255"/>
  <c r="BL46" i="255"/>
  <c r="BL48" i="255"/>
  <c r="BL50" i="255"/>
  <c r="BL52" i="255"/>
  <c r="BL54" i="255"/>
  <c r="BL56" i="255"/>
  <c r="BL58" i="255"/>
  <c r="BL60" i="255"/>
  <c r="BL62" i="255"/>
  <c r="BL64" i="255"/>
  <c r="BL66" i="255"/>
  <c r="BL68" i="255"/>
  <c r="BL70" i="255"/>
  <c r="BL72" i="255"/>
  <c r="BL74" i="255"/>
  <c r="BL76" i="255"/>
  <c r="BL18" i="255"/>
  <c r="BL20" i="168"/>
  <c r="BL22" i="168"/>
  <c r="BL24" i="168"/>
  <c r="BL26" i="168"/>
  <c r="BL28" i="168"/>
  <c r="BL30" i="168"/>
  <c r="BL32" i="168"/>
  <c r="BL34" i="168"/>
  <c r="BL36" i="168"/>
  <c r="BL30" i="176"/>
  <c r="BL18" i="168"/>
  <c r="BL20" i="167"/>
  <c r="BL22" i="167"/>
  <c r="BL24" i="167"/>
  <c r="BL26" i="167"/>
  <c r="BL28" i="167"/>
  <c r="BL30" i="167"/>
  <c r="BL32" i="167"/>
  <c r="BL34" i="167"/>
  <c r="BL36" i="167"/>
  <c r="BL38" i="167"/>
  <c r="BL40" i="167"/>
  <c r="BL42" i="167"/>
  <c r="BL44" i="167"/>
  <c r="BL46" i="167"/>
  <c r="BL48" i="167"/>
  <c r="BL50" i="167"/>
  <c r="BL52" i="167"/>
  <c r="BL54" i="167"/>
  <c r="BL56" i="167"/>
  <c r="BL58" i="167"/>
  <c r="BL60" i="167"/>
  <c r="BL62" i="167"/>
  <c r="BL64" i="167"/>
  <c r="BL66" i="167"/>
  <c r="BL68" i="167"/>
  <c r="BL70" i="167"/>
  <c r="BL72" i="167"/>
  <c r="BL74" i="167"/>
  <c r="BL76" i="167"/>
  <c r="BL18" i="167"/>
  <c r="BL20" i="163"/>
  <c r="BL22" i="163"/>
  <c r="BL24" i="163"/>
  <c r="BL26" i="163"/>
  <c r="BL28" i="163"/>
  <c r="BL30" i="163"/>
  <c r="BL32" i="163"/>
  <c r="BL34" i="163"/>
  <c r="BL36" i="163"/>
  <c r="BL20" i="162"/>
  <c r="BL22" i="162"/>
  <c r="BL24" i="162"/>
  <c r="BL26" i="162"/>
  <c r="BL28" i="162"/>
  <c r="BL30" i="162"/>
  <c r="BL32" i="162"/>
  <c r="BL34" i="162"/>
  <c r="BL36" i="162"/>
  <c r="BL18" i="163"/>
  <c r="BL18" i="162"/>
  <c r="BL20" i="182"/>
  <c r="BL22" i="182"/>
  <c r="BL24" i="182"/>
  <c r="BL26" i="182"/>
  <c r="BL28" i="182"/>
  <c r="BL30" i="182"/>
  <c r="BL32" i="182"/>
  <c r="BL34" i="182"/>
  <c r="BL36" i="182"/>
  <c r="BL18" i="182"/>
  <c r="BL20" i="161"/>
  <c r="BL22" i="161"/>
  <c r="BL24" i="161"/>
  <c r="BL26" i="161"/>
  <c r="BL28" i="161"/>
  <c r="BL30" i="161"/>
  <c r="BL32" i="161"/>
  <c r="BL34" i="161"/>
  <c r="BL36" i="161"/>
  <c r="BL38" i="161"/>
  <c r="BL40" i="161"/>
  <c r="BL42" i="161"/>
  <c r="BL44" i="161"/>
  <c r="BL46" i="161"/>
  <c r="BL48" i="161"/>
  <c r="BL50" i="161"/>
  <c r="BL52" i="161"/>
  <c r="BL54" i="161"/>
  <c r="BL56" i="161"/>
  <c r="BL58" i="161"/>
  <c r="BL60" i="161"/>
  <c r="BL62" i="161"/>
  <c r="BL64" i="161"/>
  <c r="BL66" i="161"/>
  <c r="BL68" i="161"/>
  <c r="BL70" i="161"/>
  <c r="BL72" i="161"/>
  <c r="BL74" i="161"/>
  <c r="BL76" i="161"/>
  <c r="BL78" i="161"/>
  <c r="BL80" i="161"/>
  <c r="BL82" i="161"/>
  <c r="BL84" i="161"/>
  <c r="BL86" i="161"/>
  <c r="BL18" i="161"/>
  <c r="BL20" i="160"/>
  <c r="BL22" i="160"/>
  <c r="BL24" i="160"/>
  <c r="BL26" i="160"/>
  <c r="BL28" i="160"/>
  <c r="BL30" i="160"/>
  <c r="BL32" i="160"/>
  <c r="BL34" i="160"/>
  <c r="BL36" i="160"/>
  <c r="BL20" i="159"/>
  <c r="BL22" i="159"/>
  <c r="BL24" i="159"/>
  <c r="BL26" i="159"/>
  <c r="BL28" i="159"/>
  <c r="BL30" i="159"/>
  <c r="BL32" i="159"/>
  <c r="BL34" i="159"/>
  <c r="BL36" i="159"/>
  <c r="BL18" i="160"/>
  <c r="BL18" i="159"/>
  <c r="BL20" i="158"/>
  <c r="BL22" i="158"/>
  <c r="BL24" i="158"/>
  <c r="BL26" i="158"/>
  <c r="BL28" i="158"/>
  <c r="BL30" i="158"/>
  <c r="BL32" i="158"/>
  <c r="BL34" i="158"/>
  <c r="BL36" i="158"/>
  <c r="BL38" i="158"/>
  <c r="BL40" i="158"/>
  <c r="BL42" i="158"/>
  <c r="BL44" i="158"/>
  <c r="BL46" i="158"/>
  <c r="BL48" i="158"/>
  <c r="BL50" i="158"/>
  <c r="BL52" i="158"/>
  <c r="BL54" i="158"/>
  <c r="BL56" i="158"/>
  <c r="BL58" i="158"/>
  <c r="BL60" i="158"/>
  <c r="BL62" i="158"/>
  <c r="BL64" i="158"/>
  <c r="BL66" i="158"/>
  <c r="BL68" i="158"/>
  <c r="BL70" i="158"/>
  <c r="BL72" i="158"/>
  <c r="BL74" i="158"/>
  <c r="BL76" i="158"/>
  <c r="BL18" i="158"/>
  <c r="AM86" i="256" a="1"/>
  <c r="AM86" i="256" s="1"/>
  <c r="AM84" i="256" a="1"/>
  <c r="AM84" i="256" s="1"/>
  <c r="AM82" i="256" a="1"/>
  <c r="AM82" i="256" s="1"/>
  <c r="AM80" i="256" a="1"/>
  <c r="AM80" i="256" s="1"/>
  <c r="AM78" i="256" a="1"/>
  <c r="AM78" i="256" s="1"/>
  <c r="AM76" i="256" a="1"/>
  <c r="AM76" i="256" s="1"/>
  <c r="AM74" i="256" a="1"/>
  <c r="AM74" i="256" s="1"/>
  <c r="AM72" i="256" a="1"/>
  <c r="AM72" i="256" s="1"/>
  <c r="AM70" i="256" a="1"/>
  <c r="AM70" i="256" s="1"/>
  <c r="AM68" i="256" a="1"/>
  <c r="AM68" i="256" s="1"/>
  <c r="AM66" i="256" a="1"/>
  <c r="AM66" i="256" s="1"/>
  <c r="AM64" i="256" a="1"/>
  <c r="AM64" i="256" s="1"/>
  <c r="AM62" i="256" a="1"/>
  <c r="AM62" i="256" s="1"/>
  <c r="AM60" i="256" a="1"/>
  <c r="AM60" i="256" s="1"/>
  <c r="AM58" i="256" a="1"/>
  <c r="AM58" i="256" s="1"/>
  <c r="AM56" i="256" a="1"/>
  <c r="AM56" i="256" s="1"/>
  <c r="AM54" i="256" a="1"/>
  <c r="AM54" i="256" s="1"/>
  <c r="AM52" i="256" a="1"/>
  <c r="AM52" i="256" s="1"/>
  <c r="AM50" i="256" a="1"/>
  <c r="AM50" i="256" s="1"/>
  <c r="AM48" i="256" a="1"/>
  <c r="AM48" i="256" s="1"/>
  <c r="AM46" i="256" a="1"/>
  <c r="AM46" i="256" s="1"/>
  <c r="AM44" i="256" a="1"/>
  <c r="AM44" i="256" s="1"/>
  <c r="AM42" i="256" a="1"/>
  <c r="AM42" i="256" s="1"/>
  <c r="AM40" i="256" a="1"/>
  <c r="AM40" i="256" s="1"/>
  <c r="AM38" i="256" a="1"/>
  <c r="AM38" i="256" s="1"/>
  <c r="AM36" i="256" a="1"/>
  <c r="AM36" i="256" s="1"/>
  <c r="AM34" i="256" a="1"/>
  <c r="AM34" i="256" s="1"/>
  <c r="AM32" i="256" a="1"/>
  <c r="AM32" i="256" s="1"/>
  <c r="AM30" i="256" a="1"/>
  <c r="AM30" i="256" s="1"/>
  <c r="AM28" i="256" a="1"/>
  <c r="AM28" i="256" s="1"/>
  <c r="AM26" i="256" a="1"/>
  <c r="AM26" i="256" s="1"/>
  <c r="AM24" i="256" a="1"/>
  <c r="AM24" i="256" s="1"/>
  <c r="AM22" i="256" a="1"/>
  <c r="AM22" i="256" s="1"/>
  <c r="AM20" i="256" a="1"/>
  <c r="AM20" i="256" s="1"/>
  <c r="AM18" i="256" a="1"/>
  <c r="AM18" i="256" s="1"/>
  <c r="AM76" i="255" a="1"/>
  <c r="AM76" i="255" s="1"/>
  <c r="AM74" i="255" a="1"/>
  <c r="AM74" i="255" s="1"/>
  <c r="AM72" i="255" a="1"/>
  <c r="AM72" i="255" s="1"/>
  <c r="AM70" i="255" a="1"/>
  <c r="AM70" i="255" s="1"/>
  <c r="AM68" i="255" a="1"/>
  <c r="AM68" i="255" s="1"/>
  <c r="AM66" i="255" a="1"/>
  <c r="AM66" i="255" s="1"/>
  <c r="AM64" i="255" a="1"/>
  <c r="AM64" i="255" s="1"/>
  <c r="AM62" i="255" a="1"/>
  <c r="AM62" i="255" s="1"/>
  <c r="AM60" i="255" a="1"/>
  <c r="AM60" i="255" s="1"/>
  <c r="AM58" i="255" a="1"/>
  <c r="AM58" i="255" s="1"/>
  <c r="AM56" i="255" a="1"/>
  <c r="AM56" i="255" s="1"/>
  <c r="AM54" i="255" a="1"/>
  <c r="AM54" i="255" s="1"/>
  <c r="AM52" i="255" a="1"/>
  <c r="AM52" i="255" s="1"/>
  <c r="AM50" i="255" a="1"/>
  <c r="AM50" i="255" s="1"/>
  <c r="AM48" i="255" a="1"/>
  <c r="AM48" i="255" s="1"/>
  <c r="AM46" i="255" a="1"/>
  <c r="AM46" i="255" s="1"/>
  <c r="AM44" i="255" a="1"/>
  <c r="AM44" i="255" s="1"/>
  <c r="AM42" i="255" a="1"/>
  <c r="AM42" i="255" s="1"/>
  <c r="AM40" i="255" a="1"/>
  <c r="AM40" i="255" s="1"/>
  <c r="AM38" i="255" a="1"/>
  <c r="AM38" i="255" s="1"/>
  <c r="AM36" i="255" a="1"/>
  <c r="AM36" i="255" s="1"/>
  <c r="AM34" i="255" a="1"/>
  <c r="AM34" i="255" s="1"/>
  <c r="AM32" i="255" a="1"/>
  <c r="AM32" i="255" s="1"/>
  <c r="AM30" i="255" a="1"/>
  <c r="AM30" i="255" s="1"/>
  <c r="AM28" i="255" a="1"/>
  <c r="AM28" i="255" s="1"/>
  <c r="AM26" i="255" a="1"/>
  <c r="AM26" i="255" s="1"/>
  <c r="AM24" i="255" a="1"/>
  <c r="AM24" i="255" s="1"/>
  <c r="AM22" i="255" a="1"/>
  <c r="AM22" i="255" s="1"/>
  <c r="AM20" i="255" a="1"/>
  <c r="AM20" i="255" s="1"/>
  <c r="AM18" i="255" a="1"/>
  <c r="AM18" i="255" s="1"/>
  <c r="AM36" i="163" a="1"/>
  <c r="AM36" i="163" s="1"/>
  <c r="AM34" i="163" a="1"/>
  <c r="AM34" i="163" s="1"/>
  <c r="AM32" i="163" a="1"/>
  <c r="AM32" i="163" s="1"/>
  <c r="AM30" i="163" a="1"/>
  <c r="AM30" i="163" s="1"/>
  <c r="AM28" i="163" a="1"/>
  <c r="AM28" i="163" s="1"/>
  <c r="AM26" i="163" a="1"/>
  <c r="AM26" i="163" s="1"/>
  <c r="AM24" i="163" a="1"/>
  <c r="AM24" i="163" s="1"/>
  <c r="AM22" i="163" a="1"/>
  <c r="AM22" i="163" s="1"/>
  <c r="AM20" i="163" a="1"/>
  <c r="AM20" i="163" s="1"/>
  <c r="AM18" i="163" a="1"/>
  <c r="AM18" i="163" s="1"/>
  <c r="AM36" i="162" a="1"/>
  <c r="AM36" i="162" s="1"/>
  <c r="AM34" i="162" a="1"/>
  <c r="AM34" i="162" s="1"/>
  <c r="AM32" i="162" a="1"/>
  <c r="AM32" i="162" s="1"/>
  <c r="AM30" i="162" a="1"/>
  <c r="AM30" i="162" s="1"/>
  <c r="AM28" i="162" a="1"/>
  <c r="AM28" i="162" s="1"/>
  <c r="AM26" i="162" a="1"/>
  <c r="AM26" i="162" s="1"/>
  <c r="AM24" i="162" a="1"/>
  <c r="AM24" i="162" s="1"/>
  <c r="AM22" i="162" a="1"/>
  <c r="AM22" i="162" s="1"/>
  <c r="AM20" i="162" a="1"/>
  <c r="AM20" i="162" s="1"/>
  <c r="AM18" i="162" a="1"/>
  <c r="AM18" i="162" s="1"/>
  <c r="AM36" i="182" a="1"/>
  <c r="AM36" i="182" s="1"/>
  <c r="AM34" i="182" a="1"/>
  <c r="AM34" i="182" s="1"/>
  <c r="AM32" i="182" a="1"/>
  <c r="AM32" i="182" s="1"/>
  <c r="AM30" i="182" a="1"/>
  <c r="AM30" i="182" s="1"/>
  <c r="AM28" i="182" a="1"/>
  <c r="AM28" i="182" s="1"/>
  <c r="AM26" i="182" a="1"/>
  <c r="AM26" i="182" s="1"/>
  <c r="AM24" i="182" a="1"/>
  <c r="AM24" i="182" s="1"/>
  <c r="AM22" i="182" a="1"/>
  <c r="AM22" i="182" s="1"/>
  <c r="AM20" i="182" a="1"/>
  <c r="AM20" i="182" s="1"/>
  <c r="AM18" i="182" a="1"/>
  <c r="AM18" i="182" s="1"/>
  <c r="AM36" i="160" a="1"/>
  <c r="AM36" i="160" s="1"/>
  <c r="AM34" i="160" a="1"/>
  <c r="AM34" i="160" s="1"/>
  <c r="AM32" i="160" a="1"/>
  <c r="AM32" i="160" s="1"/>
  <c r="AM30" i="160" a="1"/>
  <c r="AM30" i="160" s="1"/>
  <c r="AM28" i="160" a="1"/>
  <c r="AM28" i="160" s="1"/>
  <c r="AM26" i="160" a="1"/>
  <c r="AM26" i="160" s="1"/>
  <c r="AM24" i="160" a="1"/>
  <c r="AM24" i="160" s="1"/>
  <c r="AM22" i="160" a="1"/>
  <c r="AM22" i="160" s="1"/>
  <c r="AM20" i="160" a="1"/>
  <c r="AM20" i="160" s="1"/>
  <c r="AM18" i="160" a="1"/>
  <c r="AM18" i="160" s="1"/>
  <c r="AM20" i="159" a="1"/>
  <c r="AM20" i="159" s="1"/>
  <c r="AM22" i="159" a="1"/>
  <c r="AM22" i="159" s="1"/>
  <c r="AM24" i="159" a="1"/>
  <c r="AM24" i="159" s="1"/>
  <c r="AM26" i="159" a="1"/>
  <c r="AM26" i="159" s="1"/>
  <c r="AM28" i="159" a="1"/>
  <c r="AM28" i="159" s="1"/>
  <c r="AM30" i="159" a="1"/>
  <c r="AM30" i="159" s="1"/>
  <c r="AM32" i="159" a="1"/>
  <c r="AM32" i="159" s="1"/>
  <c r="AM34" i="159" a="1"/>
  <c r="AM34" i="159" s="1"/>
  <c r="AM36" i="159" a="1"/>
  <c r="AM36" i="159" s="1"/>
  <c r="AM18" i="159" a="1"/>
  <c r="AM18" i="159" s="1"/>
  <c r="AM20" i="158" a="1"/>
  <c r="AM20" i="158" s="1"/>
  <c r="AM22" i="158" a="1"/>
  <c r="AM22" i="158" s="1"/>
  <c r="AM24" i="158" a="1"/>
  <c r="AM24" i="158" s="1"/>
  <c r="AM26" i="158" a="1"/>
  <c r="AM26" i="158" s="1"/>
  <c r="AM28" i="158" a="1"/>
  <c r="AM28" i="158" s="1"/>
  <c r="AM30" i="158" a="1"/>
  <c r="AM30" i="158" s="1"/>
  <c r="AM32" i="158" a="1"/>
  <c r="AM32" i="158" s="1"/>
  <c r="AM34" i="158" a="1"/>
  <c r="AM34" i="158" s="1"/>
  <c r="AM36" i="158" a="1"/>
  <c r="AM36" i="158" s="1"/>
  <c r="AM38" i="158" a="1"/>
  <c r="AM38" i="158" s="1"/>
  <c r="AM40" i="158" a="1"/>
  <c r="AM40" i="158" s="1"/>
  <c r="AM42" i="158" a="1"/>
  <c r="AM42" i="158" s="1"/>
  <c r="AM44" i="158" a="1"/>
  <c r="AM44" i="158" s="1"/>
  <c r="AM46" i="158" a="1"/>
  <c r="AM46" i="158" s="1"/>
  <c r="AM48" i="158" a="1"/>
  <c r="AM48" i="158" s="1"/>
  <c r="AM50" i="158" a="1"/>
  <c r="AM50" i="158" s="1"/>
  <c r="AM52" i="158" a="1"/>
  <c r="AM52" i="158" s="1"/>
  <c r="AM54" i="158" a="1"/>
  <c r="AM54" i="158" s="1"/>
  <c r="AM56" i="158" a="1"/>
  <c r="AM56" i="158" s="1"/>
  <c r="AM58" i="158" a="1"/>
  <c r="AM58" i="158" s="1"/>
  <c r="AM60" i="158" a="1"/>
  <c r="AM60" i="158" s="1"/>
  <c r="AM62" i="158" a="1"/>
  <c r="AM62" i="158" s="1"/>
  <c r="AM64" i="158" a="1"/>
  <c r="AM64" i="158" s="1"/>
  <c r="AM66" i="158" a="1"/>
  <c r="AM66" i="158" s="1"/>
  <c r="AM68" i="158" a="1"/>
  <c r="AM68" i="158" s="1"/>
  <c r="AM70" i="158" a="1"/>
  <c r="AM70" i="158" s="1"/>
  <c r="AM72" i="158" a="1"/>
  <c r="AM72" i="158" s="1"/>
  <c r="AM74" i="158" a="1"/>
  <c r="AM74" i="158" s="1"/>
  <c r="AM76" i="158" a="1"/>
  <c r="AM76" i="158" s="1"/>
  <c r="BD30" i="176"/>
  <c r="L249" i="257" s="1"/>
  <c r="BJ20" i="255"/>
  <c r="BJ22" i="255"/>
  <c r="BJ24" i="255"/>
  <c r="BJ26" i="255"/>
  <c r="BJ28" i="255"/>
  <c r="BJ30" i="255"/>
  <c r="BJ32" i="255"/>
  <c r="BJ34" i="255"/>
  <c r="BJ36" i="255"/>
  <c r="BJ38" i="255"/>
  <c r="BJ40" i="255"/>
  <c r="BJ42" i="255"/>
  <c r="BJ44" i="255"/>
  <c r="BJ46" i="255"/>
  <c r="BJ48" i="255"/>
  <c r="BJ50" i="255"/>
  <c r="BJ52" i="255"/>
  <c r="BJ54" i="255"/>
  <c r="BJ56" i="255"/>
  <c r="BJ58" i="255"/>
  <c r="BJ60" i="255"/>
  <c r="BJ62" i="255"/>
  <c r="BJ64" i="255"/>
  <c r="BJ66" i="255"/>
  <c r="BJ68" i="255"/>
  <c r="BJ70" i="255"/>
  <c r="BJ72" i="255"/>
  <c r="BJ74" i="255"/>
  <c r="BJ76" i="255"/>
  <c r="BB20" i="256"/>
  <c r="BA22" i="256"/>
  <c r="AM292" i="257" s="1"/>
  <c r="BB22" i="256"/>
  <c r="BA24" i="256"/>
  <c r="AM293" i="257" s="1"/>
  <c r="BB24" i="256"/>
  <c r="BA26" i="256"/>
  <c r="AM294" i="257" s="1"/>
  <c r="BB26" i="256"/>
  <c r="BA28" i="256"/>
  <c r="AM295" i="257" s="1"/>
  <c r="BB28" i="256"/>
  <c r="BA30" i="256"/>
  <c r="AM296" i="257" s="1"/>
  <c r="BB30" i="256"/>
  <c r="BA32" i="256"/>
  <c r="AM297" i="257" s="1"/>
  <c r="BB32" i="256"/>
  <c r="BA34" i="256"/>
  <c r="AM298" i="257" s="1"/>
  <c r="BB34" i="256"/>
  <c r="BA36" i="256"/>
  <c r="AM299" i="257" s="1"/>
  <c r="BB36" i="256"/>
  <c r="BA38" i="256"/>
  <c r="AM300" i="257" s="1"/>
  <c r="BB38" i="256"/>
  <c r="BA40" i="256"/>
  <c r="AM301" i="257" s="1"/>
  <c r="BB40" i="256"/>
  <c r="BA42" i="256"/>
  <c r="AM302" i="257" s="1"/>
  <c r="BB42" i="256"/>
  <c r="BA44" i="256"/>
  <c r="AM303" i="257" s="1"/>
  <c r="BB44" i="256"/>
  <c r="BA46" i="256"/>
  <c r="AM304" i="257" s="1"/>
  <c r="BB46" i="256"/>
  <c r="BA48" i="256"/>
  <c r="AM305" i="257" s="1"/>
  <c r="BB48" i="256"/>
  <c r="BA50" i="256"/>
  <c r="AM306" i="257" s="1"/>
  <c r="BB50" i="256"/>
  <c r="BA52" i="256"/>
  <c r="AM307" i="257" s="1"/>
  <c r="BB52" i="256"/>
  <c r="BA54" i="256"/>
  <c r="AM308" i="257" s="1"/>
  <c r="BB54" i="256"/>
  <c r="BA56" i="256"/>
  <c r="AM309" i="257" s="1"/>
  <c r="BB56" i="256"/>
  <c r="BA58" i="256"/>
  <c r="AM310" i="257" s="1"/>
  <c r="BB58" i="256"/>
  <c r="BA60" i="256"/>
  <c r="AM311" i="257" s="1"/>
  <c r="BB60" i="256"/>
  <c r="BA62" i="256"/>
  <c r="AM312" i="257" s="1"/>
  <c r="BB62" i="256"/>
  <c r="BA64" i="256"/>
  <c r="AM313" i="257" s="1"/>
  <c r="BB64" i="256"/>
  <c r="BA66" i="256"/>
  <c r="AM314" i="257" s="1"/>
  <c r="BB66" i="256"/>
  <c r="BA68" i="256"/>
  <c r="AM315" i="257" s="1"/>
  <c r="BB68" i="256"/>
  <c r="BA70" i="256"/>
  <c r="AM316" i="257" s="1"/>
  <c r="BB70" i="256"/>
  <c r="BA72" i="256"/>
  <c r="AM317" i="257" s="1"/>
  <c r="BB72" i="256"/>
  <c r="BA74" i="256"/>
  <c r="AM318" i="257" s="1"/>
  <c r="BB74" i="256"/>
  <c r="BA76" i="256"/>
  <c r="AM319" i="257" s="1"/>
  <c r="BB76" i="256"/>
  <c r="BA78" i="256"/>
  <c r="AM320" i="257" s="1"/>
  <c r="BB78" i="256"/>
  <c r="BA80" i="256"/>
  <c r="AM321" i="257" s="1"/>
  <c r="BB80" i="256"/>
  <c r="BA82" i="256"/>
  <c r="AM322" i="257" s="1"/>
  <c r="BB82" i="256"/>
  <c r="BA84" i="256"/>
  <c r="AM323" i="257" s="1"/>
  <c r="BB84" i="256"/>
  <c r="BA86" i="256"/>
  <c r="AM324" i="257" s="1"/>
  <c r="BB86" i="256"/>
  <c r="BB18" i="256"/>
  <c r="BA20" i="161"/>
  <c r="BB20" i="161"/>
  <c r="BA22" i="161"/>
  <c r="BB22" i="161"/>
  <c r="BA24" i="161"/>
  <c r="BB24" i="161"/>
  <c r="BA26" i="161"/>
  <c r="BB26" i="161"/>
  <c r="BA28" i="161"/>
  <c r="BB28" i="161"/>
  <c r="BA30" i="161"/>
  <c r="BB30" i="161"/>
  <c r="BA32" i="161"/>
  <c r="BB32" i="161"/>
  <c r="BA34" i="161"/>
  <c r="BB34" i="161"/>
  <c r="BA36" i="161"/>
  <c r="BB36" i="161"/>
  <c r="BA38" i="161"/>
  <c r="BB38" i="161"/>
  <c r="BA40" i="161"/>
  <c r="BB40" i="161"/>
  <c r="BA42" i="161"/>
  <c r="BB42" i="161"/>
  <c r="BA44" i="161"/>
  <c r="BB44" i="161"/>
  <c r="BA46" i="161"/>
  <c r="BB46" i="161"/>
  <c r="BA48" i="161"/>
  <c r="BB48" i="161"/>
  <c r="BA50" i="161"/>
  <c r="BB50" i="161"/>
  <c r="BA52" i="161"/>
  <c r="BB52" i="161"/>
  <c r="BA54" i="161"/>
  <c r="BB54" i="161"/>
  <c r="BA56" i="161"/>
  <c r="BB56" i="161"/>
  <c r="BA58" i="161"/>
  <c r="BB58" i="161"/>
  <c r="BA60" i="161"/>
  <c r="BB60" i="161"/>
  <c r="BA62" i="161"/>
  <c r="BB62" i="161"/>
  <c r="BA64" i="161"/>
  <c r="BB64" i="161"/>
  <c r="BA66" i="161"/>
  <c r="BB66" i="161"/>
  <c r="BA68" i="161"/>
  <c r="BB68" i="161"/>
  <c r="BA70" i="161"/>
  <c r="BB70" i="161"/>
  <c r="BA72" i="161"/>
  <c r="BB72" i="161"/>
  <c r="BA74" i="161"/>
  <c r="BB74" i="161"/>
  <c r="BA76" i="161"/>
  <c r="BB76" i="161"/>
  <c r="BA78" i="161"/>
  <c r="BB78" i="161"/>
  <c r="BA80" i="161"/>
  <c r="BB80" i="161"/>
  <c r="BA82" i="161"/>
  <c r="BB82" i="161"/>
  <c r="BA84" i="161"/>
  <c r="BB84" i="161"/>
  <c r="BA86" i="161"/>
  <c r="BB86" i="161"/>
  <c r="BB18" i="161"/>
  <c r="BA18" i="161"/>
  <c r="AX20" i="167"/>
  <c r="BC20" i="167"/>
  <c r="BJ20" i="167"/>
  <c r="AX22" i="167"/>
  <c r="BC22" i="167"/>
  <c r="BJ22" i="167"/>
  <c r="AX24" i="167"/>
  <c r="BC24" i="167"/>
  <c r="BJ24" i="167"/>
  <c r="AX26" i="167"/>
  <c r="BC26" i="167"/>
  <c r="BJ26" i="167"/>
  <c r="AX28" i="167"/>
  <c r="BC28" i="167"/>
  <c r="BJ28" i="167"/>
  <c r="AX30" i="167"/>
  <c r="BC30" i="167"/>
  <c r="BJ30" i="167"/>
  <c r="AX32" i="167"/>
  <c r="BC32" i="167"/>
  <c r="BJ32" i="167"/>
  <c r="AX34" i="167"/>
  <c r="BC34" i="167"/>
  <c r="BJ34" i="167"/>
  <c r="AX36" i="167"/>
  <c r="BC36" i="167"/>
  <c r="BJ36" i="167"/>
  <c r="AX38" i="167"/>
  <c r="BC38" i="167"/>
  <c r="BJ38" i="167"/>
  <c r="AX40" i="167"/>
  <c r="BC40" i="167"/>
  <c r="BJ40" i="167"/>
  <c r="AX42" i="167"/>
  <c r="BC42" i="167"/>
  <c r="BJ42" i="167"/>
  <c r="AX44" i="167"/>
  <c r="BC44" i="167"/>
  <c r="BJ44" i="167"/>
  <c r="AX46" i="167"/>
  <c r="BC46" i="167"/>
  <c r="BJ46" i="167"/>
  <c r="AX48" i="167"/>
  <c r="BC48" i="167"/>
  <c r="BJ48" i="167"/>
  <c r="AX50" i="167"/>
  <c r="BC50" i="167"/>
  <c r="BJ50" i="167"/>
  <c r="AX52" i="167"/>
  <c r="BC52" i="167"/>
  <c r="BJ52" i="167"/>
  <c r="AX54" i="167"/>
  <c r="BC54" i="167"/>
  <c r="BJ54" i="167"/>
  <c r="AX56" i="167"/>
  <c r="BC56" i="167"/>
  <c r="BJ56" i="167"/>
  <c r="AX58" i="167"/>
  <c r="BC58" i="167"/>
  <c r="BJ58" i="167"/>
  <c r="AX60" i="167"/>
  <c r="BC60" i="167"/>
  <c r="BJ60" i="167"/>
  <c r="AX62" i="167"/>
  <c r="BC62" i="167"/>
  <c r="BJ62" i="167"/>
  <c r="AX64" i="167"/>
  <c r="BC64" i="167"/>
  <c r="BJ64" i="167"/>
  <c r="AX66" i="167"/>
  <c r="BC66" i="167"/>
  <c r="BJ66" i="167"/>
  <c r="AX68" i="167"/>
  <c r="BC68" i="167"/>
  <c r="BJ68" i="167"/>
  <c r="AX70" i="167"/>
  <c r="BC70" i="167"/>
  <c r="BJ70" i="167"/>
  <c r="AX72" i="167"/>
  <c r="BC72" i="167"/>
  <c r="BX72" i="167" s="1" a="1"/>
  <c r="BX72" i="167" s="1"/>
  <c r="BJ72" i="167"/>
  <c r="AX74" i="167"/>
  <c r="BC74" i="167"/>
  <c r="BJ74" i="167"/>
  <c r="AX76" i="167"/>
  <c r="BC76" i="167"/>
  <c r="BJ76" i="167"/>
  <c r="BY36" i="163"/>
  <c r="BJ36" i="163"/>
  <c r="BY34" i="163"/>
  <c r="BJ34" i="163"/>
  <c r="BY32" i="163"/>
  <c r="BJ32" i="163"/>
  <c r="BY30" i="163"/>
  <c r="BJ30" i="163"/>
  <c r="BY28" i="163"/>
  <c r="BJ28" i="163"/>
  <c r="BY26" i="163"/>
  <c r="BJ26" i="163"/>
  <c r="BY24" i="163"/>
  <c r="BJ24" i="163"/>
  <c r="BY22" i="163"/>
  <c r="BJ22" i="163"/>
  <c r="BJ20" i="163"/>
  <c r="BJ20" i="162"/>
  <c r="BY20" i="162"/>
  <c r="BJ22" i="162"/>
  <c r="BY22" i="162"/>
  <c r="BJ24" i="162"/>
  <c r="BY24" i="162"/>
  <c r="BJ26" i="162"/>
  <c r="BY26" i="162"/>
  <c r="BJ28" i="162"/>
  <c r="BY28" i="162"/>
  <c r="BJ30" i="162"/>
  <c r="BY30" i="162"/>
  <c r="BJ32" i="162"/>
  <c r="BY32" i="162"/>
  <c r="BJ34" i="162"/>
  <c r="BY34" i="162"/>
  <c r="BJ36" i="162"/>
  <c r="BY36" i="162"/>
  <c r="BJ20" i="182"/>
  <c r="BJ22" i="182"/>
  <c r="BJ24" i="182"/>
  <c r="BJ26" i="182"/>
  <c r="BJ28" i="182"/>
  <c r="BJ30" i="182"/>
  <c r="BJ32" i="182"/>
  <c r="BJ34" i="182"/>
  <c r="BJ36" i="182"/>
  <c r="BF20" i="161"/>
  <c r="BJ20" i="161"/>
  <c r="BZ20" i="161"/>
  <c r="BF22" i="161"/>
  <c r="BJ22" i="161"/>
  <c r="BZ22" i="161"/>
  <c r="BF24" i="161"/>
  <c r="BJ24" i="161"/>
  <c r="BZ24" i="161"/>
  <c r="BF26" i="161"/>
  <c r="BJ26" i="161"/>
  <c r="BZ26" i="161"/>
  <c r="BF28" i="161"/>
  <c r="BJ28" i="161"/>
  <c r="BZ28" i="161"/>
  <c r="BF30" i="161"/>
  <c r="BJ30" i="161"/>
  <c r="BZ30" i="161"/>
  <c r="BF32" i="161"/>
  <c r="BJ32" i="161"/>
  <c r="BZ32" i="161"/>
  <c r="BF34" i="161"/>
  <c r="BJ34" i="161"/>
  <c r="BZ34" i="161"/>
  <c r="BF36" i="161"/>
  <c r="BJ36" i="161"/>
  <c r="BZ36" i="161"/>
  <c r="BF38" i="161"/>
  <c r="BJ38" i="161"/>
  <c r="BZ38" i="161"/>
  <c r="BF40" i="161"/>
  <c r="BJ40" i="161"/>
  <c r="BZ40" i="161"/>
  <c r="BF42" i="161"/>
  <c r="BJ42" i="161"/>
  <c r="BZ42" i="161"/>
  <c r="BF44" i="161"/>
  <c r="BJ44" i="161"/>
  <c r="BZ44" i="161"/>
  <c r="BF46" i="161"/>
  <c r="BJ46" i="161"/>
  <c r="BZ46" i="161"/>
  <c r="BF48" i="161"/>
  <c r="BJ48" i="161"/>
  <c r="BZ48" i="161"/>
  <c r="BF50" i="161"/>
  <c r="BJ50" i="161"/>
  <c r="BZ50" i="161"/>
  <c r="BF52" i="161"/>
  <c r="BJ52" i="161"/>
  <c r="BZ52" i="161"/>
  <c r="BF54" i="161"/>
  <c r="BJ54" i="161"/>
  <c r="BZ54" i="161"/>
  <c r="BF56" i="161"/>
  <c r="BJ56" i="161"/>
  <c r="BZ56" i="161"/>
  <c r="BF58" i="161"/>
  <c r="BJ58" i="161"/>
  <c r="BZ58" i="161"/>
  <c r="BF60" i="161"/>
  <c r="BJ60" i="161"/>
  <c r="BZ60" i="161"/>
  <c r="BF62" i="161"/>
  <c r="BJ62" i="161"/>
  <c r="BZ62" i="161"/>
  <c r="BF64" i="161"/>
  <c r="BJ64" i="161"/>
  <c r="BZ64" i="161"/>
  <c r="BF66" i="161"/>
  <c r="BJ66" i="161"/>
  <c r="BZ66" i="161"/>
  <c r="BF68" i="161"/>
  <c r="BJ68" i="161"/>
  <c r="BZ68" i="161"/>
  <c r="BF70" i="161"/>
  <c r="BJ70" i="161"/>
  <c r="BZ70" i="161"/>
  <c r="BF72" i="161"/>
  <c r="BJ72" i="161"/>
  <c r="BZ72" i="161"/>
  <c r="BF74" i="161"/>
  <c r="BJ74" i="161"/>
  <c r="BZ74" i="161"/>
  <c r="BF76" i="161"/>
  <c r="BJ76" i="161"/>
  <c r="BZ76" i="161"/>
  <c r="BF78" i="161"/>
  <c r="BJ78" i="161"/>
  <c r="BZ78" i="161"/>
  <c r="BF80" i="161"/>
  <c r="BJ80" i="161"/>
  <c r="BZ80" i="161"/>
  <c r="BF82" i="161"/>
  <c r="BJ82" i="161"/>
  <c r="BZ82" i="161"/>
  <c r="BF84" i="161"/>
  <c r="BJ84" i="161"/>
  <c r="BZ84" i="161"/>
  <c r="BF86" i="161"/>
  <c r="BJ86" i="161"/>
  <c r="BZ86" i="161"/>
  <c r="BJ20" i="160"/>
  <c r="BY20" i="160"/>
  <c r="BJ22" i="160"/>
  <c r="BY22" i="160"/>
  <c r="BJ24" i="160"/>
  <c r="BY24" i="160"/>
  <c r="BJ26" i="160"/>
  <c r="BY26" i="160"/>
  <c r="BJ28" i="160"/>
  <c r="BY28" i="160"/>
  <c r="BJ30" i="160"/>
  <c r="BY30" i="160"/>
  <c r="BJ32" i="160"/>
  <c r="BY32" i="160"/>
  <c r="BJ34" i="160"/>
  <c r="BY34" i="160"/>
  <c r="BJ36" i="160"/>
  <c r="BY36" i="160"/>
  <c r="AX20" i="159"/>
  <c r="BC20" i="159"/>
  <c r="BD20" i="159"/>
  <c r="L36" i="257" s="1"/>
  <c r="BE20" i="159"/>
  <c r="BF20" i="159"/>
  <c r="BJ20" i="159"/>
  <c r="BK20" i="159"/>
  <c r="BW20" i="159"/>
  <c r="BY20" i="159"/>
  <c r="BZ20" i="159"/>
  <c r="AX22" i="159"/>
  <c r="BC22" i="159"/>
  <c r="BD22" i="159"/>
  <c r="L37" i="257" s="1"/>
  <c r="BE22" i="159"/>
  <c r="BF22" i="159"/>
  <c r="BJ22" i="159"/>
  <c r="BK22" i="159"/>
  <c r="BW22" i="159"/>
  <c r="BY22" i="159"/>
  <c r="BZ22" i="159"/>
  <c r="AX24" i="159"/>
  <c r="BC24" i="159"/>
  <c r="BD24" i="159"/>
  <c r="L38" i="257" s="1"/>
  <c r="BE24" i="159"/>
  <c r="BF24" i="159"/>
  <c r="BJ24" i="159"/>
  <c r="BK24" i="159"/>
  <c r="BW24" i="159"/>
  <c r="BY24" i="159"/>
  <c r="BZ24" i="159"/>
  <c r="AX26" i="159"/>
  <c r="BC26" i="159"/>
  <c r="BD26" i="159"/>
  <c r="L39" i="257" s="1"/>
  <c r="BE26" i="159"/>
  <c r="BF26" i="159"/>
  <c r="BJ26" i="159"/>
  <c r="BK26" i="159"/>
  <c r="BW26" i="159"/>
  <c r="BY26" i="159"/>
  <c r="BZ26" i="159"/>
  <c r="AX28" i="159"/>
  <c r="BC28" i="159"/>
  <c r="BD28" i="159"/>
  <c r="L40" i="257" s="1"/>
  <c r="BE28" i="159"/>
  <c r="BF28" i="159"/>
  <c r="BJ28" i="159"/>
  <c r="BK28" i="159"/>
  <c r="BW28" i="159"/>
  <c r="BY28" i="159"/>
  <c r="BZ28" i="159"/>
  <c r="AX30" i="159"/>
  <c r="BC30" i="159"/>
  <c r="BD30" i="159"/>
  <c r="L41" i="257" s="1"/>
  <c r="BE30" i="159"/>
  <c r="BF30" i="159"/>
  <c r="BJ30" i="159"/>
  <c r="BK30" i="159"/>
  <c r="BW30" i="159"/>
  <c r="BY30" i="159"/>
  <c r="BZ30" i="159"/>
  <c r="AX32" i="159"/>
  <c r="BC32" i="159"/>
  <c r="BD32" i="159"/>
  <c r="L42" i="257" s="1"/>
  <c r="BE32" i="159"/>
  <c r="BF32" i="159"/>
  <c r="BJ32" i="159"/>
  <c r="BK32" i="159"/>
  <c r="BW32" i="159"/>
  <c r="BY32" i="159"/>
  <c r="BZ32" i="159"/>
  <c r="AX34" i="159"/>
  <c r="BC34" i="159"/>
  <c r="BD34" i="159"/>
  <c r="L43" i="257" s="1"/>
  <c r="BE34" i="159"/>
  <c r="BF34" i="159"/>
  <c r="BJ34" i="159"/>
  <c r="BK34" i="159"/>
  <c r="BW34" i="159"/>
  <c r="BY34" i="159"/>
  <c r="BZ34" i="159"/>
  <c r="AX36" i="159"/>
  <c r="BC36" i="159"/>
  <c r="BD36" i="159"/>
  <c r="L44" i="257" s="1"/>
  <c r="BE36" i="159"/>
  <c r="BF36" i="159"/>
  <c r="BJ36" i="159"/>
  <c r="BK36" i="159"/>
  <c r="BW36" i="159"/>
  <c r="BY36" i="159"/>
  <c r="BZ36" i="159"/>
  <c r="BJ20" i="158"/>
  <c r="BJ22" i="158"/>
  <c r="BJ24" i="158"/>
  <c r="BJ26" i="158"/>
  <c r="BJ28" i="158"/>
  <c r="BJ30" i="158"/>
  <c r="BJ32" i="158"/>
  <c r="BJ34" i="158"/>
  <c r="BJ36" i="158"/>
  <c r="BJ38" i="158"/>
  <c r="BJ40" i="158"/>
  <c r="BJ42" i="158"/>
  <c r="BJ44" i="158"/>
  <c r="BJ46" i="158"/>
  <c r="BJ48" i="158"/>
  <c r="BJ50" i="158"/>
  <c r="BJ52" i="158"/>
  <c r="BJ54" i="158"/>
  <c r="BJ56" i="158"/>
  <c r="BJ58" i="158"/>
  <c r="BJ60" i="158"/>
  <c r="BJ62" i="158"/>
  <c r="BJ64" i="158"/>
  <c r="BJ66" i="158"/>
  <c r="BJ68" i="158"/>
  <c r="BJ70" i="158"/>
  <c r="BJ72" i="158"/>
  <c r="BJ74" i="158"/>
  <c r="BJ76" i="158"/>
  <c r="E237" i="257" a="1"/>
  <c r="E237" i="257" s="1"/>
  <c r="E238" i="257" a="1"/>
  <c r="E238" i="257" s="1"/>
  <c r="E239" i="257" a="1"/>
  <c r="E239" i="257" s="1"/>
  <c r="E240" i="257" a="1"/>
  <c r="E240" i="257" s="1"/>
  <c r="E241" i="257" a="1"/>
  <c r="E241" i="257" s="1"/>
  <c r="E221" i="257" a="1"/>
  <c r="E221" i="257" s="1"/>
  <c r="E222" i="257" a="1"/>
  <c r="E222" i="257" s="1"/>
  <c r="E223" i="257" a="1"/>
  <c r="E223" i="257" s="1"/>
  <c r="E224" i="257" a="1"/>
  <c r="E224" i="257" s="1"/>
  <c r="E225" i="257" a="1"/>
  <c r="E225" i="257" s="1"/>
  <c r="E205" i="257" a="1"/>
  <c r="E205" i="257" s="1"/>
  <c r="E206" i="257" a="1"/>
  <c r="E206" i="257" s="1"/>
  <c r="E207" i="257" a="1"/>
  <c r="E207" i="257" s="1"/>
  <c r="E208" i="257" a="1"/>
  <c r="E208" i="257" s="1"/>
  <c r="E209" i="257" a="1"/>
  <c r="E209" i="257" s="1"/>
  <c r="E189" i="257" a="1"/>
  <c r="E189" i="257" s="1"/>
  <c r="E190" i="257" a="1"/>
  <c r="E190" i="257" s="1"/>
  <c r="E191" i="257" a="1"/>
  <c r="E191" i="257" s="1"/>
  <c r="E192" i="257" a="1"/>
  <c r="E192" i="257" s="1"/>
  <c r="E193" i="257" a="1"/>
  <c r="E193" i="257" s="1"/>
  <c r="E173" i="257" a="1"/>
  <c r="E173" i="257" s="1"/>
  <c r="E174" i="257" a="1"/>
  <c r="E174" i="257" s="1"/>
  <c r="E175" i="257" a="1"/>
  <c r="E175" i="257" s="1"/>
  <c r="E176" i="257" a="1"/>
  <c r="E176" i="257" s="1"/>
  <c r="E177" i="257" a="1"/>
  <c r="E177" i="257" s="1"/>
  <c r="E157" i="257" a="1"/>
  <c r="E157" i="257" s="1"/>
  <c r="E158" i="257" a="1"/>
  <c r="E158" i="257" s="1"/>
  <c r="E159" i="257" a="1"/>
  <c r="E159" i="257" s="1"/>
  <c r="E160" i="257" a="1"/>
  <c r="E160" i="257" s="1"/>
  <c r="E161" i="257" a="1"/>
  <c r="E161" i="257" s="1"/>
  <c r="E110" i="257" a="1"/>
  <c r="E110" i="257" s="1"/>
  <c r="E111" i="257" a="1"/>
  <c r="E111" i="257" s="1"/>
  <c r="E112" i="257" a="1"/>
  <c r="E112" i="257" s="1"/>
  <c r="E113" i="257" a="1"/>
  <c r="E113" i="257" s="1"/>
  <c r="E114" i="257" a="1"/>
  <c r="E114" i="257" s="1"/>
  <c r="E94" i="257" a="1"/>
  <c r="E94" i="257" s="1"/>
  <c r="E95" i="257" a="1"/>
  <c r="E95" i="257" s="1"/>
  <c r="E96" i="257" a="1"/>
  <c r="E96" i="257" s="1"/>
  <c r="E97" i="257" a="1"/>
  <c r="E97" i="257" s="1"/>
  <c r="E98" i="257" a="1"/>
  <c r="E98" i="257" s="1"/>
  <c r="E78" i="257" a="1"/>
  <c r="E78" i="257" s="1"/>
  <c r="E79" i="257" a="1"/>
  <c r="E79" i="257" s="1"/>
  <c r="E80" i="257" a="1"/>
  <c r="E80" i="257" s="1"/>
  <c r="E81" i="257" a="1"/>
  <c r="E81" i="257" s="1"/>
  <c r="E82" i="257" a="1"/>
  <c r="E82" i="257" s="1"/>
  <c r="E61" i="257" a="1"/>
  <c r="E61" i="257" s="1"/>
  <c r="E62" i="257" a="1"/>
  <c r="E62" i="257" s="1"/>
  <c r="E63" i="257" a="1"/>
  <c r="E63" i="257" s="1"/>
  <c r="E64" i="257" a="1"/>
  <c r="E64" i="257" s="1"/>
  <c r="E65" i="257" a="1"/>
  <c r="E65" i="257" s="1"/>
  <c r="E45" i="257" a="1"/>
  <c r="E45" i="257" s="1"/>
  <c r="E46" i="257" a="1"/>
  <c r="E46" i="257" s="1"/>
  <c r="E47" i="257" a="1"/>
  <c r="E47" i="257" s="1"/>
  <c r="E48" i="257" a="1"/>
  <c r="E48" i="257" s="1"/>
  <c r="E49" i="257" a="1"/>
  <c r="E49" i="257" s="1"/>
  <c r="BJ20" i="256"/>
  <c r="BZ20" i="256"/>
  <c r="CB20" i="256"/>
  <c r="BF22" i="256"/>
  <c r="AL292" i="257" s="1"/>
  <c r="BJ22" i="256"/>
  <c r="BZ22" i="256"/>
  <c r="CA22" i="256"/>
  <c r="CB22" i="256"/>
  <c r="BF24" i="256"/>
  <c r="AL293" i="257" s="1"/>
  <c r="BJ24" i="256"/>
  <c r="BZ24" i="256"/>
  <c r="CA24" i="256"/>
  <c r="CB24" i="256"/>
  <c r="BF26" i="256"/>
  <c r="AL294" i="257" s="1"/>
  <c r="BJ26" i="256"/>
  <c r="BZ26" i="256"/>
  <c r="CA26" i="256"/>
  <c r="CB26" i="256"/>
  <c r="BF28" i="256"/>
  <c r="AL295" i="257" s="1"/>
  <c r="BJ28" i="256"/>
  <c r="BZ28" i="256"/>
  <c r="CA28" i="256"/>
  <c r="CB28" i="256"/>
  <c r="BF30" i="256"/>
  <c r="AL296" i="257" s="1"/>
  <c r="BJ30" i="256"/>
  <c r="BZ30" i="256"/>
  <c r="CA30" i="256"/>
  <c r="CB30" i="256"/>
  <c r="BF32" i="256"/>
  <c r="AL297" i="257" s="1"/>
  <c r="BJ32" i="256"/>
  <c r="BZ32" i="256"/>
  <c r="CA32" i="256"/>
  <c r="CB32" i="256"/>
  <c r="BF34" i="256"/>
  <c r="AL298" i="257" s="1"/>
  <c r="BJ34" i="256"/>
  <c r="BZ34" i="256"/>
  <c r="CA34" i="256"/>
  <c r="CB34" i="256"/>
  <c r="BF36" i="256"/>
  <c r="AL299" i="257" s="1"/>
  <c r="BJ36" i="256"/>
  <c r="BZ36" i="256"/>
  <c r="CA36" i="256"/>
  <c r="CB36" i="256"/>
  <c r="BF38" i="256"/>
  <c r="AL300" i="257" s="1"/>
  <c r="BJ38" i="256"/>
  <c r="BZ38" i="256"/>
  <c r="CA38" i="256"/>
  <c r="CB38" i="256"/>
  <c r="BF40" i="256"/>
  <c r="AL301" i="257" s="1"/>
  <c r="BJ40" i="256"/>
  <c r="BZ40" i="256"/>
  <c r="CA40" i="256"/>
  <c r="CB40" i="256"/>
  <c r="BF42" i="256"/>
  <c r="AL302" i="257" s="1"/>
  <c r="BJ42" i="256"/>
  <c r="BZ42" i="256"/>
  <c r="CA42" i="256"/>
  <c r="CB42" i="256"/>
  <c r="BF44" i="256"/>
  <c r="AL303" i="257" s="1"/>
  <c r="BJ44" i="256"/>
  <c r="BZ44" i="256"/>
  <c r="CA44" i="256"/>
  <c r="CB44" i="256"/>
  <c r="BF46" i="256"/>
  <c r="AL304" i="257" s="1"/>
  <c r="BJ46" i="256"/>
  <c r="BZ46" i="256"/>
  <c r="CA46" i="256"/>
  <c r="CB46" i="256"/>
  <c r="BF48" i="256"/>
  <c r="AL305" i="257" s="1"/>
  <c r="BJ48" i="256"/>
  <c r="BZ48" i="256"/>
  <c r="CA48" i="256"/>
  <c r="CB48" i="256"/>
  <c r="BF50" i="256"/>
  <c r="AL306" i="257" s="1"/>
  <c r="BJ50" i="256"/>
  <c r="BZ50" i="256"/>
  <c r="CA50" i="256"/>
  <c r="CB50" i="256"/>
  <c r="BF52" i="256"/>
  <c r="AL307" i="257" s="1"/>
  <c r="BJ52" i="256"/>
  <c r="BZ52" i="256"/>
  <c r="CA52" i="256"/>
  <c r="CB52" i="256"/>
  <c r="BF54" i="256"/>
  <c r="AL308" i="257" s="1"/>
  <c r="BJ54" i="256"/>
  <c r="BZ54" i="256"/>
  <c r="CA54" i="256"/>
  <c r="CB54" i="256"/>
  <c r="BF56" i="256"/>
  <c r="AL309" i="257" s="1"/>
  <c r="BJ56" i="256"/>
  <c r="BZ56" i="256"/>
  <c r="CA56" i="256"/>
  <c r="CB56" i="256"/>
  <c r="BF58" i="256"/>
  <c r="AL310" i="257" s="1"/>
  <c r="BJ58" i="256"/>
  <c r="BZ58" i="256"/>
  <c r="CA58" i="256"/>
  <c r="CB58" i="256"/>
  <c r="BF60" i="256"/>
  <c r="AL311" i="257" s="1"/>
  <c r="BJ60" i="256"/>
  <c r="BZ60" i="256"/>
  <c r="CA60" i="256"/>
  <c r="CB60" i="256"/>
  <c r="BF62" i="256"/>
  <c r="AL312" i="257" s="1"/>
  <c r="BJ62" i="256"/>
  <c r="BZ62" i="256"/>
  <c r="CA62" i="256"/>
  <c r="CB62" i="256"/>
  <c r="BF64" i="256"/>
  <c r="AL313" i="257" s="1"/>
  <c r="BJ64" i="256"/>
  <c r="BZ64" i="256"/>
  <c r="CA64" i="256"/>
  <c r="CB64" i="256"/>
  <c r="BF66" i="256"/>
  <c r="AL314" i="257" s="1"/>
  <c r="BJ66" i="256"/>
  <c r="BZ66" i="256"/>
  <c r="CA66" i="256"/>
  <c r="CB66" i="256"/>
  <c r="BF68" i="256"/>
  <c r="AL315" i="257" s="1"/>
  <c r="BJ68" i="256"/>
  <c r="BZ68" i="256"/>
  <c r="CA68" i="256"/>
  <c r="CB68" i="256"/>
  <c r="BF70" i="256"/>
  <c r="AL316" i="257" s="1"/>
  <c r="BJ70" i="256"/>
  <c r="BZ70" i="256"/>
  <c r="CA70" i="256"/>
  <c r="CB70" i="256"/>
  <c r="BF72" i="256"/>
  <c r="AL317" i="257" s="1"/>
  <c r="BJ72" i="256"/>
  <c r="BZ72" i="256"/>
  <c r="CA72" i="256"/>
  <c r="CB72" i="256"/>
  <c r="BF74" i="256"/>
  <c r="AL318" i="257" s="1"/>
  <c r="BJ74" i="256"/>
  <c r="BZ74" i="256"/>
  <c r="CA74" i="256"/>
  <c r="CB74" i="256"/>
  <c r="BF76" i="256"/>
  <c r="AL319" i="257" s="1"/>
  <c r="BJ76" i="256"/>
  <c r="BZ76" i="256"/>
  <c r="CA76" i="256"/>
  <c r="CB76" i="256"/>
  <c r="BF78" i="256"/>
  <c r="AL320" i="257" s="1"/>
  <c r="BJ78" i="256"/>
  <c r="BZ78" i="256"/>
  <c r="CA78" i="256"/>
  <c r="CB78" i="256"/>
  <c r="BF80" i="256"/>
  <c r="AL321" i="257" s="1"/>
  <c r="BJ80" i="256"/>
  <c r="BZ80" i="256"/>
  <c r="CA80" i="256"/>
  <c r="CB80" i="256"/>
  <c r="BF82" i="256"/>
  <c r="AL322" i="257" s="1"/>
  <c r="BJ82" i="256"/>
  <c r="BZ82" i="256"/>
  <c r="CA82" i="256"/>
  <c r="CB82" i="256"/>
  <c r="BF84" i="256"/>
  <c r="AL323" i="257" s="1"/>
  <c r="BJ84" i="256"/>
  <c r="BZ84" i="256"/>
  <c r="CA84" i="256"/>
  <c r="CB84" i="256"/>
  <c r="BF86" i="256"/>
  <c r="AL324" i="257" s="1"/>
  <c r="BJ86" i="256"/>
  <c r="BZ86" i="256"/>
  <c r="CA86" i="256"/>
  <c r="CB86" i="256"/>
  <c r="AX20" i="176"/>
  <c r="BC20" i="176"/>
  <c r="BJ20" i="176"/>
  <c r="AX22" i="176"/>
  <c r="BC22" i="176"/>
  <c r="BJ22" i="176"/>
  <c r="AX24" i="176"/>
  <c r="BC24" i="176"/>
  <c r="BJ24" i="176"/>
  <c r="AX20" i="13"/>
  <c r="BC20" i="13"/>
  <c r="BJ20" i="13"/>
  <c r="AX22" i="13"/>
  <c r="BC22" i="13"/>
  <c r="BJ22" i="13"/>
  <c r="AX24" i="13"/>
  <c r="BC24" i="13"/>
  <c r="BJ24" i="13"/>
  <c r="AX26" i="13"/>
  <c r="BC26" i="13"/>
  <c r="BJ26" i="13"/>
  <c r="AX28" i="13"/>
  <c r="BC28" i="13"/>
  <c r="BJ28" i="13"/>
  <c r="AX30" i="13"/>
  <c r="BC30" i="13"/>
  <c r="BJ30" i="13"/>
  <c r="AX32" i="13"/>
  <c r="BC32" i="13"/>
  <c r="BJ32" i="13"/>
  <c r="AX34" i="13"/>
  <c r="BC34" i="13"/>
  <c r="BJ34" i="13"/>
  <c r="AX36" i="13"/>
  <c r="BC36" i="13"/>
  <c r="BJ36" i="13"/>
  <c r="AX20" i="171"/>
  <c r="BC20" i="171"/>
  <c r="BJ20" i="171"/>
  <c r="AX22" i="171"/>
  <c r="BC22" i="171"/>
  <c r="BJ22" i="171"/>
  <c r="AX24" i="171"/>
  <c r="BC24" i="171"/>
  <c r="BJ24" i="171"/>
  <c r="AX26" i="171"/>
  <c r="BC26" i="171"/>
  <c r="BJ26" i="171"/>
  <c r="AX28" i="171"/>
  <c r="BC28" i="171"/>
  <c r="BJ28" i="171"/>
  <c r="AX30" i="171"/>
  <c r="BC30" i="171"/>
  <c r="BJ30" i="171"/>
  <c r="AX32" i="171"/>
  <c r="BC32" i="171"/>
  <c r="BJ32" i="171"/>
  <c r="AX34" i="171"/>
  <c r="BC34" i="171"/>
  <c r="BJ34" i="171"/>
  <c r="AX36" i="171"/>
  <c r="BC36" i="171"/>
  <c r="BJ36" i="171"/>
  <c r="AX20" i="175"/>
  <c r="BC20" i="175"/>
  <c r="BJ20" i="175"/>
  <c r="AX22" i="175"/>
  <c r="BC22" i="175"/>
  <c r="BJ22" i="175"/>
  <c r="AX24" i="175"/>
  <c r="BC24" i="175"/>
  <c r="BJ24" i="175"/>
  <c r="AX26" i="175"/>
  <c r="BC26" i="175"/>
  <c r="BJ26" i="175"/>
  <c r="AX28" i="175"/>
  <c r="BC28" i="175"/>
  <c r="BJ28" i="175"/>
  <c r="AX30" i="175"/>
  <c r="BC30" i="175"/>
  <c r="BJ30" i="175"/>
  <c r="AX32" i="175"/>
  <c r="BC32" i="175"/>
  <c r="BJ32" i="175"/>
  <c r="AX34" i="175"/>
  <c r="BC34" i="175"/>
  <c r="BJ34" i="175"/>
  <c r="AX36" i="175"/>
  <c r="BC36" i="175"/>
  <c r="BJ36" i="175"/>
  <c r="AX20" i="170"/>
  <c r="BC20" i="170"/>
  <c r="BJ20" i="170"/>
  <c r="AX22" i="170"/>
  <c r="BC22" i="170"/>
  <c r="BJ22" i="170"/>
  <c r="AX24" i="170"/>
  <c r="BC24" i="170"/>
  <c r="BJ24" i="170"/>
  <c r="AX26" i="170"/>
  <c r="BC26" i="170"/>
  <c r="BJ26" i="170"/>
  <c r="AX28" i="170"/>
  <c r="BC28" i="170"/>
  <c r="BJ28" i="170"/>
  <c r="AX30" i="170"/>
  <c r="BC30" i="170"/>
  <c r="BJ30" i="170"/>
  <c r="AX32" i="170"/>
  <c r="BC32" i="170"/>
  <c r="BJ32" i="170"/>
  <c r="AX34" i="170"/>
  <c r="BC34" i="170"/>
  <c r="BJ34" i="170"/>
  <c r="AX36" i="170"/>
  <c r="BC36" i="170"/>
  <c r="BJ36" i="170"/>
  <c r="AX20" i="169"/>
  <c r="BC20" i="169"/>
  <c r="BJ20" i="169"/>
  <c r="AX22" i="169"/>
  <c r="BC22" i="169"/>
  <c r="BJ22" i="169"/>
  <c r="AX24" i="169"/>
  <c r="BC24" i="169"/>
  <c r="BJ24" i="169"/>
  <c r="AX26" i="169"/>
  <c r="BC26" i="169"/>
  <c r="BJ26" i="169"/>
  <c r="AX28" i="169"/>
  <c r="BC28" i="169"/>
  <c r="BJ28" i="169"/>
  <c r="AX30" i="169"/>
  <c r="BC30" i="169"/>
  <c r="BJ30" i="169"/>
  <c r="AX32" i="169"/>
  <c r="BC32" i="169"/>
  <c r="BJ32" i="169"/>
  <c r="AX34" i="169"/>
  <c r="BC34" i="169"/>
  <c r="BJ34" i="169"/>
  <c r="AX36" i="169"/>
  <c r="BC36" i="169"/>
  <c r="BJ36" i="169"/>
  <c r="AX20" i="168"/>
  <c r="BA20" i="168"/>
  <c r="BB20" i="168"/>
  <c r="AN148" i="257" s="1" a="1"/>
  <c r="AN148" i="257" s="1"/>
  <c r="BC20" i="168"/>
  <c r="BF20" i="168"/>
  <c r="BG20" i="168"/>
  <c r="BJ20" i="168"/>
  <c r="BK20" i="168"/>
  <c r="BW20" i="168"/>
  <c r="AX22" i="168"/>
  <c r="BA22" i="168"/>
  <c r="BB22" i="168"/>
  <c r="AN149" i="257" s="1" a="1"/>
  <c r="AN149" i="257" s="1"/>
  <c r="BC22" i="168"/>
  <c r="BF22" i="168"/>
  <c r="BG22" i="168"/>
  <c r="BJ22" i="168"/>
  <c r="BK22" i="168"/>
  <c r="BN22" i="168" s="1"/>
  <c r="BW22" i="168"/>
  <c r="AX24" i="168"/>
  <c r="BA24" i="168"/>
  <c r="BB24" i="168"/>
  <c r="AN150" i="257" s="1" a="1"/>
  <c r="AN150" i="257" s="1"/>
  <c r="BC24" i="168"/>
  <c r="BF24" i="168"/>
  <c r="BG24" i="168"/>
  <c r="BJ24" i="168"/>
  <c r="BK24" i="168"/>
  <c r="BN24" i="168" s="1"/>
  <c r="BW24" i="168"/>
  <c r="AX26" i="168"/>
  <c r="BA26" i="168"/>
  <c r="BB26" i="168"/>
  <c r="AN151" i="257" s="1" a="1"/>
  <c r="AN151" i="257" s="1"/>
  <c r="BC26" i="168"/>
  <c r="BF26" i="168"/>
  <c r="BG26" i="168"/>
  <c r="BJ26" i="168"/>
  <c r="BK26" i="168"/>
  <c r="BN26" i="168" s="1"/>
  <c r="BW26" i="168"/>
  <c r="AX28" i="168"/>
  <c r="BA28" i="168"/>
  <c r="BB28" i="168"/>
  <c r="AN152" i="257" s="1" a="1"/>
  <c r="AN152" i="257" s="1"/>
  <c r="BC28" i="168"/>
  <c r="BF28" i="168"/>
  <c r="BG28" i="168"/>
  <c r="BJ28" i="168"/>
  <c r="BK28" i="168"/>
  <c r="BW28" i="168"/>
  <c r="AX30" i="168"/>
  <c r="BA30" i="168"/>
  <c r="BB30" i="168"/>
  <c r="AN153" i="257" s="1" a="1"/>
  <c r="AN153" i="257" s="1"/>
  <c r="BC30" i="168"/>
  <c r="BF30" i="168"/>
  <c r="BG30" i="168"/>
  <c r="BJ30" i="168"/>
  <c r="BK30" i="168"/>
  <c r="BW30" i="168"/>
  <c r="AX32" i="168"/>
  <c r="BA32" i="168"/>
  <c r="BB32" i="168"/>
  <c r="AN154" i="257" s="1" a="1"/>
  <c r="AN154" i="257" s="1"/>
  <c r="BC32" i="168"/>
  <c r="BF32" i="168"/>
  <c r="BG32" i="168"/>
  <c r="BJ32" i="168"/>
  <c r="BK32" i="168"/>
  <c r="BW32" i="168"/>
  <c r="AX34" i="168"/>
  <c r="BA34" i="168"/>
  <c r="BB34" i="168"/>
  <c r="AN155" i="257" s="1" a="1"/>
  <c r="AN155" i="257" s="1"/>
  <c r="BC34" i="168"/>
  <c r="BF34" i="168"/>
  <c r="BG34" i="168"/>
  <c r="BJ34" i="168"/>
  <c r="BK34" i="168"/>
  <c r="BW34" i="168"/>
  <c r="AX36" i="168"/>
  <c r="BA36" i="168"/>
  <c r="BB36" i="168"/>
  <c r="AN156" i="257" s="1" a="1"/>
  <c r="AN156" i="257" s="1"/>
  <c r="BC36" i="168"/>
  <c r="BF36" i="168"/>
  <c r="BG36" i="168"/>
  <c r="BJ36" i="168"/>
  <c r="BK36" i="168"/>
  <c r="BW36" i="168"/>
  <c r="CA20" i="161"/>
  <c r="CB20" i="161"/>
  <c r="CA22" i="161"/>
  <c r="CB22" i="161"/>
  <c r="CA24" i="161"/>
  <c r="CB24" i="161"/>
  <c r="CA26" i="161"/>
  <c r="CB26" i="161"/>
  <c r="CA28" i="161"/>
  <c r="CB28" i="161"/>
  <c r="CA30" i="161"/>
  <c r="CB30" i="161"/>
  <c r="CA32" i="161"/>
  <c r="CB32" i="161"/>
  <c r="CA34" i="161"/>
  <c r="CB34" i="161"/>
  <c r="CA36" i="161"/>
  <c r="CB36" i="161"/>
  <c r="CA38" i="161"/>
  <c r="CB38" i="161"/>
  <c r="CA40" i="161"/>
  <c r="CB40" i="161"/>
  <c r="CA42" i="161"/>
  <c r="CB42" i="161"/>
  <c r="CA44" i="161"/>
  <c r="CB44" i="161"/>
  <c r="CA46" i="161"/>
  <c r="CB46" i="161"/>
  <c r="CA48" i="161"/>
  <c r="CB48" i="161"/>
  <c r="CA50" i="161"/>
  <c r="CB50" i="161"/>
  <c r="CA52" i="161"/>
  <c r="CB52" i="161"/>
  <c r="CA54" i="161"/>
  <c r="CB54" i="161"/>
  <c r="CA56" i="161"/>
  <c r="CB56" i="161"/>
  <c r="CA58" i="161"/>
  <c r="CB58" i="161"/>
  <c r="CA60" i="161"/>
  <c r="CB60" i="161"/>
  <c r="CA62" i="161"/>
  <c r="CB62" i="161"/>
  <c r="CA64" i="161"/>
  <c r="CB64" i="161"/>
  <c r="CA66" i="161"/>
  <c r="CB66" i="161"/>
  <c r="CA68" i="161"/>
  <c r="CB68" i="161"/>
  <c r="CA70" i="161"/>
  <c r="CB70" i="161"/>
  <c r="CA72" i="161"/>
  <c r="CB72" i="161"/>
  <c r="CA74" i="161"/>
  <c r="CB74" i="161"/>
  <c r="CA76" i="161"/>
  <c r="CB76" i="161"/>
  <c r="CA78" i="161"/>
  <c r="CB78" i="161"/>
  <c r="CA80" i="161"/>
  <c r="CB80" i="161"/>
  <c r="CA82" i="161"/>
  <c r="CB82" i="161"/>
  <c r="CA84" i="161"/>
  <c r="CB84" i="161"/>
  <c r="CA86" i="161"/>
  <c r="CB86" i="161"/>
  <c r="AX18" i="168"/>
  <c r="BA18" i="168"/>
  <c r="BB18" i="168"/>
  <c r="AN147" i="257" s="1" a="1"/>
  <c r="AN147" i="257" s="1"/>
  <c r="BC18" i="168"/>
  <c r="BF18" i="168"/>
  <c r="BG18" i="168"/>
  <c r="BJ18" i="168"/>
  <c r="BK18" i="168"/>
  <c r="BW18" i="168"/>
  <c r="AX18" i="167"/>
  <c r="BC18" i="167"/>
  <c r="BJ18" i="167"/>
  <c r="BF18" i="161"/>
  <c r="BJ18" i="161"/>
  <c r="AA237" i="257" a="1"/>
  <c r="AA237" i="257" s="1"/>
  <c r="AA238" i="257" a="1"/>
  <c r="AA238" i="257" s="1"/>
  <c r="AA239" i="257" a="1"/>
  <c r="AA239" i="257" s="1"/>
  <c r="AA240" i="257" a="1"/>
  <c r="AA240" i="257" s="1"/>
  <c r="AA241" i="257" a="1"/>
  <c r="AA241" i="257" s="1"/>
  <c r="AA221" i="257" a="1"/>
  <c r="AA221" i="257" s="1"/>
  <c r="AA222" i="257" a="1"/>
  <c r="AA222" i="257" s="1"/>
  <c r="AA223" i="257" a="1"/>
  <c r="AA223" i="257" s="1"/>
  <c r="AA224" i="257" a="1"/>
  <c r="AA224" i="257" s="1"/>
  <c r="AA225" i="257" a="1"/>
  <c r="AA225" i="257" s="1"/>
  <c r="AA205" i="257" a="1"/>
  <c r="AA205" i="257" s="1"/>
  <c r="AA206" i="257" a="1"/>
  <c r="AA206" i="257" s="1"/>
  <c r="AA207" i="257" a="1"/>
  <c r="AA207" i="257" s="1"/>
  <c r="AA208" i="257" a="1"/>
  <c r="AA208" i="257" s="1"/>
  <c r="AA209" i="257" a="1"/>
  <c r="AA209" i="257" s="1"/>
  <c r="AA189" i="257" a="1"/>
  <c r="AA189" i="257" s="1"/>
  <c r="AA190" i="257" a="1"/>
  <c r="AA190" i="257" s="1"/>
  <c r="AA191" i="257" a="1"/>
  <c r="AA191" i="257" s="1"/>
  <c r="AA192" i="257" a="1"/>
  <c r="AA192" i="257" s="1"/>
  <c r="AA193" i="257" a="1"/>
  <c r="AA193" i="257" s="1"/>
  <c r="AA173" i="257" a="1"/>
  <c r="AA173" i="257" s="1"/>
  <c r="AA174" i="257" a="1"/>
  <c r="AA174" i="257" s="1"/>
  <c r="AA175" i="257" a="1"/>
  <c r="AA175" i="257" s="1"/>
  <c r="AA176" i="257" a="1"/>
  <c r="AA176" i="257" s="1"/>
  <c r="AA177" i="257" a="1"/>
  <c r="AA177" i="257" s="1"/>
  <c r="AA157" i="257" a="1"/>
  <c r="AA157" i="257" s="1"/>
  <c r="AA158" i="257" a="1"/>
  <c r="AA158" i="257" s="1"/>
  <c r="AA159" i="257" a="1"/>
  <c r="AA159" i="257" s="1"/>
  <c r="AA160" i="257" a="1"/>
  <c r="AA160" i="257" s="1"/>
  <c r="AA161" i="257" a="1"/>
  <c r="AA161" i="257" s="1"/>
  <c r="AA110" i="257" a="1"/>
  <c r="AA110" i="257" s="1"/>
  <c r="AA111" i="257" a="1"/>
  <c r="AA111" i="257" s="1"/>
  <c r="AA112" i="257" a="1"/>
  <c r="AA112" i="257" s="1"/>
  <c r="AA113" i="257" a="1"/>
  <c r="AA113" i="257" s="1"/>
  <c r="AA114" i="257" a="1"/>
  <c r="AA114" i="257" s="1"/>
  <c r="AA94" i="257" a="1"/>
  <c r="AA94" i="257" s="1"/>
  <c r="AA95" i="257" a="1"/>
  <c r="AA95" i="257" s="1"/>
  <c r="AA96" i="257" a="1"/>
  <c r="AA96" i="257" s="1"/>
  <c r="AA97" i="257" a="1"/>
  <c r="AA97" i="257" s="1"/>
  <c r="AA98" i="257" a="1"/>
  <c r="AA98" i="257" s="1"/>
  <c r="AA78" i="257" a="1"/>
  <c r="AA78" i="257" s="1"/>
  <c r="AA79" i="257" a="1"/>
  <c r="AA79" i="257" s="1"/>
  <c r="AA80" i="257" a="1"/>
  <c r="AA80" i="257" s="1"/>
  <c r="AA81" i="257" a="1"/>
  <c r="AA81" i="257" s="1"/>
  <c r="AA82" i="257" a="1"/>
  <c r="AA82" i="257" s="1"/>
  <c r="AA61" i="257" a="1"/>
  <c r="AA61" i="257" s="1"/>
  <c r="AA62" i="257" a="1"/>
  <c r="AA62" i="257" s="1"/>
  <c r="AA63" i="257" a="1"/>
  <c r="AA63" i="257" s="1"/>
  <c r="AA64" i="257" a="1"/>
  <c r="AA64" i="257" s="1"/>
  <c r="AA65" i="257" a="1"/>
  <c r="AA65" i="257" s="1"/>
  <c r="AA45" i="257" a="1"/>
  <c r="AA45" i="257" s="1"/>
  <c r="AA46" i="257" a="1"/>
  <c r="AA46" i="257" s="1"/>
  <c r="AA47" i="257" a="1"/>
  <c r="AA47" i="257" s="1"/>
  <c r="AA48" i="257" a="1"/>
  <c r="AA48" i="257" s="1"/>
  <c r="AA49" i="257" a="1"/>
  <c r="AA49" i="257" s="1"/>
  <c r="BN30" i="168" l="1"/>
  <c r="BN36" i="159"/>
  <c r="BN36" i="168"/>
  <c r="BV36" i="170" a="1"/>
  <c r="BV36" i="170" s="1"/>
  <c r="BX36" i="170" a="1"/>
  <c r="BX36" i="170" s="1"/>
  <c r="BX40" i="167" a="1"/>
  <c r="BX40" i="167" s="1"/>
  <c r="E127" i="257" s="1" a="1"/>
  <c r="E127" i="257" s="1"/>
  <c r="BX20" i="170" a="1"/>
  <c r="BX20" i="170" s="1"/>
  <c r="E180" i="257" s="1" a="1"/>
  <c r="E180" i="257" s="1"/>
  <c r="BX64" i="167" a="1"/>
  <c r="BX64" i="167" s="1"/>
  <c r="E139" i="257" s="1" a="1"/>
  <c r="E139" i="257" s="1"/>
  <c r="BV48" i="167" a="1"/>
  <c r="BV48" i="167" s="1"/>
  <c r="BX48" i="167" a="1"/>
  <c r="BX48" i="167" s="1"/>
  <c r="E131" i="257" s="1" a="1"/>
  <c r="E131" i="257" s="1"/>
  <c r="BV24" i="167" a="1"/>
  <c r="BV24" i="167" s="1"/>
  <c r="BX24" i="167" a="1"/>
  <c r="BX24" i="167" s="1"/>
  <c r="E119" i="257" s="1" a="1"/>
  <c r="E119" i="257" s="1"/>
  <c r="BX30" i="169" a="1"/>
  <c r="BX30" i="169" s="1"/>
  <c r="E169" i="257" s="1" a="1"/>
  <c r="E169" i="257" s="1"/>
  <c r="BV22" i="169" a="1"/>
  <c r="BV22" i="169" s="1"/>
  <c r="BX22" i="169" a="1"/>
  <c r="BX22" i="169" s="1"/>
  <c r="E165" i="257" s="1" a="1"/>
  <c r="E165" i="257" s="1"/>
  <c r="BV32" i="170" a="1"/>
  <c r="BV32" i="170" s="1"/>
  <c r="BX32" i="170" a="1"/>
  <c r="BX32" i="170" s="1"/>
  <c r="BV24" i="170" a="1"/>
  <c r="BV24" i="170" s="1"/>
  <c r="BX24" i="170" a="1"/>
  <c r="BX24" i="170" s="1"/>
  <c r="BV34" i="175" a="1"/>
  <c r="BV34" i="175" s="1"/>
  <c r="BX34" i="175" a="1"/>
  <c r="BX34" i="175" s="1"/>
  <c r="E235" i="257" s="1" a="1"/>
  <c r="E235" i="257" s="1"/>
  <c r="BX26" i="175" a="1"/>
  <c r="BX26" i="175" s="1"/>
  <c r="E231" i="257" s="1" a="1"/>
  <c r="E231" i="257" s="1"/>
  <c r="BX36" i="171" a="1"/>
  <c r="BX36" i="171" s="1"/>
  <c r="E204" i="257" s="1" a="1"/>
  <c r="E204" i="257" s="1"/>
  <c r="BX28" i="171" a="1"/>
  <c r="BX28" i="171" s="1"/>
  <c r="E200" i="257" s="1" a="1"/>
  <c r="E200" i="257" s="1"/>
  <c r="BX20" i="171" a="1"/>
  <c r="BX20" i="171" s="1"/>
  <c r="E196" i="257" s="1" a="1"/>
  <c r="E196" i="257" s="1"/>
  <c r="BX30" i="13" a="1"/>
  <c r="BX30" i="13" s="1"/>
  <c r="E217" i="257" s="1" a="1"/>
  <c r="E217" i="257" s="1"/>
  <c r="BV22" i="13" a="1"/>
  <c r="BV22" i="13" s="1"/>
  <c r="BX22" i="13" a="1"/>
  <c r="BX22" i="13" s="1"/>
  <c r="E213" i="257" s="1" a="1"/>
  <c r="E213" i="257" s="1"/>
  <c r="BV20" i="176" a="1"/>
  <c r="BV20" i="176" s="1"/>
  <c r="BX20" i="176" a="1"/>
  <c r="BX20" i="176" s="1"/>
  <c r="E244" i="257" s="1" a="1"/>
  <c r="E244" i="257" s="1"/>
  <c r="BX36" i="168" a="1"/>
  <c r="BX36" i="168" s="1"/>
  <c r="E156" i="257" s="1" a="1"/>
  <c r="E156" i="257" s="1"/>
  <c r="BV20" i="168" a="1"/>
  <c r="BV20" i="168" s="1"/>
  <c r="BX20" i="168" a="1"/>
  <c r="BX20" i="168" s="1"/>
  <c r="E148" i="257" s="1" a="1"/>
  <c r="E148" i="257" s="1"/>
  <c r="BV56" i="167" a="1"/>
  <c r="BV56" i="167" s="1"/>
  <c r="BX56" i="167" a="1"/>
  <c r="BX56" i="167" s="1"/>
  <c r="E135" i="257" s="1" a="1"/>
  <c r="E135" i="257" s="1"/>
  <c r="BV30" i="168" a="1"/>
  <c r="BV30" i="168" s="1"/>
  <c r="BX30" i="168" a="1"/>
  <c r="BX30" i="168" s="1"/>
  <c r="E153" i="257" s="1" a="1"/>
  <c r="E153" i="257" s="1"/>
  <c r="BV34" i="169" a="1"/>
  <c r="BV34" i="169" s="1"/>
  <c r="BX34" i="169" a="1"/>
  <c r="BX34" i="169" s="1"/>
  <c r="E171" i="257" s="1" a="1"/>
  <c r="E171" i="257" s="1"/>
  <c r="BV32" i="171" a="1"/>
  <c r="BV32" i="171" s="1"/>
  <c r="BX32" i="171" a="1"/>
  <c r="BX32" i="171" s="1"/>
  <c r="E202" i="257" s="1" a="1"/>
  <c r="E202" i="257" s="1"/>
  <c r="BX32" i="167" a="1"/>
  <c r="BX32" i="167" s="1"/>
  <c r="E123" i="257" s="1" a="1"/>
  <c r="E123" i="257" s="1"/>
  <c r="BV22" i="168" a="1"/>
  <c r="BV22" i="168" s="1"/>
  <c r="BX22" i="168" a="1"/>
  <c r="BX22" i="168" s="1"/>
  <c r="BV70" i="167" a="1"/>
  <c r="BV70" i="167" s="1"/>
  <c r="BX70" i="167" a="1"/>
  <c r="BX70" i="167" s="1"/>
  <c r="E142" i="257" s="1" a="1"/>
  <c r="E142" i="257" s="1"/>
  <c r="BV62" i="167" a="1"/>
  <c r="BV62" i="167" s="1"/>
  <c r="BX62" i="167" a="1"/>
  <c r="BX62" i="167" s="1"/>
  <c r="E138" i="257" s="1" a="1"/>
  <c r="E138" i="257" s="1"/>
  <c r="BV54" i="167" a="1"/>
  <c r="BV54" i="167" s="1"/>
  <c r="BX54" i="167" a="1"/>
  <c r="BX54" i="167" s="1"/>
  <c r="E134" i="257" s="1" a="1"/>
  <c r="E134" i="257" s="1"/>
  <c r="BV46" i="167" a="1"/>
  <c r="BV46" i="167" s="1"/>
  <c r="BX46" i="167" a="1"/>
  <c r="BX46" i="167" s="1"/>
  <c r="E130" i="257" s="1" a="1"/>
  <c r="E130" i="257" s="1"/>
  <c r="BV38" i="167" a="1"/>
  <c r="BV38" i="167" s="1"/>
  <c r="BX38" i="167" a="1"/>
  <c r="BX38" i="167" s="1"/>
  <c r="E126" i="257" s="1" a="1"/>
  <c r="E126" i="257" s="1"/>
  <c r="BX30" i="167" a="1"/>
  <c r="BX30" i="167" s="1"/>
  <c r="E122" i="257" s="1" a="1"/>
  <c r="E122" i="257" s="1"/>
  <c r="BV22" i="167" a="1"/>
  <c r="BV22" i="167" s="1"/>
  <c r="BX22" i="167" a="1"/>
  <c r="BX22" i="167" s="1"/>
  <c r="E118" i="257" s="1" a="1"/>
  <c r="E118" i="257" s="1"/>
  <c r="BV28" i="170" a="1"/>
  <c r="BV28" i="170" s="1"/>
  <c r="BX28" i="170" a="1"/>
  <c r="BX28" i="170" s="1"/>
  <c r="E184" i="257" s="1" a="1"/>
  <c r="E184" i="257" s="1"/>
  <c r="BV26" i="13" a="1"/>
  <c r="BV26" i="13" s="1"/>
  <c r="BX26" i="13" a="1"/>
  <c r="BX26" i="13" s="1"/>
  <c r="E215" i="257" s="1" a="1"/>
  <c r="E215" i="257" s="1"/>
  <c r="BV28" i="168" a="1"/>
  <c r="BV28" i="168" s="1"/>
  <c r="BX28" i="168" a="1"/>
  <c r="BX28" i="168" s="1"/>
  <c r="E152" i="257" s="1" a="1"/>
  <c r="E152" i="257" s="1"/>
  <c r="BV26" i="171" a="1"/>
  <c r="BV26" i="171" s="1"/>
  <c r="BX26" i="171" a="1"/>
  <c r="BX26" i="171" s="1"/>
  <c r="E199" i="257" s="1" a="1"/>
  <c r="E199" i="257" s="1"/>
  <c r="BX28" i="13" a="1"/>
  <c r="BX28" i="13" s="1"/>
  <c r="E216" i="257" s="1" a="1"/>
  <c r="E216" i="257" s="1"/>
  <c r="BV24" i="168" a="1"/>
  <c r="BV24" i="168" s="1"/>
  <c r="BX24" i="168" a="1"/>
  <c r="BX24" i="168" s="1"/>
  <c r="BV24" i="171" a="1"/>
  <c r="BV24" i="171" s="1"/>
  <c r="BX24" i="171" a="1"/>
  <c r="BX24" i="171" s="1"/>
  <c r="E198" i="257" s="1" a="1"/>
  <c r="E198" i="257" s="1"/>
  <c r="BX36" i="169" a="1"/>
  <c r="BX36" i="169" s="1"/>
  <c r="E172" i="257" s="1" a="1"/>
  <c r="E172" i="257" s="1"/>
  <c r="BX28" i="169" a="1"/>
  <c r="BX28" i="169" s="1"/>
  <c r="E168" i="257" s="1" a="1"/>
  <c r="E168" i="257" s="1"/>
  <c r="BV20" i="169" a="1"/>
  <c r="BV20" i="169" s="1"/>
  <c r="BX20" i="169" a="1"/>
  <c r="BX20" i="169" s="1"/>
  <c r="E164" i="257" s="1" a="1"/>
  <c r="E164" i="257" s="1"/>
  <c r="BX30" i="170" a="1"/>
  <c r="BX30" i="170" s="1"/>
  <c r="E185" i="257" s="1" a="1"/>
  <c r="E185" i="257" s="1"/>
  <c r="BV22" i="170" a="1"/>
  <c r="BV22" i="170" s="1"/>
  <c r="BX22" i="170" a="1"/>
  <c r="BX22" i="170" s="1"/>
  <c r="E181" i="257" s="1" a="1"/>
  <c r="E181" i="257" s="1"/>
  <c r="BX32" i="175" a="1"/>
  <c r="BX32" i="175" s="1"/>
  <c r="E234" i="257" s="1" a="1"/>
  <c r="E234" i="257" s="1"/>
  <c r="BV24" i="175" a="1"/>
  <c r="BV24" i="175" s="1"/>
  <c r="BX24" i="175" a="1"/>
  <c r="BX24" i="175" s="1"/>
  <c r="E230" i="257" s="1" a="1"/>
  <c r="E230" i="257" s="1"/>
  <c r="BV34" i="171" a="1"/>
  <c r="BV34" i="171" s="1"/>
  <c r="BX34" i="171" a="1"/>
  <c r="BX34" i="171" s="1"/>
  <c r="E203" i="257" s="1" a="1"/>
  <c r="E203" i="257" s="1"/>
  <c r="BV36" i="13" a="1"/>
  <c r="BV36" i="13" s="1"/>
  <c r="BX36" i="13" a="1"/>
  <c r="BX36" i="13" s="1"/>
  <c r="E220" i="257" s="1" a="1"/>
  <c r="E220" i="257" s="1"/>
  <c r="BV20" i="13" a="1"/>
  <c r="BV20" i="13" s="1"/>
  <c r="BX20" i="13" a="1"/>
  <c r="BX20" i="13" s="1"/>
  <c r="E212" i="257" s="1" a="1"/>
  <c r="E212" i="257" s="1"/>
  <c r="BV32" i="168" a="1"/>
  <c r="BV32" i="168" s="1"/>
  <c r="BX32" i="168" a="1"/>
  <c r="BX32" i="168" s="1"/>
  <c r="E154" i="257" s="1" a="1"/>
  <c r="E154" i="257" s="1"/>
  <c r="BV18" i="168" a="1"/>
  <c r="BV18" i="168" s="1"/>
  <c r="BX18" i="168" a="1"/>
  <c r="BX18" i="168" s="1"/>
  <c r="E147" i="257" s="1" a="1"/>
  <c r="E147" i="257" s="1"/>
  <c r="BV76" i="167" a="1"/>
  <c r="BV76" i="167" s="1"/>
  <c r="BX76" i="167" a="1"/>
  <c r="BX76" i="167" s="1"/>
  <c r="BV68" i="167" a="1"/>
  <c r="BV68" i="167" s="1"/>
  <c r="BX68" i="167" a="1"/>
  <c r="BX68" i="167" s="1"/>
  <c r="E141" i="257" s="1" a="1"/>
  <c r="E141" i="257" s="1"/>
  <c r="BV60" i="167" a="1"/>
  <c r="BV60" i="167" s="1"/>
  <c r="BX60" i="167" a="1"/>
  <c r="BX60" i="167" s="1"/>
  <c r="E137" i="257" s="1" a="1"/>
  <c r="E137" i="257" s="1"/>
  <c r="BV52" i="167" a="1"/>
  <c r="BV52" i="167" s="1"/>
  <c r="BX52" i="167" a="1"/>
  <c r="BX52" i="167" s="1"/>
  <c r="E133" i="257" s="1" a="1"/>
  <c r="E133" i="257" s="1"/>
  <c r="BX44" i="167" a="1"/>
  <c r="BX44" i="167" s="1"/>
  <c r="E129" i="257" s="1" a="1"/>
  <c r="E129" i="257" s="1"/>
  <c r="BV36" i="167" a="1"/>
  <c r="BV36" i="167" s="1"/>
  <c r="BX36" i="167" a="1"/>
  <c r="BX36" i="167" s="1"/>
  <c r="E125" i="257" s="1" a="1"/>
  <c r="E125" i="257" s="1"/>
  <c r="BV28" i="167" a="1"/>
  <c r="BV28" i="167" s="1"/>
  <c r="BX28" i="167" a="1"/>
  <c r="BX28" i="167" s="1"/>
  <c r="E121" i="257" s="1" a="1"/>
  <c r="E121" i="257" s="1"/>
  <c r="BV20" i="167" a="1"/>
  <c r="BV20" i="167" s="1"/>
  <c r="BX20" i="167" a="1"/>
  <c r="BX20" i="167" s="1"/>
  <c r="E117" i="257" s="1" a="1"/>
  <c r="E117" i="257" s="1"/>
  <c r="BV34" i="13" a="1"/>
  <c r="BV34" i="13" s="1"/>
  <c r="BX34" i="13" a="1"/>
  <c r="BX34" i="13" s="1"/>
  <c r="E219" i="257" s="1" a="1"/>
  <c r="E219" i="257" s="1"/>
  <c r="BX30" i="175" a="1"/>
  <c r="BX30" i="175" s="1"/>
  <c r="E233" i="257" s="1" a="1"/>
  <c r="E233" i="257" s="1"/>
  <c r="BV74" i="167" a="1"/>
  <c r="BV74" i="167" s="1"/>
  <c r="BX74" i="167" a="1"/>
  <c r="BX74" i="167" s="1"/>
  <c r="E144" i="257" s="1" a="1"/>
  <c r="E144" i="257" s="1"/>
  <c r="BV66" i="167" a="1"/>
  <c r="BV66" i="167" s="1"/>
  <c r="BX66" i="167" a="1"/>
  <c r="BX66" i="167" s="1"/>
  <c r="E140" i="257" s="1" a="1"/>
  <c r="E140" i="257" s="1"/>
  <c r="BV58" i="167" a="1"/>
  <c r="BV58" i="167" s="1"/>
  <c r="BX58" i="167" a="1"/>
  <c r="BX58" i="167" s="1"/>
  <c r="E136" i="257" s="1" a="1"/>
  <c r="E136" i="257" s="1"/>
  <c r="BV50" i="167" a="1"/>
  <c r="BV50" i="167" s="1"/>
  <c r="BX50" i="167" a="1"/>
  <c r="BX50" i="167" s="1"/>
  <c r="E132" i="257" s="1" a="1"/>
  <c r="E132" i="257" s="1"/>
  <c r="BV42" i="167" a="1"/>
  <c r="BV42" i="167" s="1"/>
  <c r="BX42" i="167" a="1"/>
  <c r="BX42" i="167" s="1"/>
  <c r="E128" i="257" s="1" a="1"/>
  <c r="E128" i="257" s="1"/>
  <c r="BV34" i="167" a="1"/>
  <c r="BV34" i="167" s="1"/>
  <c r="BX34" i="167" a="1"/>
  <c r="BX34" i="167" s="1"/>
  <c r="E124" i="257" s="1" a="1"/>
  <c r="E124" i="257" s="1"/>
  <c r="BV26" i="167" a="1"/>
  <c r="BV26" i="167" s="1"/>
  <c r="BX26" i="167" a="1"/>
  <c r="BX26" i="167" s="1"/>
  <c r="E120" i="257" s="1" a="1"/>
  <c r="E120" i="257" s="1"/>
  <c r="BX26" i="169" a="1"/>
  <c r="BX26" i="169" s="1"/>
  <c r="E167" i="257" s="1" a="1"/>
  <c r="E167" i="257" s="1"/>
  <c r="BV22" i="175" a="1"/>
  <c r="BV22" i="175" s="1"/>
  <c r="BX22" i="175" a="1"/>
  <c r="BX22" i="175" s="1"/>
  <c r="E229" i="257" s="1" a="1"/>
  <c r="E229" i="257" s="1"/>
  <c r="BV24" i="176" a="1"/>
  <c r="BV24" i="176" s="1"/>
  <c r="BX24" i="176" a="1"/>
  <c r="BX24" i="176" s="1"/>
  <c r="E246" i="257" s="1" a="1"/>
  <c r="E246" i="257" s="1"/>
  <c r="BX34" i="168" a="1"/>
  <c r="BX34" i="168" s="1"/>
  <c r="E155" i="257" s="1" a="1"/>
  <c r="E155" i="257" s="1"/>
  <c r="BV26" i="168" a="1"/>
  <c r="BV26" i="168" s="1"/>
  <c r="BX26" i="168" a="1"/>
  <c r="BX26" i="168" s="1"/>
  <c r="E151" i="257" s="1" a="1"/>
  <c r="E151" i="257" s="1"/>
  <c r="BV32" i="169" a="1"/>
  <c r="BV32" i="169" s="1"/>
  <c r="BX32" i="169" a="1"/>
  <c r="BX32" i="169" s="1"/>
  <c r="E170" i="257" s="1" a="1"/>
  <c r="E170" i="257" s="1"/>
  <c r="BV24" i="169" a="1"/>
  <c r="BV24" i="169" s="1"/>
  <c r="BX24" i="169" a="1"/>
  <c r="BX24" i="169" s="1"/>
  <c r="E166" i="257" s="1" a="1"/>
  <c r="E166" i="257" s="1"/>
  <c r="BV34" i="170" a="1"/>
  <c r="BV34" i="170" s="1"/>
  <c r="BX34" i="170" a="1"/>
  <c r="BX34" i="170" s="1"/>
  <c r="E187" i="257" s="1" a="1"/>
  <c r="E187" i="257" s="1"/>
  <c r="BX26" i="170" a="1"/>
  <c r="BX26" i="170" s="1"/>
  <c r="E183" i="257" s="1" a="1"/>
  <c r="E183" i="257" s="1"/>
  <c r="BV36" i="175" a="1"/>
  <c r="BV36" i="175" s="1"/>
  <c r="BX36" i="175" a="1"/>
  <c r="BX36" i="175" s="1"/>
  <c r="E236" i="257" s="1" a="1"/>
  <c r="E236" i="257" s="1"/>
  <c r="BX28" i="175" a="1"/>
  <c r="BX28" i="175" s="1"/>
  <c r="E232" i="257" s="1" a="1"/>
  <c r="E232" i="257" s="1"/>
  <c r="BX20" i="175" a="1"/>
  <c r="BX20" i="175" s="1"/>
  <c r="E228" i="257" s="1" a="1"/>
  <c r="E228" i="257" s="1"/>
  <c r="BX30" i="171" a="1"/>
  <c r="BX30" i="171" s="1"/>
  <c r="E201" i="257" s="1" a="1"/>
  <c r="E201" i="257" s="1"/>
  <c r="BV22" i="171" a="1"/>
  <c r="BV22" i="171" s="1"/>
  <c r="BX22" i="171" a="1"/>
  <c r="BX22" i="171" s="1"/>
  <c r="E197" i="257" s="1" a="1"/>
  <c r="E197" i="257" s="1"/>
  <c r="BX32" i="13" a="1"/>
  <c r="BX32" i="13" s="1"/>
  <c r="E218" i="257" s="1" a="1"/>
  <c r="E218" i="257" s="1"/>
  <c r="BV24" i="13" a="1"/>
  <c r="BV24" i="13" s="1"/>
  <c r="BX24" i="13" a="1"/>
  <c r="BX24" i="13" s="1"/>
  <c r="E214" i="257" s="1" a="1"/>
  <c r="E214" i="257" s="1"/>
  <c r="BV22" i="176" a="1"/>
  <c r="BV22" i="176" s="1"/>
  <c r="BX22" i="176" a="1"/>
  <c r="BX22" i="176" s="1"/>
  <c r="E245" i="257" s="1" a="1"/>
  <c r="E245" i="257" s="1"/>
  <c r="AM156" i="257" a="1"/>
  <c r="AM156" i="257" s="1"/>
  <c r="BE36" i="168"/>
  <c r="BD36" i="168" s="1"/>
  <c r="L156" i="257" s="1"/>
  <c r="BE20" i="168"/>
  <c r="BD20" i="168" s="1"/>
  <c r="L148" i="257" s="1"/>
  <c r="AM148" i="257" a="1"/>
  <c r="AM148" i="257" s="1"/>
  <c r="AM152" i="257" a="1"/>
  <c r="AM152" i="257" s="1"/>
  <c r="BE28" i="168"/>
  <c r="BD28" i="168" s="1"/>
  <c r="L152" i="257" s="1"/>
  <c r="AM153" i="257" a="1"/>
  <c r="AM153" i="257" s="1"/>
  <c r="BE30" i="168"/>
  <c r="BD30" i="168" s="1"/>
  <c r="L153" i="257" s="1"/>
  <c r="BE22" i="168"/>
  <c r="BD22" i="168" s="1"/>
  <c r="L149" i="257" s="1"/>
  <c r="AM149" i="257" a="1"/>
  <c r="AM149" i="257" s="1"/>
  <c r="AM154" i="257" a="1"/>
  <c r="AM154" i="257" s="1"/>
  <c r="BE32" i="168"/>
  <c r="BD32" i="168" s="1"/>
  <c r="L154" i="257" s="1"/>
  <c r="BE24" i="168"/>
  <c r="BD24" i="168" s="1"/>
  <c r="L150" i="257" s="1"/>
  <c r="AM150" i="257" a="1"/>
  <c r="AM150" i="257" s="1"/>
  <c r="BE18" i="168"/>
  <c r="BD18" i="168" s="1"/>
  <c r="L147" i="257" s="1"/>
  <c r="AM147" i="257" a="1"/>
  <c r="AM147" i="257" s="1"/>
  <c r="AM155" i="257" a="1"/>
  <c r="AM155" i="257" s="1"/>
  <c r="BE34" i="168"/>
  <c r="BD34" i="168" s="1"/>
  <c r="L155" i="257" s="1"/>
  <c r="BE26" i="168"/>
  <c r="BD26" i="168" s="1"/>
  <c r="L151" i="257" s="1"/>
  <c r="AM151" i="257" a="1"/>
  <c r="AM151" i="257" s="1"/>
  <c r="BV18" i="167" a="1"/>
  <c r="BV18" i="167" s="1"/>
  <c r="BX18" i="167" a="1"/>
  <c r="BX18" i="167" s="1"/>
  <c r="E116" i="257" s="1" a="1"/>
  <c r="E116" i="257" s="1"/>
  <c r="BN28" i="159"/>
  <c r="BN34" i="168"/>
  <c r="BN18" i="168"/>
  <c r="BN22" i="159"/>
  <c r="BN28" i="168"/>
  <c r="BN30" i="159"/>
  <c r="BN26" i="159"/>
  <c r="BN32" i="168"/>
  <c r="BN20" i="168"/>
  <c r="BN20" i="159"/>
  <c r="BN34" i="159"/>
  <c r="BN32" i="159"/>
  <c r="BN24" i="159"/>
  <c r="BE32" i="256"/>
  <c r="AJ297" i="257" s="1"/>
  <c r="BV30" i="167" a="1"/>
  <c r="BV30" i="167" s="1"/>
  <c r="BE46" i="256"/>
  <c r="AJ304" i="257" s="1"/>
  <c r="BV44" i="167" a="1"/>
  <c r="BV44" i="167" s="1"/>
  <c r="BE78" i="161"/>
  <c r="BE62" i="161"/>
  <c r="BE46" i="161"/>
  <c r="BV32" i="167" a="1"/>
  <c r="BV32" i="167" s="1"/>
  <c r="BV36" i="169" a="1"/>
  <c r="BV36" i="169" s="1"/>
  <c r="BV20" i="171" a="1"/>
  <c r="BV20" i="171" s="1"/>
  <c r="BV28" i="13" a="1"/>
  <c r="BV28" i="13" s="1"/>
  <c r="BE84" i="161"/>
  <c r="BE68" i="161"/>
  <c r="BE52" i="161"/>
  <c r="BE36" i="161"/>
  <c r="BE20" i="161"/>
  <c r="BE74" i="256"/>
  <c r="AJ318" i="257" s="1"/>
  <c r="BE58" i="256"/>
  <c r="AJ310" i="257" s="1"/>
  <c r="BV72" i="167" a="1"/>
  <c r="BV72" i="167" s="1"/>
  <c r="BV30" i="13" a="1"/>
  <c r="BV30" i="13" s="1"/>
  <c r="BV20" i="175" a="1"/>
  <c r="BV20" i="175" s="1"/>
  <c r="BV32" i="13" a="1"/>
  <c r="BV32" i="13" s="1"/>
  <c r="BV20" i="170" a="1"/>
  <c r="BV20" i="170" s="1"/>
  <c r="BV34" i="168" a="1"/>
  <c r="BV34" i="168" s="1"/>
  <c r="BV28" i="171" a="1"/>
  <c r="BV28" i="171" s="1"/>
  <c r="BV36" i="168" a="1"/>
  <c r="BV36" i="168" s="1"/>
  <c r="BV26" i="175" a="1"/>
  <c r="BV26" i="175" s="1"/>
  <c r="BV30" i="171" a="1"/>
  <c r="BV30" i="171" s="1"/>
  <c r="BE30" i="161"/>
  <c r="BE84" i="256"/>
  <c r="AJ323" i="257" s="1"/>
  <c r="BV64" i="167" a="1"/>
  <c r="BV64" i="167" s="1"/>
  <c r="BV28" i="175" a="1"/>
  <c r="BV28" i="175" s="1"/>
  <c r="BV26" i="170" a="1"/>
  <c r="BV26" i="170" s="1"/>
  <c r="BV30" i="175" a="1"/>
  <c r="BV30" i="175" s="1"/>
  <c r="BV40" i="167" a="1"/>
  <c r="BV40" i="167" s="1"/>
  <c r="BV36" i="171" a="1"/>
  <c r="BV36" i="171" s="1"/>
  <c r="BV26" i="169" a="1"/>
  <c r="BV26" i="169" s="1"/>
  <c r="BV32" i="175" a="1"/>
  <c r="BV32" i="175" s="1"/>
  <c r="BV28" i="169" a="1"/>
  <c r="BV28" i="169" s="1"/>
  <c r="BV30" i="170" a="1"/>
  <c r="BV30" i="170" s="1"/>
  <c r="BE72" i="161"/>
  <c r="BE56" i="161"/>
  <c r="BE40" i="161"/>
  <c r="BE24" i="161"/>
  <c r="BV30" i="169" a="1"/>
  <c r="BV30" i="169" s="1"/>
  <c r="BE86" i="161"/>
  <c r="BE70" i="161"/>
  <c r="BE54" i="161"/>
  <c r="BE38" i="161"/>
  <c r="BE22" i="161"/>
  <c r="BE76" i="256"/>
  <c r="AJ319" i="257" s="1"/>
  <c r="BE60" i="256"/>
  <c r="AJ311" i="257" s="1"/>
  <c r="BE44" i="256"/>
  <c r="AJ303" i="257" s="1"/>
  <c r="BE28" i="256"/>
  <c r="AJ295" i="257" s="1"/>
  <c r="BE60" i="161"/>
  <c r="BE52" i="256"/>
  <c r="AJ307" i="257" s="1"/>
  <c r="BE76" i="161"/>
  <c r="BE66" i="256"/>
  <c r="AJ314" i="257" s="1"/>
  <c r="BE28" i="161"/>
  <c r="BE50" i="256"/>
  <c r="AJ306" i="257" s="1"/>
  <c r="BE42" i="256"/>
  <c r="AJ302" i="257" s="1"/>
  <c r="BE26" i="256"/>
  <c r="AJ294" i="257" s="1"/>
  <c r="BE82" i="256"/>
  <c r="AJ322" i="257" s="1"/>
  <c r="BE40" i="256"/>
  <c r="AJ301" i="257" s="1"/>
  <c r="BE24" i="256"/>
  <c r="AJ293" i="257" s="1"/>
  <c r="BE82" i="161"/>
  <c r="BE50" i="161"/>
  <c r="BE44" i="161"/>
  <c r="BE34" i="256"/>
  <c r="AJ298" i="257" s="1"/>
  <c r="BE80" i="161"/>
  <c r="BE64" i="161"/>
  <c r="BE48" i="161"/>
  <c r="BE32" i="161"/>
  <c r="BE86" i="256"/>
  <c r="AJ324" i="257" s="1"/>
  <c r="BE70" i="256"/>
  <c r="AJ316" i="257" s="1"/>
  <c r="BE54" i="256"/>
  <c r="AJ308" i="257" s="1"/>
  <c r="BE38" i="256"/>
  <c r="AJ300" i="257" s="1"/>
  <c r="BE22" i="256"/>
  <c r="AJ292" i="257" s="1"/>
  <c r="BE74" i="161"/>
  <c r="BE58" i="161"/>
  <c r="BE42" i="161"/>
  <c r="BE26" i="161"/>
  <c r="BE80" i="256"/>
  <c r="AJ321" i="257" s="1"/>
  <c r="BE64" i="256"/>
  <c r="AJ313" i="257" s="1"/>
  <c r="BE48" i="256"/>
  <c r="AJ305" i="257" s="1"/>
  <c r="BE18" i="161"/>
  <c r="BE78" i="256"/>
  <c r="AJ320" i="257" s="1"/>
  <c r="BE62" i="256"/>
  <c r="AJ312" i="257" s="1"/>
  <c r="BE30" i="256"/>
  <c r="AJ296" i="257" s="1"/>
  <c r="BE66" i="161"/>
  <c r="BE34" i="161"/>
  <c r="BE72" i="256"/>
  <c r="AJ317" i="257" s="1"/>
  <c r="BE56" i="256"/>
  <c r="AJ309" i="257" s="1"/>
  <c r="BE68" i="256"/>
  <c r="AJ315" i="257" s="1"/>
  <c r="BE36" i="256"/>
  <c r="AJ299" i="257" s="1"/>
  <c r="E145" i="257" a="1"/>
  <c r="E145" i="257" s="1"/>
  <c r="E186" i="257" a="1"/>
  <c r="E186" i="257" s="1"/>
  <c r="E182" i="257" a="1"/>
  <c r="E182" i="257" s="1"/>
  <c r="E143" i="257" a="1"/>
  <c r="E143" i="257" s="1"/>
  <c r="E188" i="257" a="1"/>
  <c r="E188" i="257" s="1"/>
  <c r="E150" i="257" a="1"/>
  <c r="E150" i="257" s="1"/>
  <c r="E149" i="257" a="1"/>
  <c r="E149" i="257" s="1"/>
  <c r="T237" i="257"/>
  <c r="U237" i="257"/>
  <c r="T238" i="257"/>
  <c r="U238" i="257"/>
  <c r="T239" i="257"/>
  <c r="U239" i="257"/>
  <c r="T240" i="257"/>
  <c r="U240" i="257"/>
  <c r="T241" i="257"/>
  <c r="U241" i="257"/>
  <c r="T221" i="257"/>
  <c r="U221" i="257"/>
  <c r="T222" i="257"/>
  <c r="U222" i="257"/>
  <c r="T223" i="257"/>
  <c r="U223" i="257"/>
  <c r="T224" i="257"/>
  <c r="U224" i="257"/>
  <c r="T225" i="257"/>
  <c r="U225" i="257"/>
  <c r="T205" i="257"/>
  <c r="U205" i="257"/>
  <c r="T206" i="257"/>
  <c r="U206" i="257"/>
  <c r="T207" i="257"/>
  <c r="U207" i="257"/>
  <c r="T208" i="257"/>
  <c r="U208" i="257"/>
  <c r="T209" i="257"/>
  <c r="U209" i="257"/>
  <c r="T189" i="257"/>
  <c r="U189" i="257"/>
  <c r="T190" i="257"/>
  <c r="U190" i="257"/>
  <c r="T191" i="257"/>
  <c r="U191" i="257"/>
  <c r="T192" i="257"/>
  <c r="U192" i="257"/>
  <c r="T193" i="257"/>
  <c r="U193" i="257"/>
  <c r="T177" i="257"/>
  <c r="U177" i="257"/>
  <c r="T173" i="257"/>
  <c r="U173" i="257"/>
  <c r="T174" i="257"/>
  <c r="U174" i="257"/>
  <c r="T175" i="257"/>
  <c r="U175" i="257"/>
  <c r="T176" i="257"/>
  <c r="U176" i="257"/>
  <c r="C237" i="257" a="1"/>
  <c r="C237" i="257" s="1"/>
  <c r="F237" i="257" s="1" a="1"/>
  <c r="F237" i="257" s="1"/>
  <c r="C238" i="257" a="1"/>
  <c r="C238" i="257" s="1"/>
  <c r="F238" i="257" s="1" a="1"/>
  <c r="F238" i="257" s="1"/>
  <c r="C239" i="257" a="1"/>
  <c r="C239" i="257" s="1"/>
  <c r="F239" i="257" s="1" a="1"/>
  <c r="F239" i="257" s="1"/>
  <c r="C240" i="257" a="1"/>
  <c r="C240" i="257" s="1"/>
  <c r="F240" i="257" s="1" a="1"/>
  <c r="F240" i="257" s="1"/>
  <c r="C241" i="257" a="1"/>
  <c r="C241" i="257" s="1"/>
  <c r="F241" i="257" s="1" a="1"/>
  <c r="F241" i="257" s="1"/>
  <c r="C221" i="257" a="1"/>
  <c r="C221" i="257" s="1"/>
  <c r="F221" i="257" s="1" a="1"/>
  <c r="F221" i="257" s="1"/>
  <c r="C222" i="257" a="1"/>
  <c r="C222" i="257" s="1"/>
  <c r="F222" i="257" s="1" a="1"/>
  <c r="F222" i="257" s="1"/>
  <c r="C223" i="257" a="1"/>
  <c r="C223" i="257" s="1"/>
  <c r="F223" i="257" s="1" a="1"/>
  <c r="F223" i="257" s="1"/>
  <c r="C224" i="257" a="1"/>
  <c r="C224" i="257" s="1"/>
  <c r="F224" i="257" s="1" a="1"/>
  <c r="F224" i="257" s="1"/>
  <c r="C225" i="257" a="1"/>
  <c r="C225" i="257" s="1"/>
  <c r="F225" i="257" s="1" a="1"/>
  <c r="F225" i="257" s="1"/>
  <c r="C205" i="257" a="1"/>
  <c r="C205" i="257" s="1"/>
  <c r="F205" i="257" s="1" a="1"/>
  <c r="F205" i="257" s="1"/>
  <c r="C206" i="257" a="1"/>
  <c r="C206" i="257" s="1"/>
  <c r="F206" i="257" s="1" a="1"/>
  <c r="F206" i="257" s="1"/>
  <c r="C207" i="257" a="1"/>
  <c r="C207" i="257" s="1"/>
  <c r="F207" i="257" s="1" a="1"/>
  <c r="F207" i="257" s="1"/>
  <c r="C208" i="257" a="1"/>
  <c r="C208" i="257" s="1"/>
  <c r="F208" i="257" s="1" a="1"/>
  <c r="F208" i="257" s="1"/>
  <c r="C209" i="257" a="1"/>
  <c r="C209" i="257" s="1"/>
  <c r="F209" i="257" s="1" a="1"/>
  <c r="F209" i="257" s="1"/>
  <c r="C189" i="257" a="1"/>
  <c r="C189" i="257" s="1"/>
  <c r="F189" i="257" s="1" a="1"/>
  <c r="F189" i="257" s="1"/>
  <c r="C190" i="257" a="1"/>
  <c r="C190" i="257" s="1"/>
  <c r="F190" i="257" s="1" a="1"/>
  <c r="F190" i="257" s="1"/>
  <c r="C191" i="257" a="1"/>
  <c r="C191" i="257" s="1"/>
  <c r="F191" i="257" s="1" a="1"/>
  <c r="F191" i="257" s="1"/>
  <c r="C192" i="257" a="1"/>
  <c r="C192" i="257" s="1"/>
  <c r="F192" i="257" s="1" a="1"/>
  <c r="F192" i="257" s="1"/>
  <c r="C193" i="257" a="1"/>
  <c r="C193" i="257" s="1"/>
  <c r="F193" i="257" s="1" a="1"/>
  <c r="F193" i="257" s="1"/>
  <c r="C173" i="257" a="1"/>
  <c r="C173" i="257" s="1"/>
  <c r="F173" i="257" s="1" a="1"/>
  <c r="F173" i="257" s="1"/>
  <c r="C174" i="257" a="1"/>
  <c r="C174" i="257" s="1"/>
  <c r="F174" i="257" s="1" a="1"/>
  <c r="F174" i="257" s="1"/>
  <c r="C175" i="257" a="1"/>
  <c r="C175" i="257" s="1"/>
  <c r="F175" i="257" s="1" a="1"/>
  <c r="F175" i="257" s="1"/>
  <c r="C176" i="257" a="1"/>
  <c r="C176" i="257" s="1"/>
  <c r="F176" i="257" s="1" a="1"/>
  <c r="F176" i="257" s="1"/>
  <c r="C177" i="257" a="1"/>
  <c r="C177" i="257" s="1"/>
  <c r="F177" i="257" s="1" a="1"/>
  <c r="F177" i="257" s="1"/>
  <c r="C157" i="257" a="1"/>
  <c r="C157" i="257" s="1"/>
  <c r="F157" i="257" s="1" a="1"/>
  <c r="F157" i="257" s="1"/>
  <c r="C158" i="257" a="1"/>
  <c r="C158" i="257" s="1"/>
  <c r="F158" i="257" s="1" a="1"/>
  <c r="F158" i="257" s="1"/>
  <c r="C159" i="257" a="1"/>
  <c r="C159" i="257" s="1"/>
  <c r="F159" i="257" s="1" a="1"/>
  <c r="F159" i="257" s="1"/>
  <c r="C160" i="257" a="1"/>
  <c r="C160" i="257" s="1"/>
  <c r="F160" i="257" s="1" a="1"/>
  <c r="F160" i="257" s="1"/>
  <c r="C161" i="257" a="1"/>
  <c r="C161" i="257" s="1"/>
  <c r="F161" i="257" s="1" a="1"/>
  <c r="F161" i="257" s="1"/>
  <c r="C110" i="257" a="1"/>
  <c r="C110" i="257" s="1"/>
  <c r="F110" i="257" s="1" a="1"/>
  <c r="F110" i="257" s="1"/>
  <c r="C111" i="257" a="1"/>
  <c r="C111" i="257" s="1"/>
  <c r="F111" i="257" s="1" a="1"/>
  <c r="F111" i="257" s="1"/>
  <c r="C112" i="257" a="1"/>
  <c r="C112" i="257" s="1"/>
  <c r="F112" i="257" s="1" a="1"/>
  <c r="F112" i="257" s="1"/>
  <c r="C113" i="257" a="1"/>
  <c r="C113" i="257" s="1"/>
  <c r="F113" i="257" s="1" a="1"/>
  <c r="F113" i="257" s="1"/>
  <c r="C114" i="257" a="1"/>
  <c r="C114" i="257" s="1"/>
  <c r="F114" i="257" s="1" a="1"/>
  <c r="F114" i="257" s="1"/>
  <c r="C94" i="257" a="1"/>
  <c r="C94" i="257" s="1"/>
  <c r="F94" i="257" s="1" a="1"/>
  <c r="F94" i="257" s="1"/>
  <c r="C95" i="257" a="1"/>
  <c r="C95" i="257" s="1"/>
  <c r="F95" i="257" s="1" a="1"/>
  <c r="F95" i="257" s="1"/>
  <c r="C96" i="257" a="1"/>
  <c r="C96" i="257" s="1"/>
  <c r="F96" i="257" s="1" a="1"/>
  <c r="F96" i="257" s="1"/>
  <c r="C97" i="257" a="1"/>
  <c r="C97" i="257" s="1"/>
  <c r="F97" i="257" s="1" a="1"/>
  <c r="F97" i="257" s="1"/>
  <c r="C98" i="257" a="1"/>
  <c r="C98" i="257" s="1"/>
  <c r="F98" i="257" s="1" a="1"/>
  <c r="F98" i="257" s="1"/>
  <c r="C78" i="257" a="1"/>
  <c r="C78" i="257" s="1"/>
  <c r="F78" i="257" s="1" a="1"/>
  <c r="F78" i="257" s="1"/>
  <c r="C79" i="257" a="1"/>
  <c r="C79" i="257" s="1"/>
  <c r="F79" i="257" s="1" a="1"/>
  <c r="F79" i="257" s="1"/>
  <c r="C80" i="257" a="1"/>
  <c r="C80" i="257" s="1"/>
  <c r="F80" i="257" s="1" a="1"/>
  <c r="F80" i="257" s="1"/>
  <c r="C81" i="257" a="1"/>
  <c r="C81" i="257" s="1"/>
  <c r="F81" i="257" s="1" a="1"/>
  <c r="F81" i="257" s="1"/>
  <c r="C82" i="257" a="1"/>
  <c r="C82" i="257" s="1"/>
  <c r="F82" i="257" s="1" a="1"/>
  <c r="F82" i="257" s="1"/>
  <c r="C61" i="257" a="1"/>
  <c r="C61" i="257" s="1"/>
  <c r="F61" i="257" s="1" a="1"/>
  <c r="F61" i="257" s="1"/>
  <c r="C62" i="257" a="1"/>
  <c r="C62" i="257" s="1"/>
  <c r="F62" i="257" s="1" a="1"/>
  <c r="F62" i="257" s="1"/>
  <c r="C63" i="257" a="1"/>
  <c r="C63" i="257" s="1"/>
  <c r="F63" i="257" s="1" a="1"/>
  <c r="F63" i="257" s="1"/>
  <c r="C64" i="257" a="1"/>
  <c r="C64" i="257" s="1"/>
  <c r="F64" i="257" s="1" a="1"/>
  <c r="F64" i="257" s="1"/>
  <c r="C65" i="257" a="1"/>
  <c r="C65" i="257" s="1"/>
  <c r="F65" i="257" s="1" a="1"/>
  <c r="F65" i="257" s="1"/>
  <c r="C45" i="257" a="1"/>
  <c r="C45" i="257" s="1"/>
  <c r="F45" i="257" s="1" a="1"/>
  <c r="F45" i="257" s="1"/>
  <c r="C46" i="257" a="1"/>
  <c r="C46" i="257" s="1"/>
  <c r="F46" i="257" s="1" a="1"/>
  <c r="F46" i="257" s="1"/>
  <c r="C47" i="257" a="1"/>
  <c r="C47" i="257" s="1"/>
  <c r="F47" i="257" s="1" a="1"/>
  <c r="F47" i="257" s="1"/>
  <c r="C48" i="257" a="1"/>
  <c r="C48" i="257" s="1"/>
  <c r="F48" i="257" s="1" a="1"/>
  <c r="F48" i="257" s="1"/>
  <c r="C49" i="257" a="1"/>
  <c r="C49" i="257" s="1"/>
  <c r="F49" i="257" s="1" a="1"/>
  <c r="F49" i="257" s="1"/>
  <c r="N42" i="8"/>
  <c r="BB158" i="257" l="1"/>
  <c r="B202" i="175"/>
  <c r="B202" i="180"/>
  <c r="B202" i="153"/>
  <c r="B202" i="255"/>
  <c r="B202" i="176"/>
  <c r="B202" i="13"/>
  <c r="B202" i="171"/>
  <c r="B202" i="169"/>
  <c r="B202" i="168"/>
  <c r="B202" i="182"/>
  <c r="B202" i="161"/>
  <c r="B202" i="158"/>
  <c r="B202" i="156"/>
  <c r="L71" i="156"/>
  <c r="B202" i="155"/>
  <c r="L72" i="155"/>
  <c r="B202" i="81"/>
  <c r="B202" i="14"/>
  <c r="B202" i="154"/>
  <c r="B202" i="256"/>
  <c r="B202" i="170"/>
  <c r="B202" i="167"/>
  <c r="B202" i="163"/>
  <c r="B202" i="162"/>
  <c r="B202" i="160"/>
  <c r="B202" i="159"/>
  <c r="B202" i="254"/>
  <c r="B202" i="253"/>
  <c r="B202" i="252"/>
  <c r="B202" i="251"/>
  <c r="B202" i="148"/>
  <c r="B202" i="147"/>
  <c r="B202" i="166"/>
  <c r="B202" i="144"/>
  <c r="B202" i="152"/>
  <c r="B202" i="172"/>
  <c r="AG158" i="257" l="1" a="1"/>
  <c r="AG158" i="257" s="1"/>
  <c r="AT158" i="257" a="1"/>
  <c r="AT158" i="257" s="1"/>
  <c r="AC158" i="257" a="1"/>
  <c r="AC158" i="257" s="1"/>
  <c r="AD158" i="257" a="1"/>
  <c r="AD158" i="257" s="1"/>
  <c r="AR158" i="257"/>
  <c r="AE158" i="257"/>
  <c r="A320" i="257" l="1"/>
  <c r="D320" i="257"/>
  <c r="O320" i="257"/>
  <c r="A321" i="257"/>
  <c r="D321" i="257"/>
  <c r="O321" i="257"/>
  <c r="A322" i="257"/>
  <c r="D322" i="257"/>
  <c r="O322" i="257"/>
  <c r="A323" i="257"/>
  <c r="D323" i="257"/>
  <c r="O323" i="257"/>
  <c r="A324" i="257"/>
  <c r="D324" i="257"/>
  <c r="O324" i="257"/>
  <c r="A308" i="257"/>
  <c r="D308" i="257"/>
  <c r="O308" i="257"/>
  <c r="A309" i="257"/>
  <c r="D309" i="257"/>
  <c r="O309" i="257"/>
  <c r="A310" i="257"/>
  <c r="D310" i="257"/>
  <c r="O310" i="257"/>
  <c r="A311" i="257"/>
  <c r="D311" i="257"/>
  <c r="O311" i="257"/>
  <c r="A312" i="257"/>
  <c r="D312" i="257"/>
  <c r="O312" i="257"/>
  <c r="A313" i="257"/>
  <c r="D313" i="257"/>
  <c r="O313" i="257"/>
  <c r="A314" i="257"/>
  <c r="D314" i="257"/>
  <c r="O314" i="257"/>
  <c r="A315" i="257"/>
  <c r="D315" i="257"/>
  <c r="O315" i="257"/>
  <c r="A316" i="257"/>
  <c r="D316" i="257"/>
  <c r="O316" i="257"/>
  <c r="A317" i="257"/>
  <c r="D317" i="257"/>
  <c r="O317" i="257"/>
  <c r="A318" i="257"/>
  <c r="D318" i="257"/>
  <c r="O318" i="257"/>
  <c r="A319" i="257"/>
  <c r="D319" i="257"/>
  <c r="O319" i="257"/>
  <c r="A291" i="257"/>
  <c r="D291" i="257"/>
  <c r="O291" i="257"/>
  <c r="A292" i="257"/>
  <c r="D292" i="257"/>
  <c r="O292" i="257"/>
  <c r="A293" i="257"/>
  <c r="D293" i="257"/>
  <c r="O293" i="257"/>
  <c r="A294" i="257"/>
  <c r="D294" i="257"/>
  <c r="O294" i="257"/>
  <c r="A295" i="257"/>
  <c r="D295" i="257"/>
  <c r="O295" i="257"/>
  <c r="A296" i="257"/>
  <c r="D296" i="257"/>
  <c r="O296" i="257"/>
  <c r="A297" i="257"/>
  <c r="D297" i="257"/>
  <c r="O297" i="257"/>
  <c r="A298" i="257"/>
  <c r="D298" i="257"/>
  <c r="O298" i="257"/>
  <c r="A299" i="257"/>
  <c r="D299" i="257"/>
  <c r="O299" i="257"/>
  <c r="A300" i="257"/>
  <c r="D300" i="257"/>
  <c r="O300" i="257"/>
  <c r="A301" i="257"/>
  <c r="D301" i="257"/>
  <c r="O301" i="257"/>
  <c r="A302" i="257"/>
  <c r="D302" i="257"/>
  <c r="O302" i="257"/>
  <c r="A303" i="257"/>
  <c r="D303" i="257"/>
  <c r="O303" i="257"/>
  <c r="A304" i="257"/>
  <c r="D304" i="257"/>
  <c r="O304" i="257"/>
  <c r="A305" i="257"/>
  <c r="D305" i="257"/>
  <c r="O305" i="257"/>
  <c r="A306" i="257"/>
  <c r="D306" i="257"/>
  <c r="O306" i="257"/>
  <c r="A307" i="257"/>
  <c r="D307" i="257"/>
  <c r="O307" i="257"/>
  <c r="O290" i="257" l="1"/>
  <c r="H110" i="257"/>
  <c r="H111" i="257"/>
  <c r="H112" i="257"/>
  <c r="H113" i="257"/>
  <c r="H114" i="257"/>
  <c r="H94" i="257"/>
  <c r="H95" i="257"/>
  <c r="H96" i="257"/>
  <c r="H97" i="257"/>
  <c r="H98" i="257"/>
  <c r="H78" i="257"/>
  <c r="H79" i="257"/>
  <c r="H80" i="257"/>
  <c r="H81" i="257"/>
  <c r="H82" i="257"/>
  <c r="H61" i="257"/>
  <c r="H62" i="257"/>
  <c r="H63" i="257"/>
  <c r="H64" i="257"/>
  <c r="H65" i="257"/>
  <c r="H45" i="257"/>
  <c r="H46" i="257"/>
  <c r="H47" i="257"/>
  <c r="H48" i="257"/>
  <c r="H49" i="257"/>
  <c r="D290" i="257"/>
  <c r="A290" i="257"/>
  <c r="A260" i="257"/>
  <c r="D260" i="257"/>
  <c r="O260" i="257"/>
  <c r="P260" i="257"/>
  <c r="Q260" i="257"/>
  <c r="R260" i="257"/>
  <c r="V260" i="257"/>
  <c r="A261" i="257"/>
  <c r="D261" i="257"/>
  <c r="O261" i="257"/>
  <c r="P261" i="257"/>
  <c r="Q261" i="257"/>
  <c r="R261" i="257"/>
  <c r="V261" i="257"/>
  <c r="A262" i="257"/>
  <c r="D262" i="257"/>
  <c r="O262" i="257"/>
  <c r="P262" i="257"/>
  <c r="Q262" i="257"/>
  <c r="R262" i="257"/>
  <c r="V262" i="257"/>
  <c r="A263" i="257"/>
  <c r="D263" i="257"/>
  <c r="O263" i="257"/>
  <c r="P263" i="257"/>
  <c r="Q263" i="257"/>
  <c r="R263" i="257"/>
  <c r="V263" i="257"/>
  <c r="A264" i="257"/>
  <c r="D264" i="257"/>
  <c r="O264" i="257"/>
  <c r="P264" i="257"/>
  <c r="Q264" i="257"/>
  <c r="R264" i="257"/>
  <c r="V264" i="257"/>
  <c r="A265" i="257"/>
  <c r="D265" i="257"/>
  <c r="O265" i="257"/>
  <c r="P265" i="257"/>
  <c r="Q265" i="257"/>
  <c r="R265" i="257"/>
  <c r="V265" i="257"/>
  <c r="A266" i="257"/>
  <c r="D266" i="257"/>
  <c r="O266" i="257"/>
  <c r="P266" i="257"/>
  <c r="Q266" i="257"/>
  <c r="R266" i="257"/>
  <c r="V266" i="257"/>
  <c r="A267" i="257"/>
  <c r="D267" i="257"/>
  <c r="O267" i="257"/>
  <c r="P267" i="257"/>
  <c r="Q267" i="257"/>
  <c r="R267" i="257"/>
  <c r="V267" i="257"/>
  <c r="A268" i="257"/>
  <c r="D268" i="257"/>
  <c r="O268" i="257"/>
  <c r="P268" i="257"/>
  <c r="Q268" i="257"/>
  <c r="R268" i="257"/>
  <c r="V268" i="257"/>
  <c r="A269" i="257"/>
  <c r="D269" i="257"/>
  <c r="O269" i="257"/>
  <c r="P269" i="257"/>
  <c r="Q269" i="257"/>
  <c r="R269" i="257"/>
  <c r="V269" i="257"/>
  <c r="A270" i="257"/>
  <c r="D270" i="257"/>
  <c r="O270" i="257"/>
  <c r="P270" i="257"/>
  <c r="Q270" i="257"/>
  <c r="R270" i="257"/>
  <c r="V270" i="257"/>
  <c r="A271" i="257"/>
  <c r="D271" i="257"/>
  <c r="O271" i="257"/>
  <c r="P271" i="257"/>
  <c r="Q271" i="257"/>
  <c r="R271" i="257"/>
  <c r="V271" i="257"/>
  <c r="A272" i="257"/>
  <c r="D272" i="257"/>
  <c r="O272" i="257"/>
  <c r="P272" i="257"/>
  <c r="Q272" i="257"/>
  <c r="R272" i="257"/>
  <c r="V272" i="257"/>
  <c r="A273" i="257"/>
  <c r="D273" i="257"/>
  <c r="O273" i="257"/>
  <c r="P273" i="257"/>
  <c r="Q273" i="257"/>
  <c r="R273" i="257"/>
  <c r="V273" i="257"/>
  <c r="A274" i="257"/>
  <c r="D274" i="257"/>
  <c r="O274" i="257"/>
  <c r="P274" i="257"/>
  <c r="Q274" i="257"/>
  <c r="R274" i="257"/>
  <c r="V274" i="257"/>
  <c r="A275" i="257"/>
  <c r="D275" i="257"/>
  <c r="O275" i="257"/>
  <c r="P275" i="257"/>
  <c r="Q275" i="257"/>
  <c r="R275" i="257"/>
  <c r="V275" i="257"/>
  <c r="A276" i="257"/>
  <c r="D276" i="257"/>
  <c r="O276" i="257"/>
  <c r="P276" i="257"/>
  <c r="Q276" i="257"/>
  <c r="R276" i="257"/>
  <c r="V276" i="257"/>
  <c r="A277" i="257"/>
  <c r="D277" i="257"/>
  <c r="O277" i="257"/>
  <c r="P277" i="257"/>
  <c r="Q277" i="257"/>
  <c r="R277" i="257"/>
  <c r="V277" i="257"/>
  <c r="A278" i="257"/>
  <c r="D278" i="257"/>
  <c r="O278" i="257"/>
  <c r="P278" i="257"/>
  <c r="Q278" i="257"/>
  <c r="R278" i="257"/>
  <c r="V278" i="257"/>
  <c r="A279" i="257"/>
  <c r="D279" i="257"/>
  <c r="O279" i="257"/>
  <c r="P279" i="257"/>
  <c r="Q279" i="257"/>
  <c r="R279" i="257"/>
  <c r="V279" i="257"/>
  <c r="A280" i="257"/>
  <c r="D280" i="257"/>
  <c r="O280" i="257"/>
  <c r="P280" i="257"/>
  <c r="Q280" i="257"/>
  <c r="R280" i="257"/>
  <c r="V280" i="257"/>
  <c r="A281" i="257"/>
  <c r="D281" i="257"/>
  <c r="O281" i="257"/>
  <c r="P281" i="257"/>
  <c r="Q281" i="257"/>
  <c r="R281" i="257"/>
  <c r="V281" i="257"/>
  <c r="A282" i="257"/>
  <c r="D282" i="257"/>
  <c r="O282" i="257"/>
  <c r="P282" i="257"/>
  <c r="Q282" i="257"/>
  <c r="R282" i="257"/>
  <c r="V282" i="257"/>
  <c r="A283" i="257"/>
  <c r="D283" i="257"/>
  <c r="O283" i="257"/>
  <c r="P283" i="257"/>
  <c r="Q283" i="257"/>
  <c r="R283" i="257"/>
  <c r="V283" i="257"/>
  <c r="A284" i="257"/>
  <c r="D284" i="257"/>
  <c r="O284" i="257"/>
  <c r="P284" i="257"/>
  <c r="Q284" i="257"/>
  <c r="R284" i="257"/>
  <c r="V284" i="257"/>
  <c r="A285" i="257"/>
  <c r="D285" i="257"/>
  <c r="O285" i="257"/>
  <c r="P285" i="257"/>
  <c r="Q285" i="257"/>
  <c r="R285" i="257"/>
  <c r="V285" i="257"/>
  <c r="A286" i="257"/>
  <c r="D286" i="257"/>
  <c r="O286" i="257"/>
  <c r="P286" i="257"/>
  <c r="Q286" i="257"/>
  <c r="R286" i="257"/>
  <c r="V286" i="257"/>
  <c r="A287" i="257"/>
  <c r="D287" i="257"/>
  <c r="O287" i="257"/>
  <c r="P287" i="257"/>
  <c r="Q287" i="257"/>
  <c r="R287" i="257"/>
  <c r="V287" i="257"/>
  <c r="A288" i="257"/>
  <c r="D288" i="257"/>
  <c r="O288" i="257"/>
  <c r="P288" i="257"/>
  <c r="Q288" i="257"/>
  <c r="R288" i="257"/>
  <c r="V288" i="257"/>
  <c r="V259" i="257"/>
  <c r="R259" i="257"/>
  <c r="Q259" i="257"/>
  <c r="P259" i="257"/>
  <c r="O259" i="257"/>
  <c r="D259" i="257" l="1"/>
  <c r="A259" i="257"/>
  <c r="I260" i="257"/>
  <c r="I261" i="257"/>
  <c r="I262" i="257"/>
  <c r="I263" i="257"/>
  <c r="I264" i="257"/>
  <c r="I265" i="257"/>
  <c r="I266" i="257"/>
  <c r="I267" i="257"/>
  <c r="I268" i="257"/>
  <c r="I269" i="257"/>
  <c r="I270" i="257"/>
  <c r="I271" i="257"/>
  <c r="I272" i="257"/>
  <c r="I273" i="257"/>
  <c r="I274" i="257"/>
  <c r="I275" i="257"/>
  <c r="I276" i="257"/>
  <c r="I277" i="257"/>
  <c r="I278" i="257"/>
  <c r="I279" i="257"/>
  <c r="I280" i="257"/>
  <c r="I281" i="257"/>
  <c r="I282" i="257"/>
  <c r="I283" i="257"/>
  <c r="I284" i="257"/>
  <c r="I285" i="257"/>
  <c r="I286" i="257"/>
  <c r="I287" i="257"/>
  <c r="I288" i="257"/>
  <c r="BJ18" i="255"/>
  <c r="I259" i="257" s="1"/>
  <c r="BQ20" i="255"/>
  <c r="BQ22" i="255"/>
  <c r="BQ24" i="255"/>
  <c r="BQ26" i="255"/>
  <c r="BQ28" i="255"/>
  <c r="BQ30" i="255"/>
  <c r="BQ32" i="255"/>
  <c r="BQ34" i="255"/>
  <c r="BQ36" i="255"/>
  <c r="BQ38" i="255"/>
  <c r="BQ40" i="255"/>
  <c r="BQ42" i="255"/>
  <c r="BQ44" i="255"/>
  <c r="BQ46" i="255"/>
  <c r="BQ48" i="255"/>
  <c r="BQ50" i="255"/>
  <c r="BQ52" i="255"/>
  <c r="BQ54" i="255"/>
  <c r="BQ56" i="255"/>
  <c r="BQ58" i="255"/>
  <c r="BQ60" i="255"/>
  <c r="BQ62" i="255"/>
  <c r="BQ64" i="255"/>
  <c r="BQ66" i="255"/>
  <c r="BQ68" i="255"/>
  <c r="BQ70" i="255"/>
  <c r="BQ72" i="255"/>
  <c r="BQ74" i="255"/>
  <c r="BQ76" i="255"/>
  <c r="BQ20" i="163" l="1"/>
  <c r="BQ22" i="163"/>
  <c r="BQ24" i="163"/>
  <c r="BQ26" i="163"/>
  <c r="BQ28" i="163"/>
  <c r="BQ30" i="163"/>
  <c r="BQ32" i="163"/>
  <c r="BQ34" i="163"/>
  <c r="BQ36" i="163"/>
  <c r="BQ20" i="162"/>
  <c r="BQ22" i="162"/>
  <c r="BQ24" i="162"/>
  <c r="BQ26" i="162"/>
  <c r="BQ28" i="162"/>
  <c r="BQ30" i="162"/>
  <c r="BQ32" i="162"/>
  <c r="BQ34" i="162"/>
  <c r="BQ36" i="162"/>
  <c r="BQ20" i="182"/>
  <c r="BQ22" i="182"/>
  <c r="BQ24" i="182"/>
  <c r="BQ26" i="182"/>
  <c r="BQ28" i="182"/>
  <c r="BQ30" i="182"/>
  <c r="BQ32" i="182"/>
  <c r="BQ34" i="182"/>
  <c r="BQ36" i="182"/>
  <c r="BQ20" i="160"/>
  <c r="BQ22" i="160"/>
  <c r="BQ24" i="160"/>
  <c r="BQ26" i="160"/>
  <c r="BQ28" i="160"/>
  <c r="BQ30" i="160"/>
  <c r="BQ32" i="160"/>
  <c r="BQ34" i="160"/>
  <c r="BQ36" i="160"/>
  <c r="BQ20" i="159"/>
  <c r="BQ22" i="159"/>
  <c r="BQ24" i="159"/>
  <c r="BQ26" i="159"/>
  <c r="BQ28" i="159"/>
  <c r="BQ30" i="159"/>
  <c r="BQ32" i="159"/>
  <c r="BQ34" i="159"/>
  <c r="BQ36" i="159"/>
  <c r="BQ20" i="158"/>
  <c r="BQ22" i="158"/>
  <c r="BQ24" i="158"/>
  <c r="BQ26" i="158"/>
  <c r="BQ28" i="158"/>
  <c r="BQ30" i="158"/>
  <c r="BQ32" i="158"/>
  <c r="BQ34" i="158"/>
  <c r="BQ36" i="158"/>
  <c r="BQ38" i="158"/>
  <c r="BQ40" i="158"/>
  <c r="BQ42" i="158"/>
  <c r="BQ44" i="158"/>
  <c r="BQ46" i="158"/>
  <c r="BQ48" i="158"/>
  <c r="BQ50" i="158"/>
  <c r="BQ52" i="158"/>
  <c r="BQ54" i="158"/>
  <c r="BQ56" i="158"/>
  <c r="BQ58" i="158"/>
  <c r="BQ60" i="158"/>
  <c r="BQ62" i="158"/>
  <c r="BQ64" i="158"/>
  <c r="BQ66" i="158"/>
  <c r="BQ68" i="158"/>
  <c r="BQ70" i="158"/>
  <c r="BQ72" i="158"/>
  <c r="BQ74" i="158"/>
  <c r="BQ76" i="158"/>
  <c r="B47" i="3"/>
  <c r="B46" i="3"/>
  <c r="Q21" i="3"/>
  <c r="Q24" i="3"/>
  <c r="Q23" i="3"/>
  <c r="Q22" i="3"/>
  <c r="Q20" i="3"/>
  <c r="Q19" i="3"/>
  <c r="Q18" i="3"/>
  <c r="J9" i="256" l="1"/>
  <c r="A258" i="257"/>
  <c r="V9" i="256"/>
  <c r="A289" i="257"/>
  <c r="AC26" i="154"/>
  <c r="AC25" i="154"/>
  <c r="V9" i="255"/>
  <c r="J9" i="255"/>
  <c r="R20" i="255" l="1"/>
  <c r="R22" i="255"/>
  <c r="R24" i="255"/>
  <c r="R26" i="255"/>
  <c r="R28" i="255"/>
  <c r="R30" i="255"/>
  <c r="R32" i="255"/>
  <c r="R34" i="255"/>
  <c r="R36" i="255"/>
  <c r="R38" i="255"/>
  <c r="R40" i="255"/>
  <c r="R42" i="255"/>
  <c r="R44" i="255"/>
  <c r="R46" i="255"/>
  <c r="R48" i="255"/>
  <c r="R50" i="255"/>
  <c r="R52" i="255"/>
  <c r="R54" i="255"/>
  <c r="R56" i="255"/>
  <c r="R58" i="255"/>
  <c r="R60" i="255"/>
  <c r="R62" i="255"/>
  <c r="R64" i="255"/>
  <c r="R66" i="255"/>
  <c r="R68" i="255"/>
  <c r="R70" i="255"/>
  <c r="R72" i="255"/>
  <c r="R74" i="255"/>
  <c r="R76" i="255"/>
  <c r="AC93" i="173"/>
  <c r="BF54" i="109"/>
  <c r="BF22" i="109"/>
  <c r="BE54" i="109"/>
  <c r="BD54" i="109"/>
  <c r="BC54" i="109"/>
  <c r="BB54" i="109"/>
  <c r="BA54" i="109"/>
  <c r="BF23" i="109"/>
  <c r="BE23" i="109"/>
  <c r="BD23" i="109"/>
  <c r="BC23" i="109"/>
  <c r="BB23" i="109"/>
  <c r="BA23" i="109"/>
  <c r="BC22" i="109"/>
  <c r="BE22" i="109"/>
  <c r="BD22" i="109"/>
  <c r="BB22" i="109"/>
  <c r="BA22" i="109"/>
  <c r="W271" i="257" l="1"/>
  <c r="W284" i="257"/>
  <c r="W266" i="257"/>
  <c r="W272" i="257"/>
  <c r="W285" i="257"/>
  <c r="W265" i="257"/>
  <c r="W286" i="257"/>
  <c r="W282" i="257"/>
  <c r="W264" i="257"/>
  <c r="W273" i="257"/>
  <c r="W263" i="257"/>
  <c r="W268" i="257"/>
  <c r="W278" i="257"/>
  <c r="W262" i="257"/>
  <c r="W274" i="257"/>
  <c r="W270" i="257"/>
  <c r="W283" i="257"/>
  <c r="W280" i="257"/>
  <c r="W277" i="257"/>
  <c r="W261" i="257"/>
  <c r="W287" i="257"/>
  <c r="W269" i="257"/>
  <c r="W267" i="257"/>
  <c r="W279" i="257"/>
  <c r="W276" i="257"/>
  <c r="W260" i="257"/>
  <c r="W288" i="257"/>
  <c r="W281" i="257"/>
  <c r="W275" i="257"/>
  <c r="I43" i="81" a="1"/>
  <c r="I43" i="81" s="1"/>
  <c r="AK53" i="81" a="1"/>
  <c r="AK53" i="81" s="1"/>
  <c r="I44" i="81" a="1"/>
  <c r="I44" i="81" s="1"/>
  <c r="BA43" i="109"/>
  <c r="BA67" i="109" s="1"/>
  <c r="BB43" i="109"/>
  <c r="BB67" i="109" s="1"/>
  <c r="BC43" i="109"/>
  <c r="BC67" i="109" s="1"/>
  <c r="BD43" i="109"/>
  <c r="BD67" i="109" s="1"/>
  <c r="BE67" i="109"/>
  <c r="BA74" i="109"/>
  <c r="BB74" i="109"/>
  <c r="BC74" i="109"/>
  <c r="BD74" i="109"/>
  <c r="BA75" i="109"/>
  <c r="BB75" i="109"/>
  <c r="BC75" i="109"/>
  <c r="BD75" i="109"/>
  <c r="Q252" i="257"/>
  <c r="P252" i="257"/>
  <c r="O252" i="257"/>
  <c r="D252" i="257"/>
  <c r="A252" i="257"/>
  <c r="Q249" i="257"/>
  <c r="P249" i="257"/>
  <c r="O249" i="257"/>
  <c r="D249" i="257"/>
  <c r="A249" i="257"/>
  <c r="Q246" i="257"/>
  <c r="P246" i="257"/>
  <c r="O246" i="257"/>
  <c r="D246" i="257"/>
  <c r="A246" i="257"/>
  <c r="Q245" i="257"/>
  <c r="P245" i="257"/>
  <c r="O245" i="257"/>
  <c r="D245" i="257"/>
  <c r="A245" i="257"/>
  <c r="Q244" i="257"/>
  <c r="P244" i="257"/>
  <c r="O244" i="257"/>
  <c r="D244" i="257"/>
  <c r="A244" i="257"/>
  <c r="Q243" i="257"/>
  <c r="P243" i="257"/>
  <c r="O243" i="257"/>
  <c r="D243" i="257"/>
  <c r="A243" i="257"/>
  <c r="A242" i="257"/>
  <c r="BB241" i="257"/>
  <c r="S241" i="257"/>
  <c r="Q241" i="257"/>
  <c r="P241" i="257"/>
  <c r="O241" i="257"/>
  <c r="K241" i="257"/>
  <c r="J241" i="257"/>
  <c r="I241" i="257"/>
  <c r="H241" i="257"/>
  <c r="D241" i="257"/>
  <c r="A241" i="257"/>
  <c r="BB240" i="257"/>
  <c r="S240" i="257"/>
  <c r="Q240" i="257"/>
  <c r="P240" i="257"/>
  <c r="O240" i="257"/>
  <c r="K240" i="257"/>
  <c r="J240" i="257"/>
  <c r="I240" i="257"/>
  <c r="H240" i="257"/>
  <c r="D240" i="257"/>
  <c r="A240" i="257"/>
  <c r="BB239" i="257"/>
  <c r="S239" i="257"/>
  <c r="Q239" i="257"/>
  <c r="P239" i="257"/>
  <c r="O239" i="257"/>
  <c r="K239" i="257"/>
  <c r="J239" i="257"/>
  <c r="I239" i="257"/>
  <c r="H239" i="257"/>
  <c r="D239" i="257"/>
  <c r="A239" i="257"/>
  <c r="BB238" i="257"/>
  <c r="S238" i="257"/>
  <c r="Q238" i="257"/>
  <c r="P238" i="257"/>
  <c r="O238" i="257"/>
  <c r="K238" i="257"/>
  <c r="J238" i="257"/>
  <c r="I238" i="257"/>
  <c r="H238" i="257"/>
  <c r="D238" i="257"/>
  <c r="A238" i="257"/>
  <c r="BB237" i="257"/>
  <c r="S237" i="257"/>
  <c r="Q237" i="257"/>
  <c r="P237" i="257"/>
  <c r="O237" i="257"/>
  <c r="K237" i="257"/>
  <c r="J237" i="257"/>
  <c r="I237" i="257"/>
  <c r="H237" i="257"/>
  <c r="D237" i="257"/>
  <c r="A237" i="257"/>
  <c r="Q236" i="257"/>
  <c r="P236" i="257"/>
  <c r="O236" i="257"/>
  <c r="D236" i="257"/>
  <c r="A236" i="257"/>
  <c r="Q235" i="257"/>
  <c r="P235" i="257"/>
  <c r="O235" i="257"/>
  <c r="D235" i="257"/>
  <c r="A235" i="257"/>
  <c r="Q234" i="257"/>
  <c r="P234" i="257"/>
  <c r="O234" i="257"/>
  <c r="D234" i="257"/>
  <c r="A234" i="257"/>
  <c r="Q233" i="257"/>
  <c r="P233" i="257"/>
  <c r="O233" i="257"/>
  <c r="D233" i="257"/>
  <c r="A233" i="257"/>
  <c r="Q232" i="257"/>
  <c r="P232" i="257"/>
  <c r="O232" i="257"/>
  <c r="D232" i="257"/>
  <c r="A232" i="257"/>
  <c r="Q231" i="257"/>
  <c r="P231" i="257"/>
  <c r="O231" i="257"/>
  <c r="D231" i="257"/>
  <c r="A231" i="257"/>
  <c r="Q230" i="257"/>
  <c r="P230" i="257"/>
  <c r="O230" i="257"/>
  <c r="D230" i="257"/>
  <c r="A230" i="257"/>
  <c r="Q229" i="257"/>
  <c r="P229" i="257"/>
  <c r="O229" i="257"/>
  <c r="D229" i="257"/>
  <c r="A229" i="257"/>
  <c r="Q228" i="257"/>
  <c r="P228" i="257"/>
  <c r="O228" i="257"/>
  <c r="D228" i="257"/>
  <c r="A228" i="257"/>
  <c r="Q227" i="257"/>
  <c r="P227" i="257"/>
  <c r="O227" i="257"/>
  <c r="D227" i="257"/>
  <c r="A227" i="257"/>
  <c r="A226" i="257"/>
  <c r="BB225" i="257"/>
  <c r="S225" i="257"/>
  <c r="Q225" i="257"/>
  <c r="P225" i="257"/>
  <c r="O225" i="257"/>
  <c r="K225" i="257"/>
  <c r="J225" i="257"/>
  <c r="I225" i="257"/>
  <c r="H225" i="257"/>
  <c r="D225" i="257"/>
  <c r="A225" i="257"/>
  <c r="BB224" i="257"/>
  <c r="S224" i="257"/>
  <c r="Q224" i="257"/>
  <c r="P224" i="257"/>
  <c r="O224" i="257"/>
  <c r="K224" i="257"/>
  <c r="J224" i="257"/>
  <c r="I224" i="257"/>
  <c r="H224" i="257"/>
  <c r="D224" i="257"/>
  <c r="A224" i="257"/>
  <c r="BB223" i="257"/>
  <c r="S223" i="257"/>
  <c r="Q223" i="257"/>
  <c r="P223" i="257"/>
  <c r="O223" i="257"/>
  <c r="K223" i="257"/>
  <c r="J223" i="257"/>
  <c r="I223" i="257"/>
  <c r="H223" i="257"/>
  <c r="D223" i="257"/>
  <c r="A223" i="257"/>
  <c r="BB222" i="257"/>
  <c r="S222" i="257"/>
  <c r="Q222" i="257"/>
  <c r="P222" i="257"/>
  <c r="O222" i="257"/>
  <c r="K222" i="257"/>
  <c r="J222" i="257"/>
  <c r="I222" i="257"/>
  <c r="H222" i="257"/>
  <c r="D222" i="257"/>
  <c r="A222" i="257"/>
  <c r="BB221" i="257"/>
  <c r="S221" i="257"/>
  <c r="Q221" i="257"/>
  <c r="P221" i="257"/>
  <c r="O221" i="257"/>
  <c r="K221" i="257"/>
  <c r="J221" i="257"/>
  <c r="I221" i="257"/>
  <c r="H221" i="257"/>
  <c r="D221" i="257"/>
  <c r="A221" i="257"/>
  <c r="Q220" i="257"/>
  <c r="P220" i="257"/>
  <c r="O220" i="257"/>
  <c r="D220" i="257"/>
  <c r="A220" i="257"/>
  <c r="Q219" i="257"/>
  <c r="P219" i="257"/>
  <c r="O219" i="257"/>
  <c r="D219" i="257"/>
  <c r="A219" i="257"/>
  <c r="Q218" i="257"/>
  <c r="P218" i="257"/>
  <c r="O218" i="257"/>
  <c r="D218" i="257"/>
  <c r="A218" i="257"/>
  <c r="Q217" i="257"/>
  <c r="P217" i="257"/>
  <c r="O217" i="257"/>
  <c r="D217" i="257"/>
  <c r="A217" i="257"/>
  <c r="Q216" i="257"/>
  <c r="P216" i="257"/>
  <c r="O216" i="257"/>
  <c r="D216" i="257"/>
  <c r="A216" i="257"/>
  <c r="Q215" i="257"/>
  <c r="P215" i="257"/>
  <c r="O215" i="257"/>
  <c r="D215" i="257"/>
  <c r="A215" i="257"/>
  <c r="Q214" i="257"/>
  <c r="P214" i="257"/>
  <c r="O214" i="257"/>
  <c r="D214" i="257"/>
  <c r="A214" i="257"/>
  <c r="Q213" i="257"/>
  <c r="P213" i="257"/>
  <c r="O213" i="257"/>
  <c r="D213" i="257"/>
  <c r="A213" i="257"/>
  <c r="Q212" i="257"/>
  <c r="P212" i="257"/>
  <c r="O212" i="257"/>
  <c r="D212" i="257"/>
  <c r="A212" i="257"/>
  <c r="Q211" i="257"/>
  <c r="P211" i="257"/>
  <c r="O211" i="257"/>
  <c r="D211" i="257"/>
  <c r="A211" i="257"/>
  <c r="A210" i="257"/>
  <c r="BB209" i="257"/>
  <c r="S209" i="257"/>
  <c r="Q209" i="257"/>
  <c r="P209" i="257"/>
  <c r="O209" i="257"/>
  <c r="K209" i="257"/>
  <c r="J209" i="257"/>
  <c r="I209" i="257"/>
  <c r="H209" i="257"/>
  <c r="D209" i="257"/>
  <c r="A209" i="257"/>
  <c r="BB208" i="257"/>
  <c r="S208" i="257"/>
  <c r="Q208" i="257"/>
  <c r="P208" i="257"/>
  <c r="O208" i="257"/>
  <c r="K208" i="257"/>
  <c r="J208" i="257"/>
  <c r="I208" i="257"/>
  <c r="H208" i="257"/>
  <c r="D208" i="257"/>
  <c r="A208" i="257"/>
  <c r="BB207" i="257"/>
  <c r="S207" i="257"/>
  <c r="Q207" i="257"/>
  <c r="P207" i="257"/>
  <c r="O207" i="257"/>
  <c r="K207" i="257"/>
  <c r="J207" i="257"/>
  <c r="I207" i="257"/>
  <c r="H207" i="257"/>
  <c r="D207" i="257"/>
  <c r="A207" i="257"/>
  <c r="BB206" i="257"/>
  <c r="S206" i="257"/>
  <c r="Q206" i="257"/>
  <c r="P206" i="257"/>
  <c r="O206" i="257"/>
  <c r="K206" i="257"/>
  <c r="J206" i="257"/>
  <c r="I206" i="257"/>
  <c r="H206" i="257"/>
  <c r="D206" i="257"/>
  <c r="A206" i="257"/>
  <c r="BB205" i="257"/>
  <c r="S205" i="257"/>
  <c r="Q205" i="257"/>
  <c r="P205" i="257"/>
  <c r="O205" i="257"/>
  <c r="K205" i="257"/>
  <c r="J205" i="257"/>
  <c r="I205" i="257"/>
  <c r="H205" i="257"/>
  <c r="D205" i="257"/>
  <c r="A205" i="257"/>
  <c r="Q204" i="257"/>
  <c r="P204" i="257"/>
  <c r="O204" i="257"/>
  <c r="D204" i="257"/>
  <c r="A204" i="257"/>
  <c r="Q203" i="257"/>
  <c r="P203" i="257"/>
  <c r="O203" i="257"/>
  <c r="D203" i="257"/>
  <c r="A203" i="257"/>
  <c r="Q202" i="257"/>
  <c r="P202" i="257"/>
  <c r="O202" i="257"/>
  <c r="D202" i="257"/>
  <c r="A202" i="257"/>
  <c r="Q201" i="257"/>
  <c r="P201" i="257"/>
  <c r="O201" i="257"/>
  <c r="D201" i="257"/>
  <c r="A201" i="257"/>
  <c r="Q200" i="257"/>
  <c r="P200" i="257"/>
  <c r="O200" i="257"/>
  <c r="D200" i="257"/>
  <c r="A200" i="257"/>
  <c r="Q199" i="257"/>
  <c r="P199" i="257"/>
  <c r="O199" i="257"/>
  <c r="D199" i="257"/>
  <c r="A199" i="257"/>
  <c r="Q198" i="257"/>
  <c r="P198" i="257"/>
  <c r="O198" i="257"/>
  <c r="D198" i="257"/>
  <c r="A198" i="257"/>
  <c r="Q197" i="257"/>
  <c r="P197" i="257"/>
  <c r="O197" i="257"/>
  <c r="D197" i="257"/>
  <c r="A197" i="257"/>
  <c r="Q196" i="257"/>
  <c r="P196" i="257"/>
  <c r="O196" i="257"/>
  <c r="D196" i="257"/>
  <c r="A196" i="257"/>
  <c r="Q195" i="257"/>
  <c r="P195" i="257"/>
  <c r="O195" i="257"/>
  <c r="D195" i="257"/>
  <c r="A195" i="257"/>
  <c r="A194" i="257"/>
  <c r="BB193" i="257"/>
  <c r="S193" i="257"/>
  <c r="Q193" i="257"/>
  <c r="P193" i="257"/>
  <c r="O193" i="257"/>
  <c r="K193" i="257"/>
  <c r="J193" i="257"/>
  <c r="I193" i="257"/>
  <c r="H193" i="257"/>
  <c r="D193" i="257"/>
  <c r="A193" i="257"/>
  <c r="BB192" i="257"/>
  <c r="S192" i="257"/>
  <c r="Q192" i="257"/>
  <c r="P192" i="257"/>
  <c r="O192" i="257"/>
  <c r="K192" i="257"/>
  <c r="J192" i="257"/>
  <c r="I192" i="257"/>
  <c r="H192" i="257"/>
  <c r="D192" i="257"/>
  <c r="A192" i="257"/>
  <c r="BB191" i="257"/>
  <c r="S191" i="257"/>
  <c r="Q191" i="257"/>
  <c r="P191" i="257"/>
  <c r="O191" i="257"/>
  <c r="K191" i="257"/>
  <c r="J191" i="257"/>
  <c r="I191" i="257"/>
  <c r="H191" i="257"/>
  <c r="D191" i="257"/>
  <c r="A191" i="257"/>
  <c r="BB190" i="257"/>
  <c r="S190" i="257"/>
  <c r="Q190" i="257"/>
  <c r="P190" i="257"/>
  <c r="O190" i="257"/>
  <c r="K190" i="257"/>
  <c r="J190" i="257"/>
  <c r="I190" i="257"/>
  <c r="H190" i="257"/>
  <c r="D190" i="257"/>
  <c r="A190" i="257"/>
  <c r="BB189" i="257"/>
  <c r="S189" i="257"/>
  <c r="Q189" i="257"/>
  <c r="P189" i="257"/>
  <c r="O189" i="257"/>
  <c r="K189" i="257"/>
  <c r="J189" i="257"/>
  <c r="I189" i="257"/>
  <c r="H189" i="257"/>
  <c r="D189" i="257"/>
  <c r="A189" i="257"/>
  <c r="Q188" i="257"/>
  <c r="P188" i="257"/>
  <c r="O188" i="257"/>
  <c r="D188" i="257"/>
  <c r="A188" i="257"/>
  <c r="Q187" i="257"/>
  <c r="P187" i="257"/>
  <c r="O187" i="257"/>
  <c r="D187" i="257"/>
  <c r="A187" i="257"/>
  <c r="Q186" i="257"/>
  <c r="P186" i="257"/>
  <c r="O186" i="257"/>
  <c r="D186" i="257"/>
  <c r="A186" i="257"/>
  <c r="Q185" i="257"/>
  <c r="P185" i="257"/>
  <c r="O185" i="257"/>
  <c r="D185" i="257"/>
  <c r="A185" i="257"/>
  <c r="Q184" i="257"/>
  <c r="P184" i="257"/>
  <c r="O184" i="257"/>
  <c r="D184" i="257"/>
  <c r="A184" i="257"/>
  <c r="Q183" i="257"/>
  <c r="P183" i="257"/>
  <c r="O183" i="257"/>
  <c r="D183" i="257"/>
  <c r="A183" i="257"/>
  <c r="Q182" i="257"/>
  <c r="P182" i="257"/>
  <c r="O182" i="257"/>
  <c r="D182" i="257"/>
  <c r="A182" i="257"/>
  <c r="Q181" i="257"/>
  <c r="P181" i="257"/>
  <c r="O181" i="257"/>
  <c r="D181" i="257"/>
  <c r="A181" i="257"/>
  <c r="Q180" i="257"/>
  <c r="P180" i="257"/>
  <c r="O180" i="257"/>
  <c r="D180" i="257"/>
  <c r="A180" i="257"/>
  <c r="Q179" i="257"/>
  <c r="P179" i="257"/>
  <c r="O179" i="257"/>
  <c r="D179" i="257"/>
  <c r="A179" i="257"/>
  <c r="A178" i="257"/>
  <c r="BB177" i="257"/>
  <c r="S177" i="257"/>
  <c r="Q177" i="257"/>
  <c r="P177" i="257"/>
  <c r="O177" i="257"/>
  <c r="K177" i="257"/>
  <c r="J177" i="257"/>
  <c r="I177" i="257"/>
  <c r="H177" i="257"/>
  <c r="D177" i="257"/>
  <c r="A177" i="257"/>
  <c r="BB176" i="257"/>
  <c r="S176" i="257"/>
  <c r="Q176" i="257"/>
  <c r="P176" i="257"/>
  <c r="O176" i="257"/>
  <c r="K176" i="257"/>
  <c r="J176" i="257"/>
  <c r="I176" i="257"/>
  <c r="H176" i="257"/>
  <c r="D176" i="257"/>
  <c r="A176" i="257"/>
  <c r="BB175" i="257"/>
  <c r="S175" i="257"/>
  <c r="Q175" i="257"/>
  <c r="P175" i="257"/>
  <c r="O175" i="257"/>
  <c r="K175" i="257"/>
  <c r="J175" i="257"/>
  <c r="I175" i="257"/>
  <c r="H175" i="257"/>
  <c r="D175" i="257"/>
  <c r="A175" i="257"/>
  <c r="BB174" i="257"/>
  <c r="S174" i="257"/>
  <c r="Q174" i="257"/>
  <c r="P174" i="257"/>
  <c r="O174" i="257"/>
  <c r="K174" i="257"/>
  <c r="J174" i="257"/>
  <c r="I174" i="257"/>
  <c r="H174" i="257"/>
  <c r="D174" i="257"/>
  <c r="A174" i="257"/>
  <c r="BB173" i="257"/>
  <c r="S173" i="257"/>
  <c r="Q173" i="257"/>
  <c r="P173" i="257"/>
  <c r="O173" i="257"/>
  <c r="K173" i="257"/>
  <c r="J173" i="257"/>
  <c r="I173" i="257"/>
  <c r="H173" i="257"/>
  <c r="D173" i="257"/>
  <c r="A173" i="257"/>
  <c r="Q172" i="257"/>
  <c r="P172" i="257"/>
  <c r="O172" i="257"/>
  <c r="D172" i="257"/>
  <c r="A172" i="257"/>
  <c r="Q171" i="257"/>
  <c r="P171" i="257"/>
  <c r="O171" i="257"/>
  <c r="D171" i="257"/>
  <c r="A171" i="257"/>
  <c r="Q170" i="257"/>
  <c r="P170" i="257"/>
  <c r="O170" i="257"/>
  <c r="D170" i="257"/>
  <c r="A170" i="257"/>
  <c r="Q169" i="257"/>
  <c r="P169" i="257"/>
  <c r="O169" i="257"/>
  <c r="D169" i="257"/>
  <c r="A169" i="257"/>
  <c r="Q168" i="257"/>
  <c r="P168" i="257"/>
  <c r="O168" i="257"/>
  <c r="D168" i="257"/>
  <c r="A168" i="257"/>
  <c r="Q167" i="257"/>
  <c r="P167" i="257"/>
  <c r="O167" i="257"/>
  <c r="D167" i="257"/>
  <c r="A167" i="257"/>
  <c r="Q166" i="257"/>
  <c r="P166" i="257"/>
  <c r="O166" i="257"/>
  <c r="D166" i="257"/>
  <c r="A166" i="257"/>
  <c r="Q165" i="257"/>
  <c r="P165" i="257"/>
  <c r="O165" i="257"/>
  <c r="D165" i="257"/>
  <c r="A165" i="257"/>
  <c r="Q164" i="257"/>
  <c r="P164" i="257"/>
  <c r="O164" i="257"/>
  <c r="D164" i="257"/>
  <c r="A164" i="257"/>
  <c r="Q163" i="257"/>
  <c r="P163" i="257"/>
  <c r="O163" i="257"/>
  <c r="D163" i="257"/>
  <c r="A163" i="257"/>
  <c r="A162" i="257"/>
  <c r="BB161" i="257"/>
  <c r="Y161" i="257"/>
  <c r="V161" i="257"/>
  <c r="S161" i="257"/>
  <c r="Q161" i="257"/>
  <c r="O161" i="257"/>
  <c r="M161" i="257"/>
  <c r="K161" i="257"/>
  <c r="J161" i="257"/>
  <c r="I161" i="257"/>
  <c r="H161" i="257"/>
  <c r="D161" i="257"/>
  <c r="A161" i="257"/>
  <c r="BB160" i="257"/>
  <c r="Y160" i="257"/>
  <c r="V160" i="257"/>
  <c r="S160" i="257"/>
  <c r="Q160" i="257"/>
  <c r="O160" i="257"/>
  <c r="M160" i="257"/>
  <c r="K160" i="257"/>
  <c r="J160" i="257"/>
  <c r="I160" i="257"/>
  <c r="H160" i="257"/>
  <c r="D160" i="257"/>
  <c r="A160" i="257"/>
  <c r="BB159" i="257"/>
  <c r="Y159" i="257"/>
  <c r="V159" i="257"/>
  <c r="S159" i="257"/>
  <c r="Q159" i="257"/>
  <c r="O159" i="257"/>
  <c r="M159" i="257"/>
  <c r="K159" i="257"/>
  <c r="J159" i="257"/>
  <c r="I159" i="257"/>
  <c r="H159" i="257"/>
  <c r="D159" i="257"/>
  <c r="A159" i="257"/>
  <c r="AF158" i="257"/>
  <c r="Y158" i="257"/>
  <c r="V158" i="257"/>
  <c r="S158" i="257"/>
  <c r="Q158" i="257"/>
  <c r="O158" i="257"/>
  <c r="M158" i="257"/>
  <c r="K158" i="257"/>
  <c r="J158" i="257"/>
  <c r="I158" i="257"/>
  <c r="H158" i="257"/>
  <c r="D158" i="257"/>
  <c r="A158" i="257"/>
  <c r="BB157" i="257"/>
  <c r="Y157" i="257"/>
  <c r="V157" i="257"/>
  <c r="S157" i="257"/>
  <c r="Q157" i="257"/>
  <c r="O157" i="257"/>
  <c r="M157" i="257"/>
  <c r="K157" i="257"/>
  <c r="J157" i="257"/>
  <c r="I157" i="257"/>
  <c r="H157" i="257"/>
  <c r="D157" i="257"/>
  <c r="A157" i="257"/>
  <c r="Y156" i="257"/>
  <c r="V156" i="257"/>
  <c r="Q156" i="257"/>
  <c r="O156" i="257"/>
  <c r="M156" i="257"/>
  <c r="D156" i="257"/>
  <c r="A156" i="257"/>
  <c r="Y155" i="257"/>
  <c r="V155" i="257"/>
  <c r="Q155" i="257"/>
  <c r="O155" i="257"/>
  <c r="M155" i="257"/>
  <c r="D155" i="257"/>
  <c r="A155" i="257"/>
  <c r="Y154" i="257"/>
  <c r="V154" i="257"/>
  <c r="Q154" i="257"/>
  <c r="O154" i="257"/>
  <c r="M154" i="257"/>
  <c r="D154" i="257"/>
  <c r="A154" i="257"/>
  <c r="Y153" i="257"/>
  <c r="V153" i="257"/>
  <c r="Q153" i="257"/>
  <c r="O153" i="257"/>
  <c r="M153" i="257"/>
  <c r="D153" i="257"/>
  <c r="A153" i="257"/>
  <c r="Y152" i="257"/>
  <c r="V152" i="257"/>
  <c r="Q152" i="257"/>
  <c r="O152" i="257"/>
  <c r="M152" i="257"/>
  <c r="D152" i="257"/>
  <c r="A152" i="257"/>
  <c r="Y151" i="257"/>
  <c r="V151" i="257"/>
  <c r="Q151" i="257"/>
  <c r="O151" i="257"/>
  <c r="M151" i="257"/>
  <c r="D151" i="257"/>
  <c r="A151" i="257"/>
  <c r="Y150" i="257"/>
  <c r="V150" i="257"/>
  <c r="Q150" i="257"/>
  <c r="O150" i="257"/>
  <c r="M150" i="257"/>
  <c r="D150" i="257"/>
  <c r="A150" i="257"/>
  <c r="Y149" i="257"/>
  <c r="V149" i="257"/>
  <c r="Q149" i="257"/>
  <c r="O149" i="257"/>
  <c r="M149" i="257"/>
  <c r="D149" i="257"/>
  <c r="A149" i="257"/>
  <c r="Y148" i="257"/>
  <c r="V148" i="257"/>
  <c r="Q148" i="257"/>
  <c r="O148" i="257"/>
  <c r="M148" i="257"/>
  <c r="D148" i="257"/>
  <c r="A148" i="257"/>
  <c r="Y147" i="257"/>
  <c r="V147" i="257"/>
  <c r="Q147" i="257"/>
  <c r="O147" i="257"/>
  <c r="M147" i="257"/>
  <c r="D147" i="257"/>
  <c r="A147" i="257"/>
  <c r="A146" i="257"/>
  <c r="X145" i="257"/>
  <c r="V145" i="257"/>
  <c r="Q145" i="257"/>
  <c r="P145" i="257"/>
  <c r="O145" i="257"/>
  <c r="N145" i="257"/>
  <c r="D145" i="257"/>
  <c r="A145" i="257"/>
  <c r="X144" i="257"/>
  <c r="V144" i="257"/>
  <c r="Q144" i="257"/>
  <c r="P144" i="257"/>
  <c r="O144" i="257"/>
  <c r="N144" i="257"/>
  <c r="D144" i="257"/>
  <c r="A144" i="257"/>
  <c r="X143" i="257"/>
  <c r="V143" i="257"/>
  <c r="Q143" i="257"/>
  <c r="P143" i="257"/>
  <c r="O143" i="257"/>
  <c r="N143" i="257"/>
  <c r="D143" i="257"/>
  <c r="A143" i="257"/>
  <c r="X142" i="257"/>
  <c r="V142" i="257"/>
  <c r="Q142" i="257"/>
  <c r="P142" i="257"/>
  <c r="O142" i="257"/>
  <c r="N142" i="257"/>
  <c r="D142" i="257"/>
  <c r="A142" i="257"/>
  <c r="X141" i="257"/>
  <c r="V141" i="257"/>
  <c r="Q141" i="257"/>
  <c r="P141" i="257"/>
  <c r="O141" i="257"/>
  <c r="N141" i="257"/>
  <c r="D141" i="257"/>
  <c r="A141" i="257"/>
  <c r="X140" i="257"/>
  <c r="V140" i="257"/>
  <c r="Q140" i="257"/>
  <c r="P140" i="257"/>
  <c r="O140" i="257"/>
  <c r="N140" i="257"/>
  <c r="D140" i="257"/>
  <c r="A140" i="257"/>
  <c r="X139" i="257"/>
  <c r="V139" i="257"/>
  <c r="Q139" i="257"/>
  <c r="P139" i="257"/>
  <c r="O139" i="257"/>
  <c r="N139" i="257"/>
  <c r="D139" i="257"/>
  <c r="A139" i="257"/>
  <c r="X138" i="257"/>
  <c r="V138" i="257"/>
  <c r="Q138" i="257"/>
  <c r="P138" i="257"/>
  <c r="O138" i="257"/>
  <c r="N138" i="257"/>
  <c r="D138" i="257"/>
  <c r="A138" i="257"/>
  <c r="X137" i="257"/>
  <c r="V137" i="257"/>
  <c r="Q137" i="257"/>
  <c r="P137" i="257"/>
  <c r="O137" i="257"/>
  <c r="N137" i="257"/>
  <c r="D137" i="257"/>
  <c r="A137" i="257"/>
  <c r="X136" i="257"/>
  <c r="V136" i="257"/>
  <c r="Q136" i="257"/>
  <c r="P136" i="257"/>
  <c r="O136" i="257"/>
  <c r="N136" i="257"/>
  <c r="D136" i="257"/>
  <c r="A136" i="257"/>
  <c r="X135" i="257"/>
  <c r="V135" i="257"/>
  <c r="Q135" i="257"/>
  <c r="P135" i="257"/>
  <c r="O135" i="257"/>
  <c r="N135" i="257"/>
  <c r="D135" i="257"/>
  <c r="A135" i="257"/>
  <c r="X134" i="257"/>
  <c r="V134" i="257"/>
  <c r="Q134" i="257"/>
  <c r="P134" i="257"/>
  <c r="O134" i="257"/>
  <c r="N134" i="257"/>
  <c r="D134" i="257"/>
  <c r="A134" i="257"/>
  <c r="X133" i="257"/>
  <c r="V133" i="257"/>
  <c r="Q133" i="257"/>
  <c r="P133" i="257"/>
  <c r="O133" i="257"/>
  <c r="N133" i="257"/>
  <c r="D133" i="257"/>
  <c r="A133" i="257"/>
  <c r="X132" i="257"/>
  <c r="V132" i="257"/>
  <c r="Q132" i="257"/>
  <c r="P132" i="257"/>
  <c r="O132" i="257"/>
  <c r="N132" i="257"/>
  <c r="D132" i="257"/>
  <c r="A132" i="257"/>
  <c r="X131" i="257"/>
  <c r="V131" i="257"/>
  <c r="Q131" i="257"/>
  <c r="P131" i="257"/>
  <c r="O131" i="257"/>
  <c r="N131" i="257"/>
  <c r="D131" i="257"/>
  <c r="A131" i="257"/>
  <c r="X130" i="257"/>
  <c r="V130" i="257"/>
  <c r="Q130" i="257"/>
  <c r="P130" i="257"/>
  <c r="O130" i="257"/>
  <c r="N130" i="257"/>
  <c r="D130" i="257"/>
  <c r="A130" i="257"/>
  <c r="X129" i="257"/>
  <c r="V129" i="257"/>
  <c r="Q129" i="257"/>
  <c r="P129" i="257"/>
  <c r="O129" i="257"/>
  <c r="N129" i="257"/>
  <c r="D129" i="257"/>
  <c r="A129" i="257"/>
  <c r="X128" i="257"/>
  <c r="V128" i="257"/>
  <c r="Q128" i="257"/>
  <c r="P128" i="257"/>
  <c r="O128" i="257"/>
  <c r="N128" i="257"/>
  <c r="D128" i="257"/>
  <c r="A128" i="257"/>
  <c r="X127" i="257"/>
  <c r="V127" i="257"/>
  <c r="Q127" i="257"/>
  <c r="P127" i="257"/>
  <c r="O127" i="257"/>
  <c r="N127" i="257"/>
  <c r="D127" i="257"/>
  <c r="A127" i="257"/>
  <c r="X126" i="257"/>
  <c r="V126" i="257"/>
  <c r="Q126" i="257"/>
  <c r="P126" i="257"/>
  <c r="O126" i="257"/>
  <c r="N126" i="257"/>
  <c r="D126" i="257"/>
  <c r="A126" i="257"/>
  <c r="X125" i="257"/>
  <c r="V125" i="257"/>
  <c r="Q125" i="257"/>
  <c r="P125" i="257"/>
  <c r="O125" i="257"/>
  <c r="N125" i="257"/>
  <c r="D125" i="257"/>
  <c r="A125" i="257"/>
  <c r="X124" i="257"/>
  <c r="V124" i="257"/>
  <c r="Q124" i="257"/>
  <c r="P124" i="257"/>
  <c r="O124" i="257"/>
  <c r="N124" i="257"/>
  <c r="D124" i="257"/>
  <c r="A124" i="257"/>
  <c r="X123" i="257"/>
  <c r="V123" i="257"/>
  <c r="Q123" i="257"/>
  <c r="P123" i="257"/>
  <c r="O123" i="257"/>
  <c r="N123" i="257"/>
  <c r="D123" i="257"/>
  <c r="A123" i="257"/>
  <c r="X122" i="257"/>
  <c r="V122" i="257"/>
  <c r="Q122" i="257"/>
  <c r="P122" i="257"/>
  <c r="O122" i="257"/>
  <c r="N122" i="257"/>
  <c r="D122" i="257"/>
  <c r="A122" i="257"/>
  <c r="X121" i="257"/>
  <c r="V121" i="257"/>
  <c r="Q121" i="257"/>
  <c r="P121" i="257"/>
  <c r="O121" i="257"/>
  <c r="N121" i="257"/>
  <c r="D121" i="257"/>
  <c r="A121" i="257"/>
  <c r="X120" i="257"/>
  <c r="V120" i="257"/>
  <c r="Q120" i="257"/>
  <c r="P120" i="257"/>
  <c r="O120" i="257"/>
  <c r="N120" i="257"/>
  <c r="D120" i="257"/>
  <c r="A120" i="257"/>
  <c r="X119" i="257"/>
  <c r="V119" i="257"/>
  <c r="Q119" i="257"/>
  <c r="P119" i="257"/>
  <c r="O119" i="257"/>
  <c r="N119" i="257"/>
  <c r="D119" i="257"/>
  <c r="A119" i="257"/>
  <c r="X118" i="257"/>
  <c r="V118" i="257"/>
  <c r="Q118" i="257"/>
  <c r="P118" i="257"/>
  <c r="O118" i="257"/>
  <c r="N118" i="257"/>
  <c r="D118" i="257"/>
  <c r="A118" i="257"/>
  <c r="X117" i="257"/>
  <c r="V117" i="257"/>
  <c r="Q117" i="257"/>
  <c r="P117" i="257"/>
  <c r="O117" i="257"/>
  <c r="N117" i="257"/>
  <c r="D117" i="257"/>
  <c r="A117" i="257"/>
  <c r="X116" i="257"/>
  <c r="V116" i="257"/>
  <c r="Q116" i="257"/>
  <c r="P116" i="257"/>
  <c r="O116" i="257"/>
  <c r="N116" i="257"/>
  <c r="D116" i="257"/>
  <c r="A116" i="257"/>
  <c r="A115" i="257"/>
  <c r="AE114" i="257"/>
  <c r="AD114" i="257"/>
  <c r="AC114" i="257"/>
  <c r="AB114" i="257" a="1"/>
  <c r="AB114" i="257" s="1"/>
  <c r="S114" i="257"/>
  <c r="Q114" i="257"/>
  <c r="O114" i="257"/>
  <c r="D114" i="257"/>
  <c r="A114" i="257"/>
  <c r="AE113" i="257"/>
  <c r="AD113" i="257"/>
  <c r="AC113" i="257"/>
  <c r="AB113" i="257" a="1"/>
  <c r="AB113" i="257" s="1"/>
  <c r="S113" i="257"/>
  <c r="Q113" i="257"/>
  <c r="O113" i="257"/>
  <c r="D113" i="257"/>
  <c r="A113" i="257"/>
  <c r="AE112" i="257"/>
  <c r="AD112" i="257"/>
  <c r="AC112" i="257"/>
  <c r="AB112" i="257" a="1"/>
  <c r="AB112" i="257" s="1"/>
  <c r="S112" i="257"/>
  <c r="Q112" i="257"/>
  <c r="O112" i="257"/>
  <c r="D112" i="257"/>
  <c r="A112" i="257"/>
  <c r="AE111" i="257"/>
  <c r="AD111" i="257"/>
  <c r="AC111" i="257"/>
  <c r="AB111" i="257" a="1"/>
  <c r="AB111" i="257" s="1"/>
  <c r="S111" i="257"/>
  <c r="Q111" i="257"/>
  <c r="O111" i="257"/>
  <c r="D111" i="257"/>
  <c r="A111" i="257"/>
  <c r="AE110" i="257"/>
  <c r="AD110" i="257"/>
  <c r="AC110" i="257"/>
  <c r="AB110" i="257" a="1"/>
  <c r="AB110" i="257" s="1"/>
  <c r="S110" i="257"/>
  <c r="Q110" i="257"/>
  <c r="O110" i="257"/>
  <c r="D110" i="257"/>
  <c r="A110" i="257"/>
  <c r="AD109" i="257"/>
  <c r="AC109" i="257"/>
  <c r="Q109" i="257"/>
  <c r="O109" i="257"/>
  <c r="D109" i="257"/>
  <c r="A109" i="257"/>
  <c r="AD108" i="257"/>
  <c r="AC108" i="257"/>
  <c r="Q108" i="257"/>
  <c r="O108" i="257"/>
  <c r="D108" i="257"/>
  <c r="A108" i="257"/>
  <c r="AD107" i="257"/>
  <c r="AC107" i="257"/>
  <c r="Q107" i="257"/>
  <c r="O107" i="257"/>
  <c r="D107" i="257"/>
  <c r="A107" i="257"/>
  <c r="AD106" i="257"/>
  <c r="AC106" i="257"/>
  <c r="Q106" i="257"/>
  <c r="O106" i="257"/>
  <c r="D106" i="257"/>
  <c r="A106" i="257"/>
  <c r="AD105" i="257"/>
  <c r="AC105" i="257"/>
  <c r="Q105" i="257"/>
  <c r="O105" i="257"/>
  <c r="D105" i="257"/>
  <c r="A105" i="257"/>
  <c r="AD104" i="257"/>
  <c r="AC104" i="257"/>
  <c r="Q104" i="257"/>
  <c r="O104" i="257"/>
  <c r="D104" i="257"/>
  <c r="A104" i="257"/>
  <c r="AD103" i="257"/>
  <c r="AC103" i="257"/>
  <c r="Q103" i="257"/>
  <c r="O103" i="257"/>
  <c r="D103" i="257"/>
  <c r="A103" i="257"/>
  <c r="AD102" i="257"/>
  <c r="AC102" i="257"/>
  <c r="Q102" i="257"/>
  <c r="O102" i="257"/>
  <c r="D102" i="257"/>
  <c r="A102" i="257"/>
  <c r="AD101" i="257"/>
  <c r="AC101" i="257"/>
  <c r="Q101" i="257"/>
  <c r="O101" i="257"/>
  <c r="D101" i="257"/>
  <c r="A101" i="257"/>
  <c r="AD100" i="257"/>
  <c r="AC100" i="257"/>
  <c r="Q100" i="257"/>
  <c r="O100" i="257"/>
  <c r="D100" i="257"/>
  <c r="A100" i="257"/>
  <c r="A99" i="257"/>
  <c r="AE98" i="257"/>
  <c r="AD98" i="257"/>
  <c r="AC98" i="257"/>
  <c r="AB98" i="257" a="1"/>
  <c r="AB98" i="257" s="1"/>
  <c r="S98" i="257"/>
  <c r="Q98" i="257"/>
  <c r="O98" i="257"/>
  <c r="D98" i="257"/>
  <c r="A98" i="257"/>
  <c r="AE97" i="257"/>
  <c r="AD97" i="257"/>
  <c r="AC97" i="257"/>
  <c r="AB97" i="257" a="1"/>
  <c r="AB97" i="257" s="1"/>
  <c r="S97" i="257"/>
  <c r="Q97" i="257"/>
  <c r="O97" i="257"/>
  <c r="D97" i="257"/>
  <c r="A97" i="257"/>
  <c r="AE96" i="257"/>
  <c r="AD96" i="257"/>
  <c r="AC96" i="257"/>
  <c r="AB96" i="257" a="1"/>
  <c r="AB96" i="257" s="1"/>
  <c r="S96" i="257"/>
  <c r="Q96" i="257"/>
  <c r="O96" i="257"/>
  <c r="D96" i="257"/>
  <c r="A96" i="257"/>
  <c r="AE95" i="257"/>
  <c r="AD95" i="257"/>
  <c r="AC95" i="257"/>
  <c r="AB95" i="257" a="1"/>
  <c r="AB95" i="257" s="1"/>
  <c r="S95" i="257"/>
  <c r="Q95" i="257"/>
  <c r="O95" i="257"/>
  <c r="D95" i="257"/>
  <c r="A95" i="257"/>
  <c r="AE94" i="257"/>
  <c r="AD94" i="257"/>
  <c r="AC94" i="257"/>
  <c r="AB94" i="257" a="1"/>
  <c r="AB94" i="257" s="1"/>
  <c r="S94" i="257"/>
  <c r="Q94" i="257"/>
  <c r="O94" i="257"/>
  <c r="D94" i="257"/>
  <c r="A94" i="257"/>
  <c r="AD93" i="257"/>
  <c r="AC93" i="257"/>
  <c r="Q93" i="257"/>
  <c r="O93" i="257"/>
  <c r="D93" i="257"/>
  <c r="A93" i="257"/>
  <c r="AD92" i="257"/>
  <c r="AC92" i="257"/>
  <c r="Q92" i="257"/>
  <c r="O92" i="257"/>
  <c r="D92" i="257"/>
  <c r="A92" i="257"/>
  <c r="AD91" i="257"/>
  <c r="AC91" i="257"/>
  <c r="Q91" i="257"/>
  <c r="O91" i="257"/>
  <c r="D91" i="257"/>
  <c r="A91" i="257"/>
  <c r="AD90" i="257"/>
  <c r="AC90" i="257"/>
  <c r="Q90" i="257"/>
  <c r="O90" i="257"/>
  <c r="D90" i="257"/>
  <c r="A90" i="257"/>
  <c r="AD89" i="257"/>
  <c r="AC89" i="257"/>
  <c r="Q89" i="257"/>
  <c r="O89" i="257"/>
  <c r="D89" i="257"/>
  <c r="A89" i="257"/>
  <c r="AD88" i="257"/>
  <c r="AC88" i="257"/>
  <c r="Q88" i="257"/>
  <c r="O88" i="257"/>
  <c r="D88" i="257"/>
  <c r="A88" i="257"/>
  <c r="AD87" i="257"/>
  <c r="AC87" i="257"/>
  <c r="Q87" i="257"/>
  <c r="O87" i="257"/>
  <c r="D87" i="257"/>
  <c r="A87" i="257"/>
  <c r="AD86" i="257"/>
  <c r="AC86" i="257"/>
  <c r="Q86" i="257"/>
  <c r="O86" i="257"/>
  <c r="D86" i="257"/>
  <c r="A86" i="257"/>
  <c r="AD85" i="257"/>
  <c r="AC85" i="257"/>
  <c r="Q85" i="257"/>
  <c r="O85" i="257"/>
  <c r="D85" i="257"/>
  <c r="A85" i="257"/>
  <c r="AD84" i="257"/>
  <c r="AC84" i="257"/>
  <c r="Q84" i="257"/>
  <c r="O84" i="257"/>
  <c r="D84" i="257"/>
  <c r="A84" i="257"/>
  <c r="A83" i="257"/>
  <c r="AE82" i="257"/>
  <c r="AD82" i="257"/>
  <c r="AC82" i="257"/>
  <c r="AB82" i="257" a="1"/>
  <c r="AB82" i="257" s="1"/>
  <c r="S82" i="257"/>
  <c r="Q82" i="257"/>
  <c r="O82" i="257"/>
  <c r="D82" i="257"/>
  <c r="A82" i="257"/>
  <c r="AE81" i="257"/>
  <c r="AD81" i="257"/>
  <c r="AC81" i="257"/>
  <c r="AB81" i="257" a="1"/>
  <c r="AB81" i="257" s="1"/>
  <c r="S81" i="257"/>
  <c r="Q81" i="257"/>
  <c r="O81" i="257"/>
  <c r="D81" i="257"/>
  <c r="A81" i="257"/>
  <c r="AE80" i="257"/>
  <c r="AD80" i="257"/>
  <c r="AC80" i="257"/>
  <c r="AB80" i="257" a="1"/>
  <c r="AB80" i="257" s="1"/>
  <c r="S80" i="257"/>
  <c r="Q80" i="257"/>
  <c r="O80" i="257"/>
  <c r="D80" i="257"/>
  <c r="A80" i="257"/>
  <c r="AE79" i="257"/>
  <c r="AD79" i="257"/>
  <c r="AC79" i="257"/>
  <c r="AB79" i="257" a="1"/>
  <c r="AB79" i="257" s="1"/>
  <c r="S79" i="257"/>
  <c r="Q79" i="257"/>
  <c r="O79" i="257"/>
  <c r="D79" i="257"/>
  <c r="A79" i="257"/>
  <c r="AE78" i="257"/>
  <c r="AD78" i="257"/>
  <c r="AC78" i="257"/>
  <c r="AB78" i="257" a="1"/>
  <c r="AB78" i="257" s="1"/>
  <c r="S78" i="257"/>
  <c r="Q78" i="257"/>
  <c r="O78" i="257"/>
  <c r="D78" i="257"/>
  <c r="A78" i="257"/>
  <c r="AD77" i="257"/>
  <c r="AC77" i="257"/>
  <c r="Q77" i="257"/>
  <c r="O77" i="257"/>
  <c r="D77" i="257"/>
  <c r="A77" i="257"/>
  <c r="AD76" i="257"/>
  <c r="AC76" i="257"/>
  <c r="Q76" i="257"/>
  <c r="O76" i="257"/>
  <c r="D76" i="257"/>
  <c r="A76" i="257"/>
  <c r="AD75" i="257"/>
  <c r="AC75" i="257"/>
  <c r="Q75" i="257"/>
  <c r="O75" i="257"/>
  <c r="D75" i="257"/>
  <c r="A75" i="257"/>
  <c r="AD74" i="257"/>
  <c r="AC74" i="257"/>
  <c r="Q74" i="257"/>
  <c r="O74" i="257"/>
  <c r="D74" i="257"/>
  <c r="A74" i="257"/>
  <c r="AD73" i="257"/>
  <c r="AC73" i="257"/>
  <c r="Q73" i="257"/>
  <c r="O73" i="257"/>
  <c r="D73" i="257"/>
  <c r="A73" i="257"/>
  <c r="AD72" i="257"/>
  <c r="AC72" i="257"/>
  <c r="Q72" i="257"/>
  <c r="O72" i="257"/>
  <c r="D72" i="257"/>
  <c r="A72" i="257"/>
  <c r="AD71" i="257"/>
  <c r="AC71" i="257"/>
  <c r="Q71" i="257"/>
  <c r="O71" i="257"/>
  <c r="D71" i="257"/>
  <c r="A71" i="257"/>
  <c r="AD70" i="257"/>
  <c r="AC70" i="257"/>
  <c r="Q70" i="257"/>
  <c r="O70" i="257"/>
  <c r="D70" i="257"/>
  <c r="A70" i="257"/>
  <c r="AD69" i="257"/>
  <c r="AC69" i="257"/>
  <c r="Q69" i="257"/>
  <c r="O69" i="257"/>
  <c r="D69" i="257"/>
  <c r="A69" i="257"/>
  <c r="AD68" i="257"/>
  <c r="AC68" i="257"/>
  <c r="Q68" i="257"/>
  <c r="O68" i="257"/>
  <c r="D68" i="257"/>
  <c r="A68" i="257"/>
  <c r="A67" i="257"/>
  <c r="A66" i="257"/>
  <c r="AE65" i="257"/>
  <c r="AD65" i="257"/>
  <c r="AC65" i="257"/>
  <c r="AB65" i="257" a="1"/>
  <c r="AB65" i="257" s="1"/>
  <c r="S65" i="257"/>
  <c r="Q65" i="257"/>
  <c r="O65" i="257"/>
  <c r="D65" i="257"/>
  <c r="A65" i="257"/>
  <c r="AE64" i="257"/>
  <c r="AD64" i="257"/>
  <c r="AC64" i="257"/>
  <c r="AB64" i="257" a="1"/>
  <c r="AB64" i="257" s="1"/>
  <c r="S64" i="257"/>
  <c r="Q64" i="257"/>
  <c r="O64" i="257"/>
  <c r="D64" i="257"/>
  <c r="A64" i="257"/>
  <c r="AE63" i="257"/>
  <c r="AD63" i="257"/>
  <c r="AC63" i="257"/>
  <c r="AB63" i="257" a="1"/>
  <c r="AB63" i="257" s="1"/>
  <c r="S63" i="257"/>
  <c r="Q63" i="257"/>
  <c r="O63" i="257"/>
  <c r="D63" i="257"/>
  <c r="A63" i="257"/>
  <c r="AE62" i="257"/>
  <c r="AD62" i="257"/>
  <c r="AC62" i="257"/>
  <c r="AB62" i="257" a="1"/>
  <c r="AB62" i="257" s="1"/>
  <c r="S62" i="257"/>
  <c r="Q62" i="257"/>
  <c r="O62" i="257"/>
  <c r="D62" i="257"/>
  <c r="A62" i="257"/>
  <c r="AE61" i="257"/>
  <c r="AD61" i="257"/>
  <c r="AC61" i="257"/>
  <c r="AB61" i="257" a="1"/>
  <c r="AB61" i="257" s="1"/>
  <c r="S61" i="257"/>
  <c r="Q61" i="257"/>
  <c r="O61" i="257"/>
  <c r="D61" i="257"/>
  <c r="A61" i="257"/>
  <c r="AD60" i="257"/>
  <c r="AC60" i="257"/>
  <c r="Q60" i="257"/>
  <c r="O60" i="257"/>
  <c r="D60" i="257"/>
  <c r="A60" i="257"/>
  <c r="AD59" i="257"/>
  <c r="AC59" i="257"/>
  <c r="Q59" i="257"/>
  <c r="O59" i="257"/>
  <c r="D59" i="257"/>
  <c r="A59" i="257"/>
  <c r="AD58" i="257"/>
  <c r="AC58" i="257"/>
  <c r="Q58" i="257"/>
  <c r="O58" i="257"/>
  <c r="D58" i="257"/>
  <c r="A58" i="257"/>
  <c r="AD57" i="257"/>
  <c r="AC57" i="257"/>
  <c r="Q57" i="257"/>
  <c r="O57" i="257"/>
  <c r="D57" i="257"/>
  <c r="A57" i="257"/>
  <c r="AD56" i="257"/>
  <c r="AC56" i="257"/>
  <c r="Q56" i="257"/>
  <c r="O56" i="257"/>
  <c r="D56" i="257"/>
  <c r="A56" i="257"/>
  <c r="AD55" i="257"/>
  <c r="AC55" i="257"/>
  <c r="Q55" i="257"/>
  <c r="O55" i="257"/>
  <c r="D55" i="257"/>
  <c r="A55" i="257"/>
  <c r="AD54" i="257"/>
  <c r="AC54" i="257"/>
  <c r="Q54" i="257"/>
  <c r="O54" i="257"/>
  <c r="D54" i="257"/>
  <c r="A54" i="257"/>
  <c r="AD53" i="257"/>
  <c r="AC53" i="257"/>
  <c r="Q53" i="257"/>
  <c r="O53" i="257"/>
  <c r="D53" i="257"/>
  <c r="A53" i="257"/>
  <c r="AD52" i="257"/>
  <c r="AC52" i="257"/>
  <c r="Q52" i="257"/>
  <c r="O52" i="257"/>
  <c r="D52" i="257"/>
  <c r="A52" i="257"/>
  <c r="AD51" i="257"/>
  <c r="AC51" i="257"/>
  <c r="Q51" i="257"/>
  <c r="O51" i="257"/>
  <c r="D51" i="257"/>
  <c r="A51" i="257"/>
  <c r="A50" i="257"/>
  <c r="AN49" i="257"/>
  <c r="AM49" i="257"/>
  <c r="AL49" i="257"/>
  <c r="AK49" i="257"/>
  <c r="AJ49" i="257"/>
  <c r="AI49" i="257"/>
  <c r="AE49" i="257"/>
  <c r="AD49" i="257"/>
  <c r="AC49" i="257"/>
  <c r="AB49" i="257" a="1"/>
  <c r="AB49" i="257" s="1"/>
  <c r="Y49" i="257"/>
  <c r="V49" i="257"/>
  <c r="S49" i="257"/>
  <c r="Q49" i="257"/>
  <c r="O49" i="257"/>
  <c r="D49" i="257"/>
  <c r="A49" i="257"/>
  <c r="AN48" i="257"/>
  <c r="AM48" i="257"/>
  <c r="AL48" i="257"/>
  <c r="AK48" i="257"/>
  <c r="AJ48" i="257"/>
  <c r="AI48" i="257"/>
  <c r="AE48" i="257"/>
  <c r="AD48" i="257"/>
  <c r="AC48" i="257"/>
  <c r="AB48" i="257" a="1"/>
  <c r="AB48" i="257" s="1"/>
  <c r="Y48" i="257"/>
  <c r="V48" i="257"/>
  <c r="S48" i="257"/>
  <c r="Q48" i="257"/>
  <c r="O48" i="257"/>
  <c r="D48" i="257"/>
  <c r="A48" i="257"/>
  <c r="AN47" i="257"/>
  <c r="AM47" i="257"/>
  <c r="AL47" i="257"/>
  <c r="AK47" i="257"/>
  <c r="AJ47" i="257"/>
  <c r="AI47" i="257"/>
  <c r="AE47" i="257"/>
  <c r="AD47" i="257"/>
  <c r="AC47" i="257"/>
  <c r="AB47" i="257" a="1"/>
  <c r="AB47" i="257" s="1"/>
  <c r="Y47" i="257"/>
  <c r="V47" i="257"/>
  <c r="S47" i="257"/>
  <c r="Q47" i="257"/>
  <c r="O47" i="257"/>
  <c r="D47" i="257"/>
  <c r="A47" i="257"/>
  <c r="AN46" i="257"/>
  <c r="AM46" i="257"/>
  <c r="AL46" i="257"/>
  <c r="AK46" i="257"/>
  <c r="AJ46" i="257"/>
  <c r="AI46" i="257"/>
  <c r="AE46" i="257"/>
  <c r="AD46" i="257"/>
  <c r="AC46" i="257"/>
  <c r="AB46" i="257" a="1"/>
  <c r="AB46" i="257" s="1"/>
  <c r="Y46" i="257"/>
  <c r="V46" i="257"/>
  <c r="S46" i="257"/>
  <c r="Q46" i="257"/>
  <c r="O46" i="257"/>
  <c r="D46" i="257"/>
  <c r="A46" i="257"/>
  <c r="AN45" i="257"/>
  <c r="AM45" i="257"/>
  <c r="AL45" i="257"/>
  <c r="AK45" i="257"/>
  <c r="AJ45" i="257"/>
  <c r="AI45" i="257"/>
  <c r="AE45" i="257"/>
  <c r="AD45" i="257"/>
  <c r="AC45" i="257"/>
  <c r="AB45" i="257" a="1"/>
  <c r="AB45" i="257" s="1"/>
  <c r="Y45" i="257"/>
  <c r="V45" i="257"/>
  <c r="S45" i="257"/>
  <c r="Q45" i="257"/>
  <c r="O45" i="257"/>
  <c r="D45" i="257"/>
  <c r="A45" i="257"/>
  <c r="AN44" i="257"/>
  <c r="AM44" i="257"/>
  <c r="AD44" i="257"/>
  <c r="AC44" i="257"/>
  <c r="Y44" i="257"/>
  <c r="V44" i="257"/>
  <c r="Q44" i="257"/>
  <c r="O44" i="257"/>
  <c r="D44" i="257"/>
  <c r="A44" i="257"/>
  <c r="AN43" i="257"/>
  <c r="AM43" i="257"/>
  <c r="AD43" i="257"/>
  <c r="AC43" i="257"/>
  <c r="Y43" i="257"/>
  <c r="V43" i="257"/>
  <c r="Q43" i="257"/>
  <c r="O43" i="257"/>
  <c r="D43" i="257"/>
  <c r="A43" i="257"/>
  <c r="AN42" i="257"/>
  <c r="AM42" i="257"/>
  <c r="AD42" i="257"/>
  <c r="AC42" i="257"/>
  <c r="Y42" i="257"/>
  <c r="V42" i="257"/>
  <c r="Q42" i="257"/>
  <c r="O42" i="257"/>
  <c r="D42" i="257"/>
  <c r="A42" i="257"/>
  <c r="AN41" i="257"/>
  <c r="AM41" i="257"/>
  <c r="AD41" i="257"/>
  <c r="AC41" i="257"/>
  <c r="Y41" i="257"/>
  <c r="V41" i="257"/>
  <c r="Q41" i="257"/>
  <c r="O41" i="257"/>
  <c r="D41" i="257"/>
  <c r="A41" i="257"/>
  <c r="AN40" i="257"/>
  <c r="AM40" i="257"/>
  <c r="AD40" i="257"/>
  <c r="AC40" i="257"/>
  <c r="Y40" i="257"/>
  <c r="V40" i="257"/>
  <c r="Q40" i="257"/>
  <c r="O40" i="257"/>
  <c r="D40" i="257"/>
  <c r="A40" i="257"/>
  <c r="AN39" i="257"/>
  <c r="AM39" i="257"/>
  <c r="AD39" i="257"/>
  <c r="AC39" i="257"/>
  <c r="Y39" i="257"/>
  <c r="V39" i="257"/>
  <c r="Q39" i="257"/>
  <c r="O39" i="257"/>
  <c r="D39" i="257"/>
  <c r="A39" i="257"/>
  <c r="AN38" i="257"/>
  <c r="AM38" i="257"/>
  <c r="AD38" i="257"/>
  <c r="AC38" i="257"/>
  <c r="Y38" i="257"/>
  <c r="V38" i="257"/>
  <c r="Q38" i="257"/>
  <c r="O38" i="257"/>
  <c r="D38" i="257"/>
  <c r="A38" i="257"/>
  <c r="AN37" i="257"/>
  <c r="AM37" i="257"/>
  <c r="AD37" i="257"/>
  <c r="AC37" i="257"/>
  <c r="Y37" i="257"/>
  <c r="V37" i="257"/>
  <c r="Q37" i="257"/>
  <c r="O37" i="257"/>
  <c r="D37" i="257"/>
  <c r="A37" i="257"/>
  <c r="AN36" i="257"/>
  <c r="AM36" i="257"/>
  <c r="AD36" i="257"/>
  <c r="AC36" i="257"/>
  <c r="Y36" i="257"/>
  <c r="V36" i="257"/>
  <c r="Q36" i="257"/>
  <c r="O36" i="257"/>
  <c r="D36" i="257"/>
  <c r="A36" i="257"/>
  <c r="AN35" i="257"/>
  <c r="AM35" i="257"/>
  <c r="AD35" i="257"/>
  <c r="AC35" i="257"/>
  <c r="Y35" i="257"/>
  <c r="V35" i="257"/>
  <c r="Q35" i="257"/>
  <c r="O35" i="257"/>
  <c r="D35" i="257"/>
  <c r="A35" i="257"/>
  <c r="A34" i="257"/>
  <c r="AD33" i="257"/>
  <c r="AC33" i="257"/>
  <c r="V33" i="257"/>
  <c r="Q33" i="257"/>
  <c r="P33" i="257"/>
  <c r="O33" i="257"/>
  <c r="D33" i="257"/>
  <c r="A33" i="257"/>
  <c r="AD32" i="257"/>
  <c r="AC32" i="257"/>
  <c r="V32" i="257"/>
  <c r="Q32" i="257"/>
  <c r="P32" i="257"/>
  <c r="O32" i="257"/>
  <c r="D32" i="257"/>
  <c r="A32" i="257"/>
  <c r="AD31" i="257"/>
  <c r="AC31" i="257"/>
  <c r="V31" i="257"/>
  <c r="Q31" i="257"/>
  <c r="P31" i="257"/>
  <c r="O31" i="257"/>
  <c r="D31" i="257"/>
  <c r="A31" i="257"/>
  <c r="AD30" i="257"/>
  <c r="AC30" i="257"/>
  <c r="V30" i="257"/>
  <c r="Q30" i="257"/>
  <c r="P30" i="257"/>
  <c r="O30" i="257"/>
  <c r="D30" i="257"/>
  <c r="A30" i="257"/>
  <c r="AD29" i="257"/>
  <c r="AC29" i="257"/>
  <c r="V29" i="257"/>
  <c r="Q29" i="257"/>
  <c r="P29" i="257"/>
  <c r="O29" i="257"/>
  <c r="D29" i="257"/>
  <c r="A29" i="257"/>
  <c r="AD28" i="257"/>
  <c r="AC28" i="257"/>
  <c r="V28" i="257"/>
  <c r="Q28" i="257"/>
  <c r="P28" i="257"/>
  <c r="O28" i="257"/>
  <c r="D28" i="257"/>
  <c r="A28" i="257"/>
  <c r="AD27" i="257"/>
  <c r="AC27" i="257"/>
  <c r="V27" i="257"/>
  <c r="Q27" i="257"/>
  <c r="P27" i="257"/>
  <c r="O27" i="257"/>
  <c r="D27" i="257"/>
  <c r="A27" i="257"/>
  <c r="AD26" i="257"/>
  <c r="AC26" i="257"/>
  <c r="V26" i="257"/>
  <c r="Q26" i="257"/>
  <c r="P26" i="257"/>
  <c r="O26" i="257"/>
  <c r="D26" i="257"/>
  <c r="A26" i="257"/>
  <c r="AD25" i="257"/>
  <c r="AC25" i="257"/>
  <c r="V25" i="257"/>
  <c r="Q25" i="257"/>
  <c r="P25" i="257"/>
  <c r="O25" i="257"/>
  <c r="D25" i="257"/>
  <c r="A25" i="257"/>
  <c r="AD24" i="257"/>
  <c r="AC24" i="257"/>
  <c r="V24" i="257"/>
  <c r="Q24" i="257"/>
  <c r="P24" i="257"/>
  <c r="O24" i="257"/>
  <c r="D24" i="257"/>
  <c r="A24" i="257"/>
  <c r="AD23" i="257"/>
  <c r="AC23" i="257"/>
  <c r="V23" i="257"/>
  <c r="Q23" i="257"/>
  <c r="P23" i="257"/>
  <c r="O23" i="257"/>
  <c r="D23" i="257"/>
  <c r="A23" i="257"/>
  <c r="AD22" i="257"/>
  <c r="AC22" i="257"/>
  <c r="V22" i="257"/>
  <c r="Q22" i="257"/>
  <c r="P22" i="257"/>
  <c r="O22" i="257"/>
  <c r="D22" i="257"/>
  <c r="A22" i="257"/>
  <c r="AD21" i="257"/>
  <c r="AC21" i="257"/>
  <c r="V21" i="257"/>
  <c r="Q21" i="257"/>
  <c r="P21" i="257"/>
  <c r="O21" i="257"/>
  <c r="D21" i="257"/>
  <c r="A21" i="257"/>
  <c r="AD20" i="257"/>
  <c r="AC20" i="257"/>
  <c r="V20" i="257"/>
  <c r="Q20" i="257"/>
  <c r="P20" i="257"/>
  <c r="O20" i="257"/>
  <c r="D20" i="257"/>
  <c r="A20" i="257"/>
  <c r="AD19" i="257"/>
  <c r="AC19" i="257"/>
  <c r="V19" i="257"/>
  <c r="Q19" i="257"/>
  <c r="P19" i="257"/>
  <c r="O19" i="257"/>
  <c r="D19" i="257"/>
  <c r="A19" i="257"/>
  <c r="AD18" i="257"/>
  <c r="AC18" i="257"/>
  <c r="V18" i="257"/>
  <c r="Q18" i="257"/>
  <c r="P18" i="257"/>
  <c r="O18" i="257"/>
  <c r="D18" i="257"/>
  <c r="A18" i="257"/>
  <c r="AD17" i="257"/>
  <c r="AC17" i="257"/>
  <c r="V17" i="257"/>
  <c r="Q17" i="257"/>
  <c r="P17" i="257"/>
  <c r="O17" i="257"/>
  <c r="D17" i="257"/>
  <c r="A17" i="257"/>
  <c r="AD16" i="257"/>
  <c r="AC16" i="257"/>
  <c r="V16" i="257"/>
  <c r="Q16" i="257"/>
  <c r="P16" i="257"/>
  <c r="O16" i="257"/>
  <c r="D16" i="257"/>
  <c r="A16" i="257"/>
  <c r="AD15" i="257"/>
  <c r="AC15" i="257"/>
  <c r="V15" i="257"/>
  <c r="Q15" i="257"/>
  <c r="P15" i="257"/>
  <c r="O15" i="257"/>
  <c r="D15" i="257"/>
  <c r="A15" i="257"/>
  <c r="AD14" i="257"/>
  <c r="AC14" i="257"/>
  <c r="V14" i="257"/>
  <c r="Q14" i="257"/>
  <c r="P14" i="257"/>
  <c r="O14" i="257"/>
  <c r="D14" i="257"/>
  <c r="A14" i="257"/>
  <c r="AD13" i="257"/>
  <c r="AC13" i="257"/>
  <c r="V13" i="257"/>
  <c r="Q13" i="257"/>
  <c r="P13" i="257"/>
  <c r="O13" i="257"/>
  <c r="D13" i="257"/>
  <c r="A13" i="257"/>
  <c r="AD12" i="257"/>
  <c r="AC12" i="257"/>
  <c r="V12" i="257"/>
  <c r="Q12" i="257"/>
  <c r="P12" i="257"/>
  <c r="O12" i="257"/>
  <c r="D12" i="257"/>
  <c r="A12" i="257"/>
  <c r="AD11" i="257"/>
  <c r="AC11" i="257"/>
  <c r="V11" i="257"/>
  <c r="Q11" i="257"/>
  <c r="P11" i="257"/>
  <c r="O11" i="257"/>
  <c r="D11" i="257"/>
  <c r="A11" i="257"/>
  <c r="AD10" i="257"/>
  <c r="AC10" i="257"/>
  <c r="V10" i="257"/>
  <c r="Q10" i="257"/>
  <c r="P10" i="257"/>
  <c r="O10" i="257"/>
  <c r="D10" i="257"/>
  <c r="A10" i="257"/>
  <c r="AD9" i="257"/>
  <c r="AC9" i="257"/>
  <c r="V9" i="257"/>
  <c r="Q9" i="257"/>
  <c r="P9" i="257"/>
  <c r="O9" i="257"/>
  <c r="D9" i="257"/>
  <c r="A9" i="257"/>
  <c r="AD8" i="257"/>
  <c r="AC8" i="257"/>
  <c r="V8" i="257"/>
  <c r="Q8" i="257"/>
  <c r="P8" i="257"/>
  <c r="O8" i="257"/>
  <c r="D8" i="257"/>
  <c r="A8" i="257"/>
  <c r="AD7" i="257"/>
  <c r="AC7" i="257"/>
  <c r="V7" i="257"/>
  <c r="Q7" i="257"/>
  <c r="P7" i="257"/>
  <c r="O7" i="257"/>
  <c r="D7" i="257"/>
  <c r="A7" i="257"/>
  <c r="AD6" i="257"/>
  <c r="AC6" i="257"/>
  <c r="V6" i="257"/>
  <c r="Q6" i="257"/>
  <c r="P6" i="257"/>
  <c r="O6" i="257"/>
  <c r="D6" i="257"/>
  <c r="A6" i="257"/>
  <c r="AD5" i="257"/>
  <c r="AC5" i="257"/>
  <c r="V5" i="257"/>
  <c r="Q5" i="257"/>
  <c r="P5" i="257"/>
  <c r="O5" i="257"/>
  <c r="D5" i="257"/>
  <c r="A5" i="257"/>
  <c r="AD4" i="257"/>
  <c r="AC4" i="257"/>
  <c r="V4" i="257"/>
  <c r="Q4" i="257"/>
  <c r="P4" i="257"/>
  <c r="O4" i="257"/>
  <c r="D4" i="257"/>
  <c r="A4" i="257"/>
  <c r="A3" i="257"/>
  <c r="FA2" i="257"/>
  <c r="EZ2" i="257"/>
  <c r="EY2" i="257"/>
  <c r="EO2" i="257"/>
  <c r="EF2" i="257"/>
  <c r="EE2" i="257"/>
  <c r="ED2" i="257"/>
  <c r="EC2" i="257"/>
  <c r="DW2" i="257"/>
  <c r="DV2" i="257"/>
  <c r="DU2" i="257"/>
  <c r="DT2" i="257"/>
  <c r="DS2" i="257"/>
  <c r="DQ2" i="257"/>
  <c r="DP2" i="257"/>
  <c r="DO2" i="257"/>
  <c r="DN2" i="257"/>
  <c r="DM2" i="257"/>
  <c r="DL2" i="257"/>
  <c r="DK2" i="257"/>
  <c r="DJ2" i="257"/>
  <c r="DI2" i="257"/>
  <c r="DH2" i="257"/>
  <c r="DG2" i="257"/>
  <c r="DF2" i="257"/>
  <c r="DE2" i="257"/>
  <c r="DD2" i="257"/>
  <c r="DC2" i="257"/>
  <c r="DB2" i="257"/>
  <c r="DA2" i="257"/>
  <c r="CZ2" i="257"/>
  <c r="CY2" i="257"/>
  <c r="CX2" i="257"/>
  <c r="CW2" i="257"/>
  <c r="CV2" i="257"/>
  <c r="CU2" i="257"/>
  <c r="CT2" i="257"/>
  <c r="CS2" i="257"/>
  <c r="CR2" i="257"/>
  <c r="CQ2" i="257"/>
  <c r="CP2" i="257"/>
  <c r="CO2" i="257"/>
  <c r="CN2" i="257"/>
  <c r="CM2" i="257"/>
  <c r="CL2" i="257"/>
  <c r="CK2" i="257"/>
  <c r="CJ2" i="257"/>
  <c r="CI2" i="257"/>
  <c r="CH2" i="257"/>
  <c r="CG2" i="257"/>
  <c r="CF2" i="257"/>
  <c r="BT2" i="257"/>
  <c r="BS2" i="257"/>
  <c r="BR2" i="257"/>
  <c r="BQ2" i="257"/>
  <c r="BP2" i="257"/>
  <c r="BO2" i="257"/>
  <c r="BN2" i="257"/>
  <c r="BM2" i="257"/>
  <c r="BL2" i="257"/>
  <c r="BH2" i="257"/>
  <c r="BG2" i="257"/>
  <c r="BF2" i="257"/>
  <c r="BD2" i="257"/>
  <c r="BC2" i="257"/>
  <c r="A2" i="257"/>
  <c r="AA89" i="173"/>
  <c r="AS174" i="257" l="1"/>
  <c r="AE174" i="257"/>
  <c r="AT174" i="257" a="1"/>
  <c r="AT174" i="257" s="1"/>
  <c r="AR174" i="257"/>
  <c r="AC174" i="257" a="1"/>
  <c r="AC174" i="257" s="1"/>
  <c r="AD174" i="257" a="1"/>
  <c r="AD174" i="257" s="1"/>
  <c r="AG174" i="257" a="1"/>
  <c r="AG174" i="257" s="1"/>
  <c r="AT207" i="257" a="1"/>
  <c r="AT207" i="257" s="1"/>
  <c r="AR207" i="257"/>
  <c r="AC207" i="257" a="1"/>
  <c r="AC207" i="257" s="1"/>
  <c r="AD207" i="257" a="1"/>
  <c r="AD207" i="257" s="1"/>
  <c r="AS207" i="257"/>
  <c r="AE207" i="257"/>
  <c r="AG207" i="257" a="1"/>
  <c r="AG207" i="257" s="1"/>
  <c r="AS240" i="257"/>
  <c r="AE240" i="257"/>
  <c r="AR240" i="257"/>
  <c r="AT240" i="257" a="1"/>
  <c r="AT240" i="257" s="1"/>
  <c r="AC240" i="257" a="1"/>
  <c r="AC240" i="257" s="1"/>
  <c r="AD240" i="257" a="1"/>
  <c r="AD240" i="257" s="1"/>
  <c r="AG240" i="257" a="1"/>
  <c r="AG240" i="257" s="1"/>
  <c r="AT157" i="257" a="1"/>
  <c r="AT157" i="257" s="1"/>
  <c r="AC157" i="257" a="1"/>
  <c r="AC157" i="257" s="1"/>
  <c r="AD157" i="257" a="1"/>
  <c r="AD157" i="257" s="1"/>
  <c r="AE157" i="257"/>
  <c r="AR157" i="257"/>
  <c r="AG157" i="257" a="1"/>
  <c r="AG157" i="257" s="1"/>
  <c r="AG159" i="257" a="1"/>
  <c r="AG159" i="257" s="1"/>
  <c r="AR159" i="257"/>
  <c r="AT159" i="257" a="1"/>
  <c r="AT159" i="257" s="1"/>
  <c r="AC159" i="257" a="1"/>
  <c r="AC159" i="257" s="1"/>
  <c r="AD159" i="257" a="1"/>
  <c r="AD159" i="257" s="1"/>
  <c r="AE159" i="257"/>
  <c r="AG160" i="257" a="1"/>
  <c r="AG160" i="257" s="1"/>
  <c r="AR160" i="257"/>
  <c r="AT160" i="257" a="1"/>
  <c r="AT160" i="257" s="1"/>
  <c r="AC160" i="257" a="1"/>
  <c r="AC160" i="257" s="1"/>
  <c r="AD160" i="257" a="1"/>
  <c r="AD160" i="257" s="1"/>
  <c r="AE160" i="257"/>
  <c r="AG161" i="257" a="1"/>
  <c r="AG161" i="257" s="1"/>
  <c r="AE161" i="257"/>
  <c r="AR161" i="257"/>
  <c r="AT161" i="257" a="1"/>
  <c r="AT161" i="257" s="1"/>
  <c r="AD161" i="257" a="1"/>
  <c r="AD161" i="257" s="1"/>
  <c r="AC161" i="257" a="1"/>
  <c r="AC161" i="257" s="1"/>
  <c r="AR208" i="257"/>
  <c r="AT208" i="257" a="1"/>
  <c r="AT208" i="257" s="1"/>
  <c r="AD208" i="257" a="1"/>
  <c r="AD208" i="257" s="1"/>
  <c r="AC208" i="257" a="1"/>
  <c r="AC208" i="257" s="1"/>
  <c r="AS208" i="257"/>
  <c r="AE208" i="257"/>
  <c r="AG208" i="257" a="1"/>
  <c r="AG208" i="257" s="1"/>
  <c r="AS173" i="257"/>
  <c r="AE173" i="257"/>
  <c r="AC173" i="257" a="1"/>
  <c r="AC173" i="257" s="1"/>
  <c r="AT173" i="257" a="1"/>
  <c r="AT173" i="257" s="1"/>
  <c r="AD173" i="257" a="1"/>
  <c r="AD173" i="257" s="1"/>
  <c r="AR173" i="257"/>
  <c r="AG173" i="257" a="1"/>
  <c r="AG173" i="257" s="1"/>
  <c r="AT206" i="257" a="1"/>
  <c r="AT206" i="257" s="1"/>
  <c r="AE206" i="257"/>
  <c r="AR206" i="257"/>
  <c r="AC206" i="257" a="1"/>
  <c r="AC206" i="257" s="1"/>
  <c r="AD206" i="257" a="1"/>
  <c r="AD206" i="257" s="1"/>
  <c r="AS206" i="257"/>
  <c r="AG206" i="257" a="1"/>
  <c r="AG206" i="257" s="1"/>
  <c r="AS239" i="257"/>
  <c r="AE239" i="257"/>
  <c r="AT239" i="257" a="1"/>
  <c r="AT239" i="257" s="1"/>
  <c r="AC239" i="257" a="1"/>
  <c r="AC239" i="257" s="1"/>
  <c r="AR239" i="257"/>
  <c r="AD239" i="257" a="1"/>
  <c r="AD239" i="257" s="1"/>
  <c r="AG239" i="257" a="1"/>
  <c r="AG239" i="257" s="1"/>
  <c r="AE193" i="257"/>
  <c r="AS193" i="257"/>
  <c r="AR193" i="257"/>
  <c r="AC193" i="257" a="1"/>
  <c r="AC193" i="257" s="1"/>
  <c r="AT193" i="257" a="1"/>
  <c r="AT193" i="257" s="1"/>
  <c r="AD193" i="257" a="1"/>
  <c r="AD193" i="257" s="1"/>
  <c r="AG193" i="257" a="1"/>
  <c r="AG193" i="257" s="1"/>
  <c r="AE205" i="257"/>
  <c r="AR205" i="257"/>
  <c r="AC205" i="257" a="1"/>
  <c r="AC205" i="257" s="1"/>
  <c r="AD205" i="257" a="1"/>
  <c r="AD205" i="257" s="1"/>
  <c r="AS205" i="257"/>
  <c r="AT205" i="257" a="1"/>
  <c r="AT205" i="257" s="1"/>
  <c r="AG205" i="257" a="1"/>
  <c r="AG205" i="257" s="1"/>
  <c r="AC238" i="257" a="1"/>
  <c r="AC238" i="257" s="1"/>
  <c r="AS238" i="257"/>
  <c r="AT238" i="257" a="1"/>
  <c r="AT238" i="257" s="1"/>
  <c r="AD238" i="257" a="1"/>
  <c r="AD238" i="257" s="1"/>
  <c r="AE238" i="257"/>
  <c r="AR238" i="257"/>
  <c r="AG238" i="257" a="1"/>
  <c r="AG238" i="257" s="1"/>
  <c r="AS175" i="257"/>
  <c r="AE175" i="257"/>
  <c r="AR175" i="257"/>
  <c r="AT175" i="257" a="1"/>
  <c r="AT175" i="257" s="1"/>
  <c r="AD175" i="257" a="1"/>
  <c r="AD175" i="257" s="1"/>
  <c r="AC175" i="257" a="1"/>
  <c r="AC175" i="257" s="1"/>
  <c r="AG175" i="257" a="1"/>
  <c r="AG175" i="257" s="1"/>
  <c r="AS192" i="257"/>
  <c r="AE192" i="257"/>
  <c r="AR192" i="257"/>
  <c r="AC192" i="257" a="1"/>
  <c r="AC192" i="257" s="1"/>
  <c r="AD192" i="257" a="1"/>
  <c r="AD192" i="257" s="1"/>
  <c r="AT192" i="257" a="1"/>
  <c r="AT192" i="257" s="1"/>
  <c r="AG192" i="257" a="1"/>
  <c r="AG192" i="257" s="1"/>
  <c r="AC225" i="257" a="1"/>
  <c r="AC225" i="257" s="1"/>
  <c r="AD225" i="257" a="1"/>
  <c r="AD225" i="257" s="1"/>
  <c r="AE225" i="257"/>
  <c r="AS225" i="257"/>
  <c r="AR225" i="257"/>
  <c r="AT225" i="257" a="1"/>
  <c r="AT225" i="257" s="1"/>
  <c r="AG225" i="257" a="1"/>
  <c r="AG225" i="257" s="1"/>
  <c r="AS237" i="257"/>
  <c r="AC237" i="257" a="1"/>
  <c r="AC237" i="257" s="1"/>
  <c r="AD237" i="257" a="1"/>
  <c r="AD237" i="257" s="1"/>
  <c r="AT237" i="257" a="1"/>
  <c r="AT237" i="257" s="1"/>
  <c r="AE237" i="257"/>
  <c r="AR237" i="257"/>
  <c r="AG237" i="257" a="1"/>
  <c r="AG237" i="257" s="1"/>
  <c r="AS191" i="257"/>
  <c r="AC191" i="257" a="1"/>
  <c r="AC191" i="257" s="1"/>
  <c r="AE191" i="257"/>
  <c r="AD191" i="257" a="1"/>
  <c r="AD191" i="257" s="1"/>
  <c r="AR191" i="257"/>
  <c r="AT191" i="257" a="1"/>
  <c r="AT191" i="257" s="1"/>
  <c r="AG191" i="257" a="1"/>
  <c r="AG191" i="257" s="1"/>
  <c r="AC224" i="257" a="1"/>
  <c r="AC224" i="257" s="1"/>
  <c r="AD224" i="257" a="1"/>
  <c r="AD224" i="257" s="1"/>
  <c r="AS224" i="257"/>
  <c r="AE224" i="257"/>
  <c r="AR224" i="257"/>
  <c r="AT224" i="257" a="1"/>
  <c r="AT224" i="257" s="1"/>
  <c r="AG224" i="257" a="1"/>
  <c r="AG224" i="257" s="1"/>
  <c r="AE241" i="257"/>
  <c r="AS241" i="257"/>
  <c r="AR241" i="257"/>
  <c r="AT241" i="257" a="1"/>
  <c r="AT241" i="257" s="1"/>
  <c r="AC241" i="257" a="1"/>
  <c r="AC241" i="257" s="1"/>
  <c r="AD241" i="257" a="1"/>
  <c r="AD241" i="257" s="1"/>
  <c r="AG241" i="257" a="1"/>
  <c r="AG241" i="257" s="1"/>
  <c r="AS190" i="257"/>
  <c r="AC190" i="257" a="1"/>
  <c r="AC190" i="257" s="1"/>
  <c r="AD190" i="257" a="1"/>
  <c r="AD190" i="257" s="1"/>
  <c r="AE190" i="257"/>
  <c r="AT190" i="257" a="1"/>
  <c r="AT190" i="257" s="1"/>
  <c r="AR190" i="257"/>
  <c r="AG190" i="257" a="1"/>
  <c r="AG190" i="257" s="1"/>
  <c r="AC223" i="257" a="1"/>
  <c r="AC223" i="257" s="1"/>
  <c r="AD223" i="257" a="1"/>
  <c r="AD223" i="257" s="1"/>
  <c r="AS223" i="257"/>
  <c r="AE223" i="257"/>
  <c r="AT223" i="257" a="1"/>
  <c r="AT223" i="257" s="1"/>
  <c r="AR223" i="257"/>
  <c r="AG223" i="257" a="1"/>
  <c r="AG223" i="257" s="1"/>
  <c r="AC177" i="257" a="1"/>
  <c r="AC177" i="257" s="1"/>
  <c r="AD177" i="257" a="1"/>
  <c r="AD177" i="257" s="1"/>
  <c r="AS177" i="257"/>
  <c r="AR177" i="257"/>
  <c r="AT177" i="257" a="1"/>
  <c r="AT177" i="257" s="1"/>
  <c r="AE177" i="257"/>
  <c r="AG177" i="257" a="1"/>
  <c r="AG177" i="257" s="1"/>
  <c r="AC189" i="257" a="1"/>
  <c r="AC189" i="257" s="1"/>
  <c r="AD189" i="257" a="1"/>
  <c r="AD189" i="257" s="1"/>
  <c r="AT189" i="257" a="1"/>
  <c r="AT189" i="257" s="1"/>
  <c r="AE189" i="257"/>
  <c r="AR189" i="257"/>
  <c r="AS189" i="257"/>
  <c r="AG189" i="257" a="1"/>
  <c r="AG189" i="257" s="1"/>
  <c r="AF222" i="257"/>
  <c r="AS222" i="257"/>
  <c r="AT222" i="257" a="1"/>
  <c r="AT222" i="257" s="1"/>
  <c r="AE222" i="257"/>
  <c r="AD222" i="257" a="1"/>
  <c r="AD222" i="257" s="1"/>
  <c r="AR222" i="257"/>
  <c r="AC222" i="257" a="1"/>
  <c r="AC222" i="257" s="1"/>
  <c r="AG222" i="257" a="1"/>
  <c r="AG222" i="257" s="1"/>
  <c r="AC176" i="257" a="1"/>
  <c r="AC176" i="257" s="1"/>
  <c r="AD176" i="257" a="1"/>
  <c r="AD176" i="257" s="1"/>
  <c r="AS176" i="257"/>
  <c r="AR176" i="257"/>
  <c r="AE176" i="257"/>
  <c r="AT176" i="257" a="1"/>
  <c r="AT176" i="257" s="1"/>
  <c r="AG176" i="257" a="1"/>
  <c r="AG176" i="257" s="1"/>
  <c r="AT209" i="257" a="1"/>
  <c r="AT209" i="257" s="1"/>
  <c r="AR209" i="257"/>
  <c r="AD209" i="257" a="1"/>
  <c r="AD209" i="257" s="1"/>
  <c r="AE209" i="257"/>
  <c r="AS209" i="257"/>
  <c r="AC209" i="257" a="1"/>
  <c r="AC209" i="257" s="1"/>
  <c r="AG209" i="257" a="1"/>
  <c r="AG209" i="257" s="1"/>
  <c r="AS221" i="257"/>
  <c r="AD221" i="257" a="1"/>
  <c r="AD221" i="257" s="1"/>
  <c r="AT221" i="257" a="1"/>
  <c r="AT221" i="257" s="1"/>
  <c r="AE221" i="257"/>
  <c r="AC221" i="257" a="1"/>
  <c r="AC221" i="257" s="1"/>
  <c r="AR221" i="257"/>
  <c r="AG221" i="257" a="1"/>
  <c r="AG221" i="257" s="1"/>
  <c r="AS157" i="257"/>
  <c r="AF157" i="257"/>
  <c r="AY159" i="257"/>
  <c r="AF159" i="257"/>
  <c r="AW160" i="257"/>
  <c r="AF160" i="257"/>
  <c r="BA161" i="257"/>
  <c r="AF161" i="257"/>
  <c r="BA192" i="257"/>
  <c r="AF192" i="257"/>
  <c r="AZ206" i="257"/>
  <c r="AF206" i="257"/>
  <c r="AY205" i="257"/>
  <c r="AF205" i="257"/>
  <c r="AY193" i="257"/>
  <c r="AF193" i="257"/>
  <c r="AQ207" i="257"/>
  <c r="AF207" i="257"/>
  <c r="AZ221" i="257"/>
  <c r="AF221" i="257"/>
  <c r="BA208" i="257"/>
  <c r="AF208" i="257"/>
  <c r="AY209" i="257"/>
  <c r="AF209" i="257"/>
  <c r="BA223" i="257"/>
  <c r="AF223" i="257"/>
  <c r="AW237" i="257"/>
  <c r="AF237" i="257"/>
  <c r="BA191" i="257"/>
  <c r="AF191" i="257"/>
  <c r="AZ224" i="257"/>
  <c r="AF224" i="257"/>
  <c r="BA238" i="257"/>
  <c r="AF238" i="257"/>
  <c r="AY225" i="257"/>
  <c r="AF225" i="257"/>
  <c r="BA239" i="257"/>
  <c r="AF239" i="257"/>
  <c r="BA190" i="257"/>
  <c r="AF190" i="257"/>
  <c r="BA240" i="257"/>
  <c r="AF240" i="257"/>
  <c r="BA241" i="257"/>
  <c r="AF241" i="257"/>
  <c r="BA173" i="257"/>
  <c r="AF173" i="257"/>
  <c r="AF176" i="257"/>
  <c r="AP177" i="257"/>
  <c r="AF177" i="257"/>
  <c r="BA174" i="257"/>
  <c r="AF174" i="257"/>
  <c r="BA175" i="257"/>
  <c r="AF175" i="257"/>
  <c r="AY189" i="257"/>
  <c r="AF189" i="257"/>
  <c r="B224" i="257"/>
  <c r="B225" i="257"/>
  <c r="B240" i="257"/>
  <c r="B241" i="257"/>
  <c r="B209" i="257"/>
  <c r="B158" i="257"/>
  <c r="B159" i="257"/>
  <c r="B173" i="257"/>
  <c r="B189" i="257"/>
  <c r="B193" i="257"/>
  <c r="B157" i="257"/>
  <c r="B174" i="257"/>
  <c r="B205" i="257"/>
  <c r="B160" i="257"/>
  <c r="B190" i="257"/>
  <c r="B221" i="257"/>
  <c r="B175" i="257"/>
  <c r="B206" i="257"/>
  <c r="B237" i="257"/>
  <c r="B191" i="257"/>
  <c r="B222" i="257"/>
  <c r="B161" i="257"/>
  <c r="B176" i="257"/>
  <c r="B207" i="257"/>
  <c r="B238" i="257"/>
  <c r="B192" i="257"/>
  <c r="B223" i="257"/>
  <c r="B177" i="257"/>
  <c r="B208" i="257"/>
  <c r="B239" i="257"/>
  <c r="B79" i="257"/>
  <c r="B110" i="257"/>
  <c r="B95" i="257"/>
  <c r="B80" i="257"/>
  <c r="B111" i="257"/>
  <c r="B96" i="257"/>
  <c r="B81" i="257"/>
  <c r="B112" i="257"/>
  <c r="B97" i="257"/>
  <c r="B94" i="257"/>
  <c r="B82" i="257"/>
  <c r="B113" i="257"/>
  <c r="B98" i="257"/>
  <c r="B78" i="257"/>
  <c r="B114" i="257"/>
  <c r="B48" i="257"/>
  <c r="B62" i="257"/>
  <c r="B45" i="257"/>
  <c r="B63" i="257"/>
  <c r="B49" i="257"/>
  <c r="B46" i="257"/>
  <c r="B64" i="257"/>
  <c r="B65" i="257"/>
  <c r="B47" i="257"/>
  <c r="B61" i="257"/>
  <c r="AP190" i="257"/>
  <c r="AY177" i="257"/>
  <c r="AY237" i="257"/>
  <c r="BA224" i="257"/>
  <c r="AP174" i="257"/>
  <c r="AZ189" i="257"/>
  <c r="AW225" i="257"/>
  <c r="AY240" i="257"/>
  <c r="AQ190" i="257"/>
  <c r="AP221" i="257"/>
  <c r="AP161" i="257"/>
  <c r="AW221" i="257"/>
  <c r="AQ237" i="257"/>
  <c r="AZ241" i="257"/>
  <c r="AP157" i="257"/>
  <c r="AQ174" i="257"/>
  <c r="AQ191" i="257"/>
  <c r="AQ205" i="257"/>
  <c r="BA225" i="257"/>
  <c r="AW205" i="257"/>
  <c r="AQ209" i="257"/>
  <c r="AZ174" i="257"/>
  <c r="AZ205" i="257"/>
  <c r="BA209" i="257"/>
  <c r="BA205" i="257"/>
  <c r="AQ223" i="257"/>
  <c r="AV223" i="257"/>
  <c r="AZ159" i="257"/>
  <c r="AW206" i="257"/>
  <c r="AQ240" i="257"/>
  <c r="BA176" i="257"/>
  <c r="BA206" i="257"/>
  <c r="AP224" i="257"/>
  <c r="AV240" i="257"/>
  <c r="AQ224" i="257"/>
  <c r="AW173" i="257"/>
  <c r="BA160" i="257"/>
  <c r="AZ160" i="257"/>
  <c r="AY160" i="257"/>
  <c r="AV160" i="257"/>
  <c r="AS160" i="257"/>
  <c r="AQ160" i="257"/>
  <c r="AP160" i="257"/>
  <c r="AZ157" i="257"/>
  <c r="BA157" i="257"/>
  <c r="AY157" i="257"/>
  <c r="AW157" i="257"/>
  <c r="AV157" i="257"/>
  <c r="AQ157" i="257"/>
  <c r="AZ158" i="257"/>
  <c r="BA158" i="257"/>
  <c r="AQ158" i="257"/>
  <c r="AP158" i="257"/>
  <c r="AP173" i="257"/>
  <c r="AV190" i="257"/>
  <c r="AZ193" i="257"/>
  <c r="AP206" i="257"/>
  <c r="AP237" i="257"/>
  <c r="AQ173" i="257"/>
  <c r="AW190" i="257"/>
  <c r="BA193" i="257"/>
  <c r="AQ206" i="257"/>
  <c r="AV207" i="257"/>
  <c r="AQ177" i="257"/>
  <c r="AP241" i="257"/>
  <c r="AV173" i="257"/>
  <c r="AV206" i="257"/>
  <c r="AP223" i="257"/>
  <c r="AV237" i="257"/>
  <c r="AP240" i="257"/>
  <c r="AQ241" i="257"/>
  <c r="AY173" i="257"/>
  <c r="AZ175" i="257"/>
  <c r="AV177" i="257"/>
  <c r="BA189" i="257"/>
  <c r="AY206" i="257"/>
  <c r="AZ237" i="257"/>
  <c r="AZ173" i="257"/>
  <c r="AW177" i="257"/>
  <c r="AP191" i="257"/>
  <c r="AV221" i="257"/>
  <c r="AV225" i="257"/>
  <c r="BA237" i="257"/>
  <c r="AV241" i="257"/>
  <c r="AZ177" i="257"/>
  <c r="AY191" i="257"/>
  <c r="BA221" i="257"/>
  <c r="AW223" i="257"/>
  <c r="AZ225" i="257"/>
  <c r="AW240" i="257"/>
  <c r="AY223" i="257"/>
  <c r="BA159" i="257"/>
  <c r="AW209" i="257"/>
  <c r="AZ223" i="257"/>
  <c r="AZ240" i="257"/>
  <c r="AY192" i="257"/>
  <c r="AZ209" i="257"/>
  <c r="AQ161" i="257"/>
  <c r="BA222" i="257"/>
  <c r="AZ222" i="257"/>
  <c r="AY222" i="257"/>
  <c r="AW222" i="257"/>
  <c r="AV222" i="257"/>
  <c r="AQ222" i="257"/>
  <c r="AP222" i="257"/>
  <c r="AS161" i="257"/>
  <c r="AS158" i="257"/>
  <c r="AV161" i="257"/>
  <c r="AV158" i="257"/>
  <c r="AW161" i="257"/>
  <c r="AW158" i="257"/>
  <c r="AP159" i="257"/>
  <c r="AY161" i="257"/>
  <c r="AY158" i="257"/>
  <c r="AQ159" i="257"/>
  <c r="AZ161" i="257"/>
  <c r="AS159" i="257"/>
  <c r="AZ176" i="257"/>
  <c r="AY176" i="257"/>
  <c r="AW176" i="257"/>
  <c r="AV176" i="257"/>
  <c r="AQ176" i="257"/>
  <c r="AP176" i="257"/>
  <c r="AV159" i="257"/>
  <c r="AW159" i="257"/>
  <c r="AZ239" i="257"/>
  <c r="AY239" i="257"/>
  <c r="AW239" i="257"/>
  <c r="AV239" i="257"/>
  <c r="AQ239" i="257"/>
  <c r="AP239" i="257"/>
  <c r="AP208" i="257"/>
  <c r="AY190" i="257"/>
  <c r="AW207" i="257"/>
  <c r="AQ208" i="257"/>
  <c r="AV224" i="257"/>
  <c r="AP225" i="257"/>
  <c r="AV174" i="257"/>
  <c r="AP175" i="257"/>
  <c r="BA177" i="257"/>
  <c r="AZ190" i="257"/>
  <c r="AY207" i="257"/>
  <c r="AQ221" i="257"/>
  <c r="AW224" i="257"/>
  <c r="AQ225" i="257"/>
  <c r="AP238" i="257"/>
  <c r="AW174" i="257"/>
  <c r="AQ175" i="257"/>
  <c r="AV191" i="257"/>
  <c r="AP192" i="257"/>
  <c r="AZ207" i="257"/>
  <c r="AY224" i="257"/>
  <c r="AQ238" i="257"/>
  <c r="AW241" i="257"/>
  <c r="AY174" i="257"/>
  <c r="AW191" i="257"/>
  <c r="AQ192" i="257"/>
  <c r="AP205" i="257"/>
  <c r="BA207" i="257"/>
  <c r="AV208" i="257"/>
  <c r="AP209" i="257"/>
  <c r="AY241" i="257"/>
  <c r="AW208" i="257"/>
  <c r="AV175" i="257"/>
  <c r="AZ191" i="257"/>
  <c r="AY208" i="257"/>
  <c r="AV238" i="257"/>
  <c r="AW175" i="257"/>
  <c r="AP189" i="257"/>
  <c r="AV192" i="257"/>
  <c r="AP193" i="257"/>
  <c r="AZ208" i="257"/>
  <c r="AY221" i="257"/>
  <c r="AW238" i="257"/>
  <c r="AY175" i="257"/>
  <c r="AQ189" i="257"/>
  <c r="AW192" i="257"/>
  <c r="AQ193" i="257"/>
  <c r="AV205" i="257"/>
  <c r="AV209" i="257"/>
  <c r="AY238" i="257"/>
  <c r="AZ238" i="257"/>
  <c r="AZ192" i="257"/>
  <c r="AV189" i="257"/>
  <c r="AV193" i="257"/>
  <c r="AW189" i="257"/>
  <c r="AW193" i="257"/>
  <c r="AP207" i="257"/>
  <c r="T76" i="255"/>
  <c r="T74" i="255"/>
  <c r="T72" i="255"/>
  <c r="T70" i="255"/>
  <c r="T68" i="255"/>
  <c r="T66" i="255"/>
  <c r="T64" i="255"/>
  <c r="T62" i="255"/>
  <c r="T60" i="255"/>
  <c r="T58" i="255"/>
  <c r="T56" i="255"/>
  <c r="T54" i="255"/>
  <c r="T52" i="255"/>
  <c r="T50" i="255"/>
  <c r="T48" i="255"/>
  <c r="T46" i="255"/>
  <c r="T44" i="255"/>
  <c r="T42" i="255"/>
  <c r="T40" i="255"/>
  <c r="T38" i="255"/>
  <c r="T36" i="255"/>
  <c r="T34" i="255"/>
  <c r="T32" i="255"/>
  <c r="T30" i="255"/>
  <c r="T28" i="255"/>
  <c r="T26" i="255"/>
  <c r="T24" i="255"/>
  <c r="T22" i="255"/>
  <c r="T20" i="255"/>
  <c r="BQ18" i="255"/>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53" i="108"/>
  <c r="I324" i="257"/>
  <c r="I323" i="257"/>
  <c r="I322" i="257"/>
  <c r="I321" i="257"/>
  <c r="I320" i="257"/>
  <c r="I319" i="257"/>
  <c r="I318" i="257"/>
  <c r="I317" i="257"/>
  <c r="I316" i="257"/>
  <c r="I315" i="257"/>
  <c r="I314" i="257"/>
  <c r="I313" i="257"/>
  <c r="I312" i="257"/>
  <c r="I311" i="257"/>
  <c r="I310" i="257"/>
  <c r="I309" i="257"/>
  <c r="I308" i="257"/>
  <c r="I307" i="257"/>
  <c r="I306" i="257"/>
  <c r="I305" i="257"/>
  <c r="I304" i="257"/>
  <c r="I303" i="257"/>
  <c r="I302" i="257"/>
  <c r="I301" i="257"/>
  <c r="I300" i="257"/>
  <c r="I299" i="257"/>
  <c r="I298" i="257"/>
  <c r="I297" i="257"/>
  <c r="I296" i="257"/>
  <c r="I295" i="257"/>
  <c r="I294" i="257"/>
  <c r="I293" i="257"/>
  <c r="I292" i="257"/>
  <c r="I291" i="257"/>
  <c r="AI22" i="256"/>
  <c r="AI24" i="256"/>
  <c r="AI26" i="256"/>
  <c r="AI28" i="256"/>
  <c r="AI30" i="256"/>
  <c r="AI32" i="256"/>
  <c r="AI34" i="256"/>
  <c r="AI36" i="256"/>
  <c r="AI38" i="256"/>
  <c r="AI40" i="256"/>
  <c r="AI42" i="256"/>
  <c r="AI44" i="256"/>
  <c r="AI46" i="256"/>
  <c r="AI48" i="256"/>
  <c r="AI50" i="256"/>
  <c r="AI52" i="256"/>
  <c r="AI54" i="256"/>
  <c r="AI56" i="256"/>
  <c r="AI58" i="256"/>
  <c r="AI60" i="256"/>
  <c r="AI62" i="256"/>
  <c r="AI64" i="256"/>
  <c r="AI66" i="256"/>
  <c r="AI68" i="256"/>
  <c r="AI70" i="256"/>
  <c r="AI72" i="256"/>
  <c r="AI74" i="256"/>
  <c r="AI76" i="256"/>
  <c r="AI78" i="256"/>
  <c r="AI80" i="256"/>
  <c r="AI82" i="256"/>
  <c r="AI84" i="256"/>
  <c r="AI86" i="256"/>
  <c r="P22" i="256"/>
  <c r="R22" i="256"/>
  <c r="P24" i="256"/>
  <c r="R24" i="256"/>
  <c r="P26" i="256"/>
  <c r="R26" i="256"/>
  <c r="P28" i="256"/>
  <c r="R28" i="256"/>
  <c r="P30" i="256"/>
  <c r="R30" i="256"/>
  <c r="P32" i="256"/>
  <c r="R32" i="256"/>
  <c r="P34" i="256"/>
  <c r="R34" i="256"/>
  <c r="P36" i="256"/>
  <c r="R36" i="256"/>
  <c r="P38" i="256"/>
  <c r="R38" i="256"/>
  <c r="P40" i="256"/>
  <c r="R40" i="256"/>
  <c r="P42" i="256"/>
  <c r="R42" i="256"/>
  <c r="P44" i="256"/>
  <c r="R44" i="256"/>
  <c r="P46" i="256"/>
  <c r="R46" i="256"/>
  <c r="P48" i="256"/>
  <c r="R48" i="256"/>
  <c r="P50" i="256"/>
  <c r="R50" i="256"/>
  <c r="P52" i="256"/>
  <c r="R52" i="256"/>
  <c r="P54" i="256"/>
  <c r="R54" i="256"/>
  <c r="P56" i="256"/>
  <c r="R56" i="256"/>
  <c r="P58" i="256"/>
  <c r="R58" i="256"/>
  <c r="P60" i="256"/>
  <c r="R60" i="256"/>
  <c r="P62" i="256"/>
  <c r="R62" i="256"/>
  <c r="P64" i="256"/>
  <c r="R64" i="256"/>
  <c r="P66" i="256"/>
  <c r="R66" i="256"/>
  <c r="P68" i="256"/>
  <c r="R68" i="256"/>
  <c r="P70" i="256"/>
  <c r="R70" i="256"/>
  <c r="P72" i="256"/>
  <c r="R72" i="256"/>
  <c r="P74" i="256"/>
  <c r="R74" i="256"/>
  <c r="P76" i="256"/>
  <c r="R76" i="256"/>
  <c r="P78" i="256"/>
  <c r="R78" i="256"/>
  <c r="P80" i="256"/>
  <c r="R80" i="256"/>
  <c r="P82" i="256"/>
  <c r="R82" i="256"/>
  <c r="P84" i="256"/>
  <c r="R84" i="256"/>
  <c r="P86" i="256"/>
  <c r="R86" i="256"/>
  <c r="J22" i="256"/>
  <c r="L22" i="256"/>
  <c r="J24" i="256"/>
  <c r="L24" i="256"/>
  <c r="J26" i="256"/>
  <c r="L26" i="256"/>
  <c r="J28" i="256"/>
  <c r="L28" i="256"/>
  <c r="J30" i="256"/>
  <c r="L30" i="256"/>
  <c r="J32" i="256"/>
  <c r="L32" i="256"/>
  <c r="J34" i="256"/>
  <c r="L34" i="256"/>
  <c r="J36" i="256"/>
  <c r="L36" i="256"/>
  <c r="J38" i="256"/>
  <c r="L38" i="256"/>
  <c r="J40" i="256"/>
  <c r="L40" i="256"/>
  <c r="J42" i="256"/>
  <c r="L42" i="256"/>
  <c r="J44" i="256"/>
  <c r="L44" i="256"/>
  <c r="J46" i="256"/>
  <c r="L46" i="256"/>
  <c r="J48" i="256"/>
  <c r="L48" i="256"/>
  <c r="J50" i="256"/>
  <c r="L50" i="256"/>
  <c r="J52" i="256"/>
  <c r="L52" i="256"/>
  <c r="J54" i="256"/>
  <c r="L54" i="256"/>
  <c r="J56" i="256"/>
  <c r="L56" i="256"/>
  <c r="J58" i="256"/>
  <c r="L58" i="256"/>
  <c r="J60" i="256"/>
  <c r="L60" i="256"/>
  <c r="J62" i="256"/>
  <c r="L62" i="256"/>
  <c r="J64" i="256"/>
  <c r="L64" i="256"/>
  <c r="J66" i="256"/>
  <c r="L66" i="256"/>
  <c r="J68" i="256"/>
  <c r="L68" i="256"/>
  <c r="J70" i="256"/>
  <c r="L70" i="256"/>
  <c r="J72" i="256"/>
  <c r="L72" i="256"/>
  <c r="J74" i="256"/>
  <c r="L74" i="256"/>
  <c r="J76" i="256"/>
  <c r="L76" i="256"/>
  <c r="J78" i="256"/>
  <c r="L78" i="256"/>
  <c r="J80" i="256"/>
  <c r="L80" i="256"/>
  <c r="J82" i="256"/>
  <c r="L82" i="256"/>
  <c r="J84" i="256"/>
  <c r="L84" i="256"/>
  <c r="J86" i="256"/>
  <c r="L86" i="256"/>
  <c r="CB18" i="256"/>
  <c r="BZ18" i="256"/>
  <c r="BJ18" i="256"/>
  <c r="I290" i="257" s="1"/>
  <c r="T18" i="256"/>
  <c r="AL9" i="176"/>
  <c r="AH9" i="176"/>
  <c r="AD9" i="176"/>
  <c r="Z9" i="176"/>
  <c r="V9" i="176"/>
  <c r="R9" i="176"/>
  <c r="N9" i="176"/>
  <c r="J9" i="176"/>
  <c r="AL9" i="13"/>
  <c r="AH9" i="13"/>
  <c r="AD9" i="13"/>
  <c r="Z9" i="13"/>
  <c r="V9" i="13"/>
  <c r="R9" i="13"/>
  <c r="N9" i="13"/>
  <c r="J9" i="13"/>
  <c r="AL9" i="171"/>
  <c r="AH9" i="171"/>
  <c r="AD9" i="171"/>
  <c r="Z9" i="171"/>
  <c r="V9" i="171"/>
  <c r="R9" i="171"/>
  <c r="N9" i="171"/>
  <c r="J9" i="171"/>
  <c r="AL9" i="175"/>
  <c r="AH9" i="175"/>
  <c r="AD9" i="175"/>
  <c r="Z9" i="175"/>
  <c r="V9" i="175"/>
  <c r="R9" i="175"/>
  <c r="N9" i="175"/>
  <c r="J9" i="175"/>
  <c r="AL9" i="170"/>
  <c r="AH9" i="170"/>
  <c r="AD9" i="170"/>
  <c r="Z9" i="170"/>
  <c r="V9" i="170"/>
  <c r="R9" i="170"/>
  <c r="N9" i="170"/>
  <c r="J9" i="170"/>
  <c r="AL9" i="169"/>
  <c r="AH9" i="169"/>
  <c r="AD9" i="169"/>
  <c r="Z9" i="169"/>
  <c r="V9" i="169"/>
  <c r="R9" i="169"/>
  <c r="N9" i="169"/>
  <c r="J9" i="169"/>
  <c r="AL9" i="168"/>
  <c r="AH9" i="168"/>
  <c r="AD9" i="168"/>
  <c r="Z9" i="168"/>
  <c r="V9" i="168"/>
  <c r="R9" i="168"/>
  <c r="N9" i="168"/>
  <c r="J9" i="168"/>
  <c r="AL9" i="167"/>
  <c r="AH9" i="167"/>
  <c r="AD9" i="167"/>
  <c r="Z9" i="167"/>
  <c r="V9" i="167"/>
  <c r="R9" i="167"/>
  <c r="N9" i="167"/>
  <c r="J9" i="167"/>
  <c r="AL9" i="163"/>
  <c r="AH9" i="163"/>
  <c r="AD9" i="163"/>
  <c r="Z9" i="163"/>
  <c r="V9" i="163"/>
  <c r="R9" i="163"/>
  <c r="N9" i="163"/>
  <c r="J9" i="163"/>
  <c r="AL9" i="162"/>
  <c r="AH9" i="162"/>
  <c r="AD9" i="162"/>
  <c r="Z9" i="162"/>
  <c r="V9" i="162"/>
  <c r="R9" i="162"/>
  <c r="N9" i="162"/>
  <c r="J9" i="162"/>
  <c r="AL9" i="182"/>
  <c r="AH9" i="182"/>
  <c r="AD9" i="182"/>
  <c r="Z9" i="182"/>
  <c r="V9" i="182"/>
  <c r="R9" i="182"/>
  <c r="N9" i="182"/>
  <c r="J9" i="182"/>
  <c r="AL9" i="160"/>
  <c r="AH9" i="160"/>
  <c r="AD9" i="160"/>
  <c r="Z9" i="160"/>
  <c r="V9" i="160"/>
  <c r="R9" i="160"/>
  <c r="N9" i="160"/>
  <c r="J9" i="160"/>
  <c r="AL9" i="159"/>
  <c r="AH9" i="159"/>
  <c r="AD9" i="159"/>
  <c r="Z9" i="159"/>
  <c r="V9" i="159"/>
  <c r="R9" i="159"/>
  <c r="N9" i="159"/>
  <c r="J9" i="159"/>
  <c r="AL9" i="158"/>
  <c r="AH9" i="158"/>
  <c r="AD9" i="158"/>
  <c r="Z9" i="158"/>
  <c r="V9" i="158"/>
  <c r="R9" i="158"/>
  <c r="N9" i="158"/>
  <c r="J9" i="158"/>
  <c r="AV202" i="256"/>
  <c r="Y202" i="256"/>
  <c r="B200" i="256"/>
  <c r="T86" i="256"/>
  <c r="T84" i="256"/>
  <c r="T82" i="256"/>
  <c r="T80" i="256"/>
  <c r="T78" i="256"/>
  <c r="T76" i="256"/>
  <c r="T74" i="256"/>
  <c r="T72" i="256"/>
  <c r="T70" i="256"/>
  <c r="T68" i="256"/>
  <c r="T66" i="256"/>
  <c r="T64" i="256"/>
  <c r="T62" i="256"/>
  <c r="T60" i="256"/>
  <c r="T58" i="256"/>
  <c r="T56" i="256"/>
  <c r="T54" i="256"/>
  <c r="T52" i="256"/>
  <c r="T50" i="256"/>
  <c r="T48" i="256"/>
  <c r="T46" i="256"/>
  <c r="T44" i="256"/>
  <c r="T42" i="256"/>
  <c r="T40" i="256"/>
  <c r="T38" i="256"/>
  <c r="T36" i="256"/>
  <c r="T34" i="256"/>
  <c r="T32" i="256"/>
  <c r="T30" i="256"/>
  <c r="T28" i="256"/>
  <c r="T26" i="256"/>
  <c r="T24" i="256"/>
  <c r="T22" i="256"/>
  <c r="T20" i="256"/>
  <c r="AL9" i="256"/>
  <c r="AH9" i="256"/>
  <c r="AD9" i="256"/>
  <c r="Z9" i="256"/>
  <c r="R9" i="256"/>
  <c r="N9" i="256"/>
  <c r="AP1" i="256"/>
  <c r="AL1" i="256"/>
  <c r="N1" i="256"/>
  <c r="J1" i="256"/>
  <c r="F1" i="256"/>
  <c r="AV202" i="255"/>
  <c r="Y202" i="255"/>
  <c r="B200" i="255"/>
  <c r="AL9" i="255"/>
  <c r="AH9" i="255"/>
  <c r="AD9" i="255"/>
  <c r="Z9" i="255"/>
  <c r="R9" i="255"/>
  <c r="N9" i="255"/>
  <c r="AP1" i="255"/>
  <c r="AL1" i="255"/>
  <c r="N1" i="255"/>
  <c r="J1" i="255"/>
  <c r="F1" i="255"/>
  <c r="AV202" i="254"/>
  <c r="Y202" i="254"/>
  <c r="B200" i="254"/>
  <c r="AJ29" i="254"/>
  <c r="AA29" i="254"/>
  <c r="R29" i="254"/>
  <c r="I29" i="254"/>
  <c r="AJ19" i="254"/>
  <c r="AA19" i="254"/>
  <c r="R19" i="254"/>
  <c r="I19" i="254"/>
  <c r="AP1" i="254"/>
  <c r="AL1" i="254"/>
  <c r="N1" i="254"/>
  <c r="J1" i="254"/>
  <c r="F1" i="254"/>
  <c r="AV202" i="253"/>
  <c r="Y202" i="253"/>
  <c r="B200" i="253"/>
  <c r="AI29" i="253"/>
  <c r="Z29" i="253"/>
  <c r="Q29" i="253"/>
  <c r="H29" i="253"/>
  <c r="AI19" i="253"/>
  <c r="Z19" i="253"/>
  <c r="Q19" i="253"/>
  <c r="H19" i="253"/>
  <c r="AP1" i="253"/>
  <c r="AL1" i="253"/>
  <c r="N1" i="253"/>
  <c r="J1" i="253"/>
  <c r="F1" i="253"/>
  <c r="AV202" i="252"/>
  <c r="Y202" i="252"/>
  <c r="B200" i="252"/>
  <c r="AA29" i="252"/>
  <c r="R29" i="252"/>
  <c r="I29" i="252"/>
  <c r="AJ19" i="252"/>
  <c r="AA19" i="252"/>
  <c r="R19" i="252"/>
  <c r="I19" i="252"/>
  <c r="AP1" i="252"/>
  <c r="AL1" i="252"/>
  <c r="N1" i="252"/>
  <c r="J1" i="252"/>
  <c r="F1" i="252"/>
  <c r="AV202" i="251"/>
  <c r="Y202" i="251"/>
  <c r="B200" i="251"/>
  <c r="AP1" i="251"/>
  <c r="AL1" i="251"/>
  <c r="N1" i="251"/>
  <c r="J1" i="251"/>
  <c r="F1" i="251"/>
  <c r="AG98" i="173"/>
  <c r="AA115" i="173"/>
  <c r="AI88" i="173"/>
  <c r="AG96" i="173"/>
  <c r="AI89" i="173"/>
  <c r="AG110" i="173"/>
  <c r="AI93" i="173"/>
  <c r="AA103" i="173"/>
  <c r="AG115" i="173"/>
  <c r="AA88" i="173"/>
  <c r="AA112" i="173"/>
  <c r="AA92" i="173"/>
  <c r="AG106" i="173"/>
  <c r="AA95" i="173"/>
  <c r="AA91" i="173"/>
  <c r="AA94" i="173"/>
  <c r="AA108" i="173"/>
  <c r="AA107" i="173"/>
  <c r="AG112" i="173"/>
  <c r="AG108" i="173"/>
  <c r="AG103" i="173"/>
  <c r="AA109" i="173"/>
  <c r="AG114" i="173"/>
  <c r="AI102" i="173"/>
  <c r="AI99" i="173"/>
  <c r="AI107" i="173"/>
  <c r="AI90" i="173"/>
  <c r="AI95" i="173"/>
  <c r="AI103" i="173"/>
  <c r="AG90" i="173"/>
  <c r="AG91" i="173"/>
  <c r="AI113" i="173"/>
  <c r="AA106" i="173"/>
  <c r="AG101" i="173"/>
  <c r="AI115" i="173"/>
  <c r="AA105" i="173"/>
  <c r="AI101" i="173"/>
  <c r="AG109" i="173"/>
  <c r="AG89" i="173"/>
  <c r="AG102" i="173"/>
  <c r="AI97" i="173"/>
  <c r="AA100" i="173"/>
  <c r="AG100" i="173"/>
  <c r="AG104" i="173"/>
  <c r="AG113" i="173"/>
  <c r="AI106" i="173"/>
  <c r="AI108" i="173"/>
  <c r="AA97" i="173"/>
  <c r="AI91" i="173"/>
  <c r="AG97" i="173"/>
  <c r="AG88" i="173"/>
  <c r="AI109" i="173"/>
  <c r="AA99" i="173"/>
  <c r="AI96" i="173"/>
  <c r="AG94" i="173"/>
  <c r="AG111" i="173"/>
  <c r="AI92" i="173"/>
  <c r="AA96" i="173"/>
  <c r="AA101" i="173"/>
  <c r="AG107" i="173"/>
  <c r="AI100" i="173"/>
  <c r="AI94" i="173"/>
  <c r="AA110" i="173"/>
  <c r="AA111" i="173"/>
  <c r="AI110" i="173"/>
  <c r="AA114" i="173"/>
  <c r="AI112" i="173"/>
  <c r="AI111" i="173"/>
  <c r="AG105" i="173"/>
  <c r="AG92" i="173"/>
  <c r="AG99" i="173"/>
  <c r="AI114" i="173"/>
  <c r="AI104" i="173"/>
  <c r="AG93" i="173"/>
  <c r="AA98" i="173"/>
  <c r="AA93" i="173"/>
  <c r="AA113" i="173"/>
  <c r="AA90" i="173"/>
  <c r="AI105" i="173"/>
  <c r="AI98" i="173"/>
  <c r="AG95" i="173"/>
  <c r="AA104" i="173"/>
  <c r="AA102" i="173"/>
  <c r="Z94" i="173" l="1"/>
  <c r="Z93" i="173"/>
  <c r="L18" i="256"/>
  <c r="BA18" i="256" s="1"/>
  <c r="CA18" i="256"/>
  <c r="R18" i="256"/>
  <c r="BF18" i="256" s="1"/>
  <c r="AL290" i="257" s="1"/>
  <c r="Z88" i="173"/>
  <c r="AJ225" i="257"/>
  <c r="AK225" i="257"/>
  <c r="AL225" i="257"/>
  <c r="AJ174" i="257"/>
  <c r="AK174" i="257"/>
  <c r="AL174" i="257"/>
  <c r="AJ176" i="257"/>
  <c r="AK176" i="257"/>
  <c r="AL176" i="257"/>
  <c r="AK190" i="257"/>
  <c r="AJ190" i="257"/>
  <c r="AL190" i="257"/>
  <c r="AK239" i="257"/>
  <c r="AL239" i="257"/>
  <c r="AJ239" i="257"/>
  <c r="AJ223" i="257"/>
  <c r="AK223" i="257"/>
  <c r="AL223" i="257"/>
  <c r="AJ224" i="257"/>
  <c r="AK224" i="257"/>
  <c r="AL224" i="257"/>
  <c r="AJ207" i="257"/>
  <c r="AK207" i="257"/>
  <c r="AL207" i="257"/>
  <c r="AJ222" i="257"/>
  <c r="AK222" i="257"/>
  <c r="AL222" i="257"/>
  <c r="AJ221" i="257"/>
  <c r="AK221" i="257"/>
  <c r="AL221" i="257"/>
  <c r="AJ189" i="257"/>
  <c r="AK189" i="257"/>
  <c r="AL189" i="257"/>
  <c r="AL158" i="257"/>
  <c r="AJ158" i="257"/>
  <c r="AK158" i="257"/>
  <c r="AJ209" i="257"/>
  <c r="AK209" i="257"/>
  <c r="AL209" i="257"/>
  <c r="AK160" i="257"/>
  <c r="AL160" i="257"/>
  <c r="AJ160" i="257"/>
  <c r="AL173" i="257"/>
  <c r="AJ173" i="257"/>
  <c r="AK173" i="257"/>
  <c r="AL237" i="257"/>
  <c r="AK237" i="257"/>
  <c r="AJ237" i="257"/>
  <c r="AL241" i="257"/>
  <c r="AJ241" i="257"/>
  <c r="AK241" i="257"/>
  <c r="AJ161" i="257"/>
  <c r="AK161" i="257"/>
  <c r="AL161" i="257"/>
  <c r="AL208" i="257"/>
  <c r="AJ208" i="257"/>
  <c r="AK208" i="257"/>
  <c r="AJ205" i="257"/>
  <c r="AK205" i="257"/>
  <c r="AL205" i="257"/>
  <c r="AJ238" i="257"/>
  <c r="AK238" i="257"/>
  <c r="AL238" i="257"/>
  <c r="AJ157" i="257"/>
  <c r="AK157" i="257"/>
  <c r="AL157" i="257"/>
  <c r="AJ240" i="257"/>
  <c r="AK240" i="257"/>
  <c r="AL240" i="257"/>
  <c r="AJ191" i="257"/>
  <c r="AK191" i="257"/>
  <c r="AL191" i="257"/>
  <c r="AJ193" i="257"/>
  <c r="AK193" i="257"/>
  <c r="AL193" i="257"/>
  <c r="AK192" i="257"/>
  <c r="AJ192" i="257"/>
  <c r="AL192" i="257"/>
  <c r="AJ177" i="257"/>
  <c r="AK177" i="257"/>
  <c r="AL177" i="257"/>
  <c r="AJ159" i="257"/>
  <c r="AK159" i="257"/>
  <c r="AL159" i="257"/>
  <c r="AJ206" i="257"/>
  <c r="AL206" i="257"/>
  <c r="AK206" i="257"/>
  <c r="AK175" i="257"/>
  <c r="AJ175" i="257"/>
  <c r="AL175" i="257"/>
  <c r="L20" i="256"/>
  <c r="BA20" i="256" s="1"/>
  <c r="CA20" i="256"/>
  <c r="R20" i="256"/>
  <c r="BF20" i="256" s="1"/>
  <c r="AL291" i="257" s="1"/>
  <c r="AY86" i="256"/>
  <c r="AZ86" i="256"/>
  <c r="AY54" i="256"/>
  <c r="AZ54" i="256"/>
  <c r="AY22" i="256"/>
  <c r="AZ22" i="256"/>
  <c r="AY70" i="256"/>
  <c r="AZ70" i="256"/>
  <c r="AY84" i="256"/>
  <c r="AZ84" i="256"/>
  <c r="AY68" i="256"/>
  <c r="AZ68" i="256"/>
  <c r="AY52" i="256"/>
  <c r="AZ52" i="256"/>
  <c r="AY36" i="256"/>
  <c r="AZ36" i="256"/>
  <c r="AY38" i="256"/>
  <c r="AZ38" i="256"/>
  <c r="AY80" i="256"/>
  <c r="AZ80" i="256"/>
  <c r="AY64" i="256"/>
  <c r="AZ64" i="256"/>
  <c r="AY48" i="256"/>
  <c r="AZ48" i="256"/>
  <c r="AZ32" i="256"/>
  <c r="AY32" i="256"/>
  <c r="AZ82" i="256"/>
  <c r="AY82" i="256"/>
  <c r="AY78" i="256"/>
  <c r="AZ78" i="256"/>
  <c r="AY62" i="256"/>
  <c r="AZ62" i="256"/>
  <c r="AY46" i="256"/>
  <c r="AZ46" i="256"/>
  <c r="AY30" i="256"/>
  <c r="AZ30" i="256"/>
  <c r="AZ66" i="256"/>
  <c r="AY66" i="256"/>
  <c r="AZ76" i="256"/>
  <c r="AY76" i="256"/>
  <c r="AY60" i="256"/>
  <c r="AZ60" i="256"/>
  <c r="AY44" i="256"/>
  <c r="AZ44" i="256"/>
  <c r="AZ28" i="256"/>
  <c r="AY28" i="256"/>
  <c r="AZ50" i="256"/>
  <c r="AY50" i="256"/>
  <c r="AY34" i="256"/>
  <c r="AZ34" i="256"/>
  <c r="AY74" i="256"/>
  <c r="AZ74" i="256"/>
  <c r="AY58" i="256"/>
  <c r="AZ58" i="256"/>
  <c r="AY42" i="256"/>
  <c r="AZ42" i="256"/>
  <c r="AY26" i="256"/>
  <c r="AZ26" i="256"/>
  <c r="AY72" i="256"/>
  <c r="AZ72" i="256"/>
  <c r="AY56" i="256"/>
  <c r="AZ56" i="256"/>
  <c r="AY40" i="256"/>
  <c r="AZ40" i="256"/>
  <c r="AY24" i="256"/>
  <c r="AZ24" i="256"/>
  <c r="AX32" i="255"/>
  <c r="S266" i="257" s="1"/>
  <c r="BY32" i="255"/>
  <c r="BB266" i="257" s="1"/>
  <c r="BA32" i="255"/>
  <c r="BB32" i="255"/>
  <c r="AN266" i="257" s="1"/>
  <c r="BW32" i="255"/>
  <c r="BC32" i="255"/>
  <c r="H266" i="257" s="1"/>
  <c r="BD32" i="255"/>
  <c r="L266" i="257" s="1"/>
  <c r="BF32" i="255"/>
  <c r="BG32" i="255"/>
  <c r="BK32" i="255"/>
  <c r="BN32" i="255" s="1"/>
  <c r="BB64" i="255"/>
  <c r="AN282" i="257" s="1"/>
  <c r="BC64" i="255"/>
  <c r="H282" i="257" s="1"/>
  <c r="BY64" i="255"/>
  <c r="BB282" i="257" s="1"/>
  <c r="BD64" i="255"/>
  <c r="L282" i="257" s="1"/>
  <c r="BF64" i="255"/>
  <c r="BA64" i="255"/>
  <c r="BG64" i="255"/>
  <c r="BK64" i="255"/>
  <c r="BN64" i="255" s="1"/>
  <c r="BW64" i="255"/>
  <c r="AX64" i="255"/>
  <c r="S282" i="257" s="1"/>
  <c r="BW38" i="255"/>
  <c r="BG38" i="255"/>
  <c r="BY38" i="255"/>
  <c r="BB269" i="257" s="1"/>
  <c r="AX38" i="255"/>
  <c r="S269" i="257" s="1"/>
  <c r="BA38" i="255"/>
  <c r="BB38" i="255"/>
  <c r="AN269" i="257" s="1"/>
  <c r="BK38" i="255"/>
  <c r="BN38" i="255" s="1"/>
  <c r="BC38" i="255"/>
  <c r="H269" i="257" s="1"/>
  <c r="BD38" i="255"/>
  <c r="L269" i="257" s="1"/>
  <c r="BF38" i="255"/>
  <c r="AX70" i="255"/>
  <c r="S285" i="257" s="1"/>
  <c r="BA70" i="255"/>
  <c r="BB70" i="255"/>
  <c r="AN285" i="257" s="1"/>
  <c r="BC70" i="255"/>
  <c r="H285" i="257" s="1"/>
  <c r="BD70" i="255"/>
  <c r="L285" i="257" s="1"/>
  <c r="BF70" i="255"/>
  <c r="BG70" i="255"/>
  <c r="BK70" i="255"/>
  <c r="BN70" i="255" s="1"/>
  <c r="BW70" i="255"/>
  <c r="BY70" i="255"/>
  <c r="BB285" i="257" s="1"/>
  <c r="BF40" i="255"/>
  <c r="BG40" i="255"/>
  <c r="BC40" i="255"/>
  <c r="H270" i="257" s="1"/>
  <c r="BK40" i="255"/>
  <c r="BN40" i="255" s="1"/>
  <c r="AX40" i="255"/>
  <c r="S270" i="257" s="1"/>
  <c r="BW40" i="255"/>
  <c r="BA40" i="255"/>
  <c r="BY40" i="255"/>
  <c r="BB270" i="257" s="1"/>
  <c r="BB40" i="255"/>
  <c r="AN270" i="257" s="1"/>
  <c r="BD40" i="255"/>
  <c r="L270" i="257" s="1"/>
  <c r="BA72" i="255"/>
  <c r="BY72" i="255"/>
  <c r="BB286" i="257" s="1"/>
  <c r="BB72" i="255"/>
  <c r="AN286" i="257" s="1"/>
  <c r="BC72" i="255"/>
  <c r="H286" i="257" s="1"/>
  <c r="BD72" i="255"/>
  <c r="L286" i="257" s="1"/>
  <c r="BF72" i="255"/>
  <c r="BG72" i="255"/>
  <c r="AX72" i="255"/>
  <c r="S286" i="257" s="1"/>
  <c r="BK72" i="255"/>
  <c r="BN72" i="255" s="1"/>
  <c r="BW72" i="255"/>
  <c r="AX34" i="255"/>
  <c r="S267" i="257" s="1"/>
  <c r="BA34" i="255"/>
  <c r="BY34" i="255"/>
  <c r="BB267" i="257" s="1"/>
  <c r="BB34" i="255"/>
  <c r="AN267" i="257" s="1"/>
  <c r="BF34" i="255"/>
  <c r="BC34" i="255"/>
  <c r="H267" i="257" s="1"/>
  <c r="BW34" i="255"/>
  <c r="BD34" i="255"/>
  <c r="L267" i="257" s="1"/>
  <c r="BG34" i="255"/>
  <c r="BK34" i="255"/>
  <c r="BN34" i="255" s="1"/>
  <c r="BK42" i="255"/>
  <c r="BN42" i="255" s="1"/>
  <c r="BW42" i="255"/>
  <c r="BY42" i="255"/>
  <c r="BB271" i="257" s="1"/>
  <c r="BA42" i="255"/>
  <c r="BG42" i="255"/>
  <c r="AX42" i="255"/>
  <c r="S271" i="257" s="1"/>
  <c r="BB42" i="255"/>
  <c r="AN271" i="257" s="1"/>
  <c r="BC42" i="255"/>
  <c r="H271" i="257" s="1"/>
  <c r="BD42" i="255"/>
  <c r="L271" i="257" s="1"/>
  <c r="BF42" i="255"/>
  <c r="BW74" i="255"/>
  <c r="BY74" i="255"/>
  <c r="BB287" i="257" s="1"/>
  <c r="AX74" i="255"/>
  <c r="S287" i="257" s="1"/>
  <c r="BG74" i="255"/>
  <c r="BA74" i="255"/>
  <c r="BB74" i="255"/>
  <c r="AN287" i="257" s="1"/>
  <c r="BC74" i="255"/>
  <c r="H287" i="257" s="1"/>
  <c r="BD74" i="255"/>
  <c r="L287" i="257" s="1"/>
  <c r="BK74" i="255"/>
  <c r="BN74" i="255" s="1"/>
  <c r="BF74" i="255"/>
  <c r="BB44" i="255"/>
  <c r="AN272" i="257" s="1"/>
  <c r="BC44" i="255"/>
  <c r="H272" i="257" s="1"/>
  <c r="BD44" i="255"/>
  <c r="L272" i="257" s="1"/>
  <c r="BF44" i="255"/>
  <c r="BG44" i="255"/>
  <c r="BA44" i="255"/>
  <c r="BK44" i="255"/>
  <c r="BN44" i="255" s="1"/>
  <c r="BW44" i="255"/>
  <c r="AX44" i="255"/>
  <c r="S272" i="257" s="1"/>
  <c r="BY44" i="255"/>
  <c r="BB272" i="257" s="1"/>
  <c r="BW76" i="255"/>
  <c r="BK76" i="255"/>
  <c r="BN76" i="255" s="1"/>
  <c r="BF76" i="255"/>
  <c r="AX76" i="255"/>
  <c r="S288" i="257" s="1"/>
  <c r="BY76" i="255"/>
  <c r="BB288" i="257" s="1"/>
  <c r="BA76" i="255"/>
  <c r="BB76" i="255"/>
  <c r="AN288" i="257" s="1"/>
  <c r="BG76" i="255"/>
  <c r="BC76" i="255"/>
  <c r="H288" i="257" s="1"/>
  <c r="BD76" i="255"/>
  <c r="L288" i="257" s="1"/>
  <c r="BY68" i="255"/>
  <c r="BB284" i="257" s="1"/>
  <c r="AX68" i="255"/>
  <c r="S284" i="257" s="1"/>
  <c r="BA68" i="255"/>
  <c r="BB68" i="255"/>
  <c r="AN284" i="257" s="1"/>
  <c r="BC68" i="255"/>
  <c r="H284" i="257" s="1"/>
  <c r="BD68" i="255"/>
  <c r="L284" i="257" s="1"/>
  <c r="BF68" i="255"/>
  <c r="BG68" i="255"/>
  <c r="BK68" i="255"/>
  <c r="BN68" i="255" s="1"/>
  <c r="BW68" i="255"/>
  <c r="BA46" i="255"/>
  <c r="BY46" i="255"/>
  <c r="BB273" i="257" s="1"/>
  <c r="BB46" i="255"/>
  <c r="AN273" i="257" s="1"/>
  <c r="BC46" i="255"/>
  <c r="H273" i="257" s="1"/>
  <c r="BW46" i="255"/>
  <c r="BD46" i="255"/>
  <c r="L273" i="257" s="1"/>
  <c r="BF46" i="255"/>
  <c r="BG46" i="255"/>
  <c r="BK46" i="255"/>
  <c r="BN46" i="255" s="1"/>
  <c r="AX46" i="255"/>
  <c r="S273" i="257" s="1"/>
  <c r="AX48" i="255"/>
  <c r="S274" i="257" s="1"/>
  <c r="BA48" i="255"/>
  <c r="BB48" i="255"/>
  <c r="AN274" i="257" s="1"/>
  <c r="BC48" i="255"/>
  <c r="H274" i="257" s="1"/>
  <c r="BD48" i="255"/>
  <c r="L274" i="257" s="1"/>
  <c r="BF48" i="255"/>
  <c r="BG48" i="255"/>
  <c r="BK48" i="255"/>
  <c r="BN48" i="255" s="1"/>
  <c r="BY48" i="255"/>
  <c r="BB274" i="257" s="1"/>
  <c r="BW48" i="255"/>
  <c r="BC36" i="255"/>
  <c r="H268" i="257" s="1"/>
  <c r="BB36" i="255"/>
  <c r="AN268" i="257" s="1"/>
  <c r="BF36" i="255"/>
  <c r="BG36" i="255"/>
  <c r="BK36" i="255"/>
  <c r="BN36" i="255" s="1"/>
  <c r="BD36" i="255"/>
  <c r="L268" i="257" s="1"/>
  <c r="BY36" i="255"/>
  <c r="BB268" i="257" s="1"/>
  <c r="BW36" i="255"/>
  <c r="AX36" i="255"/>
  <c r="S268" i="257" s="1"/>
  <c r="BA36" i="255"/>
  <c r="BW50" i="255"/>
  <c r="BG50" i="255"/>
  <c r="AX50" i="255"/>
  <c r="S275" i="257" s="1"/>
  <c r="BY50" i="255"/>
  <c r="BB275" i="257" s="1"/>
  <c r="BA50" i="255"/>
  <c r="BB50" i="255"/>
  <c r="AN275" i="257" s="1"/>
  <c r="BK50" i="255"/>
  <c r="BN50" i="255" s="1"/>
  <c r="BC50" i="255"/>
  <c r="H275" i="257" s="1"/>
  <c r="BD50" i="255"/>
  <c r="L275" i="257" s="1"/>
  <c r="BF50" i="255"/>
  <c r="BW20" i="255"/>
  <c r="BY20" i="255"/>
  <c r="BB260" i="257" s="1"/>
  <c r="AX20" i="255"/>
  <c r="S260" i="257" s="1"/>
  <c r="BA20" i="255"/>
  <c r="BB20" i="255"/>
  <c r="AN260" i="257" s="1"/>
  <c r="BC20" i="255"/>
  <c r="H260" i="257" s="1"/>
  <c r="BD20" i="255"/>
  <c r="L260" i="257" s="1"/>
  <c r="BF20" i="255"/>
  <c r="BG20" i="255"/>
  <c r="BK20" i="255"/>
  <c r="BN20" i="255" s="1"/>
  <c r="BK52" i="255"/>
  <c r="BN52" i="255" s="1"/>
  <c r="BY52" i="255"/>
  <c r="BB276" i="257" s="1"/>
  <c r="BW52" i="255"/>
  <c r="BF52" i="255"/>
  <c r="AX52" i="255"/>
  <c r="S276" i="257" s="1"/>
  <c r="BA52" i="255"/>
  <c r="BB52" i="255"/>
  <c r="AN276" i="257" s="1"/>
  <c r="BC52" i="255"/>
  <c r="H276" i="257" s="1"/>
  <c r="BG52" i="255"/>
  <c r="BD52" i="255"/>
  <c r="L276" i="257" s="1"/>
  <c r="BG22" i="255"/>
  <c r="BK22" i="255"/>
  <c r="BN22" i="255" s="1"/>
  <c r="BF22" i="255"/>
  <c r="BD22" i="255"/>
  <c r="L261" i="257" s="1"/>
  <c r="BW22" i="255"/>
  <c r="BY22" i="255"/>
  <c r="BB261" i="257" s="1"/>
  <c r="AX22" i="255"/>
  <c r="S261" i="257" s="1"/>
  <c r="BA22" i="255"/>
  <c r="BB22" i="255"/>
  <c r="AN261" i="257" s="1"/>
  <c r="BC22" i="255"/>
  <c r="H261" i="257" s="1"/>
  <c r="BC54" i="255"/>
  <c r="H277" i="257" s="1"/>
  <c r="BD54" i="255"/>
  <c r="L277" i="257" s="1"/>
  <c r="BF54" i="255"/>
  <c r="BG54" i="255"/>
  <c r="BK54" i="255"/>
  <c r="BN54" i="255" s="1"/>
  <c r="BW54" i="255"/>
  <c r="BY54" i="255"/>
  <c r="BB277" i="257" s="1"/>
  <c r="BB54" i="255"/>
  <c r="AN277" i="257" s="1"/>
  <c r="AX54" i="255"/>
  <c r="S277" i="257" s="1"/>
  <c r="BA54" i="255"/>
  <c r="BB24" i="255"/>
  <c r="AN262" i="257" s="1"/>
  <c r="AX24" i="255"/>
  <c r="S262" i="257" s="1"/>
  <c r="BC24" i="255"/>
  <c r="H262" i="257" s="1"/>
  <c r="BD24" i="255"/>
  <c r="L262" i="257" s="1"/>
  <c r="BF24" i="255"/>
  <c r="BG24" i="255"/>
  <c r="BK24" i="255"/>
  <c r="BN24" i="255" s="1"/>
  <c r="BW24" i="255"/>
  <c r="BA24" i="255"/>
  <c r="BY24" i="255"/>
  <c r="BB262" i="257" s="1"/>
  <c r="BA56" i="255"/>
  <c r="BB56" i="255"/>
  <c r="AN278" i="257" s="1"/>
  <c r="BC56" i="255"/>
  <c r="H278" i="257" s="1"/>
  <c r="BD56" i="255"/>
  <c r="L278" i="257" s="1"/>
  <c r="AX56" i="255"/>
  <c r="S278" i="257" s="1"/>
  <c r="BF56" i="255"/>
  <c r="BG56" i="255"/>
  <c r="BK56" i="255"/>
  <c r="BN56" i="255" s="1"/>
  <c r="BW56" i="255"/>
  <c r="BY56" i="255"/>
  <c r="BB278" i="257" s="1"/>
  <c r="BW26" i="255"/>
  <c r="AX26" i="255"/>
  <c r="S263" i="257" s="1"/>
  <c r="BA26" i="255"/>
  <c r="BY26" i="255"/>
  <c r="BB263" i="257" s="1"/>
  <c r="BB26" i="255"/>
  <c r="AN263" i="257" s="1"/>
  <c r="BC26" i="255"/>
  <c r="H263" i="257" s="1"/>
  <c r="BD26" i="255"/>
  <c r="L263" i="257" s="1"/>
  <c r="BF26" i="255"/>
  <c r="BG26" i="255"/>
  <c r="BK26" i="255"/>
  <c r="BN26" i="255" s="1"/>
  <c r="BW58" i="255"/>
  <c r="BA58" i="255"/>
  <c r="BB58" i="255"/>
  <c r="AN279" i="257" s="1"/>
  <c r="BC58" i="255"/>
  <c r="H279" i="257" s="1"/>
  <c r="BD58" i="255"/>
  <c r="L279" i="257" s="1"/>
  <c r="BF58" i="255"/>
  <c r="BY58" i="255"/>
  <c r="BB279" i="257" s="1"/>
  <c r="BG58" i="255"/>
  <c r="BK58" i="255"/>
  <c r="BN58" i="255" s="1"/>
  <c r="AX58" i="255"/>
  <c r="S279" i="257" s="1"/>
  <c r="BD28" i="255"/>
  <c r="L264" i="257" s="1"/>
  <c r="BF28" i="255"/>
  <c r="BG28" i="255"/>
  <c r="BK28" i="255"/>
  <c r="BN28" i="255" s="1"/>
  <c r="BB28" i="255"/>
  <c r="AN264" i="257" s="1"/>
  <c r="BC28" i="255"/>
  <c r="H264" i="257" s="1"/>
  <c r="BW28" i="255"/>
  <c r="AX28" i="255"/>
  <c r="S264" i="257" s="1"/>
  <c r="BA28" i="255"/>
  <c r="BY28" i="255"/>
  <c r="BB264" i="257" s="1"/>
  <c r="BA60" i="255"/>
  <c r="BB60" i="255"/>
  <c r="AN280" i="257" s="1"/>
  <c r="BC60" i="255"/>
  <c r="H280" i="257" s="1"/>
  <c r="AX60" i="255"/>
  <c r="S280" i="257" s="1"/>
  <c r="BD60" i="255"/>
  <c r="L280" i="257" s="1"/>
  <c r="BF60" i="255"/>
  <c r="BG60" i="255"/>
  <c r="BK60" i="255"/>
  <c r="BN60" i="255" s="1"/>
  <c r="BY60" i="255"/>
  <c r="BB280" i="257" s="1"/>
  <c r="BW60" i="255"/>
  <c r="AX66" i="255"/>
  <c r="S283" i="257" s="1"/>
  <c r="BY66" i="255"/>
  <c r="BB283" i="257" s="1"/>
  <c r="BA66" i="255"/>
  <c r="BB66" i="255"/>
  <c r="AN283" i="257" s="1"/>
  <c r="BC66" i="255"/>
  <c r="H283" i="257" s="1"/>
  <c r="BW66" i="255"/>
  <c r="BD66" i="255"/>
  <c r="L283" i="257" s="1"/>
  <c r="BF66" i="255"/>
  <c r="BG66" i="255"/>
  <c r="BK66" i="255"/>
  <c r="BN66" i="255" s="1"/>
  <c r="BB30" i="255"/>
  <c r="AN265" i="257" s="1"/>
  <c r="BC30" i="255"/>
  <c r="H265" i="257" s="1"/>
  <c r="BD30" i="255"/>
  <c r="L265" i="257" s="1"/>
  <c r="BF30" i="255"/>
  <c r="BG30" i="255"/>
  <c r="BA30" i="255"/>
  <c r="BK30" i="255"/>
  <c r="BN30" i="255" s="1"/>
  <c r="BY30" i="255"/>
  <c r="BB265" i="257" s="1"/>
  <c r="BW30" i="255"/>
  <c r="AX30" i="255"/>
  <c r="S265" i="257" s="1"/>
  <c r="BW62" i="255"/>
  <c r="BK62" i="255"/>
  <c r="BN62" i="255" s="1"/>
  <c r="BY62" i="255"/>
  <c r="BB281" i="257" s="1"/>
  <c r="AX62" i="255"/>
  <c r="S281" i="257" s="1"/>
  <c r="BA62" i="255"/>
  <c r="BB62" i="255"/>
  <c r="AN281" i="257" s="1"/>
  <c r="BC62" i="255"/>
  <c r="H281" i="257" s="1"/>
  <c r="BD62" i="255"/>
  <c r="L281" i="257" s="1"/>
  <c r="BF62" i="255"/>
  <c r="BG62" i="255"/>
  <c r="AX84" i="256"/>
  <c r="S323" i="257" s="1"/>
  <c r="BC84" i="256"/>
  <c r="H323" i="257" s="1"/>
  <c r="BD84" i="256"/>
  <c r="L323" i="257" s="1"/>
  <c r="BK84" i="256"/>
  <c r="BL84" i="256"/>
  <c r="BW84" i="256"/>
  <c r="BY84" i="256"/>
  <c r="BB323" i="257" s="1" a="1"/>
  <c r="BB323" i="257" s="1"/>
  <c r="AX24" i="256"/>
  <c r="S293" i="257" s="1"/>
  <c r="BC24" i="256"/>
  <c r="H293" i="257" s="1"/>
  <c r="BD24" i="256"/>
  <c r="L293" i="257" s="1"/>
  <c r="BK24" i="256"/>
  <c r="BL24" i="256"/>
  <c r="BW24" i="256"/>
  <c r="BY24" i="256"/>
  <c r="BB293" i="257" s="1" a="1"/>
  <c r="BB293" i="257" s="1"/>
  <c r="AR293" i="257" s="1" a="1"/>
  <c r="AR293" i="257" s="1"/>
  <c r="AX56" i="256"/>
  <c r="S309" i="257" s="1"/>
  <c r="BC56" i="256"/>
  <c r="H309" i="257" s="1"/>
  <c r="BD56" i="256"/>
  <c r="L309" i="257" s="1"/>
  <c r="BL56" i="256"/>
  <c r="BW56" i="256"/>
  <c r="BY56" i="256"/>
  <c r="BB309" i="257" s="1" a="1"/>
  <c r="BB309" i="257" s="1"/>
  <c r="AR309" i="257" s="1" a="1"/>
  <c r="AR309" i="257" s="1"/>
  <c r="BK56" i="256"/>
  <c r="BQ66" i="256"/>
  <c r="BQ34" i="256"/>
  <c r="BQ64" i="256"/>
  <c r="BQ32" i="256"/>
  <c r="AX28" i="256"/>
  <c r="S295" i="257" s="1"/>
  <c r="BC28" i="256"/>
  <c r="H295" i="257" s="1"/>
  <c r="BD28" i="256"/>
  <c r="L295" i="257" s="1"/>
  <c r="BL28" i="256"/>
  <c r="BW28" i="256"/>
  <c r="BY28" i="256"/>
  <c r="BB295" i="257" s="1" a="1"/>
  <c r="BB295" i="257" s="1"/>
  <c r="BK28" i="256"/>
  <c r="AX60" i="256"/>
  <c r="S311" i="257" s="1"/>
  <c r="BC60" i="256"/>
  <c r="H311" i="257" s="1"/>
  <c r="BD60" i="256"/>
  <c r="L311" i="257" s="1"/>
  <c r="BL60" i="256"/>
  <c r="BW60" i="256"/>
  <c r="BY60" i="256"/>
  <c r="BB311" i="257" s="1" a="1"/>
  <c r="BB311" i="257" s="1"/>
  <c r="AR311" i="257" s="1" a="1"/>
  <c r="AR311" i="257" s="1"/>
  <c r="BK60" i="256"/>
  <c r="BQ62" i="256"/>
  <c r="BQ30" i="256"/>
  <c r="BQ68" i="256"/>
  <c r="AX26" i="256"/>
  <c r="S294" i="257" s="1"/>
  <c r="BC26" i="256"/>
  <c r="H294" i="257" s="1"/>
  <c r="BD26" i="256"/>
  <c r="L294" i="257" s="1"/>
  <c r="BK26" i="256"/>
  <c r="BL26" i="256"/>
  <c r="BW26" i="256"/>
  <c r="BY26" i="256"/>
  <c r="BB294" i="257" s="1" a="1"/>
  <c r="BB294" i="257" s="1"/>
  <c r="AX30" i="256"/>
  <c r="S296" i="257" s="1"/>
  <c r="BC30" i="256"/>
  <c r="H296" i="257" s="1"/>
  <c r="BD30" i="256"/>
  <c r="L296" i="257" s="1"/>
  <c r="BK30" i="256"/>
  <c r="BL30" i="256"/>
  <c r="BW30" i="256"/>
  <c r="BY30" i="256"/>
  <c r="BB296" i="257" s="1" a="1"/>
  <c r="BB296" i="257" s="1"/>
  <c r="AR296" i="257" s="1" a="1"/>
  <c r="AR296" i="257" s="1"/>
  <c r="AX62" i="256"/>
  <c r="S312" i="257" s="1"/>
  <c r="BC62" i="256"/>
  <c r="H312" i="257" s="1"/>
  <c r="BD62" i="256"/>
  <c r="L312" i="257" s="1"/>
  <c r="BK62" i="256"/>
  <c r="BL62" i="256"/>
  <c r="BW62" i="256"/>
  <c r="BY62" i="256"/>
  <c r="BB312" i="257" s="1" a="1"/>
  <c r="BB312" i="257" s="1"/>
  <c r="BQ60" i="256"/>
  <c r="BQ28" i="256"/>
  <c r="AX20" i="256"/>
  <c r="S291" i="257" s="1"/>
  <c r="BC20" i="256"/>
  <c r="H291" i="257" s="1"/>
  <c r="BD20" i="256"/>
  <c r="L291" i="257" s="1"/>
  <c r="BK20" i="256"/>
  <c r="BL20" i="256"/>
  <c r="BW20" i="256"/>
  <c r="BY20" i="256"/>
  <c r="BB291" i="257" s="1" a="1"/>
  <c r="BB291" i="257" s="1"/>
  <c r="BQ70" i="256"/>
  <c r="AX22" i="256"/>
  <c r="S292" i="257" s="1"/>
  <c r="BC22" i="256"/>
  <c r="H292" i="257" s="1"/>
  <c r="BD22" i="256"/>
  <c r="L292" i="257" s="1"/>
  <c r="BK22" i="256"/>
  <c r="BL22" i="256"/>
  <c r="BW22" i="256"/>
  <c r="BY22" i="256"/>
  <c r="BB292" i="257" s="1" a="1"/>
  <c r="BB292" i="257" s="1"/>
  <c r="AR292" i="257" s="1" a="1"/>
  <c r="AR292" i="257" s="1"/>
  <c r="AX32" i="256"/>
  <c r="S297" i="257" s="1"/>
  <c r="BC32" i="256"/>
  <c r="H297" i="257" s="1"/>
  <c r="BD32" i="256"/>
  <c r="L297" i="257" s="1"/>
  <c r="BK32" i="256"/>
  <c r="BL32" i="256"/>
  <c r="BW32" i="256"/>
  <c r="BY32" i="256"/>
  <c r="BB297" i="257" s="1" a="1"/>
  <c r="BB297" i="257" s="1"/>
  <c r="AX64" i="256"/>
  <c r="S313" i="257" s="1"/>
  <c r="BC64" i="256"/>
  <c r="H313" i="257" s="1"/>
  <c r="BD64" i="256"/>
  <c r="L313" i="257" s="1"/>
  <c r="BK64" i="256"/>
  <c r="BL64" i="256"/>
  <c r="BW64" i="256"/>
  <c r="BY64" i="256"/>
  <c r="BB313" i="257" s="1" a="1"/>
  <c r="BB313" i="257" s="1"/>
  <c r="AR313" i="257" s="1" a="1"/>
  <c r="AR313" i="257" s="1"/>
  <c r="BQ58" i="256"/>
  <c r="BQ26" i="256"/>
  <c r="AX82" i="256"/>
  <c r="S322" i="257" s="1"/>
  <c r="BC82" i="256"/>
  <c r="H322" i="257" s="1"/>
  <c r="BD82" i="256"/>
  <c r="L322" i="257" s="1"/>
  <c r="BK82" i="256"/>
  <c r="BL82" i="256"/>
  <c r="BW82" i="256"/>
  <c r="BY82" i="256"/>
  <c r="BB322" i="257" s="1" a="1"/>
  <c r="BB322" i="257" s="1"/>
  <c r="AX54" i="256"/>
  <c r="S308" i="257" s="1"/>
  <c r="BC54" i="256"/>
  <c r="H308" i="257" s="1"/>
  <c r="BD54" i="256"/>
  <c r="L308" i="257" s="1"/>
  <c r="BK54" i="256"/>
  <c r="BL54" i="256"/>
  <c r="BW54" i="256"/>
  <c r="BY54" i="256"/>
  <c r="BB308" i="257" s="1" a="1"/>
  <c r="BB308" i="257" s="1"/>
  <c r="AR308" i="257" s="1" a="1"/>
  <c r="AR308" i="257" s="1"/>
  <c r="AX34" i="256"/>
  <c r="S298" i="257" s="1"/>
  <c r="BC34" i="256"/>
  <c r="H298" i="257" s="1"/>
  <c r="BD34" i="256"/>
  <c r="L298" i="257" s="1"/>
  <c r="BK34" i="256"/>
  <c r="BL34" i="256"/>
  <c r="BW34" i="256"/>
  <c r="BY34" i="256"/>
  <c r="BB298" i="257" s="1" a="1"/>
  <c r="BB298" i="257" s="1"/>
  <c r="AR298" i="257" s="1" a="1"/>
  <c r="AR298" i="257" s="1"/>
  <c r="AX66" i="256"/>
  <c r="S314" i="257" s="1"/>
  <c r="BC66" i="256"/>
  <c r="H314" i="257" s="1"/>
  <c r="BD66" i="256"/>
  <c r="L314" i="257" s="1"/>
  <c r="BK66" i="256"/>
  <c r="BL66" i="256"/>
  <c r="BW66" i="256"/>
  <c r="BY66" i="256"/>
  <c r="BB314" i="257" s="1" a="1"/>
  <c r="BB314" i="257" s="1"/>
  <c r="AR314" i="257" s="1" a="1"/>
  <c r="AR314" i="257" s="1"/>
  <c r="BQ56" i="256"/>
  <c r="BQ24" i="256"/>
  <c r="AX36" i="256"/>
  <c r="S299" i="257" s="1"/>
  <c r="BC36" i="256"/>
  <c r="H299" i="257" s="1"/>
  <c r="BD36" i="256"/>
  <c r="L299" i="257" s="1"/>
  <c r="BK36" i="256"/>
  <c r="BL36" i="256"/>
  <c r="BW36" i="256"/>
  <c r="BY36" i="256"/>
  <c r="BB299" i="257" s="1" a="1"/>
  <c r="BB299" i="257" s="1"/>
  <c r="AR299" i="257" s="1" a="1"/>
  <c r="AR299" i="257" s="1"/>
  <c r="AX68" i="256"/>
  <c r="S315" i="257" s="1"/>
  <c r="BC68" i="256"/>
  <c r="H315" i="257" s="1"/>
  <c r="BD68" i="256"/>
  <c r="L315" i="257" s="1"/>
  <c r="BK68" i="256"/>
  <c r="BL68" i="256"/>
  <c r="BW68" i="256"/>
  <c r="BY68" i="256"/>
  <c r="BB315" i="257" s="1" a="1"/>
  <c r="BB315" i="257" s="1"/>
  <c r="AR315" i="257" s="1" a="1"/>
  <c r="AR315" i="257" s="1"/>
  <c r="BQ86" i="256"/>
  <c r="BQ54" i="256"/>
  <c r="BQ22" i="256"/>
  <c r="BQ72" i="256"/>
  <c r="AX52" i="256"/>
  <c r="S307" i="257" s="1"/>
  <c r="BC52" i="256"/>
  <c r="H307" i="257" s="1"/>
  <c r="BD52" i="256"/>
  <c r="L307" i="257" s="1"/>
  <c r="BK52" i="256"/>
  <c r="BL52" i="256"/>
  <c r="BW52" i="256"/>
  <c r="BY52" i="256"/>
  <c r="BB307" i="257" s="1" a="1"/>
  <c r="BB307" i="257" s="1"/>
  <c r="AX86" i="256"/>
  <c r="S324" i="257" s="1"/>
  <c r="BC86" i="256"/>
  <c r="H324" i="257" s="1"/>
  <c r="BD86" i="256"/>
  <c r="L324" i="257" s="1"/>
  <c r="BK86" i="256"/>
  <c r="BL86" i="256"/>
  <c r="BW86" i="256"/>
  <c r="BY86" i="256"/>
  <c r="BB324" i="257" s="1" a="1"/>
  <c r="BB324" i="257" s="1"/>
  <c r="AR324" i="257" s="1" a="1"/>
  <c r="AR324" i="257" s="1"/>
  <c r="AX58" i="256"/>
  <c r="S310" i="257" s="1"/>
  <c r="BC58" i="256"/>
  <c r="H310" i="257" s="1"/>
  <c r="BD58" i="256"/>
  <c r="L310" i="257" s="1"/>
  <c r="BK58" i="256"/>
  <c r="BL58" i="256"/>
  <c r="BW58" i="256"/>
  <c r="BY58" i="256"/>
  <c r="BB310" i="257" s="1" a="1"/>
  <c r="BB310" i="257" s="1"/>
  <c r="AR310" i="257" s="1" a="1"/>
  <c r="AR310" i="257" s="1"/>
  <c r="AX38" i="256"/>
  <c r="S300" i="257" s="1"/>
  <c r="BC38" i="256"/>
  <c r="H300" i="257" s="1"/>
  <c r="BD38" i="256"/>
  <c r="L300" i="257" s="1"/>
  <c r="BK38" i="256"/>
  <c r="BL38" i="256"/>
  <c r="BW38" i="256"/>
  <c r="BY38" i="256"/>
  <c r="BB300" i="257" s="1" a="1"/>
  <c r="BB300" i="257" s="1"/>
  <c r="AR300" i="257" s="1" a="1"/>
  <c r="AR300" i="257" s="1"/>
  <c r="AX70" i="256"/>
  <c r="S316" i="257" s="1"/>
  <c r="BC70" i="256"/>
  <c r="H316" i="257" s="1"/>
  <c r="BD70" i="256"/>
  <c r="L316" i="257" s="1"/>
  <c r="BK70" i="256"/>
  <c r="BL70" i="256"/>
  <c r="BW70" i="256"/>
  <c r="BY70" i="256"/>
  <c r="BB316" i="257" s="1" a="1"/>
  <c r="BB316" i="257" s="1"/>
  <c r="BQ84" i="256"/>
  <c r="BQ52" i="256"/>
  <c r="BQ38" i="256"/>
  <c r="AX40" i="256"/>
  <c r="S301" i="257" s="1"/>
  <c r="BC40" i="256"/>
  <c r="H301" i="257" s="1"/>
  <c r="BD40" i="256"/>
  <c r="L301" i="257" s="1"/>
  <c r="BK40" i="256"/>
  <c r="BL40" i="256"/>
  <c r="BW40" i="256"/>
  <c r="BY40" i="256"/>
  <c r="BB301" i="257" s="1" a="1"/>
  <c r="BB301" i="257" s="1"/>
  <c r="AR301" i="257" s="1" a="1"/>
  <c r="AR301" i="257" s="1"/>
  <c r="AX72" i="256"/>
  <c r="S317" i="257" s="1"/>
  <c r="BC72" i="256"/>
  <c r="H317" i="257" s="1"/>
  <c r="BD72" i="256"/>
  <c r="L317" i="257" s="1"/>
  <c r="BK72" i="256"/>
  <c r="BL72" i="256"/>
  <c r="BW72" i="256"/>
  <c r="BY72" i="256"/>
  <c r="BB317" i="257" s="1" a="1"/>
  <c r="BB317" i="257" s="1"/>
  <c r="AR317" i="257" s="1" a="1"/>
  <c r="AR317" i="257" s="1"/>
  <c r="BQ82" i="256"/>
  <c r="BQ50" i="256"/>
  <c r="BQ36" i="256"/>
  <c r="AX42" i="256"/>
  <c r="S302" i="257" s="1"/>
  <c r="BC42" i="256"/>
  <c r="H302" i="257" s="1"/>
  <c r="BD42" i="256"/>
  <c r="L302" i="257" s="1"/>
  <c r="BL42" i="256"/>
  <c r="BW42" i="256"/>
  <c r="BY42" i="256"/>
  <c r="BB302" i="257" s="1" a="1"/>
  <c r="BB302" i="257" s="1"/>
  <c r="AR302" i="257" s="1" a="1"/>
  <c r="AR302" i="257" s="1"/>
  <c r="BK42" i="256"/>
  <c r="AX74" i="256"/>
  <c r="S318" i="257" s="1"/>
  <c r="BC74" i="256"/>
  <c r="H318" i="257" s="1"/>
  <c r="BD74" i="256"/>
  <c r="L318" i="257" s="1"/>
  <c r="BK74" i="256"/>
  <c r="BL74" i="256"/>
  <c r="BW74" i="256"/>
  <c r="BY74" i="256"/>
  <c r="BB318" i="257" s="1" a="1"/>
  <c r="BB318" i="257" s="1"/>
  <c r="AR318" i="257" s="1" a="1"/>
  <c r="AR318" i="257" s="1"/>
  <c r="BQ80" i="256"/>
  <c r="BQ48" i="256"/>
  <c r="AX50" i="256"/>
  <c r="S306" i="257" s="1"/>
  <c r="BC50" i="256"/>
  <c r="H306" i="257" s="1"/>
  <c r="BD50" i="256"/>
  <c r="L306" i="257" s="1"/>
  <c r="BK50" i="256"/>
  <c r="BL50" i="256"/>
  <c r="BW50" i="256"/>
  <c r="BY50" i="256"/>
  <c r="BB306" i="257" s="1" a="1"/>
  <c r="BB306" i="257" s="1"/>
  <c r="BQ40" i="256"/>
  <c r="AX44" i="256"/>
  <c r="S303" i="257" s="1"/>
  <c r="BC44" i="256"/>
  <c r="H303" i="257" s="1"/>
  <c r="BD44" i="256"/>
  <c r="L303" i="257" s="1"/>
  <c r="BK44" i="256"/>
  <c r="BL44" i="256"/>
  <c r="BW44" i="256"/>
  <c r="BY44" i="256"/>
  <c r="BB303" i="257" s="1" a="1"/>
  <c r="BB303" i="257" s="1"/>
  <c r="AR303" i="257" s="1" a="1"/>
  <c r="AR303" i="257" s="1"/>
  <c r="AX76" i="256"/>
  <c r="S319" i="257" s="1"/>
  <c r="BC76" i="256"/>
  <c r="H319" i="257" s="1"/>
  <c r="BD76" i="256"/>
  <c r="L319" i="257" s="1"/>
  <c r="BK76" i="256"/>
  <c r="BL76" i="256"/>
  <c r="BW76" i="256"/>
  <c r="BY76" i="256"/>
  <c r="BB319" i="257" s="1" a="1"/>
  <c r="BB319" i="257" s="1"/>
  <c r="AR319" i="257" s="1" a="1"/>
  <c r="AR319" i="257" s="1"/>
  <c r="BQ78" i="256"/>
  <c r="BQ46" i="256"/>
  <c r="AX46" i="256"/>
  <c r="S304" i="257" s="1"/>
  <c r="BC46" i="256"/>
  <c r="H304" i="257" s="1"/>
  <c r="BD46" i="256"/>
  <c r="L304" i="257" s="1"/>
  <c r="BL46" i="256"/>
  <c r="BW46" i="256"/>
  <c r="BY46" i="256"/>
  <c r="BB304" i="257" s="1" a="1"/>
  <c r="BB304" i="257" s="1"/>
  <c r="AR304" i="257" s="1" a="1"/>
  <c r="AR304" i="257" s="1"/>
  <c r="BK46" i="256"/>
  <c r="AX78" i="256"/>
  <c r="S320" i="257" s="1"/>
  <c r="BC78" i="256"/>
  <c r="H320" i="257" s="1"/>
  <c r="BD78" i="256"/>
  <c r="L320" i="257" s="1"/>
  <c r="BK78" i="256"/>
  <c r="BL78" i="256"/>
  <c r="BW78" i="256"/>
  <c r="BY78" i="256"/>
  <c r="BB320" i="257" s="1" a="1"/>
  <c r="BB320" i="257" s="1"/>
  <c r="AR320" i="257" s="1" a="1"/>
  <c r="AR320" i="257" s="1"/>
  <c r="BQ76" i="256"/>
  <c r="BQ44" i="256"/>
  <c r="AX48" i="256"/>
  <c r="S305" i="257" s="1"/>
  <c r="BC48" i="256"/>
  <c r="H305" i="257" s="1"/>
  <c r="BD48" i="256"/>
  <c r="L305" i="257" s="1"/>
  <c r="BL48" i="256"/>
  <c r="BW48" i="256"/>
  <c r="BY48" i="256"/>
  <c r="BB305" i="257" s="1" a="1"/>
  <c r="BB305" i="257" s="1"/>
  <c r="AR305" i="257" s="1" a="1"/>
  <c r="AR305" i="257" s="1"/>
  <c r="BK48" i="256"/>
  <c r="AX80" i="256"/>
  <c r="S321" i="257" s="1"/>
  <c r="BC80" i="256"/>
  <c r="H321" i="257" s="1"/>
  <c r="BD80" i="256"/>
  <c r="L321" i="257" s="1"/>
  <c r="BK80" i="256"/>
  <c r="BL80" i="256"/>
  <c r="BW80" i="256"/>
  <c r="BY80" i="256"/>
  <c r="BB321" i="257" s="1" a="1"/>
  <c r="BB321" i="257" s="1"/>
  <c r="AR321" i="257" s="1" a="1"/>
  <c r="AR321" i="257" s="1"/>
  <c r="BQ74" i="256"/>
  <c r="BQ42" i="256"/>
  <c r="X266" i="257"/>
  <c r="X274" i="257"/>
  <c r="X282" i="257"/>
  <c r="X259" i="257"/>
  <c r="X267" i="257"/>
  <c r="X275" i="257"/>
  <c r="X283" i="257"/>
  <c r="X260" i="257"/>
  <c r="X268" i="257"/>
  <c r="X276" i="257"/>
  <c r="X284" i="257"/>
  <c r="X273" i="257"/>
  <c r="X261" i="257"/>
  <c r="X269" i="257"/>
  <c r="X277" i="257"/>
  <c r="X285" i="257"/>
  <c r="X265" i="257"/>
  <c r="X262" i="257"/>
  <c r="X270" i="257"/>
  <c r="X278" i="257"/>
  <c r="X286" i="257"/>
  <c r="X263" i="257"/>
  <c r="X271" i="257"/>
  <c r="X279" i="257"/>
  <c r="X287" i="257"/>
  <c r="X281" i="257"/>
  <c r="X264" i="257"/>
  <c r="X272" i="257"/>
  <c r="X280" i="257"/>
  <c r="X288" i="257"/>
  <c r="AO48" i="256"/>
  <c r="AO80" i="256"/>
  <c r="AO50" i="256"/>
  <c r="AO82" i="256"/>
  <c r="AO20" i="256"/>
  <c r="AO52" i="256"/>
  <c r="AO84" i="256"/>
  <c r="AO54" i="256"/>
  <c r="AO24" i="256"/>
  <c r="AO56" i="256"/>
  <c r="AO22" i="256"/>
  <c r="AO26" i="256"/>
  <c r="AO58" i="256"/>
  <c r="AO86" i="256"/>
  <c r="AO28" i="256"/>
  <c r="AO60" i="256"/>
  <c r="AO76" i="256"/>
  <c r="AO46" i="256"/>
  <c r="AO32" i="256"/>
  <c r="AO64" i="256"/>
  <c r="AO44" i="256"/>
  <c r="AO78" i="256"/>
  <c r="AO34" i="256"/>
  <c r="AO66" i="256"/>
  <c r="AO30" i="256"/>
  <c r="AO62" i="256"/>
  <c r="AO36" i="256"/>
  <c r="AO68" i="256"/>
  <c r="AO38" i="256"/>
  <c r="AO70" i="256"/>
  <c r="AO40" i="256"/>
  <c r="AO72" i="256"/>
  <c r="AO42" i="256"/>
  <c r="AO74" i="256"/>
  <c r="AO36" i="255"/>
  <c r="AO30" i="255"/>
  <c r="AO74" i="255"/>
  <c r="AO24" i="255"/>
  <c r="AO68" i="255"/>
  <c r="AO42" i="255"/>
  <c r="AO62" i="255"/>
  <c r="AO44" i="255"/>
  <c r="AO50" i="255"/>
  <c r="AO56" i="255"/>
  <c r="AO38" i="255"/>
  <c r="AO32" i="255"/>
  <c r="AO76" i="255"/>
  <c r="AO26" i="255"/>
  <c r="AO70" i="255"/>
  <c r="AO20" i="255"/>
  <c r="AO64" i="255"/>
  <c r="AO46" i="255"/>
  <c r="AO52" i="255"/>
  <c r="AO58" i="255"/>
  <c r="AO40" i="255"/>
  <c r="AO48" i="255"/>
  <c r="AO34" i="255"/>
  <c r="AO28" i="255"/>
  <c r="AO72" i="255"/>
  <c r="AO22" i="255"/>
  <c r="AO66" i="255"/>
  <c r="AO54" i="255"/>
  <c r="AO60" i="255"/>
  <c r="AR56" i="255"/>
  <c r="AA278" i="257" s="1" a="1"/>
  <c r="AA278" i="257" s="1"/>
  <c r="AR34" i="255"/>
  <c r="AA267" i="257" s="1" a="1"/>
  <c r="AA267" i="257" s="1"/>
  <c r="AR24" i="255"/>
  <c r="AA262" i="257" s="1" a="1"/>
  <c r="AA262" i="257" s="1"/>
  <c r="AR68" i="255"/>
  <c r="AA284" i="257" s="1" a="1"/>
  <c r="AA284" i="257" s="1"/>
  <c r="AR66" i="255"/>
  <c r="AA283" i="257" s="1" a="1"/>
  <c r="AA283" i="257" s="1"/>
  <c r="AR40" i="255"/>
  <c r="AA270" i="257" s="1" a="1"/>
  <c r="AA270" i="257" s="1"/>
  <c r="AR54" i="255"/>
  <c r="AA277" i="257" s="1" a="1"/>
  <c r="AA277" i="257" s="1"/>
  <c r="AR48" i="255"/>
  <c r="AA274" i="257" s="1" a="1"/>
  <c r="AA274" i="257" s="1"/>
  <c r="AR50" i="255"/>
  <c r="AA275" i="257" s="1" a="1"/>
  <c r="AA275" i="257" s="1"/>
  <c r="AR32" i="255"/>
  <c r="AA266" i="257" s="1" a="1"/>
  <c r="AA266" i="257" s="1"/>
  <c r="AR64" i="255"/>
  <c r="AA282" i="257" s="1" a="1"/>
  <c r="AA282" i="257" s="1"/>
  <c r="AR36" i="255"/>
  <c r="AA268" i="257" s="1" a="1"/>
  <c r="AA268" i="257" s="1"/>
  <c r="AR46" i="255"/>
  <c r="AA273" i="257" s="1" a="1"/>
  <c r="AA273" i="257" s="1"/>
  <c r="AR60" i="255"/>
  <c r="AA280" i="257" s="1" a="1"/>
  <c r="AA280" i="257" s="1"/>
  <c r="AR22" i="255"/>
  <c r="AA261" i="257" s="1" a="1"/>
  <c r="AA261" i="257" s="1"/>
  <c r="AR28" i="255"/>
  <c r="AA264" i="257" s="1" a="1"/>
  <c r="AA264" i="257" s="1"/>
  <c r="AR42" i="255"/>
  <c r="AA271" i="257" s="1" a="1"/>
  <c r="AA271" i="257" s="1"/>
  <c r="AR74" i="255"/>
  <c r="AA287" i="257" s="1" a="1"/>
  <c r="AA287" i="257" s="1"/>
  <c r="AR38" i="255"/>
  <c r="AA269" i="257" s="1" a="1"/>
  <c r="AA269" i="257" s="1"/>
  <c r="AR70" i="255"/>
  <c r="AA285" i="257" s="1" a="1"/>
  <c r="AA285" i="257" s="1"/>
  <c r="AR20" i="255"/>
  <c r="AA260" i="257" s="1" a="1"/>
  <c r="AA260" i="257" s="1"/>
  <c r="AR52" i="255"/>
  <c r="AA276" i="257" s="1" a="1"/>
  <c r="AA276" i="257" s="1"/>
  <c r="AR30" i="255"/>
  <c r="AA265" i="257" s="1" a="1"/>
  <c r="AA265" i="257" s="1"/>
  <c r="AR62" i="255"/>
  <c r="AA281" i="257" s="1" a="1"/>
  <c r="AA281" i="257" s="1"/>
  <c r="AR44" i="255"/>
  <c r="AA272" i="257" s="1" a="1"/>
  <c r="AA272" i="257" s="1"/>
  <c r="AR76" i="255"/>
  <c r="AA288" i="257" s="1" a="1"/>
  <c r="AA288" i="257" s="1"/>
  <c r="AR26" i="255"/>
  <c r="AA263" i="257" s="1" a="1"/>
  <c r="AA263" i="257" s="1"/>
  <c r="AR58" i="255"/>
  <c r="AA279" i="257" s="1" a="1"/>
  <c r="AA279" i="257" s="1"/>
  <c r="AR72" i="255"/>
  <c r="AA286" i="257" s="1" a="1"/>
  <c r="AA286" i="257" s="1"/>
  <c r="BD18" i="256"/>
  <c r="L290" i="257" s="1"/>
  <c r="AR46" i="256"/>
  <c r="AA304" i="257" s="1" a="1"/>
  <c r="AA304" i="257" s="1"/>
  <c r="BC18" i="256"/>
  <c r="H290" i="257" s="1"/>
  <c r="AR58" i="256"/>
  <c r="AA310" i="257" s="1" a="1"/>
  <c r="AA310" i="257" s="1"/>
  <c r="AR78" i="256"/>
  <c r="AA320" i="257" s="1" a="1"/>
  <c r="AA320" i="257" s="1"/>
  <c r="AR86" i="256"/>
  <c r="AA324" i="257" s="1" a="1"/>
  <c r="AA324" i="257" s="1"/>
  <c r="AR62" i="256"/>
  <c r="AA312" i="257" s="1" a="1"/>
  <c r="AA312" i="257" s="1"/>
  <c r="AR64" i="256"/>
  <c r="AA313" i="257" s="1" a="1"/>
  <c r="AA313" i="257" s="1"/>
  <c r="AR22" i="256"/>
  <c r="AA292" i="257" s="1" a="1"/>
  <c r="AA292" i="257" s="1"/>
  <c r="AR26" i="256"/>
  <c r="AA294" i="257" s="1" a="1"/>
  <c r="AA294" i="257" s="1"/>
  <c r="AR30" i="256"/>
  <c r="AA296" i="257" s="1" a="1"/>
  <c r="AA296" i="257" s="1"/>
  <c r="AR42" i="256"/>
  <c r="AA302" i="257" s="1" a="1"/>
  <c r="AA302" i="257" s="1"/>
  <c r="AR54" i="256"/>
  <c r="AA308" i="257" s="1" a="1"/>
  <c r="AA308" i="257" s="1"/>
  <c r="AR66" i="256"/>
  <c r="AA314" i="257" s="1" a="1"/>
  <c r="AA314" i="257" s="1"/>
  <c r="AR80" i="256"/>
  <c r="AA321" i="257" s="1" a="1"/>
  <c r="AA321" i="257" s="1"/>
  <c r="AR34" i="256"/>
  <c r="AA298" i="257" s="1" a="1"/>
  <c r="AA298" i="257" s="1"/>
  <c r="AR56" i="256"/>
  <c r="AA309" i="257" s="1" a="1"/>
  <c r="AA309" i="257" s="1"/>
  <c r="AR70" i="256"/>
  <c r="AA316" i="257" s="1" a="1"/>
  <c r="AA316" i="257" s="1"/>
  <c r="AR38" i="256"/>
  <c r="AA300" i="257" s="1" a="1"/>
  <c r="AA300" i="257" s="1"/>
  <c r="AR50" i="256"/>
  <c r="AA306" i="257" s="1" a="1"/>
  <c r="AA306" i="257" s="1"/>
  <c r="AR72" i="256"/>
  <c r="AA317" i="257" s="1" a="1"/>
  <c r="AA317" i="257" s="1"/>
  <c r="AR36" i="256"/>
  <c r="AA299" i="257" s="1" a="1"/>
  <c r="AA299" i="257" s="1"/>
  <c r="AR76" i="256"/>
  <c r="AA319" i="257" s="1" a="1"/>
  <c r="AA319" i="257" s="1"/>
  <c r="AR20" i="256"/>
  <c r="AA291" i="257" s="1" a="1"/>
  <c r="AA291" i="257" s="1"/>
  <c r="AR28" i="256"/>
  <c r="AA295" i="257" s="1" a="1"/>
  <c r="AA295" i="257" s="1"/>
  <c r="AR68" i="256"/>
  <c r="AA315" i="257" s="1" a="1"/>
  <c r="AA315" i="257" s="1"/>
  <c r="AR60" i="256"/>
  <c r="AA311" i="257" s="1" a="1"/>
  <c r="AA311" i="257" s="1"/>
  <c r="AR52" i="256"/>
  <c r="AA307" i="257" s="1" a="1"/>
  <c r="AA307" i="257" s="1"/>
  <c r="AR24" i="256"/>
  <c r="AA293" i="257" s="1" a="1"/>
  <c r="AA293" i="257" s="1"/>
  <c r="AR44" i="256"/>
  <c r="AA303" i="257" s="1" a="1"/>
  <c r="AA303" i="257" s="1"/>
  <c r="AR84" i="256"/>
  <c r="AA323" i="257" s="1" a="1"/>
  <c r="AA323" i="257" s="1"/>
  <c r="AR74" i="256"/>
  <c r="AA318" i="257" s="1" a="1"/>
  <c r="AA318" i="257" s="1"/>
  <c r="AR82" i="256"/>
  <c r="AA322" i="257" s="1" a="1"/>
  <c r="AA322" i="257" s="1"/>
  <c r="AR32" i="256"/>
  <c r="AA297" i="257" s="1" a="1"/>
  <c r="AA297" i="257" s="1"/>
  <c r="AR40" i="256"/>
  <c r="AA301" i="257" s="1" a="1"/>
  <c r="AA301" i="257" s="1"/>
  <c r="AR48" i="256"/>
  <c r="AA305" i="257" s="1" a="1"/>
  <c r="AA305" i="257" s="1"/>
  <c r="AE294" i="257" l="1" a="1"/>
  <c r="AE294" i="257" s="1"/>
  <c r="AR294" i="257" a="1"/>
  <c r="AR294" i="257" s="1"/>
  <c r="AE281" i="257" a="1"/>
  <c r="AE281" i="257" s="1"/>
  <c r="AR281" i="257" a="1"/>
  <c r="AR281" i="257" s="1"/>
  <c r="AE280" i="257" a="1"/>
  <c r="AE280" i="257" s="1"/>
  <c r="AR280" i="257" a="1"/>
  <c r="AR280" i="257" s="1"/>
  <c r="AE268" i="257" a="1"/>
  <c r="AE268" i="257" s="1"/>
  <c r="AR268" i="257" a="1"/>
  <c r="AR268" i="257" s="1"/>
  <c r="AE274" i="257" a="1"/>
  <c r="AE274" i="257" s="1"/>
  <c r="AR274" i="257" a="1"/>
  <c r="AR274" i="257" s="1"/>
  <c r="AE291" i="257" a="1"/>
  <c r="AE291" i="257" s="1"/>
  <c r="AR291" i="257" a="1"/>
  <c r="AR291" i="257" s="1"/>
  <c r="AE264" i="257" a="1"/>
  <c r="AE264" i="257" s="1"/>
  <c r="AR264" i="257" a="1"/>
  <c r="AR264" i="257" s="1"/>
  <c r="AE262" i="257" a="1"/>
  <c r="AE262" i="257" s="1"/>
  <c r="AR262" i="257" a="1"/>
  <c r="AR262" i="257" s="1"/>
  <c r="AE261" i="257" a="1"/>
  <c r="AE261" i="257" s="1"/>
  <c r="AR261" i="257" a="1"/>
  <c r="AR261" i="257" s="1"/>
  <c r="AE260" i="257" a="1"/>
  <c r="AE260" i="257" s="1"/>
  <c r="AR260" i="257" a="1"/>
  <c r="AR260" i="257" s="1"/>
  <c r="AE275" i="257" a="1"/>
  <c r="AE275" i="257" s="1"/>
  <c r="AR275" i="257" a="1"/>
  <c r="AR275" i="257" s="1"/>
  <c r="AE273" i="257" a="1"/>
  <c r="AE273" i="257" s="1"/>
  <c r="AR273" i="257" a="1"/>
  <c r="AR273" i="257" s="1"/>
  <c r="AE287" i="257" a="1"/>
  <c r="AE287" i="257" s="1"/>
  <c r="AR287" i="257" a="1"/>
  <c r="AR287" i="257" s="1"/>
  <c r="AE266" i="257" a="1"/>
  <c r="AE266" i="257" s="1"/>
  <c r="AR266" i="257" a="1"/>
  <c r="AR266" i="257" s="1"/>
  <c r="AE307" i="257" a="1"/>
  <c r="AE307" i="257" s="1"/>
  <c r="AR307" i="257" a="1"/>
  <c r="AR307" i="257" s="1"/>
  <c r="AE322" i="257" a="1"/>
  <c r="AE322" i="257" s="1"/>
  <c r="AR322" i="257" a="1"/>
  <c r="AR322" i="257" s="1"/>
  <c r="AE297" i="257" a="1"/>
  <c r="AE297" i="257" s="1"/>
  <c r="AR297" i="257" a="1"/>
  <c r="AR297" i="257" s="1"/>
  <c r="AE312" i="257" a="1"/>
  <c r="AE312" i="257" s="1"/>
  <c r="AR312" i="257" a="1"/>
  <c r="AR312" i="257" s="1"/>
  <c r="AE295" i="257" a="1"/>
  <c r="AE295" i="257" s="1"/>
  <c r="AR295" i="257" a="1"/>
  <c r="AR295" i="257" s="1"/>
  <c r="AE323" i="257" a="1"/>
  <c r="AE323" i="257" s="1"/>
  <c r="AR323" i="257" a="1"/>
  <c r="AR323" i="257" s="1"/>
  <c r="AE288" i="257" a="1"/>
  <c r="AE288" i="257" s="1"/>
  <c r="AR288" i="257" a="1"/>
  <c r="AR288" i="257" s="1"/>
  <c r="AE271" i="257" a="1"/>
  <c r="AE271" i="257" s="1"/>
  <c r="AR271" i="257" a="1"/>
  <c r="AR271" i="257" s="1"/>
  <c r="AE306" i="257" a="1"/>
  <c r="AE306" i="257" s="1"/>
  <c r="AR306" i="257" a="1"/>
  <c r="AR306" i="257" s="1"/>
  <c r="AE263" i="257" a="1"/>
  <c r="AE263" i="257" s="1"/>
  <c r="AR263" i="257" a="1"/>
  <c r="AR263" i="257" s="1"/>
  <c r="AE270" i="257" a="1"/>
  <c r="AE270" i="257" s="1"/>
  <c r="AR270" i="257" a="1"/>
  <c r="AR270" i="257" s="1"/>
  <c r="AE285" i="257" a="1"/>
  <c r="AE285" i="257" s="1"/>
  <c r="AR285" i="257" a="1"/>
  <c r="AR285" i="257" s="1"/>
  <c r="AE284" i="257" a="1"/>
  <c r="AE284" i="257" s="1"/>
  <c r="AR284" i="257" a="1"/>
  <c r="AR284" i="257" s="1"/>
  <c r="AE267" i="257" a="1"/>
  <c r="AE267" i="257" s="1"/>
  <c r="AR267" i="257" a="1"/>
  <c r="AR267" i="257" s="1"/>
  <c r="AE269" i="257" a="1"/>
  <c r="AE269" i="257" s="1"/>
  <c r="AR269" i="257" a="1"/>
  <c r="AR269" i="257" s="1"/>
  <c r="AE265" i="257" a="1"/>
  <c r="AE265" i="257" s="1"/>
  <c r="AR265" i="257" a="1"/>
  <c r="AR265" i="257" s="1"/>
  <c r="AE283" i="257" a="1"/>
  <c r="AE283" i="257" s="1"/>
  <c r="AR283" i="257" a="1"/>
  <c r="AR283" i="257" s="1"/>
  <c r="AE316" i="257" a="1"/>
  <c r="AE316" i="257" s="1"/>
  <c r="AR316" i="257" a="1"/>
  <c r="AR316" i="257" s="1"/>
  <c r="AE279" i="257" a="1"/>
  <c r="AE279" i="257" s="1"/>
  <c r="AR279" i="257" a="1"/>
  <c r="AR279" i="257" s="1"/>
  <c r="AE277" i="257" a="1"/>
  <c r="AE277" i="257" s="1"/>
  <c r="AR277" i="257" a="1"/>
  <c r="AR277" i="257" s="1"/>
  <c r="AE282" i="257" a="1"/>
  <c r="AE282" i="257" s="1"/>
  <c r="AR282" i="257" a="1"/>
  <c r="AR282" i="257" s="1"/>
  <c r="AE278" i="257" a="1"/>
  <c r="AE278" i="257" s="1"/>
  <c r="AR278" i="257" a="1"/>
  <c r="AR278" i="257" s="1"/>
  <c r="AE276" i="257" a="1"/>
  <c r="AE276" i="257" s="1"/>
  <c r="AR276" i="257" a="1"/>
  <c r="AR276" i="257" s="1"/>
  <c r="AE272" i="257" a="1"/>
  <c r="AE272" i="257" s="1"/>
  <c r="AR272" i="257" a="1"/>
  <c r="AR272" i="257" s="1"/>
  <c r="AE286" i="257" a="1"/>
  <c r="AE286" i="257" s="1"/>
  <c r="AR286" i="257" a="1"/>
  <c r="AR286" i="257" s="1"/>
  <c r="AE320" i="257" a="1"/>
  <c r="AE320" i="257" s="1"/>
  <c r="AE302" i="257" a="1"/>
  <c r="AE302" i="257" s="1"/>
  <c r="AE299" i="257" a="1"/>
  <c r="AE299" i="257" s="1"/>
  <c r="AE313" i="257" a="1"/>
  <c r="AE313" i="257" s="1"/>
  <c r="AE305" i="257" a="1"/>
  <c r="AE305" i="257" s="1"/>
  <c r="AE319" i="257" a="1"/>
  <c r="AE319" i="257" s="1"/>
  <c r="AE318" i="257" a="1"/>
  <c r="AE318" i="257" s="1"/>
  <c r="AE301" i="257" a="1"/>
  <c r="AE301" i="257" s="1"/>
  <c r="AE310" i="257" a="1"/>
  <c r="AE310" i="257" s="1"/>
  <c r="AE298" i="257" a="1"/>
  <c r="AE298" i="257" s="1"/>
  <c r="AE315" i="257" a="1"/>
  <c r="AE315" i="257" s="1"/>
  <c r="AE292" i="257" a="1"/>
  <c r="AE292" i="257" s="1"/>
  <c r="AE296" i="257" a="1"/>
  <c r="AE296" i="257" s="1"/>
  <c r="AE309" i="257" a="1"/>
  <c r="AE309" i="257" s="1"/>
  <c r="AE321" i="257" a="1"/>
  <c r="AE321" i="257" s="1"/>
  <c r="AE304" i="257" a="1"/>
  <c r="AE304" i="257" s="1"/>
  <c r="AE317" i="257" a="1"/>
  <c r="AE317" i="257" s="1"/>
  <c r="AE300" i="257" a="1"/>
  <c r="AE300" i="257" s="1"/>
  <c r="AE314" i="257" a="1"/>
  <c r="AE314" i="257" s="1"/>
  <c r="AE303" i="257" a="1"/>
  <c r="AE303" i="257" s="1"/>
  <c r="AE324" i="257" a="1"/>
  <c r="AE324" i="257" s="1"/>
  <c r="AE308" i="257" a="1"/>
  <c r="AE308" i="257" s="1"/>
  <c r="AE311" i="257" a="1"/>
  <c r="AE311" i="257" s="1"/>
  <c r="AE293" i="257" a="1"/>
  <c r="AE293" i="257" s="1"/>
  <c r="AF94" i="173"/>
  <c r="AH94" i="173"/>
  <c r="AF93" i="173"/>
  <c r="AH93" i="173"/>
  <c r="J18" i="256"/>
  <c r="AF88" i="173"/>
  <c r="P20" i="256" s="1"/>
  <c r="AY18" i="256"/>
  <c r="AZ18" i="256"/>
  <c r="AM290" i="257"/>
  <c r="BE18" i="256"/>
  <c r="J20" i="256"/>
  <c r="I88" i="173"/>
  <c r="AX18" i="256" s="1"/>
  <c r="S290" i="257" s="1"/>
  <c r="AL260" i="257" a="1"/>
  <c r="AL260" i="257" s="1"/>
  <c r="BE26" i="255"/>
  <c r="AJ263" i="257" s="1" a="1"/>
  <c r="AJ263" i="257" s="1"/>
  <c r="AM263" i="257"/>
  <c r="AL261" i="257" a="1"/>
  <c r="AL261" i="257" s="1"/>
  <c r="BE36" i="255"/>
  <c r="AJ268" i="257" s="1" a="1"/>
  <c r="AJ268" i="257" s="1"/>
  <c r="AM268" i="257"/>
  <c r="AM262" i="257"/>
  <c r="BE24" i="255"/>
  <c r="AJ262" i="257" s="1" a="1"/>
  <c r="AJ262" i="257" s="1"/>
  <c r="AL277" i="257" a="1"/>
  <c r="AL277" i="257" s="1"/>
  <c r="BE68" i="255"/>
  <c r="AJ284" i="257" s="1" a="1"/>
  <c r="AJ284" i="257" s="1"/>
  <c r="AM284" i="257"/>
  <c r="AL278" i="257" a="1"/>
  <c r="AL278" i="257" s="1"/>
  <c r="AL272" i="257" a="1"/>
  <c r="AL272" i="257" s="1"/>
  <c r="BE64" i="255"/>
  <c r="AM282" i="257"/>
  <c r="AL268" i="257" a="1"/>
  <c r="AL268" i="257" s="1"/>
  <c r="AL284" i="257" a="1"/>
  <c r="AL284" i="257" s="1"/>
  <c r="AL267" i="257" a="1"/>
  <c r="AL267" i="257" s="1"/>
  <c r="AM286" i="257"/>
  <c r="BE72" i="255"/>
  <c r="AJ286" i="257" s="1" a="1"/>
  <c r="AJ286" i="257" s="1"/>
  <c r="AM266" i="257"/>
  <c r="BE32" i="255"/>
  <c r="AJ266" i="257" s="1" a="1"/>
  <c r="AJ266" i="257" s="1"/>
  <c r="AL274" i="257" a="1"/>
  <c r="AL274" i="257" s="1"/>
  <c r="AL265" i="257" a="1"/>
  <c r="AL265" i="257" s="1"/>
  <c r="AL273" i="257" a="1"/>
  <c r="AL273" i="257" s="1"/>
  <c r="BE42" i="255"/>
  <c r="AJ271" i="257" s="1" a="1"/>
  <c r="AJ271" i="257" s="1"/>
  <c r="AM271" i="257"/>
  <c r="BE34" i="255"/>
  <c r="AJ267" i="257" s="1" a="1"/>
  <c r="AJ267" i="257" s="1"/>
  <c r="AM267" i="257"/>
  <c r="AL266" i="257" a="1"/>
  <c r="AL266" i="257" s="1"/>
  <c r="AM273" i="257"/>
  <c r="BE46" i="255"/>
  <c r="AJ273" i="257" s="1" a="1"/>
  <c r="AJ273" i="257" s="1"/>
  <c r="BE74" i="255"/>
  <c r="AJ287" i="257" s="1" a="1"/>
  <c r="AJ287" i="257" s="1"/>
  <c r="AM287" i="257"/>
  <c r="AL271" i="257" a="1"/>
  <c r="AL271" i="257" s="1"/>
  <c r="AM269" i="257"/>
  <c r="BE38" i="255"/>
  <c r="AJ269" i="257" s="1" a="1"/>
  <c r="AJ269" i="257" s="1"/>
  <c r="AJ282" i="257" a="1"/>
  <c r="AJ282" i="257" s="1"/>
  <c r="AL282" i="257" a="1"/>
  <c r="AL282" i="257" s="1"/>
  <c r="BE30" i="255"/>
  <c r="AJ265" i="257" s="1" a="1"/>
  <c r="AJ265" i="257" s="1"/>
  <c r="AM265" i="257"/>
  <c r="AM274" i="257"/>
  <c r="BE48" i="255"/>
  <c r="AJ274" i="257" s="1" a="1"/>
  <c r="AJ274" i="257" s="1"/>
  <c r="AM272" i="257"/>
  <c r="BE44" i="255"/>
  <c r="AJ272" i="257" s="1" a="1"/>
  <c r="AJ272" i="257" s="1"/>
  <c r="AL270" i="257" a="1"/>
  <c r="AL270" i="257" s="1"/>
  <c r="AL280" i="257" a="1"/>
  <c r="AL280" i="257" s="1"/>
  <c r="AL262" i="257" a="1"/>
  <c r="AL262" i="257" s="1"/>
  <c r="BE58" i="255"/>
  <c r="AJ279" i="257" s="1" a="1"/>
  <c r="AJ279" i="257" s="1"/>
  <c r="AM279" i="257"/>
  <c r="AM283" i="257"/>
  <c r="BE66" i="255"/>
  <c r="AJ283" i="257" s="1" a="1"/>
  <c r="AJ283" i="257" s="1"/>
  <c r="AM280" i="257"/>
  <c r="BE60" i="255"/>
  <c r="AJ280" i="257" s="1" a="1"/>
  <c r="AJ280" i="257" s="1"/>
  <c r="AM275" i="257"/>
  <c r="BE50" i="255"/>
  <c r="AJ275" i="257" s="1" a="1"/>
  <c r="AJ275" i="257" s="1"/>
  <c r="BE40" i="255"/>
  <c r="AJ270" i="257" s="1" a="1"/>
  <c r="AJ270" i="257" s="1"/>
  <c r="AM270" i="257"/>
  <c r="AL269" i="257" a="1"/>
  <c r="AL269" i="257" s="1"/>
  <c r="AL281" i="257" a="1"/>
  <c r="AL281" i="257" s="1"/>
  <c r="AM278" i="257"/>
  <c r="BE56" i="255"/>
  <c r="AJ278" i="257" s="1" a="1"/>
  <c r="AJ278" i="257" s="1"/>
  <c r="AL283" i="257" a="1"/>
  <c r="AL283" i="257" s="1"/>
  <c r="AL264" i="257" a="1"/>
  <c r="AL264" i="257" s="1"/>
  <c r="AL275" i="257" a="1"/>
  <c r="AL275" i="257" s="1"/>
  <c r="AM288" i="257"/>
  <c r="BE76" i="255"/>
  <c r="AJ288" i="257" s="1" a="1"/>
  <c r="AJ288" i="257" s="1"/>
  <c r="AL287" i="257" a="1"/>
  <c r="AL287" i="257" s="1"/>
  <c r="AL286" i="257" a="1"/>
  <c r="AL286" i="257" s="1"/>
  <c r="BE62" i="255"/>
  <c r="AJ281" i="257" s="1" a="1"/>
  <c r="AJ281" i="257" s="1"/>
  <c r="AM281" i="257"/>
  <c r="AM264" i="257"/>
  <c r="BE28" i="255"/>
  <c r="AJ264" i="257" s="1" a="1"/>
  <c r="AJ264" i="257" s="1"/>
  <c r="AL279" i="257" a="1"/>
  <c r="AL279" i="257" s="1"/>
  <c r="AL288" i="257" a="1"/>
  <c r="AL288" i="257" s="1"/>
  <c r="AL276" i="257" a="1"/>
  <c r="AL276" i="257" s="1"/>
  <c r="AL285" i="257" a="1"/>
  <c r="AL285" i="257" s="1"/>
  <c r="AL263" i="257" a="1"/>
  <c r="AL263" i="257" s="1"/>
  <c r="AM277" i="257"/>
  <c r="BE54" i="255"/>
  <c r="AJ277" i="257" s="1" a="1"/>
  <c r="AJ277" i="257" s="1"/>
  <c r="AM261" i="257"/>
  <c r="BE22" i="255"/>
  <c r="AJ261" i="257" s="1" a="1"/>
  <c r="AJ261" i="257" s="1"/>
  <c r="AM276" i="257"/>
  <c r="BE52" i="255"/>
  <c r="AJ276" i="257" s="1" a="1"/>
  <c r="AJ276" i="257" s="1"/>
  <c r="BE20" i="255"/>
  <c r="AJ260" i="257" s="1" a="1"/>
  <c r="AJ260" i="257" s="1"/>
  <c r="AM260" i="257"/>
  <c r="AM285" i="257"/>
  <c r="BE70" i="255"/>
  <c r="AJ285" i="257" s="1" a="1"/>
  <c r="AJ285" i="257" s="1"/>
  <c r="BF200" i="256"/>
  <c r="AZ20" i="256"/>
  <c r="U291" i="257" s="1" a="1"/>
  <c r="U291" i="257" s="1"/>
  <c r="AY20" i="256"/>
  <c r="T291" i="257" s="1" a="1"/>
  <c r="T291" i="257" s="1"/>
  <c r="AM291" i="257"/>
  <c r="BE20" i="256"/>
  <c r="BN84" i="256"/>
  <c r="J323" i="257" s="1"/>
  <c r="BN70" i="256"/>
  <c r="J316" i="257" s="1"/>
  <c r="BN60" i="256"/>
  <c r="J311" i="257" s="1"/>
  <c r="BN44" i="256"/>
  <c r="J303" i="257" s="1"/>
  <c r="BN34" i="256"/>
  <c r="T264" i="257" a="1"/>
  <c r="T264" i="257" s="1"/>
  <c r="U264" i="257" a="1"/>
  <c r="U264" i="257" s="1"/>
  <c r="U275" i="257" a="1"/>
  <c r="U275" i="257" s="1"/>
  <c r="T275" i="257" a="1"/>
  <c r="T275" i="257" s="1"/>
  <c r="T299" i="257" a="1"/>
  <c r="T299" i="257" s="1"/>
  <c r="U299" i="257" a="1"/>
  <c r="U299" i="257" s="1"/>
  <c r="U281" i="257" a="1"/>
  <c r="U281" i="257" s="1"/>
  <c r="T281" i="257" a="1"/>
  <c r="T281" i="257" s="1"/>
  <c r="U261" i="257" a="1"/>
  <c r="U261" i="257" s="1"/>
  <c r="T261" i="257" a="1"/>
  <c r="T261" i="257" s="1"/>
  <c r="T301" i="257" a="1"/>
  <c r="T301" i="257" s="1"/>
  <c r="U301" i="257" a="1"/>
  <c r="U301" i="257" s="1"/>
  <c r="T311" i="257" a="1"/>
  <c r="T311" i="257" s="1"/>
  <c r="U311" i="257" a="1"/>
  <c r="U311" i="257" s="1"/>
  <c r="U323" i="257" a="1"/>
  <c r="U323" i="257" s="1"/>
  <c r="T323" i="257" a="1"/>
  <c r="T323" i="257" s="1"/>
  <c r="U305" i="257" a="1"/>
  <c r="U305" i="257" s="1"/>
  <c r="T305" i="257" a="1"/>
  <c r="T305" i="257" s="1"/>
  <c r="U285" i="257" a="1"/>
  <c r="U285" i="257" s="1"/>
  <c r="T285" i="257" a="1"/>
  <c r="T285" i="257" s="1"/>
  <c r="T298" i="257" a="1"/>
  <c r="T298" i="257" s="1"/>
  <c r="U298" i="257" a="1"/>
  <c r="U298" i="257" s="1"/>
  <c r="U267" i="257" a="1"/>
  <c r="U267" i="257" s="1"/>
  <c r="T267" i="257" a="1"/>
  <c r="T267" i="257" s="1"/>
  <c r="T303" i="257" a="1"/>
  <c r="T303" i="257" s="1"/>
  <c r="U303" i="257" a="1"/>
  <c r="U303" i="257" s="1"/>
  <c r="T324" i="257" a="1"/>
  <c r="T324" i="257" s="1"/>
  <c r="U324" i="257" a="1"/>
  <c r="U324" i="257" s="1"/>
  <c r="T292" i="257" a="1"/>
  <c r="T292" i="257" s="1"/>
  <c r="U292" i="257" a="1"/>
  <c r="U292" i="257" s="1"/>
  <c r="T294" i="257" a="1"/>
  <c r="T294" i="257" s="1"/>
  <c r="U294" i="257" a="1"/>
  <c r="U294" i="257" s="1"/>
  <c r="U274" i="257" a="1"/>
  <c r="U274" i="257" s="1"/>
  <c r="T274" i="257" a="1"/>
  <c r="T274" i="257" s="1"/>
  <c r="U270" i="257" a="1"/>
  <c r="U270" i="257" s="1"/>
  <c r="T270" i="257" a="1"/>
  <c r="T270" i="257" s="1"/>
  <c r="U272" i="257" a="1"/>
  <c r="U272" i="257" s="1"/>
  <c r="T272" i="257" a="1"/>
  <c r="T272" i="257" s="1"/>
  <c r="U286" i="257" a="1"/>
  <c r="U286" i="257" s="1"/>
  <c r="T286" i="257" a="1"/>
  <c r="T286" i="257" s="1"/>
  <c r="U271" i="257" a="1"/>
  <c r="U271" i="257" s="1"/>
  <c r="T271" i="257" a="1"/>
  <c r="T271" i="257" s="1"/>
  <c r="T300" i="257" a="1"/>
  <c r="T300" i="257" s="1"/>
  <c r="U300" i="257" a="1"/>
  <c r="U300" i="257" s="1"/>
  <c r="T308" i="257" a="1"/>
  <c r="T308" i="257" s="1"/>
  <c r="U308" i="257" a="1"/>
  <c r="U308" i="257" s="1"/>
  <c r="T313" i="257" a="1"/>
  <c r="T313" i="257" s="1"/>
  <c r="U313" i="257" a="1"/>
  <c r="U313" i="257" s="1"/>
  <c r="T312" i="257" a="1"/>
  <c r="T312" i="257" s="1"/>
  <c r="U312" i="257" a="1"/>
  <c r="U312" i="257" s="1"/>
  <c r="U280" i="257" a="1"/>
  <c r="U280" i="257" s="1"/>
  <c r="T280" i="257" a="1"/>
  <c r="T280" i="257" s="1"/>
  <c r="U268" i="257" a="1"/>
  <c r="U268" i="257" s="1"/>
  <c r="T268" i="257" a="1"/>
  <c r="T268" i="257" s="1"/>
  <c r="U309" i="257" a="1"/>
  <c r="U309" i="257" s="1"/>
  <c r="T309" i="257" a="1"/>
  <c r="T309" i="257" s="1"/>
  <c r="U269" i="257" a="1"/>
  <c r="U269" i="257" s="1"/>
  <c r="T269" i="257" a="1"/>
  <c r="T269" i="257" s="1"/>
  <c r="U318" i="257" a="1"/>
  <c r="U318" i="257" s="1"/>
  <c r="T318" i="257" a="1"/>
  <c r="T318" i="257" s="1"/>
  <c r="T315" i="257" a="1"/>
  <c r="T315" i="257" s="1"/>
  <c r="U315" i="257" a="1"/>
  <c r="U315" i="257" s="1"/>
  <c r="U295" i="257" a="1"/>
  <c r="U295" i="257" s="1"/>
  <c r="T295" i="257" a="1"/>
  <c r="T295" i="257" s="1"/>
  <c r="U262" i="257" a="1"/>
  <c r="U262" i="257" s="1"/>
  <c r="T262" i="257" a="1"/>
  <c r="T262" i="257" s="1"/>
  <c r="U260" i="257" a="1"/>
  <c r="U260" i="257" s="1"/>
  <c r="T260" i="257" a="1"/>
  <c r="T260" i="257" s="1"/>
  <c r="T287" i="257" a="1"/>
  <c r="T287" i="257" s="1"/>
  <c r="U287" i="257" a="1"/>
  <c r="U287" i="257" s="1"/>
  <c r="U266" i="257" a="1"/>
  <c r="U266" i="257" s="1"/>
  <c r="T266" i="257" a="1"/>
  <c r="T266" i="257" s="1"/>
  <c r="T316" i="257" a="1"/>
  <c r="T316" i="257" s="1"/>
  <c r="U316" i="257" a="1"/>
  <c r="U316" i="257" s="1"/>
  <c r="T288" i="257" a="1"/>
  <c r="T288" i="257" s="1"/>
  <c r="U288" i="257" a="1"/>
  <c r="U288" i="257" s="1"/>
  <c r="T314" i="257" a="1"/>
  <c r="T314" i="257" s="1"/>
  <c r="U314" i="257" a="1"/>
  <c r="U314" i="257" s="1"/>
  <c r="T265" i="257" a="1"/>
  <c r="T265" i="257" s="1"/>
  <c r="U265" i="257" a="1"/>
  <c r="U265" i="257" s="1"/>
  <c r="T321" i="257" a="1"/>
  <c r="T321" i="257" s="1"/>
  <c r="U321" i="257" a="1"/>
  <c r="U321" i="257" s="1"/>
  <c r="T317" i="257" a="1"/>
  <c r="T317" i="257" s="1"/>
  <c r="U317" i="257" a="1"/>
  <c r="U317" i="257" s="1"/>
  <c r="T276" i="257" a="1"/>
  <c r="T276" i="257" s="1"/>
  <c r="U276" i="257" a="1"/>
  <c r="U276" i="257" s="1"/>
  <c r="T293" i="257" a="1"/>
  <c r="T293" i="257" s="1"/>
  <c r="U293" i="257" a="1"/>
  <c r="U293" i="257" s="1"/>
  <c r="U263" i="257" a="1"/>
  <c r="U263" i="257" s="1"/>
  <c r="T263" i="257" a="1"/>
  <c r="T263" i="257" s="1"/>
  <c r="T277" i="257" a="1"/>
  <c r="T277" i="257" s="1"/>
  <c r="U277" i="257" a="1"/>
  <c r="U277" i="257" s="1"/>
  <c r="T304" i="257" a="1"/>
  <c r="T304" i="257" s="1"/>
  <c r="U304" i="257" a="1"/>
  <c r="U304" i="257" s="1"/>
  <c r="U273" i="257" a="1"/>
  <c r="U273" i="257" s="1"/>
  <c r="T273" i="257" a="1"/>
  <c r="T273" i="257" s="1"/>
  <c r="T278" i="257" a="1"/>
  <c r="T278" i="257" s="1"/>
  <c r="U278" i="257" a="1"/>
  <c r="U278" i="257" s="1"/>
  <c r="U320" i="257" a="1"/>
  <c r="U320" i="257" s="1"/>
  <c r="T320" i="257" a="1"/>
  <c r="T320" i="257" s="1"/>
  <c r="U284" i="257" a="1"/>
  <c r="U284" i="257" s="1"/>
  <c r="T284" i="257" a="1"/>
  <c r="T284" i="257" s="1"/>
  <c r="T307" i="257" a="1"/>
  <c r="T307" i="257" s="1"/>
  <c r="U307" i="257" a="1"/>
  <c r="U307" i="257" s="1"/>
  <c r="T302" i="257" a="1"/>
  <c r="T302" i="257" s="1"/>
  <c r="U302" i="257" a="1"/>
  <c r="U302" i="257" s="1"/>
  <c r="U283" i="257" a="1"/>
  <c r="U283" i="257" s="1"/>
  <c r="T283" i="257" a="1"/>
  <c r="T283" i="257" s="1"/>
  <c r="T279" i="257" a="1"/>
  <c r="T279" i="257" s="1"/>
  <c r="U279" i="257" a="1"/>
  <c r="U279" i="257" s="1"/>
  <c r="U282" i="257" a="1"/>
  <c r="U282" i="257" s="1"/>
  <c r="T282" i="257" a="1"/>
  <c r="T282" i="257" s="1"/>
  <c r="U319" i="257" a="1"/>
  <c r="U319" i="257" s="1"/>
  <c r="T319" i="257" a="1"/>
  <c r="T319" i="257" s="1"/>
  <c r="U306" i="257" a="1"/>
  <c r="U306" i="257" s="1"/>
  <c r="T306" i="257" a="1"/>
  <c r="T306" i="257" s="1"/>
  <c r="U310" i="257" a="1"/>
  <c r="U310" i="257" s="1"/>
  <c r="T310" i="257" a="1"/>
  <c r="T310" i="257" s="1"/>
  <c r="T322" i="257" a="1"/>
  <c r="T322" i="257" s="1"/>
  <c r="U322" i="257" a="1"/>
  <c r="U322" i="257" s="1"/>
  <c r="T297" i="257" a="1"/>
  <c r="T297" i="257" s="1"/>
  <c r="U297" i="257" a="1"/>
  <c r="U297" i="257" s="1"/>
  <c r="U296" i="257" a="1"/>
  <c r="U296" i="257" s="1"/>
  <c r="T296" i="257" a="1"/>
  <c r="T296" i="257" s="1"/>
  <c r="BN72" i="256"/>
  <c r="J317" i="257" s="1"/>
  <c r="BN38" i="256"/>
  <c r="J300" i="257" s="1"/>
  <c r="BN54" i="256"/>
  <c r="J308" i="257" s="1"/>
  <c r="BN64" i="256"/>
  <c r="J313" i="257" s="1"/>
  <c r="BN62" i="256"/>
  <c r="J312" i="257" s="1"/>
  <c r="BN48" i="256"/>
  <c r="J305" i="257" s="1"/>
  <c r="BN76" i="256"/>
  <c r="J319" i="257" s="1"/>
  <c r="BN20" i="256"/>
  <c r="J291" i="257" s="1"/>
  <c r="BN74" i="256"/>
  <c r="J318" i="257" s="1"/>
  <c r="BN68" i="256"/>
  <c r="J315" i="257" s="1"/>
  <c r="BN86" i="256"/>
  <c r="J324" i="257" s="1"/>
  <c r="BN22" i="256"/>
  <c r="J292" i="257" s="1"/>
  <c r="BN78" i="256"/>
  <c r="J320" i="257" s="1"/>
  <c r="BN42" i="256"/>
  <c r="J302" i="257" s="1"/>
  <c r="BN52" i="256"/>
  <c r="J307" i="257" s="1"/>
  <c r="BN50" i="256"/>
  <c r="J306" i="257" s="1"/>
  <c r="BN58" i="256"/>
  <c r="J310" i="257" s="1"/>
  <c r="BN82" i="256"/>
  <c r="J322" i="257" s="1"/>
  <c r="BN32" i="256"/>
  <c r="J297" i="257" s="1"/>
  <c r="BN24" i="256"/>
  <c r="J293" i="257" s="1"/>
  <c r="BN46" i="256"/>
  <c r="J304" i="257" s="1"/>
  <c r="BN36" i="256"/>
  <c r="J299" i="257" s="1"/>
  <c r="BN30" i="256"/>
  <c r="J296" i="257" s="1"/>
  <c r="BN40" i="256"/>
  <c r="J301" i="257" s="1"/>
  <c r="BN56" i="256"/>
  <c r="J309" i="257" s="1"/>
  <c r="BN26" i="256"/>
  <c r="J294" i="257" s="1"/>
  <c r="BN28" i="256"/>
  <c r="J295" i="257" s="1"/>
  <c r="BN80" i="256"/>
  <c r="J321" i="257" s="1"/>
  <c r="BN66" i="256"/>
  <c r="J314" i="257" s="1"/>
  <c r="J283" i="257"/>
  <c r="J285" i="257"/>
  <c r="J269" i="257"/>
  <c r="J266" i="257"/>
  <c r="J278" i="257"/>
  <c r="J273" i="257"/>
  <c r="J274" i="257"/>
  <c r="J271" i="257"/>
  <c r="J263" i="257"/>
  <c r="J276" i="257"/>
  <c r="J280" i="257"/>
  <c r="J261" i="257"/>
  <c r="J277" i="257"/>
  <c r="J262" i="257"/>
  <c r="J282" i="257"/>
  <c r="J287" i="257"/>
  <c r="BU34" i="255"/>
  <c r="BU44" i="255"/>
  <c r="BU48" i="255"/>
  <c r="BU62" i="255"/>
  <c r="BU40" i="255"/>
  <c r="BU58" i="255"/>
  <c r="BU52" i="255"/>
  <c r="BU42" i="255"/>
  <c r="BU68" i="255"/>
  <c r="BU46" i="255"/>
  <c r="BU24" i="255"/>
  <c r="BU64" i="255"/>
  <c r="BU74" i="255"/>
  <c r="BU20" i="255"/>
  <c r="BU30" i="255"/>
  <c r="BU70" i="255"/>
  <c r="BU36" i="255"/>
  <c r="BU54" i="255"/>
  <c r="BU76" i="255"/>
  <c r="BU66" i="255"/>
  <c r="BU32" i="255"/>
  <c r="BU60" i="255"/>
  <c r="BU22" i="255"/>
  <c r="BU38" i="255"/>
  <c r="BU26" i="255"/>
  <c r="BU72" i="255"/>
  <c r="BU56" i="255"/>
  <c r="BU28" i="255"/>
  <c r="BU50" i="255"/>
  <c r="J284" i="257"/>
  <c r="J264" i="257"/>
  <c r="J275" i="257"/>
  <c r="J298" i="257"/>
  <c r="BU34" i="256"/>
  <c r="BU78" i="256"/>
  <c r="BU22" i="256"/>
  <c r="BU74" i="256"/>
  <c r="BU44" i="256"/>
  <c r="BU56" i="256"/>
  <c r="BU42" i="256"/>
  <c r="BU64" i="256"/>
  <c r="BU24" i="256"/>
  <c r="BU72" i="256"/>
  <c r="BU54" i="256"/>
  <c r="BU40" i="256"/>
  <c r="BU32" i="256"/>
  <c r="BU84" i="256"/>
  <c r="BU70" i="256"/>
  <c r="BU52" i="256"/>
  <c r="BU38" i="256"/>
  <c r="BU46" i="256"/>
  <c r="BU66" i="256"/>
  <c r="BU76" i="256"/>
  <c r="BU82" i="256"/>
  <c r="BU60" i="256"/>
  <c r="BU50" i="256"/>
  <c r="BU28" i="256"/>
  <c r="BU80" i="256"/>
  <c r="BU68" i="256"/>
  <c r="BU48" i="256"/>
  <c r="BU26" i="256"/>
  <c r="BU36" i="256"/>
  <c r="BU86" i="256"/>
  <c r="BU62" i="256"/>
  <c r="BU58" i="256"/>
  <c r="BU30" i="256"/>
  <c r="C263" i="257" a="1"/>
  <c r="C263" i="257" s="1"/>
  <c r="F263" i="257" s="1" a="1"/>
  <c r="F263" i="257" s="1"/>
  <c r="C262" i="257" a="1"/>
  <c r="C262" i="257" s="1"/>
  <c r="F262" i="257" s="1" a="1"/>
  <c r="F262" i="257" s="1"/>
  <c r="C270" i="257" a="1"/>
  <c r="C270" i="257" s="1"/>
  <c r="F270" i="257" s="1" a="1"/>
  <c r="F270" i="257" s="1"/>
  <c r="AF276" i="257"/>
  <c r="AT276" i="257" a="1"/>
  <c r="AT276" i="257" s="1"/>
  <c r="AD276" i="257" a="1"/>
  <c r="AD276" i="257" s="1"/>
  <c r="AC276" i="257" a="1"/>
  <c r="AC276" i="257" s="1"/>
  <c r="AG276" i="257" a="1"/>
  <c r="AG276" i="257" s="1"/>
  <c r="AS305" i="257"/>
  <c r="AQ305" i="257" a="1"/>
  <c r="AQ305" i="257" s="1"/>
  <c r="AD305" i="257" a="1"/>
  <c r="AD305" i="257" s="1"/>
  <c r="AV305" i="257" a="1"/>
  <c r="AV305" i="257" s="1"/>
  <c r="AC305" i="257" a="1"/>
  <c r="AC305" i="257" s="1"/>
  <c r="AG305" i="257" a="1"/>
  <c r="AG305" i="257" s="1"/>
  <c r="AF305" i="257"/>
  <c r="AP305" i="257" a="1"/>
  <c r="AP305" i="257" s="1"/>
  <c r="AW305" i="257" a="1"/>
  <c r="AW305" i="257" s="1"/>
  <c r="AY305" i="257" a="1"/>
  <c r="AY305" i="257" s="1"/>
  <c r="AT305" i="257" a="1"/>
  <c r="AT305" i="257" s="1"/>
  <c r="BA305" i="257" a="1"/>
  <c r="BA305" i="257" s="1"/>
  <c r="AY317" i="257" a="1"/>
  <c r="AY317" i="257" s="1"/>
  <c r="BA317" i="257" a="1"/>
  <c r="BA317" i="257" s="1"/>
  <c r="AT317" i="257" a="1"/>
  <c r="AT317" i="257" s="1"/>
  <c r="AG317" i="257" a="1"/>
  <c r="AG317" i="257" s="1"/>
  <c r="AV317" i="257" a="1"/>
  <c r="AV317" i="257" s="1"/>
  <c r="AP317" i="257" a="1"/>
  <c r="AP317" i="257" s="1"/>
  <c r="AC317" i="257" a="1"/>
  <c r="AC317" i="257" s="1"/>
  <c r="AD317" i="257" a="1"/>
  <c r="AD317" i="257" s="1"/>
  <c r="AQ317" i="257" a="1"/>
  <c r="AQ317" i="257" s="1"/>
  <c r="AF317" i="257"/>
  <c r="AS317" i="257"/>
  <c r="AW317" i="257" a="1"/>
  <c r="AW317" i="257" s="1"/>
  <c r="AV307" i="257" a="1"/>
  <c r="AV307" i="257" s="1"/>
  <c r="AW307" i="257" a="1"/>
  <c r="AW307" i="257" s="1"/>
  <c r="AY307" i="257" a="1"/>
  <c r="AY307" i="257" s="1"/>
  <c r="AG307" i="257" a="1"/>
  <c r="AG307" i="257" s="1"/>
  <c r="BA307" i="257" a="1"/>
  <c r="BA307" i="257" s="1"/>
  <c r="AP307" i="257" a="1"/>
  <c r="AP307" i="257" s="1"/>
  <c r="AQ307" i="257" a="1"/>
  <c r="AQ307" i="257" s="1"/>
  <c r="AF307" i="257"/>
  <c r="AS307" i="257"/>
  <c r="AT307" i="257" a="1"/>
  <c r="AT307" i="257" s="1"/>
  <c r="AC307" i="257" a="1"/>
  <c r="AC307" i="257" s="1"/>
  <c r="AD307" i="257" a="1"/>
  <c r="AD307" i="257" s="1"/>
  <c r="AY323" i="257" a="1"/>
  <c r="AY323" i="257" s="1"/>
  <c r="AG323" i="257" a="1"/>
  <c r="AG323" i="257" s="1"/>
  <c r="AD323" i="257" a="1"/>
  <c r="AD323" i="257" s="1"/>
  <c r="BA323" i="257" a="1"/>
  <c r="BA323" i="257" s="1"/>
  <c r="AP323" i="257" a="1"/>
  <c r="AP323" i="257" s="1"/>
  <c r="AQ323" i="257" a="1"/>
  <c r="AQ323" i="257" s="1"/>
  <c r="AF323" i="257"/>
  <c r="AS323" i="257"/>
  <c r="AT323" i="257" a="1"/>
  <c r="AT323" i="257" s="1"/>
  <c r="AC323" i="257" a="1"/>
  <c r="AC323" i="257" s="1"/>
  <c r="AV323" i="257" a="1"/>
  <c r="AV323" i="257" s="1"/>
  <c r="AW323" i="257" a="1"/>
  <c r="AW323" i="257" s="1"/>
  <c r="AP324" i="257" a="1"/>
  <c r="AP324" i="257" s="1"/>
  <c r="AG324" i="257" a="1"/>
  <c r="AG324" i="257" s="1"/>
  <c r="AC324" i="257" a="1"/>
  <c r="AC324" i="257" s="1"/>
  <c r="AD324" i="257" a="1"/>
  <c r="AD324" i="257" s="1"/>
  <c r="AF324" i="257"/>
  <c r="AW324" i="257" a="1"/>
  <c r="AW324" i="257" s="1"/>
  <c r="AV324" i="257" a="1"/>
  <c r="AV324" i="257" s="1"/>
  <c r="AY324" i="257" a="1"/>
  <c r="AY324" i="257" s="1"/>
  <c r="AT324" i="257" a="1"/>
  <c r="AT324" i="257" s="1"/>
  <c r="AQ324" i="257" a="1"/>
  <c r="AQ324" i="257" s="1"/>
  <c r="BA324" i="257" a="1"/>
  <c r="BA324" i="257" s="1"/>
  <c r="AS324" i="257"/>
  <c r="AF264" i="257"/>
  <c r="AG264" i="257" a="1"/>
  <c r="AG264" i="257" s="1"/>
  <c r="AC264" i="257" a="1"/>
  <c r="AC264" i="257" s="1"/>
  <c r="AD264" i="257" a="1"/>
  <c r="AD264" i="257" s="1"/>
  <c r="AT264" i="257" a="1"/>
  <c r="AT264" i="257" s="1"/>
  <c r="AD293" i="257" a="1"/>
  <c r="AD293" i="257" s="1"/>
  <c r="AW293" i="257" a="1"/>
  <c r="AW293" i="257" s="1"/>
  <c r="BA293" i="257" a="1"/>
  <c r="BA293" i="257" s="1"/>
  <c r="AY293" i="257" a="1"/>
  <c r="AY293" i="257" s="1"/>
  <c r="AG293" i="257" a="1"/>
  <c r="AG293" i="257" s="1"/>
  <c r="AP293" i="257" a="1"/>
  <c r="AP293" i="257" s="1"/>
  <c r="AQ293" i="257" a="1"/>
  <c r="AQ293" i="257" s="1"/>
  <c r="AC293" i="257" a="1"/>
  <c r="AC293" i="257" s="1"/>
  <c r="AF293" i="257"/>
  <c r="AS293" i="257"/>
  <c r="AT293" i="257" a="1"/>
  <c r="AT293" i="257" s="1"/>
  <c r="AV293" i="257" a="1"/>
  <c r="AV293" i="257" s="1"/>
  <c r="AF279" i="257"/>
  <c r="AT279" i="257" a="1"/>
  <c r="AT279" i="257" s="1"/>
  <c r="AC279" i="257" a="1"/>
  <c r="AC279" i="257" s="1"/>
  <c r="AD279" i="257" a="1"/>
  <c r="AD279" i="257" s="1"/>
  <c r="AG279" i="257" a="1"/>
  <c r="AG279" i="257" s="1"/>
  <c r="AT265" i="257" a="1"/>
  <c r="AT265" i="257" s="1"/>
  <c r="AF265" i="257"/>
  <c r="AC265" i="257" a="1"/>
  <c r="AC265" i="257" s="1"/>
  <c r="AD265" i="257" a="1"/>
  <c r="AD265" i="257" s="1"/>
  <c r="AG265" i="257" a="1"/>
  <c r="AG265" i="257" s="1"/>
  <c r="AQ306" i="257" a="1"/>
  <c r="AQ306" i="257" s="1"/>
  <c r="AD306" i="257" a="1"/>
  <c r="AD306" i="257" s="1"/>
  <c r="AP306" i="257" a="1"/>
  <c r="AP306" i="257" s="1"/>
  <c r="AW306" i="257" a="1"/>
  <c r="AW306" i="257" s="1"/>
  <c r="AC306" i="257" a="1"/>
  <c r="AC306" i="257" s="1"/>
  <c r="AF306" i="257"/>
  <c r="AY306" i="257" a="1"/>
  <c r="AY306" i="257" s="1"/>
  <c r="AT306" i="257" a="1"/>
  <c r="AT306" i="257" s="1"/>
  <c r="BA306" i="257" a="1"/>
  <c r="BA306" i="257" s="1"/>
  <c r="AV306" i="257" a="1"/>
  <c r="AV306" i="257" s="1"/>
  <c r="AS306" i="257"/>
  <c r="AG306" i="257" a="1"/>
  <c r="AG306" i="257" s="1"/>
  <c r="AF263" i="257"/>
  <c r="AC263" i="257" a="1"/>
  <c r="AC263" i="257" s="1"/>
  <c r="AD263" i="257" a="1"/>
  <c r="AD263" i="257" s="1"/>
  <c r="AG263" i="257" a="1"/>
  <c r="AG263" i="257" s="1"/>
  <c r="AT263" i="257" a="1"/>
  <c r="AT263" i="257" s="1"/>
  <c r="AC275" i="257" a="1"/>
  <c r="AC275" i="257" s="1"/>
  <c r="AD275" i="257" a="1"/>
  <c r="AD275" i="257" s="1"/>
  <c r="AF275" i="257"/>
  <c r="AT275" i="257" a="1"/>
  <c r="AT275" i="257" s="1"/>
  <c r="AG275" i="257" a="1"/>
  <c r="AG275" i="257" s="1"/>
  <c r="AG284" i="257" a="1"/>
  <c r="AG284" i="257" s="1"/>
  <c r="AC284" i="257" a="1"/>
  <c r="AC284" i="257" s="1"/>
  <c r="AD284" i="257" a="1"/>
  <c r="AD284" i="257" s="1"/>
  <c r="AF284" i="257"/>
  <c r="AT284" i="257" a="1"/>
  <c r="AT284" i="257" s="1"/>
  <c r="AF291" i="257"/>
  <c r="AS291" i="257"/>
  <c r="AC291" i="257" a="1"/>
  <c r="AC291" i="257" s="1"/>
  <c r="AV291" i="257" a="1"/>
  <c r="AV291" i="257" s="1"/>
  <c r="AT291" i="257" a="1"/>
  <c r="AT291" i="257" s="1"/>
  <c r="AP291" i="257" a="1"/>
  <c r="AP291" i="257" s="1"/>
  <c r="AD291" i="257" a="1"/>
  <c r="AD291" i="257" s="1"/>
  <c r="AW291" i="257" a="1"/>
  <c r="AW291" i="257" s="1"/>
  <c r="AY291" i="257" a="1"/>
  <c r="AY291" i="257" s="1"/>
  <c r="AG291" i="257" a="1"/>
  <c r="AG291" i="257" s="1"/>
  <c r="BA291" i="257" a="1"/>
  <c r="BA291" i="257" s="1"/>
  <c r="AQ291" i="257" a="1"/>
  <c r="AQ291" i="257" s="1"/>
  <c r="AF301" i="257"/>
  <c r="AS301" i="257"/>
  <c r="AV301" i="257" a="1"/>
  <c r="AV301" i="257" s="1"/>
  <c r="AW301" i="257" a="1"/>
  <c r="AW301" i="257" s="1"/>
  <c r="AT301" i="257" a="1"/>
  <c r="AT301" i="257" s="1"/>
  <c r="AY301" i="257" a="1"/>
  <c r="AY301" i="257" s="1"/>
  <c r="AG301" i="257" a="1"/>
  <c r="AG301" i="257" s="1"/>
  <c r="BA301" i="257" a="1"/>
  <c r="BA301" i="257" s="1"/>
  <c r="AC301" i="257" a="1"/>
  <c r="AC301" i="257" s="1"/>
  <c r="AD301" i="257" a="1"/>
  <c r="AD301" i="257" s="1"/>
  <c r="AP301" i="257" a="1"/>
  <c r="AP301" i="257" s="1"/>
  <c r="AQ301" i="257" a="1"/>
  <c r="AQ301" i="257" s="1"/>
  <c r="AS315" i="257"/>
  <c r="AT315" i="257" a="1"/>
  <c r="AT315" i="257" s="1"/>
  <c r="AG315" i="257" a="1"/>
  <c r="AG315" i="257" s="1"/>
  <c r="AQ315" i="257" a="1"/>
  <c r="AQ315" i="257" s="1"/>
  <c r="AW315" i="257" a="1"/>
  <c r="AW315" i="257" s="1"/>
  <c r="AY315" i="257" a="1"/>
  <c r="AY315" i="257" s="1"/>
  <c r="BA315" i="257" a="1"/>
  <c r="BA315" i="257" s="1"/>
  <c r="AC315" i="257" a="1"/>
  <c r="AC315" i="257" s="1"/>
  <c r="AV315" i="257" a="1"/>
  <c r="AV315" i="257" s="1"/>
  <c r="AD315" i="257" a="1"/>
  <c r="AD315" i="257" s="1"/>
  <c r="AP315" i="257" a="1"/>
  <c r="AP315" i="257" s="1"/>
  <c r="AF315" i="257"/>
  <c r="AY312" i="257" a="1"/>
  <c r="AY312" i="257" s="1"/>
  <c r="AG312" i="257" a="1"/>
  <c r="AG312" i="257" s="1"/>
  <c r="AC312" i="257" a="1"/>
  <c r="AC312" i="257" s="1"/>
  <c r="AD312" i="257" a="1"/>
  <c r="AD312" i="257" s="1"/>
  <c r="AF312" i="257"/>
  <c r="AP312" i="257" a="1"/>
  <c r="AP312" i="257" s="1"/>
  <c r="AT312" i="257" a="1"/>
  <c r="AT312" i="257" s="1"/>
  <c r="AQ312" i="257" a="1"/>
  <c r="AQ312" i="257" s="1"/>
  <c r="AV312" i="257" a="1"/>
  <c r="AV312" i="257" s="1"/>
  <c r="AS312" i="257"/>
  <c r="AW312" i="257" a="1"/>
  <c r="AW312" i="257" s="1"/>
  <c r="BA312" i="257" a="1"/>
  <c r="BA312" i="257" s="1"/>
  <c r="AG270" i="257" a="1"/>
  <c r="AG270" i="257" s="1"/>
  <c r="AC270" i="257" a="1"/>
  <c r="AC270" i="257" s="1"/>
  <c r="AD270" i="257" a="1"/>
  <c r="AD270" i="257" s="1"/>
  <c r="AT270" i="257" a="1"/>
  <c r="AT270" i="257" s="1"/>
  <c r="AF270" i="257"/>
  <c r="AF278" i="257"/>
  <c r="AT278" i="257" a="1"/>
  <c r="AT278" i="257" s="1"/>
  <c r="AG278" i="257" a="1"/>
  <c r="AG278" i="257" s="1"/>
  <c r="AC278" i="257" a="1"/>
  <c r="AC278" i="257" s="1"/>
  <c r="AD278" i="257" a="1"/>
  <c r="AD278" i="257" s="1"/>
  <c r="AC282" i="257" a="1"/>
  <c r="AC282" i="257" s="1"/>
  <c r="AG282" i="257" a="1"/>
  <c r="AG282" i="257" s="1"/>
  <c r="AD282" i="257" a="1"/>
  <c r="AD282" i="257" s="1"/>
  <c r="AF282" i="257"/>
  <c r="AT282" i="257" a="1"/>
  <c r="AT282" i="257" s="1"/>
  <c r="AV321" i="257" a="1"/>
  <c r="AV321" i="257" s="1"/>
  <c r="AW321" i="257" a="1"/>
  <c r="AW321" i="257" s="1"/>
  <c r="AY321" i="257" a="1"/>
  <c r="AY321" i="257" s="1"/>
  <c r="BA321" i="257" a="1"/>
  <c r="BA321" i="257" s="1"/>
  <c r="AP321" i="257" a="1"/>
  <c r="AP321" i="257" s="1"/>
  <c r="AG321" i="257" a="1"/>
  <c r="AG321" i="257" s="1"/>
  <c r="AQ321" i="257" a="1"/>
  <c r="AQ321" i="257" s="1"/>
  <c r="AF321" i="257"/>
  <c r="AD321" i="257" a="1"/>
  <c r="AD321" i="257" s="1"/>
  <c r="AC321" i="257" a="1"/>
  <c r="AC321" i="257" s="1"/>
  <c r="AS321" i="257"/>
  <c r="AT321" i="257" a="1"/>
  <c r="AT321" i="257" s="1"/>
  <c r="AG271" i="257" a="1"/>
  <c r="AG271" i="257" s="1"/>
  <c r="AC271" i="257" a="1"/>
  <c r="AC271" i="257" s="1"/>
  <c r="AD271" i="257" a="1"/>
  <c r="AD271" i="257" s="1"/>
  <c r="AT271" i="257" a="1"/>
  <c r="AT271" i="257" s="1"/>
  <c r="AF271" i="257"/>
  <c r="AT288" i="257" a="1"/>
  <c r="AT288" i="257" s="1"/>
  <c r="AD288" i="257" a="1"/>
  <c r="AD288" i="257" s="1"/>
  <c r="AG288" i="257" a="1"/>
  <c r="AG288" i="257" s="1"/>
  <c r="AF288" i="257"/>
  <c r="AC288" i="257" a="1"/>
  <c r="AC288" i="257" s="1"/>
  <c r="AC320" i="257" a="1"/>
  <c r="AC320" i="257" s="1"/>
  <c r="AS320" i="257"/>
  <c r="AD320" i="257" a="1"/>
  <c r="AD320" i="257" s="1"/>
  <c r="AT320" i="257" a="1"/>
  <c r="AT320" i="257" s="1"/>
  <c r="AV320" i="257" a="1"/>
  <c r="AV320" i="257" s="1"/>
  <c r="AW320" i="257" a="1"/>
  <c r="AW320" i="257" s="1"/>
  <c r="AY320" i="257" a="1"/>
  <c r="AY320" i="257" s="1"/>
  <c r="AF320" i="257"/>
  <c r="BA320" i="257" a="1"/>
  <c r="BA320" i="257" s="1"/>
  <c r="AQ320" i="257" a="1"/>
  <c r="AQ320" i="257" s="1"/>
  <c r="AP320" i="257" a="1"/>
  <c r="AP320" i="257" s="1"/>
  <c r="AG320" i="257" a="1"/>
  <c r="AG320" i="257" s="1"/>
  <c r="AF310" i="257"/>
  <c r="AS310" i="257"/>
  <c r="AT310" i="257" a="1"/>
  <c r="AT310" i="257" s="1"/>
  <c r="AV310" i="257" a="1"/>
  <c r="AV310" i="257" s="1"/>
  <c r="AC310" i="257" a="1"/>
  <c r="AC310" i="257" s="1"/>
  <c r="AW310" i="257" a="1"/>
  <c r="AW310" i="257" s="1"/>
  <c r="AD310" i="257" a="1"/>
  <c r="AD310" i="257" s="1"/>
  <c r="AP310" i="257" a="1"/>
  <c r="AP310" i="257" s="1"/>
  <c r="AY310" i="257" a="1"/>
  <c r="AY310" i="257" s="1"/>
  <c r="BA310" i="257" a="1"/>
  <c r="BA310" i="257" s="1"/>
  <c r="AG310" i="257" a="1"/>
  <c r="AG310" i="257" s="1"/>
  <c r="AQ310" i="257" a="1"/>
  <c r="AQ310" i="257" s="1"/>
  <c r="AG299" i="257" a="1"/>
  <c r="AG299" i="257" s="1"/>
  <c r="AC299" i="257" a="1"/>
  <c r="AC299" i="257" s="1"/>
  <c r="BA299" i="257" a="1"/>
  <c r="BA299" i="257" s="1"/>
  <c r="AD299" i="257" a="1"/>
  <c r="AD299" i="257" s="1"/>
  <c r="AV299" i="257" a="1"/>
  <c r="AV299" i="257" s="1"/>
  <c r="AP299" i="257" a="1"/>
  <c r="AP299" i="257" s="1"/>
  <c r="AQ299" i="257" a="1"/>
  <c r="AQ299" i="257" s="1"/>
  <c r="AF299" i="257"/>
  <c r="AS299" i="257"/>
  <c r="AT299" i="257" a="1"/>
  <c r="AT299" i="257" s="1"/>
  <c r="AW299" i="257" a="1"/>
  <c r="AW299" i="257" s="1"/>
  <c r="AY299" i="257" a="1"/>
  <c r="AY299" i="257" s="1"/>
  <c r="AY296" i="257" a="1"/>
  <c r="AY296" i="257" s="1"/>
  <c r="AC296" i="257" a="1"/>
  <c r="AC296" i="257" s="1"/>
  <c r="AD296" i="257" a="1"/>
  <c r="AD296" i="257" s="1"/>
  <c r="AG296" i="257" a="1"/>
  <c r="AG296" i="257" s="1"/>
  <c r="AF296" i="257"/>
  <c r="AW296" i="257" a="1"/>
  <c r="AW296" i="257" s="1"/>
  <c r="BA296" i="257" a="1"/>
  <c r="BA296" i="257" s="1"/>
  <c r="AP296" i="257" a="1"/>
  <c r="AP296" i="257" s="1"/>
  <c r="AT296" i="257" a="1"/>
  <c r="AT296" i="257" s="1"/>
  <c r="AQ296" i="257" a="1"/>
  <c r="AQ296" i="257" s="1"/>
  <c r="AS296" i="257"/>
  <c r="AV296" i="257" a="1"/>
  <c r="AV296" i="257" s="1"/>
  <c r="AT302" i="257" a="1"/>
  <c r="AT302" i="257" s="1"/>
  <c r="AV302" i="257" a="1"/>
  <c r="AV302" i="257" s="1"/>
  <c r="AW302" i="257" a="1"/>
  <c r="AW302" i="257" s="1"/>
  <c r="AS302" i="257"/>
  <c r="AY302" i="257" a="1"/>
  <c r="AY302" i="257" s="1"/>
  <c r="AG302" i="257" a="1"/>
  <c r="AG302" i="257" s="1"/>
  <c r="BA302" i="257" a="1"/>
  <c r="BA302" i="257" s="1"/>
  <c r="AC302" i="257" a="1"/>
  <c r="AC302" i="257" s="1"/>
  <c r="AP302" i="257" a="1"/>
  <c r="AP302" i="257" s="1"/>
  <c r="AD302" i="257" a="1"/>
  <c r="AD302" i="257" s="1"/>
  <c r="AQ302" i="257" a="1"/>
  <c r="AQ302" i="257" s="1"/>
  <c r="AF302" i="257"/>
  <c r="AG283" i="257" a="1"/>
  <c r="AG283" i="257" s="1"/>
  <c r="AC283" i="257" a="1"/>
  <c r="AC283" i="257" s="1"/>
  <c r="AD283" i="257" a="1"/>
  <c r="AD283" i="257" s="1"/>
  <c r="AF283" i="257"/>
  <c r="AT283" i="257" a="1"/>
  <c r="AT283" i="257" s="1"/>
  <c r="AF260" i="257"/>
  <c r="AC260" i="257" a="1"/>
  <c r="AC260" i="257" s="1"/>
  <c r="AT260" i="257" a="1"/>
  <c r="AT260" i="257" s="1"/>
  <c r="AG260" i="257" a="1"/>
  <c r="AG260" i="257" s="1"/>
  <c r="AD260" i="257" a="1"/>
  <c r="AD260" i="257" s="1"/>
  <c r="AG269" i="257" a="1"/>
  <c r="AG269" i="257" s="1"/>
  <c r="AD269" i="257" a="1"/>
  <c r="AD269" i="257" s="1"/>
  <c r="AC269" i="257" a="1"/>
  <c r="AC269" i="257" s="1"/>
  <c r="AT269" i="257" a="1"/>
  <c r="AT269" i="257" s="1"/>
  <c r="AF269" i="257"/>
  <c r="AC262" i="257" a="1"/>
  <c r="AC262" i="257" s="1"/>
  <c r="AF262" i="257"/>
  <c r="AD262" i="257" a="1"/>
  <c r="AD262" i="257" s="1"/>
  <c r="AG262" i="257" a="1"/>
  <c r="AG262" i="257" s="1"/>
  <c r="AT262" i="257" a="1"/>
  <c r="AT262" i="257" s="1"/>
  <c r="AF280" i="257"/>
  <c r="AG280" i="257" a="1"/>
  <c r="AG280" i="257" s="1"/>
  <c r="AT280" i="257" a="1"/>
  <c r="AT280" i="257" s="1"/>
  <c r="AC280" i="257" a="1"/>
  <c r="AC280" i="257" s="1"/>
  <c r="AD280" i="257" a="1"/>
  <c r="AD280" i="257" s="1"/>
  <c r="AC268" i="257" a="1"/>
  <c r="AC268" i="257" s="1"/>
  <c r="AD268" i="257" a="1"/>
  <c r="AD268" i="257" s="1"/>
  <c r="AG268" i="257" a="1"/>
  <c r="AG268" i="257" s="1"/>
  <c r="AT268" i="257" a="1"/>
  <c r="AT268" i="257" s="1"/>
  <c r="AF268" i="257"/>
  <c r="AG266" i="257" a="1"/>
  <c r="AG266" i="257" s="1"/>
  <c r="AT266" i="257" a="1"/>
  <c r="AT266" i="257" s="1"/>
  <c r="AF266" i="257"/>
  <c r="AD266" i="257" a="1"/>
  <c r="AD266" i="257" s="1"/>
  <c r="AC266" i="257" a="1"/>
  <c r="AC266" i="257" s="1"/>
  <c r="AF304" i="257"/>
  <c r="BA304" i="257" a="1"/>
  <c r="BA304" i="257" s="1"/>
  <c r="AP304" i="257" a="1"/>
  <c r="AP304" i="257" s="1"/>
  <c r="AC304" i="257" a="1"/>
  <c r="AC304" i="257" s="1"/>
  <c r="AS304" i="257"/>
  <c r="AQ304" i="257" a="1"/>
  <c r="AQ304" i="257" s="1"/>
  <c r="AT304" i="257" a="1"/>
  <c r="AT304" i="257" s="1"/>
  <c r="AV304" i="257" a="1"/>
  <c r="AV304" i="257" s="1"/>
  <c r="AW304" i="257" a="1"/>
  <c r="AW304" i="257" s="1"/>
  <c r="AD304" i="257" a="1"/>
  <c r="AD304" i="257" s="1"/>
  <c r="AY304" i="257" a="1"/>
  <c r="AY304" i="257" s="1"/>
  <c r="AG304" i="257" a="1"/>
  <c r="AG304" i="257" s="1"/>
  <c r="AD309" i="257" a="1"/>
  <c r="AD309" i="257" s="1"/>
  <c r="AW309" i="257" a="1"/>
  <c r="AW309" i="257" s="1"/>
  <c r="AV309" i="257" a="1"/>
  <c r="AV309" i="257" s="1"/>
  <c r="AY309" i="257" a="1"/>
  <c r="AY309" i="257" s="1"/>
  <c r="AG309" i="257" a="1"/>
  <c r="AG309" i="257" s="1"/>
  <c r="AP309" i="257" a="1"/>
  <c r="AP309" i="257" s="1"/>
  <c r="AQ309" i="257" a="1"/>
  <c r="AQ309" i="257" s="1"/>
  <c r="AF309" i="257"/>
  <c r="AS309" i="257"/>
  <c r="AT309" i="257" a="1"/>
  <c r="AT309" i="257" s="1"/>
  <c r="BA309" i="257" a="1"/>
  <c r="BA309" i="257" s="1"/>
  <c r="AC309" i="257" a="1"/>
  <c r="AC309" i="257" s="1"/>
  <c r="AP292" i="257" a="1"/>
  <c r="AP292" i="257" s="1"/>
  <c r="AD292" i="257" a="1"/>
  <c r="AD292" i="257" s="1"/>
  <c r="AC292" i="257" a="1"/>
  <c r="AC292" i="257" s="1"/>
  <c r="AF292" i="257"/>
  <c r="BA292" i="257" a="1"/>
  <c r="BA292" i="257" s="1"/>
  <c r="AV292" i="257" a="1"/>
  <c r="AV292" i="257" s="1"/>
  <c r="AS292" i="257"/>
  <c r="AG292" i="257" a="1"/>
  <c r="AG292" i="257" s="1"/>
  <c r="AW292" i="257" a="1"/>
  <c r="AW292" i="257" s="1"/>
  <c r="AT292" i="257" a="1"/>
  <c r="AT292" i="257" s="1"/>
  <c r="AY292" i="257" a="1"/>
  <c r="AY292" i="257" s="1"/>
  <c r="AQ292" i="257" a="1"/>
  <c r="AQ292" i="257" s="1"/>
  <c r="AS294" i="257"/>
  <c r="AQ294" i="257" a="1"/>
  <c r="AQ294" i="257" s="1"/>
  <c r="AT294" i="257" a="1"/>
  <c r="AT294" i="257" s="1"/>
  <c r="AV294" i="257" a="1"/>
  <c r="AV294" i="257" s="1"/>
  <c r="AC294" i="257" a="1"/>
  <c r="AC294" i="257" s="1"/>
  <c r="AD294" i="257" a="1"/>
  <c r="AD294" i="257" s="1"/>
  <c r="AW294" i="257" a="1"/>
  <c r="AW294" i="257" s="1"/>
  <c r="AG294" i="257" a="1"/>
  <c r="AG294" i="257" s="1"/>
  <c r="AY294" i="257" a="1"/>
  <c r="AY294" i="257" s="1"/>
  <c r="BA294" i="257" a="1"/>
  <c r="BA294" i="257" s="1"/>
  <c r="AP294" i="257" a="1"/>
  <c r="AP294" i="257" s="1"/>
  <c r="AF294" i="257"/>
  <c r="AG274" i="257" a="1"/>
  <c r="AG274" i="257" s="1"/>
  <c r="AD274" i="257" a="1"/>
  <c r="AD274" i="257" s="1"/>
  <c r="AT274" i="257" a="1"/>
  <c r="AT274" i="257" s="1"/>
  <c r="AF274" i="257"/>
  <c r="AC274" i="257" a="1"/>
  <c r="AC274" i="257" s="1"/>
  <c r="AW297" i="257" a="1"/>
  <c r="AW297" i="257" s="1"/>
  <c r="AS297" i="257"/>
  <c r="AT297" i="257" a="1"/>
  <c r="AT297" i="257" s="1"/>
  <c r="AV297" i="257" a="1"/>
  <c r="AV297" i="257" s="1"/>
  <c r="AC297" i="257" a="1"/>
  <c r="AC297" i="257" s="1"/>
  <c r="AY297" i="257" a="1"/>
  <c r="AY297" i="257" s="1"/>
  <c r="AD297" i="257" a="1"/>
  <c r="AD297" i="257" s="1"/>
  <c r="AG297" i="257" a="1"/>
  <c r="AG297" i="257" s="1"/>
  <c r="AQ297" i="257" a="1"/>
  <c r="AQ297" i="257" s="1"/>
  <c r="BA297" i="257" a="1"/>
  <c r="BA297" i="257" s="1"/>
  <c r="AP297" i="257" a="1"/>
  <c r="AP297" i="257" s="1"/>
  <c r="AF297" i="257"/>
  <c r="AG272" i="257" a="1"/>
  <c r="AG272" i="257" s="1"/>
  <c r="AT272" i="257" a="1"/>
  <c r="AT272" i="257" s="1"/>
  <c r="AC272" i="257" a="1"/>
  <c r="AC272" i="257" s="1"/>
  <c r="AD272" i="257" a="1"/>
  <c r="AD272" i="257" s="1"/>
  <c r="AF272" i="257"/>
  <c r="AG273" i="257" a="1"/>
  <c r="AG273" i="257" s="1"/>
  <c r="AF273" i="257"/>
  <c r="AD273" i="257" a="1"/>
  <c r="AD273" i="257" s="1"/>
  <c r="AT273" i="257" a="1"/>
  <c r="AT273" i="257" s="1"/>
  <c r="AC273" i="257" a="1"/>
  <c r="AC273" i="257" s="1"/>
  <c r="AD261" i="257" a="1"/>
  <c r="AD261" i="257" s="1"/>
  <c r="AC261" i="257" a="1"/>
  <c r="AC261" i="257" s="1"/>
  <c r="AF261" i="257"/>
  <c r="AG261" i="257" a="1"/>
  <c r="AG261" i="257" s="1"/>
  <c r="AT261" i="257" a="1"/>
  <c r="AT261" i="257" s="1"/>
  <c r="AG286" i="257" a="1"/>
  <c r="AG286" i="257" s="1"/>
  <c r="AT286" i="257" a="1"/>
  <c r="AT286" i="257" s="1"/>
  <c r="AC286" i="257" a="1"/>
  <c r="AC286" i="257" s="1"/>
  <c r="AF286" i="257"/>
  <c r="AD286" i="257" a="1"/>
  <c r="AD286" i="257" s="1"/>
  <c r="AG267" i="257" a="1"/>
  <c r="AG267" i="257" s="1"/>
  <c r="AD267" i="257" a="1"/>
  <c r="AD267" i="257" s="1"/>
  <c r="AT267" i="257" a="1"/>
  <c r="AT267" i="257" s="1"/>
  <c r="AF267" i="257"/>
  <c r="AC267" i="257" a="1"/>
  <c r="AC267" i="257" s="1"/>
  <c r="AV319" i="257" a="1"/>
  <c r="AV319" i="257" s="1"/>
  <c r="AW319" i="257" a="1"/>
  <c r="AW319" i="257" s="1"/>
  <c r="AY319" i="257" a="1"/>
  <c r="AY319" i="257" s="1"/>
  <c r="AS319" i="257"/>
  <c r="BA319" i="257" a="1"/>
  <c r="BA319" i="257" s="1"/>
  <c r="AD319" i="257" a="1"/>
  <c r="AD319" i="257" s="1"/>
  <c r="AP319" i="257" a="1"/>
  <c r="AP319" i="257" s="1"/>
  <c r="AG319" i="257" a="1"/>
  <c r="AG319" i="257" s="1"/>
  <c r="AQ319" i="257" a="1"/>
  <c r="AQ319" i="257" s="1"/>
  <c r="AF319" i="257"/>
  <c r="AC319" i="257" a="1"/>
  <c r="AC319" i="257" s="1"/>
  <c r="AT319" i="257" a="1"/>
  <c r="AT319" i="257" s="1"/>
  <c r="AQ322" i="257" a="1"/>
  <c r="AQ322" i="257" s="1"/>
  <c r="AG322" i="257" a="1"/>
  <c r="AG322" i="257" s="1"/>
  <c r="AP322" i="257" a="1"/>
  <c r="AP322" i="257" s="1"/>
  <c r="AY322" i="257" a="1"/>
  <c r="AY322" i="257" s="1"/>
  <c r="AF322" i="257"/>
  <c r="AC322" i="257" a="1"/>
  <c r="AC322" i="257" s="1"/>
  <c r="AT322" i="257" a="1"/>
  <c r="AT322" i="257" s="1"/>
  <c r="BA322" i="257" a="1"/>
  <c r="BA322" i="257" s="1"/>
  <c r="AV322" i="257" a="1"/>
  <c r="AV322" i="257" s="1"/>
  <c r="AS322" i="257"/>
  <c r="AD322" i="257" a="1"/>
  <c r="AD322" i="257" s="1"/>
  <c r="AW322" i="257" a="1"/>
  <c r="AW322" i="257" s="1"/>
  <c r="AW314" i="257" a="1"/>
  <c r="AW314" i="257" s="1"/>
  <c r="AY314" i="257" a="1"/>
  <c r="AY314" i="257" s="1"/>
  <c r="BA314" i="257" a="1"/>
  <c r="BA314" i="257" s="1"/>
  <c r="AG314" i="257" a="1"/>
  <c r="AG314" i="257" s="1"/>
  <c r="AC314" i="257" a="1"/>
  <c r="AC314" i="257" s="1"/>
  <c r="AD314" i="257" a="1"/>
  <c r="AD314" i="257" s="1"/>
  <c r="AP314" i="257" a="1"/>
  <c r="AP314" i="257" s="1"/>
  <c r="AT314" i="257" a="1"/>
  <c r="AT314" i="257" s="1"/>
  <c r="AQ314" i="257" a="1"/>
  <c r="AQ314" i="257" s="1"/>
  <c r="AF314" i="257"/>
  <c r="AS314" i="257"/>
  <c r="AV314" i="257" a="1"/>
  <c r="AV314" i="257" s="1"/>
  <c r="AP308" i="257" a="1"/>
  <c r="AP308" i="257" s="1"/>
  <c r="AC308" i="257" a="1"/>
  <c r="AC308" i="257" s="1"/>
  <c r="AD308" i="257" a="1"/>
  <c r="AD308" i="257" s="1"/>
  <c r="AF308" i="257"/>
  <c r="AS308" i="257"/>
  <c r="AG308" i="257" a="1"/>
  <c r="AG308" i="257" s="1"/>
  <c r="AW308" i="257" a="1"/>
  <c r="AW308" i="257" s="1"/>
  <c r="AY308" i="257" a="1"/>
  <c r="AY308" i="257" s="1"/>
  <c r="AT308" i="257" a="1"/>
  <c r="AT308" i="257" s="1"/>
  <c r="AQ308" i="257" a="1"/>
  <c r="AQ308" i="257" s="1"/>
  <c r="BA308" i="257" a="1"/>
  <c r="BA308" i="257" s="1"/>
  <c r="AV308" i="257" a="1"/>
  <c r="AV308" i="257" s="1"/>
  <c r="AG285" i="257" a="1"/>
  <c r="AG285" i="257" s="1"/>
  <c r="AC285" i="257" a="1"/>
  <c r="AC285" i="257" s="1"/>
  <c r="AD285" i="257" a="1"/>
  <c r="AD285" i="257" s="1"/>
  <c r="AF285" i="257"/>
  <c r="AT285" i="257" a="1"/>
  <c r="AT285" i="257" s="1"/>
  <c r="AT287" i="257" a="1"/>
  <c r="AT287" i="257" s="1"/>
  <c r="AG287" i="257" a="1"/>
  <c r="AG287" i="257" s="1"/>
  <c r="AF287" i="257"/>
  <c r="AC287" i="257" a="1"/>
  <c r="AC287" i="257" s="1"/>
  <c r="AD287" i="257" a="1"/>
  <c r="AD287" i="257" s="1"/>
  <c r="BA303" i="257" a="1"/>
  <c r="BA303" i="257" s="1"/>
  <c r="AP303" i="257" a="1"/>
  <c r="AP303" i="257" s="1"/>
  <c r="AC303" i="257" a="1"/>
  <c r="AC303" i="257" s="1"/>
  <c r="AD303" i="257" a="1"/>
  <c r="AD303" i="257" s="1"/>
  <c r="AQ303" i="257" a="1"/>
  <c r="AQ303" i="257" s="1"/>
  <c r="AY303" i="257" a="1"/>
  <c r="AY303" i="257" s="1"/>
  <c r="AF303" i="257"/>
  <c r="AS303" i="257"/>
  <c r="AT303" i="257" a="1"/>
  <c r="AT303" i="257" s="1"/>
  <c r="AV303" i="257" a="1"/>
  <c r="AV303" i="257" s="1"/>
  <c r="AW303" i="257" a="1"/>
  <c r="AW303" i="257" s="1"/>
  <c r="AG303" i="257" a="1"/>
  <c r="AG303" i="257" s="1"/>
  <c r="AP316" i="257" a="1"/>
  <c r="AP316" i="257" s="1"/>
  <c r="AD316" i="257" a="1"/>
  <c r="AD316" i="257" s="1"/>
  <c r="AQ316" i="257" a="1"/>
  <c r="AQ316" i="257" s="1"/>
  <c r="AF316" i="257"/>
  <c r="AS316" i="257"/>
  <c r="AT316" i="257" a="1"/>
  <c r="AT316" i="257" s="1"/>
  <c r="AV316" i="257" a="1"/>
  <c r="AV316" i="257" s="1"/>
  <c r="AW316" i="257" a="1"/>
  <c r="AW316" i="257" s="1"/>
  <c r="AG316" i="257" a="1"/>
  <c r="AG316" i="257" s="1"/>
  <c r="AY316" i="257" a="1"/>
  <c r="AY316" i="257" s="1"/>
  <c r="BA316" i="257" a="1"/>
  <c r="BA316" i="257" s="1"/>
  <c r="AC316" i="257" a="1"/>
  <c r="AC316" i="257" s="1"/>
  <c r="AC298" i="257" a="1"/>
  <c r="AC298" i="257" s="1"/>
  <c r="AG298" i="257" a="1"/>
  <c r="AG298" i="257" s="1"/>
  <c r="BA298" i="257" a="1"/>
  <c r="BA298" i="257" s="1"/>
  <c r="AP298" i="257" a="1"/>
  <c r="AP298" i="257" s="1"/>
  <c r="AQ298" i="257" a="1"/>
  <c r="AQ298" i="257" s="1"/>
  <c r="AF298" i="257"/>
  <c r="AS298" i="257"/>
  <c r="AT298" i="257" a="1"/>
  <c r="AT298" i="257" s="1"/>
  <c r="AY298" i="257" a="1"/>
  <c r="AY298" i="257" s="1"/>
  <c r="AV298" i="257" a="1"/>
  <c r="AV298" i="257" s="1"/>
  <c r="AW298" i="257" a="1"/>
  <c r="AW298" i="257" s="1"/>
  <c r="AD298" i="257" a="1"/>
  <c r="AD298" i="257" s="1"/>
  <c r="AD311" i="257" a="1"/>
  <c r="AD311" i="257" s="1"/>
  <c r="AC311" i="257" a="1"/>
  <c r="AC311" i="257" s="1"/>
  <c r="AY311" i="257" a="1"/>
  <c r="AY311" i="257" s="1"/>
  <c r="BA311" i="257" a="1"/>
  <c r="BA311" i="257" s="1"/>
  <c r="AG311" i="257" a="1"/>
  <c r="AG311" i="257" s="1"/>
  <c r="AP311" i="257" a="1"/>
  <c r="AP311" i="257" s="1"/>
  <c r="AQ311" i="257" a="1"/>
  <c r="AQ311" i="257" s="1"/>
  <c r="AF311" i="257"/>
  <c r="AS311" i="257"/>
  <c r="AT311" i="257" a="1"/>
  <c r="AT311" i="257" s="1"/>
  <c r="AV311" i="257" a="1"/>
  <c r="AV311" i="257" s="1"/>
  <c r="AW311" i="257" a="1"/>
  <c r="AW311" i="257" s="1"/>
  <c r="AF277" i="257"/>
  <c r="AT277" i="257" a="1"/>
  <c r="AT277" i="257" s="1"/>
  <c r="AC277" i="257" a="1"/>
  <c r="AC277" i="257" s="1"/>
  <c r="AD277" i="257" a="1"/>
  <c r="AD277" i="257" s="1"/>
  <c r="AG277" i="257" a="1"/>
  <c r="AG277" i="257" s="1"/>
  <c r="AG281" i="257" a="1"/>
  <c r="AG281" i="257" s="1"/>
  <c r="AD281" i="257" a="1"/>
  <c r="AD281" i="257" s="1"/>
  <c r="AF281" i="257"/>
  <c r="AT281" i="257" a="1"/>
  <c r="AT281" i="257" s="1"/>
  <c r="AC281" i="257" a="1"/>
  <c r="AC281" i="257" s="1"/>
  <c r="AT318" i="257" a="1"/>
  <c r="AT318" i="257" s="1"/>
  <c r="AV318" i="257" a="1"/>
  <c r="AV318" i="257" s="1"/>
  <c r="AW318" i="257" a="1"/>
  <c r="AW318" i="257" s="1"/>
  <c r="AY318" i="257" a="1"/>
  <c r="AY318" i="257" s="1"/>
  <c r="AD318" i="257" a="1"/>
  <c r="AD318" i="257" s="1"/>
  <c r="BA318" i="257" a="1"/>
  <c r="BA318" i="257" s="1"/>
  <c r="AS318" i="257"/>
  <c r="AG318" i="257" a="1"/>
  <c r="AG318" i="257" s="1"/>
  <c r="AP318" i="257" a="1"/>
  <c r="AP318" i="257" s="1"/>
  <c r="AC318" i="257" a="1"/>
  <c r="AC318" i="257" s="1"/>
  <c r="AQ318" i="257" a="1"/>
  <c r="AQ318" i="257" s="1"/>
  <c r="AF318" i="257"/>
  <c r="AV300" i="257" a="1"/>
  <c r="AV300" i="257" s="1"/>
  <c r="AW300" i="257" a="1"/>
  <c r="AW300" i="257" s="1"/>
  <c r="AS300" i="257"/>
  <c r="AY300" i="257" a="1"/>
  <c r="AY300" i="257" s="1"/>
  <c r="AG300" i="257" a="1"/>
  <c r="AG300" i="257" s="1"/>
  <c r="BA300" i="257" a="1"/>
  <c r="BA300" i="257" s="1"/>
  <c r="AC300" i="257" a="1"/>
  <c r="AC300" i="257" s="1"/>
  <c r="AD300" i="257" a="1"/>
  <c r="AD300" i="257" s="1"/>
  <c r="AP300" i="257" a="1"/>
  <c r="AP300" i="257" s="1"/>
  <c r="AQ300" i="257" a="1"/>
  <c r="AQ300" i="257" s="1"/>
  <c r="AF300" i="257"/>
  <c r="AT300" i="257" a="1"/>
  <c r="AT300" i="257" s="1"/>
  <c r="AD313" i="257" a="1"/>
  <c r="AD313" i="257" s="1"/>
  <c r="AY313" i="257" a="1"/>
  <c r="AY313" i="257" s="1"/>
  <c r="AC313" i="257" a="1"/>
  <c r="AC313" i="257" s="1"/>
  <c r="BA313" i="257" a="1"/>
  <c r="BA313" i="257" s="1"/>
  <c r="AG313" i="257" a="1"/>
  <c r="AG313" i="257" s="1"/>
  <c r="AP313" i="257" a="1"/>
  <c r="AP313" i="257" s="1"/>
  <c r="AQ313" i="257" a="1"/>
  <c r="AQ313" i="257" s="1"/>
  <c r="AF313" i="257"/>
  <c r="AW313" i="257" a="1"/>
  <c r="AW313" i="257" s="1"/>
  <c r="AS313" i="257"/>
  <c r="AT313" i="257" a="1"/>
  <c r="AT313" i="257" s="1"/>
  <c r="AV313" i="257" a="1"/>
  <c r="AV313" i="257" s="1"/>
  <c r="AG295" i="257" a="1"/>
  <c r="AG295" i="257" s="1"/>
  <c r="BA295" i="257" a="1"/>
  <c r="BA295" i="257" s="1"/>
  <c r="AP295" i="257" a="1"/>
  <c r="AP295" i="257" s="1"/>
  <c r="AQ295" i="257" a="1"/>
  <c r="AQ295" i="257" s="1"/>
  <c r="AF295" i="257"/>
  <c r="AY295" i="257" a="1"/>
  <c r="AY295" i="257" s="1"/>
  <c r="AS295" i="257"/>
  <c r="AT295" i="257" a="1"/>
  <c r="AT295" i="257" s="1"/>
  <c r="AV295" i="257" a="1"/>
  <c r="AV295" i="257" s="1"/>
  <c r="AC295" i="257" a="1"/>
  <c r="AC295" i="257" s="1"/>
  <c r="AW295" i="257" a="1"/>
  <c r="AW295" i="257" s="1"/>
  <c r="AD295" i="257" a="1"/>
  <c r="AD295" i="257" s="1"/>
  <c r="AB293" i="257" a="1"/>
  <c r="AB293" i="257" s="1"/>
  <c r="AB321" i="257" a="1"/>
  <c r="AB321" i="257" s="1"/>
  <c r="AB309" i="257" a="1"/>
  <c r="AB309" i="257" s="1"/>
  <c r="AB311" i="257" a="1"/>
  <c r="AB311" i="257" s="1"/>
  <c r="AB308" i="257" a="1"/>
  <c r="AB308" i="257" s="1"/>
  <c r="AB323" i="257" a="1"/>
  <c r="AB323" i="257" s="1"/>
  <c r="AB303" i="257" a="1"/>
  <c r="AB303" i="257" s="1"/>
  <c r="AB315" i="257" a="1"/>
  <c r="AB315" i="257" s="1"/>
  <c r="AB302" i="257" a="1"/>
  <c r="AB302" i="257" s="1"/>
  <c r="AB307" i="257" a="1"/>
  <c r="AB307" i="257" s="1"/>
  <c r="AB314" i="257" a="1"/>
  <c r="AB314" i="257" s="1"/>
  <c r="AB296" i="257" a="1"/>
  <c r="AB296" i="257" s="1"/>
  <c r="AB298" i="257" a="1"/>
  <c r="AB298" i="257" s="1"/>
  <c r="AB295" i="257" a="1"/>
  <c r="AB295" i="257" s="1"/>
  <c r="AB294" i="257" a="1"/>
  <c r="AB294" i="257" s="1"/>
  <c r="AB304" i="257" a="1"/>
  <c r="AB304" i="257" s="1"/>
  <c r="AB292" i="257" a="1"/>
  <c r="AB292" i="257" s="1"/>
  <c r="AB291" i="257" a="1"/>
  <c r="AB291" i="257" s="1"/>
  <c r="AB313" i="257" a="1"/>
  <c r="AB313" i="257" s="1"/>
  <c r="AB305" i="257" a="1"/>
  <c r="AB305" i="257" s="1"/>
  <c r="AB299" i="257" a="1"/>
  <c r="AB299" i="257" s="1"/>
  <c r="AB324" i="257" a="1"/>
  <c r="AB324" i="257" s="1"/>
  <c r="AB319" i="257" a="1"/>
  <c r="AB319" i="257" s="1"/>
  <c r="AB312" i="257" a="1"/>
  <c r="AB312" i="257" s="1"/>
  <c r="AB301" i="257" a="1"/>
  <c r="AB301" i="257" s="1"/>
  <c r="AB317" i="257" a="1"/>
  <c r="AB317" i="257" s="1"/>
  <c r="AB320" i="257" a="1"/>
  <c r="AB320" i="257" s="1"/>
  <c r="AB297" i="257" a="1"/>
  <c r="AB297" i="257" s="1"/>
  <c r="AB306" i="257" a="1"/>
  <c r="AB306" i="257" s="1"/>
  <c r="AB310" i="257" a="1"/>
  <c r="AB310" i="257" s="1"/>
  <c r="AB322" i="257" a="1"/>
  <c r="AB322" i="257" s="1"/>
  <c r="AB300" i="257" a="1"/>
  <c r="AB300" i="257" s="1"/>
  <c r="AB318" i="257" a="1"/>
  <c r="AB318" i="257" s="1"/>
  <c r="AB316" i="257" a="1"/>
  <c r="AB316" i="257" s="1"/>
  <c r="AY260" i="257"/>
  <c r="AP260" i="257"/>
  <c r="AS260" i="257"/>
  <c r="AQ260" i="257"/>
  <c r="AV260" i="257"/>
  <c r="AW260" i="257"/>
  <c r="AV272" i="257"/>
  <c r="AW272" i="257"/>
  <c r="AY272" i="257"/>
  <c r="AQ272" i="257"/>
  <c r="AP272" i="257"/>
  <c r="AS272" i="257"/>
  <c r="AP273" i="257"/>
  <c r="AQ273" i="257"/>
  <c r="AS273" i="257"/>
  <c r="AV273" i="257"/>
  <c r="AY273" i="257"/>
  <c r="AW273" i="257"/>
  <c r="AP261" i="257"/>
  <c r="AV261" i="257"/>
  <c r="AQ261" i="257"/>
  <c r="AW261" i="257"/>
  <c r="AY261" i="257"/>
  <c r="AS261" i="257"/>
  <c r="AQ283" i="257"/>
  <c r="AS283" i="257"/>
  <c r="AW283" i="257"/>
  <c r="AV283" i="257"/>
  <c r="AP283" i="257"/>
  <c r="AY283" i="257"/>
  <c r="AQ267" i="257"/>
  <c r="AS267" i="257"/>
  <c r="AW267" i="257"/>
  <c r="AV267" i="257"/>
  <c r="AP267" i="257"/>
  <c r="AY267" i="257"/>
  <c r="AV285" i="257"/>
  <c r="AW285" i="257"/>
  <c r="AY285" i="257"/>
  <c r="AS285" i="257"/>
  <c r="AP285" i="257"/>
  <c r="AQ285" i="257"/>
  <c r="AP287" i="257"/>
  <c r="AQ287" i="257"/>
  <c r="AW287" i="257"/>
  <c r="AS287" i="257"/>
  <c r="AY287" i="257"/>
  <c r="AV287" i="257"/>
  <c r="AP286" i="257"/>
  <c r="AQ286" i="257"/>
  <c r="AV286" i="257"/>
  <c r="AS286" i="257"/>
  <c r="AW286" i="257"/>
  <c r="AY286" i="257"/>
  <c r="AP281" i="257"/>
  <c r="AV281" i="257"/>
  <c r="AS281" i="257"/>
  <c r="AW281" i="257"/>
  <c r="AY281" i="257"/>
  <c r="AQ281" i="257"/>
  <c r="AP270" i="257"/>
  <c r="AQ270" i="257"/>
  <c r="AV270" i="257"/>
  <c r="AS270" i="257"/>
  <c r="AW270" i="257"/>
  <c r="AY270" i="257"/>
  <c r="AQ274" i="257"/>
  <c r="AP274" i="257"/>
  <c r="AV274" i="257"/>
  <c r="AW274" i="257"/>
  <c r="AY274" i="257"/>
  <c r="AS274" i="257"/>
  <c r="AS264" i="257"/>
  <c r="AV264" i="257"/>
  <c r="AY264" i="257"/>
  <c r="AW264" i="257"/>
  <c r="AP264" i="257"/>
  <c r="AQ264" i="257"/>
  <c r="AQ277" i="257"/>
  <c r="AV277" i="257"/>
  <c r="AW277" i="257"/>
  <c r="AP277" i="257"/>
  <c r="AY277" i="257"/>
  <c r="AS277" i="257"/>
  <c r="AY276" i="257"/>
  <c r="AP276" i="257"/>
  <c r="AQ276" i="257"/>
  <c r="AS276" i="257"/>
  <c r="AW276" i="257"/>
  <c r="AV276" i="257"/>
  <c r="AY279" i="257"/>
  <c r="AP279" i="257"/>
  <c r="AQ279" i="257"/>
  <c r="AS279" i="257"/>
  <c r="AW279" i="257"/>
  <c r="AV279" i="257"/>
  <c r="AP271" i="257"/>
  <c r="AQ271" i="257"/>
  <c r="AW271" i="257"/>
  <c r="AY271" i="257"/>
  <c r="AS271" i="257"/>
  <c r="AV271" i="257"/>
  <c r="AW288" i="257"/>
  <c r="AQ288" i="257"/>
  <c r="AY288" i="257"/>
  <c r="AV288" i="257"/>
  <c r="AP288" i="257"/>
  <c r="AS288" i="257"/>
  <c r="AP265" i="257"/>
  <c r="AQ265" i="257"/>
  <c r="AS265" i="257"/>
  <c r="AV265" i="257"/>
  <c r="AW265" i="257"/>
  <c r="AY265" i="257"/>
  <c r="AY263" i="257"/>
  <c r="AQ263" i="257"/>
  <c r="AP263" i="257"/>
  <c r="AS263" i="257"/>
  <c r="AV263" i="257"/>
  <c r="AW263" i="257"/>
  <c r="AS275" i="257"/>
  <c r="AV275" i="257"/>
  <c r="AW275" i="257"/>
  <c r="AY275" i="257"/>
  <c r="AQ275" i="257"/>
  <c r="AP275" i="257"/>
  <c r="AS284" i="257"/>
  <c r="AQ284" i="257"/>
  <c r="AY284" i="257"/>
  <c r="AW284" i="257"/>
  <c r="AP284" i="257"/>
  <c r="AV284" i="257"/>
  <c r="AQ278" i="257"/>
  <c r="AS278" i="257"/>
  <c r="AV278" i="257"/>
  <c r="AW278" i="257"/>
  <c r="AY278" i="257"/>
  <c r="AP278" i="257"/>
  <c r="AW282" i="257"/>
  <c r="AP282" i="257"/>
  <c r="AV282" i="257"/>
  <c r="AQ282" i="257"/>
  <c r="AY282" i="257"/>
  <c r="AS282" i="257"/>
  <c r="AV269" i="257"/>
  <c r="AW269" i="257"/>
  <c r="AY269" i="257"/>
  <c r="AP269" i="257"/>
  <c r="AQ269" i="257"/>
  <c r="AS269" i="257"/>
  <c r="AQ262" i="257"/>
  <c r="AS262" i="257"/>
  <c r="AV262" i="257"/>
  <c r="AY262" i="257"/>
  <c r="AP262" i="257"/>
  <c r="AW262" i="257"/>
  <c r="AP280" i="257"/>
  <c r="AS280" i="257"/>
  <c r="AY280" i="257"/>
  <c r="AV280" i="257"/>
  <c r="AQ280" i="257"/>
  <c r="AW280" i="257"/>
  <c r="AP268" i="257"/>
  <c r="AQ268" i="257"/>
  <c r="AS268" i="257"/>
  <c r="AY268" i="257"/>
  <c r="AV268" i="257"/>
  <c r="AW268" i="257"/>
  <c r="AW266" i="257"/>
  <c r="AY266" i="257"/>
  <c r="AP266" i="257"/>
  <c r="AV266" i="257"/>
  <c r="AQ266" i="257"/>
  <c r="AS266" i="257"/>
  <c r="BA264" i="257"/>
  <c r="BA270" i="257"/>
  <c r="BA274" i="257"/>
  <c r="C282" i="257" a="1"/>
  <c r="C282" i="257" s="1"/>
  <c r="F282" i="257" s="1" a="1"/>
  <c r="F282" i="257" s="1"/>
  <c r="AB282" i="257" a="1"/>
  <c r="AB282" i="257" s="1"/>
  <c r="C267" i="257" a="1"/>
  <c r="C267" i="257" s="1"/>
  <c r="F267" i="257" s="1" a="1"/>
  <c r="F267" i="257" s="1"/>
  <c r="AB267" i="257" a="1"/>
  <c r="AB267" i="257" s="1"/>
  <c r="C276" i="257" a="1"/>
  <c r="C276" i="257" s="1"/>
  <c r="F276" i="257" s="1" a="1"/>
  <c r="F276" i="257" s="1"/>
  <c r="AB276" i="257" a="1"/>
  <c r="AB276" i="257" s="1"/>
  <c r="C283" i="257" a="1"/>
  <c r="C283" i="257" s="1"/>
  <c r="F283" i="257" s="1" a="1"/>
  <c r="F283" i="257" s="1"/>
  <c r="AB283" i="257" a="1"/>
  <c r="AB283" i="257" s="1"/>
  <c r="BA277" i="257"/>
  <c r="C265" i="257" a="1"/>
  <c r="C265" i="257" s="1"/>
  <c r="F265" i="257" s="1" a="1"/>
  <c r="F265" i="257" s="1"/>
  <c r="AB265" i="257" a="1"/>
  <c r="AB265" i="257" s="1"/>
  <c r="C269" i="257" a="1"/>
  <c r="C269" i="257" s="1"/>
  <c r="F269" i="257" s="1" a="1"/>
  <c r="F269" i="257" s="1"/>
  <c r="AB269" i="257" a="1"/>
  <c r="AB269" i="257" s="1"/>
  <c r="C286" i="257" a="1"/>
  <c r="C286" i="257" s="1"/>
  <c r="F286" i="257" s="1" a="1"/>
  <c r="F286" i="257" s="1"/>
  <c r="AB286" i="257" a="1"/>
  <c r="AB286" i="257" s="1"/>
  <c r="BA276" i="257"/>
  <c r="BA271" i="257"/>
  <c r="BA279" i="257"/>
  <c r="C279" i="257" a="1"/>
  <c r="C279" i="257" s="1"/>
  <c r="F279" i="257" s="1" a="1"/>
  <c r="F279" i="257" s="1"/>
  <c r="AB279" i="257" a="1"/>
  <c r="AB279" i="257" s="1"/>
  <c r="BA265" i="257"/>
  <c r="C271" i="257" a="1"/>
  <c r="C271" i="257" s="1"/>
  <c r="F271" i="257" s="1" a="1"/>
  <c r="F271" i="257" s="1"/>
  <c r="AB271" i="257" a="1"/>
  <c r="AB271" i="257" s="1"/>
  <c r="C266" i="257" a="1"/>
  <c r="C266" i="257" s="1"/>
  <c r="F266" i="257" s="1" a="1"/>
  <c r="F266" i="257" s="1"/>
  <c r="AB266" i="257" a="1"/>
  <c r="AB266" i="257" s="1"/>
  <c r="BA278" i="257"/>
  <c r="AB263" i="257" a="1"/>
  <c r="AB263" i="257" s="1"/>
  <c r="BA263" i="257"/>
  <c r="C260" i="257" a="1"/>
  <c r="C260" i="257" s="1"/>
  <c r="F260" i="257" s="1" a="1"/>
  <c r="F260" i="257" s="1"/>
  <c r="AB260" i="257" a="1"/>
  <c r="AB260" i="257" s="1"/>
  <c r="BA284" i="257"/>
  <c r="AB273" i="257" a="1"/>
  <c r="AB273" i="257" s="1"/>
  <c r="C274" i="257" a="1"/>
  <c r="C274" i="257" s="1"/>
  <c r="F274" i="257" s="1" a="1"/>
  <c r="F274" i="257" s="1"/>
  <c r="AB274" i="257" a="1"/>
  <c r="AB274" i="257" s="1"/>
  <c r="BA275" i="257"/>
  <c r="C288" i="257" a="1"/>
  <c r="C288" i="257" s="1"/>
  <c r="F288" i="257" s="1" a="1"/>
  <c r="F288" i="257" s="1"/>
  <c r="AB288" i="257" a="1"/>
  <c r="AB288" i="257" s="1"/>
  <c r="AB284" i="257" a="1"/>
  <c r="AB284" i="257" s="1"/>
  <c r="C278" i="257" a="1"/>
  <c r="C278" i="257" s="1"/>
  <c r="F278" i="257" s="1" a="1"/>
  <c r="F278" i="257" s="1"/>
  <c r="AB278" i="257" a="1"/>
  <c r="AB278" i="257" s="1"/>
  <c r="BA282" i="257"/>
  <c r="C281" i="257" a="1"/>
  <c r="C281" i="257" s="1"/>
  <c r="F281" i="257" s="1" a="1"/>
  <c r="F281" i="257" s="1"/>
  <c r="AB281" i="257" a="1"/>
  <c r="AB281" i="257" s="1"/>
  <c r="BA288" i="257"/>
  <c r="BA262" i="257"/>
  <c r="BA280" i="257"/>
  <c r="BA268" i="257"/>
  <c r="BA266" i="257"/>
  <c r="BA283" i="257"/>
  <c r="BA260" i="257"/>
  <c r="BA273" i="257"/>
  <c r="BA261" i="257"/>
  <c r="AB262" i="257" a="1"/>
  <c r="AB262" i="257" s="1"/>
  <c r="C272" i="257" a="1"/>
  <c r="C272" i="257" s="1"/>
  <c r="F272" i="257" s="1" a="1"/>
  <c r="F272" i="257" s="1"/>
  <c r="AB272" i="257" a="1"/>
  <c r="AB272" i="257" s="1"/>
  <c r="BA272" i="257"/>
  <c r="C264" i="257" a="1"/>
  <c r="C264" i="257" s="1"/>
  <c r="F264" i="257" s="1" a="1"/>
  <c r="F264" i="257" s="1"/>
  <c r="AB264" i="257" a="1"/>
  <c r="AB264" i="257" s="1"/>
  <c r="BA286" i="257"/>
  <c r="C285" i="257" a="1"/>
  <c r="C285" i="257" s="1"/>
  <c r="F285" i="257" s="1" a="1"/>
  <c r="F285" i="257" s="1"/>
  <c r="AB285" i="257" a="1"/>
  <c r="AB285" i="257" s="1"/>
  <c r="BA267" i="257"/>
  <c r="C261" i="257" a="1"/>
  <c r="C261" i="257" s="1"/>
  <c r="F261" i="257" s="1" a="1"/>
  <c r="F261" i="257" s="1"/>
  <c r="AB261" i="257" a="1"/>
  <c r="AB261" i="257" s="1"/>
  <c r="C268" i="257" a="1"/>
  <c r="C268" i="257" s="1"/>
  <c r="F268" i="257" s="1" a="1"/>
  <c r="F268" i="257" s="1"/>
  <c r="AB268" i="257" a="1"/>
  <c r="AB268" i="257" s="1"/>
  <c r="C275" i="257" a="1"/>
  <c r="C275" i="257" s="1"/>
  <c r="F275" i="257" s="1" a="1"/>
  <c r="F275" i="257" s="1"/>
  <c r="AB275" i="257" a="1"/>
  <c r="AB275" i="257" s="1"/>
  <c r="BA269" i="257"/>
  <c r="AB270" i="257" a="1"/>
  <c r="AB270" i="257" s="1"/>
  <c r="C284" i="257" a="1"/>
  <c r="C284" i="257" s="1"/>
  <c r="F284" i="257" s="1" a="1"/>
  <c r="F284" i="257" s="1"/>
  <c r="BA285" i="257"/>
  <c r="BA287" i="257"/>
  <c r="C277" i="257" a="1"/>
  <c r="C277" i="257" s="1"/>
  <c r="F277" i="257" s="1" a="1"/>
  <c r="F277" i="257" s="1"/>
  <c r="AB277" i="257" a="1"/>
  <c r="AB277" i="257" s="1"/>
  <c r="BA281" i="257"/>
  <c r="C287" i="257" a="1"/>
  <c r="C287" i="257" s="1"/>
  <c r="F287" i="257" s="1" a="1"/>
  <c r="F287" i="257" s="1"/>
  <c r="AB287" i="257" a="1"/>
  <c r="AB287" i="257" s="1"/>
  <c r="C280" i="257" a="1"/>
  <c r="C280" i="257" s="1"/>
  <c r="F280" i="257" s="1" a="1"/>
  <c r="F280" i="257" s="1"/>
  <c r="AB280" i="257" a="1"/>
  <c r="AB280" i="257" s="1"/>
  <c r="C273" i="257" a="1"/>
  <c r="C273" i="257" s="1"/>
  <c r="F273" i="257" s="1" a="1"/>
  <c r="F273" i="257" s="1"/>
  <c r="J279" i="257"/>
  <c r="J265" i="257"/>
  <c r="J286" i="257"/>
  <c r="J288" i="257"/>
  <c r="J268" i="257"/>
  <c r="J270" i="257"/>
  <c r="J267" i="257"/>
  <c r="J281" i="257"/>
  <c r="J272" i="257"/>
  <c r="J260" i="257"/>
  <c r="BL200" i="255"/>
  <c r="X12" i="255"/>
  <c r="X12" i="256"/>
  <c r="BL200" i="256"/>
  <c r="N1" i="81" a="1"/>
  <c r="N1" i="81" s="1"/>
  <c r="AP1" i="81"/>
  <c r="AL1" i="81"/>
  <c r="J1" i="81"/>
  <c r="F1" i="81"/>
  <c r="AP1" i="156"/>
  <c r="AL1" i="156"/>
  <c r="N1" i="156"/>
  <c r="J1" i="156"/>
  <c r="F1" i="156"/>
  <c r="AP1" i="155"/>
  <c r="AL1" i="155"/>
  <c r="N1" i="155"/>
  <c r="J1" i="155"/>
  <c r="F1" i="155"/>
  <c r="AP1" i="14"/>
  <c r="AL1" i="14"/>
  <c r="N1" i="14"/>
  <c r="J1" i="14"/>
  <c r="F1" i="14"/>
  <c r="AP1" i="180"/>
  <c r="AL1" i="180"/>
  <c r="N1" i="180"/>
  <c r="J1" i="180"/>
  <c r="F1" i="180"/>
  <c r="AP1" i="154"/>
  <c r="AL1" i="154"/>
  <c r="N1" i="154"/>
  <c r="J1" i="154"/>
  <c r="F1" i="154"/>
  <c r="AP1" i="153"/>
  <c r="AL1" i="153"/>
  <c r="N1" i="153"/>
  <c r="J1" i="153"/>
  <c r="F1" i="153"/>
  <c r="AP1" i="176"/>
  <c r="AL1" i="176"/>
  <c r="N1" i="176"/>
  <c r="J1" i="176"/>
  <c r="F1" i="176"/>
  <c r="AP1" i="13"/>
  <c r="AL1" i="13"/>
  <c r="N1" i="13"/>
  <c r="J1" i="13"/>
  <c r="F1" i="13"/>
  <c r="AP1" i="171"/>
  <c r="AL1" i="171"/>
  <c r="N1" i="171"/>
  <c r="J1" i="171"/>
  <c r="F1" i="171"/>
  <c r="AP1" i="175"/>
  <c r="AL1" i="175"/>
  <c r="N1" i="175"/>
  <c r="J1" i="175"/>
  <c r="F1" i="175"/>
  <c r="AP1" i="170"/>
  <c r="AL1" i="170"/>
  <c r="N1" i="170"/>
  <c r="J1" i="170"/>
  <c r="F1" i="170"/>
  <c r="AP1" i="169"/>
  <c r="AL1" i="169"/>
  <c r="N1" i="169"/>
  <c r="J1" i="169"/>
  <c r="F1" i="169"/>
  <c r="AP1" i="168"/>
  <c r="AL1" i="168"/>
  <c r="N1" i="168"/>
  <c r="J1" i="168"/>
  <c r="F1" i="168"/>
  <c r="AP1" i="167"/>
  <c r="AL1" i="167"/>
  <c r="N1" i="167"/>
  <c r="J1" i="167"/>
  <c r="F1" i="167"/>
  <c r="AP1" i="163"/>
  <c r="AL1" i="163"/>
  <c r="N1" i="163"/>
  <c r="J1" i="163"/>
  <c r="F1" i="163"/>
  <c r="AP1" i="162"/>
  <c r="AL1" i="162"/>
  <c r="N1" i="162"/>
  <c r="J1" i="162"/>
  <c r="F1" i="162"/>
  <c r="AP1" i="182"/>
  <c r="AL1" i="182"/>
  <c r="N1" i="182"/>
  <c r="J1" i="182"/>
  <c r="F1" i="182"/>
  <c r="AP1" i="161"/>
  <c r="AL1" i="161"/>
  <c r="N1" i="161"/>
  <c r="J1" i="161"/>
  <c r="F1" i="161"/>
  <c r="AP1" i="160"/>
  <c r="AL1" i="160"/>
  <c r="N1" i="160"/>
  <c r="J1" i="160"/>
  <c r="F1" i="160"/>
  <c r="AP1" i="159"/>
  <c r="AL1" i="159"/>
  <c r="N1" i="159"/>
  <c r="J1" i="159"/>
  <c r="F1" i="159"/>
  <c r="AP1" i="158"/>
  <c r="AL1" i="158"/>
  <c r="N1" i="158"/>
  <c r="J1" i="158"/>
  <c r="F1" i="158"/>
  <c r="AP1" i="148"/>
  <c r="AL1" i="148"/>
  <c r="N1" i="148"/>
  <c r="J1" i="148"/>
  <c r="F1" i="148"/>
  <c r="AP1" i="147"/>
  <c r="AL1" i="147"/>
  <c r="N1" i="147"/>
  <c r="J1" i="147"/>
  <c r="F1" i="147"/>
  <c r="AP1" i="166"/>
  <c r="AL1" i="166"/>
  <c r="N1" i="166"/>
  <c r="J1" i="166"/>
  <c r="F1" i="166"/>
  <c r="AP1" i="144"/>
  <c r="AL1" i="144"/>
  <c r="N1" i="144"/>
  <c r="J1" i="144"/>
  <c r="F1" i="144"/>
  <c r="U1" i="8" a="1"/>
  <c r="U1" i="8" s="1"/>
  <c r="AP1" i="8"/>
  <c r="AL1" i="8"/>
  <c r="N1" i="8"/>
  <c r="J1" i="8"/>
  <c r="F1" i="8"/>
  <c r="AP1" i="172"/>
  <c r="AL1" i="172"/>
  <c r="N1" i="172"/>
  <c r="J1" i="172"/>
  <c r="F1" i="172"/>
  <c r="AP1" i="152"/>
  <c r="AL1" i="152"/>
  <c r="N1" i="152"/>
  <c r="J1" i="152"/>
  <c r="F1" i="152"/>
  <c r="P18" i="256" l="1"/>
  <c r="AJ290" i="257"/>
  <c r="AO18" i="256"/>
  <c r="AJ26" i="154" s="1"/>
  <c r="AI20" i="256"/>
  <c r="BQ20" i="256" s="1"/>
  <c r="BU20" i="256" s="1"/>
  <c r="AI18" i="256"/>
  <c r="BQ18" i="256" s="1"/>
  <c r="AJ291" i="257"/>
  <c r="BE200" i="256"/>
  <c r="C303" i="257" a="1"/>
  <c r="C303" i="257" s="1"/>
  <c r="F303" i="257" s="1" a="1"/>
  <c r="F303" i="257" s="1"/>
  <c r="C323" i="257" a="1"/>
  <c r="C323" i="257" s="1"/>
  <c r="F323" i="257" s="1" a="1"/>
  <c r="F323" i="257" s="1"/>
  <c r="C322" i="257" a="1"/>
  <c r="C322" i="257" s="1"/>
  <c r="F322" i="257" s="1" a="1"/>
  <c r="F322" i="257" s="1"/>
  <c r="C296" i="257" a="1"/>
  <c r="C296" i="257" s="1"/>
  <c r="F296" i="257" s="1" a="1"/>
  <c r="F296" i="257" s="1"/>
  <c r="C292" i="257" a="1"/>
  <c r="C292" i="257" s="1"/>
  <c r="F292" i="257" s="1" a="1"/>
  <c r="F292" i="257" s="1"/>
  <c r="C298" i="257" a="1"/>
  <c r="C298" i="257" s="1"/>
  <c r="F298" i="257" s="1" a="1"/>
  <c r="F298" i="257" s="1"/>
  <c r="C309" i="257" a="1"/>
  <c r="C309" i="257" s="1"/>
  <c r="F309" i="257" s="1" a="1"/>
  <c r="F309" i="257" s="1"/>
  <c r="C311" i="257" a="1"/>
  <c r="C311" i="257" s="1"/>
  <c r="C295" i="257" a="1"/>
  <c r="C295" i="257" s="1"/>
  <c r="F295" i="257" s="1" a="1"/>
  <c r="F295" i="257" s="1"/>
  <c r="C304" i="257" a="1"/>
  <c r="C304" i="257" s="1"/>
  <c r="F304" i="257" s="1" a="1"/>
  <c r="F304" i="257" s="1"/>
  <c r="C301" i="257" a="1"/>
  <c r="C301" i="257" s="1"/>
  <c r="F301" i="257" s="1" a="1"/>
  <c r="F301" i="257" s="1"/>
  <c r="C291" i="257" a="1"/>
  <c r="C291" i="257" s="1"/>
  <c r="F291" i="257" s="1" a="1"/>
  <c r="F291" i="257" s="1"/>
  <c r="C318" i="257" a="1"/>
  <c r="C318" i="257" s="1"/>
  <c r="F318" i="257" s="1" a="1"/>
  <c r="F318" i="257" s="1"/>
  <c r="C313" i="257" a="1"/>
  <c r="C313" i="257" s="1"/>
  <c r="F313" i="257" s="1" a="1"/>
  <c r="F313" i="257" s="1"/>
  <c r="C308" i="257" a="1"/>
  <c r="C308" i="257" s="1"/>
  <c r="F308" i="257" s="1" a="1"/>
  <c r="F308" i="257" s="1"/>
  <c r="C306" i="257" a="1"/>
  <c r="C306" i="257" s="1"/>
  <c r="C319" i="257" a="1"/>
  <c r="C319" i="257" s="1"/>
  <c r="C294" i="257" a="1"/>
  <c r="C294" i="257" s="1"/>
  <c r="C317" i="257" a="1"/>
  <c r="C317" i="257" s="1"/>
  <c r="F317" i="257" s="1" a="1"/>
  <c r="F317" i="257" s="1"/>
  <c r="C299" i="257" a="1"/>
  <c r="C299" i="257" s="1"/>
  <c r="C293" i="257" a="1"/>
  <c r="C293" i="257" s="1"/>
  <c r="C297" i="257" a="1"/>
  <c r="C297" i="257" s="1"/>
  <c r="C314" i="257" a="1"/>
  <c r="C314" i="257" s="1"/>
  <c r="F314" i="257" s="1" a="1"/>
  <c r="F314" i="257" s="1"/>
  <c r="C300" i="257" a="1"/>
  <c r="C300" i="257" s="1"/>
  <c r="F300" i="257" s="1" a="1"/>
  <c r="F300" i="257" s="1"/>
  <c r="C312" i="257" a="1"/>
  <c r="C312" i="257" s="1"/>
  <c r="F312" i="257" s="1" a="1"/>
  <c r="F312" i="257" s="1"/>
  <c r="C320" i="257" a="1"/>
  <c r="C320" i="257" s="1"/>
  <c r="F320" i="257" s="1" a="1"/>
  <c r="F320" i="257" s="1"/>
  <c r="C324" i="257" a="1"/>
  <c r="C324" i="257" s="1"/>
  <c r="F324" i="257" s="1" a="1"/>
  <c r="F324" i="257" s="1"/>
  <c r="C302" i="257" a="1"/>
  <c r="C302" i="257" s="1"/>
  <c r="F302" i="257" s="1" a="1"/>
  <c r="F302" i="257" s="1"/>
  <c r="C315" i="257" a="1"/>
  <c r="C315" i="257" s="1"/>
  <c r="F315" i="257" s="1" a="1"/>
  <c r="F315" i="257" s="1"/>
  <c r="C305" i="257" a="1"/>
  <c r="C305" i="257" s="1"/>
  <c r="F305" i="257" s="1" a="1"/>
  <c r="F305" i="257" s="1"/>
  <c r="C307" i="257" a="1"/>
  <c r="C307" i="257" s="1"/>
  <c r="F307" i="257" s="1" a="1"/>
  <c r="F307" i="257" s="1"/>
  <c r="C310" i="257" a="1"/>
  <c r="C310" i="257" s="1"/>
  <c r="F310" i="257" s="1" a="1"/>
  <c r="F310" i="257" s="1"/>
  <c r="C316" i="257" a="1"/>
  <c r="C316" i="257" s="1"/>
  <c r="F316" i="257" s="1" a="1"/>
  <c r="F316" i="257" s="1"/>
  <c r="C321" i="257" a="1"/>
  <c r="C321" i="257" s="1"/>
  <c r="F321" i="257" s="1" a="1"/>
  <c r="F321" i="257" s="1"/>
  <c r="B263" i="257"/>
  <c r="B262" i="257"/>
  <c r="B270" i="257"/>
  <c r="AM13" i="255"/>
  <c r="AM13" i="256"/>
  <c r="U1" i="144"/>
  <c r="U1" i="251"/>
  <c r="U1" i="253"/>
  <c r="U1" i="252"/>
  <c r="U1" i="254"/>
  <c r="U1" i="256"/>
  <c r="U1" i="255"/>
  <c r="U1" i="81"/>
  <c r="U1" i="156"/>
  <c r="U1" i="155"/>
  <c r="U1" i="14"/>
  <c r="U1" i="180"/>
  <c r="U1" i="154"/>
  <c r="U1" i="153"/>
  <c r="U1" i="176"/>
  <c r="U1" i="13"/>
  <c r="U1" i="171"/>
  <c r="U1" i="175"/>
  <c r="U1" i="170"/>
  <c r="U1" i="169"/>
  <c r="U1" i="168"/>
  <c r="U1" i="167"/>
  <c r="U1" i="163"/>
  <c r="U1" i="162"/>
  <c r="U1" i="182"/>
  <c r="U1" i="161"/>
  <c r="U1" i="160"/>
  <c r="U1" i="159"/>
  <c r="U1" i="158"/>
  <c r="U1" i="148"/>
  <c r="U1" i="147"/>
  <c r="U1" i="166"/>
  <c r="B306" i="257" l="1"/>
  <c r="F306" i="257" a="1"/>
  <c r="F306" i="257" s="1"/>
  <c r="B319" i="257"/>
  <c r="F319" i="257" a="1"/>
  <c r="F319" i="257" s="1"/>
  <c r="B297" i="257"/>
  <c r="F297" i="257" a="1"/>
  <c r="F297" i="257" s="1"/>
  <c r="B299" i="257"/>
  <c r="F299" i="257" a="1"/>
  <c r="F299" i="257" s="1"/>
  <c r="B311" i="257"/>
  <c r="F311" i="257" a="1"/>
  <c r="F311" i="257" s="1"/>
  <c r="B293" i="257"/>
  <c r="F293" i="257" a="1"/>
  <c r="F293" i="257" s="1"/>
  <c r="B294" i="257"/>
  <c r="F294" i="257" a="1"/>
  <c r="F294" i="257" s="1"/>
  <c r="B322" i="257"/>
  <c r="B292" i="257"/>
  <c r="B323" i="257"/>
  <c r="B303" i="257"/>
  <c r="B295" i="257"/>
  <c r="B298" i="257"/>
  <c r="B296" i="257"/>
  <c r="B309" i="257"/>
  <c r="B315" i="257"/>
  <c r="B302" i="257"/>
  <c r="B317" i="257"/>
  <c r="B313" i="257"/>
  <c r="B324" i="257"/>
  <c r="B310" i="257"/>
  <c r="B305" i="257"/>
  <c r="B320" i="257"/>
  <c r="B300" i="257"/>
  <c r="B318" i="257"/>
  <c r="B312" i="257"/>
  <c r="B301" i="257"/>
  <c r="B291" i="257"/>
  <c r="B304" i="257"/>
  <c r="B321" i="257"/>
  <c r="B316" i="257"/>
  <c r="B308" i="257"/>
  <c r="B307" i="257"/>
  <c r="B314" i="257"/>
  <c r="B278" i="257"/>
  <c r="B268" i="257"/>
  <c r="B284" i="257"/>
  <c r="B267" i="257"/>
  <c r="B276" i="257"/>
  <c r="B287" i="257"/>
  <c r="B286" i="257"/>
  <c r="B288" i="257"/>
  <c r="B266" i="257"/>
  <c r="B283" i="257"/>
  <c r="B277" i="257"/>
  <c r="B272" i="257"/>
  <c r="B261" i="257"/>
  <c r="B285" i="257"/>
  <c r="B264" i="257"/>
  <c r="B271" i="257"/>
  <c r="B281" i="257"/>
  <c r="B269" i="257"/>
  <c r="B273" i="257"/>
  <c r="B265" i="257"/>
  <c r="B279" i="257"/>
  <c r="B260" i="257"/>
  <c r="B275" i="257"/>
  <c r="B274" i="257"/>
  <c r="B280" i="257"/>
  <c r="B282" i="257"/>
  <c r="M16" i="109"/>
  <c r="L16" i="109"/>
  <c r="K16" i="109"/>
  <c r="J24" i="109" a="1"/>
  <c r="J24" i="109" s="1"/>
  <c r="M24" i="109" s="1"/>
  <c r="J20" i="109" a="1"/>
  <c r="J20" i="109" s="1"/>
  <c r="L20" i="109" s="1"/>
  <c r="J16" i="109" a="1"/>
  <c r="J16" i="109" s="1"/>
  <c r="L61" i="155"/>
  <c r="AC73" i="14"/>
  <c r="AE8" i="152"/>
  <c r="D2" i="109"/>
  <c r="K12" i="109"/>
  <c r="M12" i="109"/>
  <c r="L12" i="109"/>
  <c r="B201" i="256" l="1"/>
  <c r="B201" i="252"/>
  <c r="B201" i="251"/>
  <c r="B201" i="254"/>
  <c r="B201" i="255"/>
  <c r="B201" i="253"/>
  <c r="L24" i="109"/>
  <c r="K20" i="109"/>
  <c r="M20" i="109"/>
  <c r="K24" i="109"/>
  <c r="J20" i="161" l="1"/>
  <c r="J22" i="161"/>
  <c r="J24" i="161"/>
  <c r="J26" i="161"/>
  <c r="J28" i="161"/>
  <c r="J30" i="161"/>
  <c r="J32" i="161"/>
  <c r="J34" i="161"/>
  <c r="J36" i="161"/>
  <c r="J38" i="161"/>
  <c r="J40" i="161"/>
  <c r="J42" i="161"/>
  <c r="J44" i="161"/>
  <c r="J46" i="161"/>
  <c r="J48" i="161"/>
  <c r="J50" i="161"/>
  <c r="J52" i="161"/>
  <c r="J54" i="161"/>
  <c r="J56" i="161"/>
  <c r="J58" i="161"/>
  <c r="J60" i="161"/>
  <c r="J62" i="161"/>
  <c r="J64" i="161"/>
  <c r="J66" i="161"/>
  <c r="J68" i="161"/>
  <c r="J70" i="161"/>
  <c r="J72" i="161"/>
  <c r="J74" i="161"/>
  <c r="J76" i="161"/>
  <c r="J78" i="161"/>
  <c r="J80" i="161"/>
  <c r="J82" i="161"/>
  <c r="J84" i="161"/>
  <c r="J86" i="161"/>
  <c r="J18" i="161"/>
  <c r="BK30" i="176" l="1"/>
  <c r="BN30" i="176" s="1"/>
  <c r="B3" i="247" a="1"/>
  <c r="B3" i="247" s="1"/>
  <c r="B43" i="108" s="1" a="1"/>
  <c r="B43" i="108" s="1"/>
  <c r="G55" i="108" l="1"/>
  <c r="G71" i="108"/>
  <c r="G56" i="108"/>
  <c r="G72" i="108"/>
  <c r="G57" i="108"/>
  <c r="G73" i="108"/>
  <c r="G58" i="108"/>
  <c r="G74" i="108"/>
  <c r="G59" i="108"/>
  <c r="G75" i="108"/>
  <c r="G60" i="108"/>
  <c r="G76" i="108"/>
  <c r="G61" i="108"/>
  <c r="G77" i="108"/>
  <c r="G62" i="108"/>
  <c r="G63" i="108"/>
  <c r="G64" i="108"/>
  <c r="G65" i="108"/>
  <c r="G66" i="108"/>
  <c r="G67" i="108"/>
  <c r="G68" i="108"/>
  <c r="G70" i="108"/>
  <c r="G69" i="108"/>
  <c r="G53" i="108"/>
  <c r="G54" i="108"/>
  <c r="S117" i="257"/>
  <c r="I117" i="257"/>
  <c r="S118" i="257"/>
  <c r="I118" i="257"/>
  <c r="S119" i="257"/>
  <c r="I119" i="257"/>
  <c r="S120" i="257"/>
  <c r="I120" i="257"/>
  <c r="S121" i="257"/>
  <c r="I121" i="257"/>
  <c r="S122" i="257"/>
  <c r="I122" i="257"/>
  <c r="S123" i="257"/>
  <c r="I123" i="257"/>
  <c r="S124" i="257"/>
  <c r="I124" i="257"/>
  <c r="S125" i="257"/>
  <c r="I125" i="257"/>
  <c r="S126" i="257"/>
  <c r="I126" i="257"/>
  <c r="S127" i="257"/>
  <c r="I127" i="257"/>
  <c r="S128" i="257"/>
  <c r="I128" i="257"/>
  <c r="S129" i="257"/>
  <c r="I129" i="257"/>
  <c r="S130" i="257"/>
  <c r="I130" i="257"/>
  <c r="S131" i="257"/>
  <c r="I131" i="257"/>
  <c r="S132" i="257"/>
  <c r="I132" i="257"/>
  <c r="S133" i="257"/>
  <c r="I133" i="257"/>
  <c r="S134" i="257"/>
  <c r="I134" i="257"/>
  <c r="S135" i="257"/>
  <c r="I135" i="257"/>
  <c r="S136" i="257"/>
  <c r="I136" i="257"/>
  <c r="S137" i="257"/>
  <c r="I137" i="257"/>
  <c r="S138" i="257"/>
  <c r="I138" i="257"/>
  <c r="S139" i="257"/>
  <c r="I139" i="257"/>
  <c r="S140" i="257"/>
  <c r="I140" i="257"/>
  <c r="S141" i="257"/>
  <c r="I141" i="257"/>
  <c r="S142" i="257"/>
  <c r="I142" i="257"/>
  <c r="S143" i="257"/>
  <c r="I143" i="257"/>
  <c r="S144" i="257"/>
  <c r="I144" i="257"/>
  <c r="S145" i="257"/>
  <c r="I145" i="257"/>
  <c r="S116" i="257"/>
  <c r="H134" i="257" l="1"/>
  <c r="H118" i="257"/>
  <c r="H139" i="257"/>
  <c r="H144" i="257"/>
  <c r="H128" i="257"/>
  <c r="H117" i="257"/>
  <c r="H138" i="257"/>
  <c r="H122" i="257"/>
  <c r="H127" i="257"/>
  <c r="H132" i="257"/>
  <c r="H143" i="257"/>
  <c r="H137" i="257"/>
  <c r="H121" i="257"/>
  <c r="H142" i="257"/>
  <c r="H126" i="257"/>
  <c r="H131" i="257"/>
  <c r="H136" i="257"/>
  <c r="H120" i="257"/>
  <c r="H123" i="257"/>
  <c r="H135" i="257"/>
  <c r="H119" i="257"/>
  <c r="H133" i="257"/>
  <c r="H141" i="257"/>
  <c r="H125" i="257"/>
  <c r="H130" i="257"/>
  <c r="H140" i="257"/>
  <c r="H124" i="257"/>
  <c r="H145" i="257"/>
  <c r="H129" i="257"/>
  <c r="R22" i="158"/>
  <c r="T22" i="158"/>
  <c r="X6" i="257" s="1"/>
  <c r="BC18" i="13"/>
  <c r="BJ18" i="13"/>
  <c r="AX18" i="13"/>
  <c r="BF200" i="13"/>
  <c r="BC18" i="171"/>
  <c r="BX18" i="171" s="1" a="1"/>
  <c r="BX18" i="171" s="1"/>
  <c r="BJ18" i="171"/>
  <c r="AX18" i="171"/>
  <c r="BF200" i="171"/>
  <c r="BI22" i="158" l="1" a="1"/>
  <c r="BI22" i="158" s="1"/>
  <c r="BH22" i="158" a="1"/>
  <c r="BH22" i="158" s="1"/>
  <c r="BV18" i="13" a="1"/>
  <c r="BV18" i="13" s="1"/>
  <c r="BX18" i="13" a="1"/>
  <c r="BX18" i="13" s="1"/>
  <c r="E211" i="257" s="1" a="1"/>
  <c r="E211" i="257" s="1"/>
  <c r="E195" i="257" a="1"/>
  <c r="E195" i="257" s="1"/>
  <c r="BV18" i="171" a="1"/>
  <c r="BV18" i="171" s="1"/>
  <c r="BK22" i="158"/>
  <c r="BN22" i="158" s="1"/>
  <c r="BW22" i="158"/>
  <c r="AX22" i="158"/>
  <c r="BA22" i="158"/>
  <c r="BY22" i="158"/>
  <c r="BB22" i="158"/>
  <c r="BD22" i="158"/>
  <c r="L6" i="257" s="1"/>
  <c r="BC22" i="158"/>
  <c r="BE22" i="158"/>
  <c r="BF22" i="158"/>
  <c r="W6" i="257"/>
  <c r="H197" i="257"/>
  <c r="H212" i="257"/>
  <c r="H218" i="257"/>
  <c r="H196" i="257"/>
  <c r="H202" i="257"/>
  <c r="H203" i="257"/>
  <c r="H201" i="257"/>
  <c r="H216" i="257"/>
  <c r="H200" i="257"/>
  <c r="H215" i="257"/>
  <c r="H199" i="257"/>
  <c r="H214" i="257"/>
  <c r="H195" i="257"/>
  <c r="H198" i="257"/>
  <c r="S204" i="257"/>
  <c r="I198" i="257"/>
  <c r="S219" i="257"/>
  <c r="I214" i="257"/>
  <c r="I197" i="257"/>
  <c r="S218" i="257"/>
  <c r="I213" i="257"/>
  <c r="S203" i="257"/>
  <c r="S202" i="257"/>
  <c r="I196" i="257"/>
  <c r="S217" i="257"/>
  <c r="I212" i="257"/>
  <c r="S199" i="257"/>
  <c r="S214" i="257"/>
  <c r="S198" i="257"/>
  <c r="S213" i="257"/>
  <c r="H217" i="257"/>
  <c r="S197" i="257"/>
  <c r="S212" i="257"/>
  <c r="H220" i="257"/>
  <c r="I211" i="257"/>
  <c r="S201" i="257"/>
  <c r="H211" i="257"/>
  <c r="S196" i="257"/>
  <c r="I116" i="257"/>
  <c r="I195" i="257"/>
  <c r="I204" i="257"/>
  <c r="I220" i="257"/>
  <c r="H213" i="257"/>
  <c r="H204" i="257"/>
  <c r="I203" i="257"/>
  <c r="I219" i="257"/>
  <c r="S200" i="257"/>
  <c r="H116" i="257"/>
  <c r="S215" i="257"/>
  <c r="I218" i="257"/>
  <c r="I201" i="257"/>
  <c r="I217" i="257"/>
  <c r="S216" i="257"/>
  <c r="I202" i="257"/>
  <c r="I200" i="257"/>
  <c r="S211" i="257"/>
  <c r="I216" i="257"/>
  <c r="H219" i="257"/>
  <c r="S195" i="257"/>
  <c r="I199" i="257"/>
  <c r="S220" i="257"/>
  <c r="I215" i="257"/>
  <c r="J23" i="3"/>
  <c r="J22" i="3"/>
  <c r="T18" i="161" l="1"/>
  <c r="T20" i="161"/>
  <c r="T22" i="161"/>
  <c r="T24" i="161"/>
  <c r="L28" i="161"/>
  <c r="L32" i="161"/>
  <c r="L34" i="161"/>
  <c r="L36" i="161"/>
  <c r="L38" i="161"/>
  <c r="L40" i="161"/>
  <c r="L42" i="161"/>
  <c r="L44" i="161"/>
  <c r="L46" i="161"/>
  <c r="L48" i="161"/>
  <c r="L50" i="161"/>
  <c r="L52" i="161"/>
  <c r="L54" i="161"/>
  <c r="L56" i="161"/>
  <c r="L58" i="161"/>
  <c r="L60" i="161"/>
  <c r="L62" i="161"/>
  <c r="L64" i="161"/>
  <c r="L66" i="161"/>
  <c r="L68" i="161"/>
  <c r="L70" i="161"/>
  <c r="L72" i="161"/>
  <c r="L74" i="161"/>
  <c r="L76" i="161"/>
  <c r="L78" i="161"/>
  <c r="L80" i="161"/>
  <c r="L82" i="161"/>
  <c r="L84" i="161"/>
  <c r="L86" i="161"/>
  <c r="L30" i="161"/>
  <c r="L26" i="161"/>
  <c r="L24" i="161"/>
  <c r="L22" i="161"/>
  <c r="L20" i="161"/>
  <c r="L18" i="161"/>
  <c r="BH24" i="161" l="1"/>
  <c r="BI24" i="161"/>
  <c r="BK24" i="161"/>
  <c r="BN24" i="161" s="1"/>
  <c r="BW24" i="161"/>
  <c r="BY24" i="161"/>
  <c r="AX24" i="161"/>
  <c r="BC24" i="161"/>
  <c r="BD24" i="161"/>
  <c r="BH22" i="161"/>
  <c r="BI22" i="161"/>
  <c r="BK22" i="161"/>
  <c r="BN22" i="161" s="1"/>
  <c r="BW22" i="161"/>
  <c r="BY22" i="161"/>
  <c r="AX22" i="161"/>
  <c r="BC22" i="161"/>
  <c r="BD22" i="161"/>
  <c r="BH20" i="161"/>
  <c r="BI20" i="161"/>
  <c r="BK20" i="161"/>
  <c r="BN20" i="161" s="1"/>
  <c r="BW20" i="161"/>
  <c r="BY20" i="161"/>
  <c r="AX20" i="161"/>
  <c r="BD20" i="161"/>
  <c r="BC20" i="161"/>
  <c r="BK18" i="161"/>
  <c r="BN18" i="161" s="1"/>
  <c r="BY18" i="161"/>
  <c r="AX18" i="161"/>
  <c r="BD18" i="161"/>
  <c r="BH18" i="161"/>
  <c r="BW18" i="161"/>
  <c r="BC18" i="161"/>
  <c r="BI18" i="161"/>
  <c r="AO24" i="161"/>
  <c r="AR24" i="161"/>
  <c r="AR22" i="161"/>
  <c r="AO22" i="161"/>
  <c r="AO20" i="161"/>
  <c r="AR20" i="161"/>
  <c r="AO18" i="161"/>
  <c r="AR18" i="161"/>
  <c r="J6" i="202"/>
  <c r="K6" i="202" s="1"/>
  <c r="B5" i="3"/>
  <c r="B4" i="3"/>
  <c r="B2" i="3"/>
  <c r="B1" i="3"/>
  <c r="B6" i="247"/>
  <c r="BY20" i="163" l="1"/>
  <c r="BV22" i="161"/>
  <c r="BV24" i="161"/>
  <c r="BV18" i="161"/>
  <c r="BV20" i="161"/>
  <c r="U42" i="8"/>
  <c r="B6" i="3"/>
  <c r="B3" i="3"/>
  <c r="AR30" i="176"/>
  <c r="AA249" i="257" s="1" a="1"/>
  <c r="AA249" i="257" s="1"/>
  <c r="AR20" i="168" l="1"/>
  <c r="AR22" i="168"/>
  <c r="AR24" i="168"/>
  <c r="AR26" i="168"/>
  <c r="AR28" i="168"/>
  <c r="AR30" i="168"/>
  <c r="AR32" i="168"/>
  <c r="AR34" i="168"/>
  <c r="AR36" i="168"/>
  <c r="AR18" i="168"/>
  <c r="AA156" i="257" l="1" a="1"/>
  <c r="AA156" i="257" s="1"/>
  <c r="AA151" i="257" a="1"/>
  <c r="AA151" i="257" s="1"/>
  <c r="AA155" i="257" a="1"/>
  <c r="AA155" i="257" s="1"/>
  <c r="AA153" i="257" a="1"/>
  <c r="AA153" i="257" s="1"/>
  <c r="AA150" i="257" a="1"/>
  <c r="AA150" i="257" s="1"/>
  <c r="AA154" i="257" a="1"/>
  <c r="AA154" i="257" s="1"/>
  <c r="AA152" i="257" a="1"/>
  <c r="AA152" i="257" s="1"/>
  <c r="AA149" i="257" a="1"/>
  <c r="AA149" i="257" s="1"/>
  <c r="AA148" i="257" a="1"/>
  <c r="AA148" i="257" s="1"/>
  <c r="AA147" i="257" a="1"/>
  <c r="AA147" i="257" s="1"/>
  <c r="AM29" i="154"/>
  <c r="BQ18" i="182"/>
  <c r="AM20" i="161"/>
  <c r="AM22" i="161"/>
  <c r="AM24" i="161"/>
  <c r="AM26" i="161"/>
  <c r="AM28" i="161"/>
  <c r="AM30" i="161"/>
  <c r="AM32" i="161"/>
  <c r="AM34" i="161"/>
  <c r="AM36" i="161"/>
  <c r="AM38" i="161"/>
  <c r="AM40" i="161"/>
  <c r="AM42" i="161"/>
  <c r="AM44" i="161"/>
  <c r="AM46" i="161"/>
  <c r="AM48" i="161"/>
  <c r="AM50" i="161"/>
  <c r="AM52" i="161"/>
  <c r="AM54" i="161"/>
  <c r="AM56" i="161"/>
  <c r="AM58" i="161"/>
  <c r="AM60" i="161"/>
  <c r="AM62" i="161"/>
  <c r="AM64" i="161"/>
  <c r="AM66" i="161"/>
  <c r="AM68" i="161"/>
  <c r="AM70" i="161"/>
  <c r="AM72" i="161"/>
  <c r="AM74" i="161"/>
  <c r="AM76" i="161"/>
  <c r="AM78" i="161"/>
  <c r="AM80" i="161"/>
  <c r="AM82" i="161"/>
  <c r="AM84" i="161"/>
  <c r="AM86" i="161"/>
  <c r="AM18" i="161"/>
  <c r="AJ26" i="148"/>
  <c r="EB2" i="257" s="1"/>
  <c r="AC26" i="148"/>
  <c r="EA2" i="257" s="1"/>
  <c r="V26" i="148"/>
  <c r="DZ2" i="257" s="1"/>
  <c r="O26" i="148"/>
  <c r="DY2" i="257" s="1"/>
  <c r="H26" i="148"/>
  <c r="DX2" i="257" s="1"/>
  <c r="AF36" i="176"/>
  <c r="AF20" i="176"/>
  <c r="AF22" i="176"/>
  <c r="AF24" i="176"/>
  <c r="AF18" i="176"/>
  <c r="AF20" i="13"/>
  <c r="AF22" i="13"/>
  <c r="AF24" i="13"/>
  <c r="AF26" i="13"/>
  <c r="AF28" i="13"/>
  <c r="AF30" i="13"/>
  <c r="AF32" i="13"/>
  <c r="AF34" i="13"/>
  <c r="AF36" i="13"/>
  <c r="AF18" i="13"/>
  <c r="AF20" i="171"/>
  <c r="AF22" i="171"/>
  <c r="AF24" i="171"/>
  <c r="AF26" i="171"/>
  <c r="AF28" i="171"/>
  <c r="AF30" i="171"/>
  <c r="AF32" i="171"/>
  <c r="AF34" i="171"/>
  <c r="AF36" i="171"/>
  <c r="AF18" i="171"/>
  <c r="AF20" i="175"/>
  <c r="AF22" i="175"/>
  <c r="AF24" i="175"/>
  <c r="AF26" i="175"/>
  <c r="AF28" i="175"/>
  <c r="AF30" i="175"/>
  <c r="AF32" i="175"/>
  <c r="AF34" i="175"/>
  <c r="AF36" i="175"/>
  <c r="AF18" i="175"/>
  <c r="AF20" i="170"/>
  <c r="AF22" i="170"/>
  <c r="AF24" i="170"/>
  <c r="AF26" i="170"/>
  <c r="AF28" i="170"/>
  <c r="AF30" i="170"/>
  <c r="AF32" i="170"/>
  <c r="AF34" i="170"/>
  <c r="AF36" i="170"/>
  <c r="AF20" i="169"/>
  <c r="AF22" i="169"/>
  <c r="AF24" i="169"/>
  <c r="AF26" i="169"/>
  <c r="AF28" i="169"/>
  <c r="AF30" i="169"/>
  <c r="AF32" i="169"/>
  <c r="AF34" i="169"/>
  <c r="AF36" i="169"/>
  <c r="AF18" i="169"/>
  <c r="U1" i="172" l="1"/>
  <c r="U1" i="152"/>
  <c r="AJ36" i="176"/>
  <c r="BL36" i="176" s="1"/>
  <c r="AJ18" i="169"/>
  <c r="BL18" i="169" s="1"/>
  <c r="AJ34" i="169"/>
  <c r="AJ36" i="169"/>
  <c r="AJ32" i="169"/>
  <c r="AJ30" i="169"/>
  <c r="AJ28" i="169"/>
  <c r="AJ26" i="169"/>
  <c r="AJ24" i="169"/>
  <c r="AJ22" i="169"/>
  <c r="AJ20" i="169"/>
  <c r="BK28" i="169" l="1"/>
  <c r="BL28" i="169"/>
  <c r="BA20" i="169"/>
  <c r="BL20" i="169"/>
  <c r="BA24" i="169"/>
  <c r="BL24" i="169"/>
  <c r="BG36" i="169"/>
  <c r="BL36" i="169"/>
  <c r="BA26" i="169"/>
  <c r="BL26" i="169"/>
  <c r="BA34" i="169"/>
  <c r="BL34" i="169"/>
  <c r="BK22" i="169"/>
  <c r="BL22" i="169"/>
  <c r="BA30" i="169"/>
  <c r="BL30" i="169"/>
  <c r="BL32" i="169"/>
  <c r="BW26" i="169"/>
  <c r="BK26" i="169"/>
  <c r="BK24" i="169"/>
  <c r="BG28" i="169"/>
  <c r="BA28" i="169"/>
  <c r="BB28" i="169"/>
  <c r="AN168" i="257" s="1" a="1"/>
  <c r="AN168" i="257" s="1"/>
  <c r="BK32" i="169"/>
  <c r="BG32" i="169"/>
  <c r="BG26" i="169"/>
  <c r="BW20" i="169"/>
  <c r="BB32" i="169"/>
  <c r="AN170" i="257" s="1" a="1"/>
  <c r="AN170" i="257" s="1"/>
  <c r="BB34" i="169"/>
  <c r="AN171" i="257" s="1" a="1"/>
  <c r="AN171" i="257" s="1"/>
  <c r="BB26" i="169"/>
  <c r="AN167" i="257" s="1" a="1"/>
  <c r="AN167" i="257" s="1"/>
  <c r="BA32" i="169"/>
  <c r="BW34" i="169"/>
  <c r="BK20" i="169"/>
  <c r="BG22" i="169"/>
  <c r="BW30" i="169"/>
  <c r="BW32" i="169"/>
  <c r="BG20" i="169"/>
  <c r="BB22" i="169"/>
  <c r="AN165" i="257" s="1" a="1"/>
  <c r="AN165" i="257" s="1"/>
  <c r="BK34" i="169"/>
  <c r="BB20" i="169"/>
  <c r="AN164" i="257" s="1" a="1"/>
  <c r="AN164" i="257" s="1"/>
  <c r="BA22" i="169"/>
  <c r="BW24" i="169"/>
  <c r="BK30" i="169"/>
  <c r="BG34" i="169"/>
  <c r="BW22" i="169"/>
  <c r="BG30" i="169"/>
  <c r="BB30" i="169"/>
  <c r="AN169" i="257" s="1" a="1"/>
  <c r="AN169" i="257" s="1"/>
  <c r="BG24" i="169"/>
  <c r="BB24" i="169"/>
  <c r="AN166" i="257" s="1" a="1"/>
  <c r="AN166" i="257" s="1"/>
  <c r="BK36" i="169"/>
  <c r="BB36" i="169"/>
  <c r="AN172" i="257" s="1" a="1"/>
  <c r="AN172" i="257" s="1"/>
  <c r="BW28" i="169"/>
  <c r="BA36" i="169"/>
  <c r="BW36" i="169"/>
  <c r="AR30" i="169"/>
  <c r="AR20" i="169"/>
  <c r="AR24" i="169"/>
  <c r="AR26" i="169"/>
  <c r="AR28" i="169"/>
  <c r="AR32" i="169"/>
  <c r="AR36" i="169"/>
  <c r="AR34" i="169"/>
  <c r="AR18" i="169"/>
  <c r="AA163" i="257" s="1" a="1"/>
  <c r="AA163" i="257" s="1"/>
  <c r="AR22" i="169"/>
  <c r="X36" i="176" a="1"/>
  <c r="X36" i="176" s="1"/>
  <c r="AR36" i="176" s="1"/>
  <c r="AA252" i="257" s="1" a="1"/>
  <c r="AA252" i="257" s="1"/>
  <c r="AJ24" i="176"/>
  <c r="BL24" i="176" s="1"/>
  <c r="T36" i="176"/>
  <c r="AS38" i="109"/>
  <c r="AS37" i="109"/>
  <c r="AS36" i="109"/>
  <c r="AS35" i="109"/>
  <c r="AO34" i="109"/>
  <c r="AS33" i="109"/>
  <c r="AO32" i="109"/>
  <c r="AO31" i="109"/>
  <c r="AS30" i="109"/>
  <c r="AO30" i="109"/>
  <c r="AO29" i="109"/>
  <c r="AS28" i="109"/>
  <c r="AO27" i="109"/>
  <c r="AS26" i="109"/>
  <c r="AO25" i="109"/>
  <c r="AS24" i="109"/>
  <c r="AS23" i="109"/>
  <c r="AO22" i="109"/>
  <c r="AS21" i="109"/>
  <c r="AO21" i="109"/>
  <c r="AO20" i="109"/>
  <c r="AS19" i="109"/>
  <c r="AO18" i="109"/>
  <c r="AS17" i="109"/>
  <c r="AO16" i="109"/>
  <c r="AS15" i="109"/>
  <c r="AO15" i="109"/>
  <c r="AM172" i="257" l="1" a="1"/>
  <c r="AM172" i="257" s="1"/>
  <c r="BE36" i="169"/>
  <c r="BD36" i="169" s="1"/>
  <c r="L172" i="257" s="1"/>
  <c r="BE30" i="169"/>
  <c r="BD30" i="169" s="1"/>
  <c r="L169" i="257" s="1"/>
  <c r="AM169" i="257" a="1"/>
  <c r="AM169" i="257" s="1"/>
  <c r="BE28" i="169"/>
  <c r="BD28" i="169" s="1"/>
  <c r="L168" i="257" s="1"/>
  <c r="AM168" i="257" a="1"/>
  <c r="AM168" i="257" s="1"/>
  <c r="BE26" i="169"/>
  <c r="BD26" i="169" s="1"/>
  <c r="L167" i="257" s="1"/>
  <c r="AM167" i="257" a="1"/>
  <c r="AM167" i="257" s="1"/>
  <c r="AM165" i="257" a="1"/>
  <c r="AM165" i="257" s="1"/>
  <c r="BE22" i="169"/>
  <c r="BD22" i="169" s="1"/>
  <c r="L165" i="257" s="1"/>
  <c r="AM171" i="257" a="1"/>
  <c r="AM171" i="257" s="1"/>
  <c r="BE34" i="169"/>
  <c r="BD34" i="169" s="1"/>
  <c r="L171" i="257" s="1"/>
  <c r="AM170" i="257" a="1"/>
  <c r="AM170" i="257" s="1"/>
  <c r="BE32" i="169"/>
  <c r="BD32" i="169" s="1"/>
  <c r="L170" i="257" s="1"/>
  <c r="AM166" i="257" a="1"/>
  <c r="AM166" i="257" s="1"/>
  <c r="BE24" i="169"/>
  <c r="BD24" i="169" s="1"/>
  <c r="L166" i="257" s="1"/>
  <c r="BE20" i="169"/>
  <c r="BD20" i="169" s="1"/>
  <c r="L164" i="257" s="1"/>
  <c r="AM164" i="257" a="1"/>
  <c r="AM164" i="257" s="1"/>
  <c r="BY20" i="169"/>
  <c r="BN32" i="169"/>
  <c r="BY34" i="169"/>
  <c r="BN22" i="169"/>
  <c r="BN30" i="169"/>
  <c r="BN34" i="169"/>
  <c r="BN24" i="169"/>
  <c r="BN26" i="169"/>
  <c r="BN36" i="169"/>
  <c r="BY24" i="169"/>
  <c r="BN20" i="169"/>
  <c r="BN28" i="169"/>
  <c r="BY26" i="169"/>
  <c r="BY30" i="169"/>
  <c r="BY28" i="169"/>
  <c r="BY32" i="169"/>
  <c r="BY22" i="169"/>
  <c r="BY36" i="169"/>
  <c r="BB24" i="176"/>
  <c r="AN246" i="257" s="1" a="1"/>
  <c r="AN246" i="257" s="1"/>
  <c r="BA24" i="176"/>
  <c r="BG24" i="176"/>
  <c r="BK24" i="176"/>
  <c r="BN24" i="176" s="1"/>
  <c r="BW24" i="176"/>
  <c r="AA165" i="257" a="1"/>
  <c r="AA165" i="257" s="1"/>
  <c r="AA170" i="257" a="1"/>
  <c r="AA170" i="257" s="1"/>
  <c r="AA169" i="257" a="1"/>
  <c r="AA169" i="257" s="1"/>
  <c r="AA168" i="257" a="1"/>
  <c r="AA168" i="257" s="1"/>
  <c r="AA167" i="257" a="1"/>
  <c r="AA167" i="257" s="1"/>
  <c r="AA172" i="257" a="1"/>
  <c r="AA172" i="257" s="1"/>
  <c r="AA166" i="257" a="1"/>
  <c r="AA166" i="257" s="1"/>
  <c r="AA171" i="257" a="1"/>
  <c r="AA171" i="257" s="1"/>
  <c r="AA164" i="257" a="1"/>
  <c r="AA164" i="257" s="1"/>
  <c r="AM30" i="154"/>
  <c r="AR24" i="176"/>
  <c r="AL36" i="176"/>
  <c r="AC36" i="176"/>
  <c r="Z36" i="176"/>
  <c r="Q26" i="3"/>
  <c r="G26" i="3"/>
  <c r="G27" i="3"/>
  <c r="AX36" i="176"/>
  <c r="S252" i="257" s="1"/>
  <c r="BJ36" i="176"/>
  <c r="I252" i="257" s="1"/>
  <c r="BC36" i="176"/>
  <c r="BX36" i="176" s="1" a="1"/>
  <c r="BX36" i="176" s="1"/>
  <c r="AZ36" i="176"/>
  <c r="U252" i="257" s="1"/>
  <c r="AY36" i="176"/>
  <c r="T252" i="257" s="1"/>
  <c r="AM246" i="257" l="1" a="1"/>
  <c r="AM246" i="257" s="1"/>
  <c r="BE24" i="176"/>
  <c r="BD24" i="176" s="1"/>
  <c r="L246" i="257" s="1"/>
  <c r="E252" i="257" a="1"/>
  <c r="E252" i="257" s="1"/>
  <c r="BV36" i="176" a="1"/>
  <c r="BV36" i="176" s="1"/>
  <c r="BY24" i="176"/>
  <c r="AA246" i="257" a="1"/>
  <c r="AA246" i="257" s="1"/>
  <c r="H252" i="257"/>
  <c r="K27" i="3"/>
  <c r="BB36" i="176"/>
  <c r="AN252" i="257" s="1" a="1"/>
  <c r="AN252" i="257" s="1"/>
  <c r="BA36" i="176"/>
  <c r="AM252" i="257" s="1" a="1"/>
  <c r="AM252" i="257" s="1"/>
  <c r="BE36" i="176" l="1"/>
  <c r="BD36" i="176" s="1"/>
  <c r="L252" i="257" s="1"/>
  <c r="AO36" i="176"/>
  <c r="I27" i="3" s="1"/>
  <c r="BG36" i="176" l="1"/>
  <c r="J27" i="3" s="1"/>
  <c r="BR36" i="176"/>
  <c r="BU36" i="176" s="1"/>
  <c r="T86" i="161" l="1"/>
  <c r="R76" i="158"/>
  <c r="T76" i="158"/>
  <c r="BI76" i="158" l="1" a="1"/>
  <c r="BI76" i="158" s="1"/>
  <c r="BH76" i="158" a="1"/>
  <c r="BH76" i="158" s="1"/>
  <c r="BW76" i="158"/>
  <c r="BY76" i="158"/>
  <c r="AX76" i="158"/>
  <c r="BK76" i="158"/>
  <c r="BN76" i="158" s="1"/>
  <c r="BA76" i="158"/>
  <c r="BB76" i="158"/>
  <c r="BC76" i="158"/>
  <c r="BD76" i="158"/>
  <c r="L33" i="257" s="1"/>
  <c r="BE76" i="158"/>
  <c r="BF76" i="158"/>
  <c r="BH86" i="161"/>
  <c r="BI86" i="161"/>
  <c r="BK86" i="161"/>
  <c r="BN86" i="161" s="1"/>
  <c r="BW86" i="161"/>
  <c r="BY86" i="161"/>
  <c r="AX86" i="161"/>
  <c r="BC86" i="161"/>
  <c r="BD86" i="161"/>
  <c r="X33" i="257"/>
  <c r="W33" i="257"/>
  <c r="X4" i="257"/>
  <c r="AR86" i="161"/>
  <c r="AO86" i="161"/>
  <c r="AR20" i="159"/>
  <c r="BU20" i="159" s="1"/>
  <c r="AR22" i="159"/>
  <c r="BU22" i="159" s="1"/>
  <c r="AR24" i="159"/>
  <c r="BU24" i="159" s="1"/>
  <c r="AR26" i="159"/>
  <c r="BU26" i="159" s="1"/>
  <c r="AR28" i="159"/>
  <c r="BU28" i="159" s="1"/>
  <c r="AR30" i="159"/>
  <c r="BU30" i="159" s="1"/>
  <c r="AR32" i="159"/>
  <c r="BU32" i="159" s="1"/>
  <c r="AR34" i="159"/>
  <c r="BU34" i="159" s="1"/>
  <c r="BV86" i="161" l="1"/>
  <c r="AA41" i="257" a="1"/>
  <c r="AA41" i="257" s="1"/>
  <c r="AA36" i="257" a="1"/>
  <c r="AA36" i="257" s="1"/>
  <c r="AA40" i="257" a="1"/>
  <c r="AA40" i="257" s="1"/>
  <c r="AA43" i="257" a="1"/>
  <c r="AA43" i="257" s="1"/>
  <c r="AA39" i="257" a="1"/>
  <c r="AA39" i="257" s="1"/>
  <c r="AA37" i="257" a="1"/>
  <c r="AA37" i="257" s="1"/>
  <c r="AA42" i="257" a="1"/>
  <c r="AA42" i="257" s="1"/>
  <c r="AA38" i="257" a="1"/>
  <c r="AA38" i="257" s="1"/>
  <c r="AB43" i="257" a="1"/>
  <c r="AB43" i="257" s="1"/>
  <c r="AB40" i="257" a="1"/>
  <c r="AB40" i="257" s="1"/>
  <c r="AB36" i="257" a="1"/>
  <c r="AB36" i="257" s="1"/>
  <c r="AB42" i="257" a="1"/>
  <c r="AB42" i="257" s="1"/>
  <c r="AB39" i="257" a="1"/>
  <c r="AB39" i="257" s="1"/>
  <c r="AB41" i="257" a="1"/>
  <c r="AB41" i="257" s="1"/>
  <c r="AB37" i="257" a="1"/>
  <c r="AB37" i="257" s="1"/>
  <c r="AB38" i="257" a="1"/>
  <c r="AB38" i="257" s="1"/>
  <c r="R20" i="158"/>
  <c r="J697" i="202"/>
  <c r="K697" i="202" s="1"/>
  <c r="J695" i="202"/>
  <c r="K695" i="202" s="1"/>
  <c r="J630" i="202"/>
  <c r="K630" i="202" s="1"/>
  <c r="J631" i="202"/>
  <c r="K631" i="202" s="1"/>
  <c r="W5" i="257" l="1"/>
  <c r="O18" i="167"/>
  <c r="T26" i="161"/>
  <c r="T28" i="161"/>
  <c r="BH26" i="161" l="1"/>
  <c r="BI26" i="161"/>
  <c r="BK26" i="161"/>
  <c r="BN26" i="161" s="1"/>
  <c r="BW26" i="161"/>
  <c r="BY26" i="161"/>
  <c r="AX26" i="161"/>
  <c r="BC26" i="161"/>
  <c r="BD26" i="161"/>
  <c r="BH28" i="161"/>
  <c r="BI28" i="161"/>
  <c r="BK28" i="161"/>
  <c r="BN28" i="161" s="1"/>
  <c r="BW28" i="161"/>
  <c r="BY28" i="161"/>
  <c r="AX28" i="161"/>
  <c r="BC28" i="161"/>
  <c r="BD28" i="161"/>
  <c r="BA18" i="167"/>
  <c r="BB18" i="167"/>
  <c r="AN116" i="257" s="1" a="1"/>
  <c r="AN116" i="257" s="1"/>
  <c r="BF18" i="167"/>
  <c r="W116" i="257"/>
  <c r="AO28" i="161"/>
  <c r="AR28" i="161"/>
  <c r="AO26" i="161"/>
  <c r="AR26" i="161"/>
  <c r="AJ22" i="170"/>
  <c r="BL22" i="170" s="1"/>
  <c r="AJ22" i="175"/>
  <c r="BL22" i="175" s="1"/>
  <c r="AJ20" i="175"/>
  <c r="BL20" i="175" s="1"/>
  <c r="AJ18" i="175"/>
  <c r="BL18" i="175" s="1"/>
  <c r="BL20" i="170"/>
  <c r="AJ18" i="171"/>
  <c r="BL18" i="171" s="1"/>
  <c r="AJ18" i="176"/>
  <c r="BL18" i="176" s="1"/>
  <c r="BL18" i="170"/>
  <c r="AJ18" i="13"/>
  <c r="BL18" i="13" s="1"/>
  <c r="AJ20" i="176"/>
  <c r="BL20" i="176" s="1"/>
  <c r="A124" i="109"/>
  <c r="A123" i="109"/>
  <c r="AO18" i="167" l="1"/>
  <c r="BG18" i="167" s="1"/>
  <c r="BE18" i="167"/>
  <c r="BD18" i="167" s="1"/>
  <c r="L116" i="257" s="1"/>
  <c r="AM116" i="257" a="1"/>
  <c r="AM116" i="257" s="1"/>
  <c r="BV26" i="161"/>
  <c r="BV28" i="161"/>
  <c r="BA20" i="176"/>
  <c r="BB20" i="176"/>
  <c r="AN244" i="257" s="1" a="1"/>
  <c r="AN244" i="257" s="1"/>
  <c r="BG20" i="176"/>
  <c r="BK20" i="176"/>
  <c r="BN20" i="176" s="1"/>
  <c r="BW20" i="176"/>
  <c r="BW20" i="170"/>
  <c r="BA20" i="170"/>
  <c r="BB20" i="170"/>
  <c r="AN180" i="257" s="1" a="1"/>
  <c r="AN180" i="257" s="1"/>
  <c r="BG20" i="170"/>
  <c r="BK20" i="170"/>
  <c r="BN20" i="170" s="1"/>
  <c r="BB20" i="175"/>
  <c r="AN228" i="257" s="1" a="1"/>
  <c r="AN228" i="257" s="1"/>
  <c r="BG20" i="175"/>
  <c r="BK20" i="175"/>
  <c r="BN20" i="175" s="1"/>
  <c r="BW20" i="175"/>
  <c r="BA20" i="175"/>
  <c r="BW22" i="175"/>
  <c r="BA22" i="175"/>
  <c r="BB22" i="175"/>
  <c r="AN229" i="257" s="1" a="1"/>
  <c r="AN229" i="257" s="1"/>
  <c r="BG22" i="175"/>
  <c r="BK22" i="175"/>
  <c r="BN22" i="175" s="1"/>
  <c r="BW22" i="170"/>
  <c r="BB22" i="170"/>
  <c r="AN181" i="257" s="1" a="1"/>
  <c r="AN181" i="257" s="1"/>
  <c r="BG22" i="170"/>
  <c r="BA22" i="170"/>
  <c r="BK22" i="170"/>
  <c r="BN22" i="170" s="1"/>
  <c r="AR20" i="170"/>
  <c r="AR18" i="175"/>
  <c r="AA227" i="257" s="1" a="1"/>
  <c r="AA227" i="257" s="1"/>
  <c r="AR20" i="175"/>
  <c r="AR22" i="170"/>
  <c r="AR18" i="176"/>
  <c r="AA243" i="257" s="1" a="1"/>
  <c r="AA243" i="257" s="1"/>
  <c r="AR22" i="175"/>
  <c r="AR20" i="176"/>
  <c r="AR18" i="13"/>
  <c r="AA211" i="257" s="1" a="1"/>
  <c r="AA211" i="257" s="1"/>
  <c r="AO18" i="13"/>
  <c r="AO18" i="171"/>
  <c r="AR18" i="171"/>
  <c r="AA195" i="257" s="1" a="1"/>
  <c r="AA195" i="257" s="1"/>
  <c r="BA18" i="13"/>
  <c r="BK18" i="13"/>
  <c r="BN18" i="13" s="1"/>
  <c r="J211" i="257" s="1"/>
  <c r="BG18" i="13"/>
  <c r="BW18" i="13"/>
  <c r="C211" i="257" s="1" a="1"/>
  <c r="C211" i="257" s="1"/>
  <c r="F211" i="257" s="1" a="1"/>
  <c r="F211" i="257" s="1"/>
  <c r="BB18" i="13"/>
  <c r="AN211" i="257" s="1" a="1"/>
  <c r="AN211" i="257" s="1"/>
  <c r="BA18" i="171"/>
  <c r="BG18" i="171"/>
  <c r="BB18" i="171"/>
  <c r="AN195" i="257" s="1" a="1"/>
  <c r="AN195" i="257" s="1"/>
  <c r="BW18" i="171"/>
  <c r="C195" i="257" s="1" a="1"/>
  <c r="C195" i="257" s="1"/>
  <c r="F195" i="257" s="1" a="1"/>
  <c r="F195" i="257" s="1"/>
  <c r="BK18" i="171"/>
  <c r="BN18" i="171" s="1"/>
  <c r="J195" i="257" s="1"/>
  <c r="BR30" i="109"/>
  <c r="BQ30" i="109"/>
  <c r="BP30" i="109"/>
  <c r="BO30" i="109"/>
  <c r="BN30" i="109"/>
  <c r="BM30" i="109"/>
  <c r="BL30" i="109"/>
  <c r="BK30" i="109"/>
  <c r="BJ30" i="109"/>
  <c r="BR23" i="109"/>
  <c r="BQ23" i="109"/>
  <c r="BP23" i="109"/>
  <c r="BO23" i="109"/>
  <c r="BN23" i="109"/>
  <c r="BM23" i="109"/>
  <c r="BL23" i="109"/>
  <c r="BK23" i="109"/>
  <c r="BJ23" i="109"/>
  <c r="BK16" i="109"/>
  <c r="BL16" i="109"/>
  <c r="BM16" i="109"/>
  <c r="BN16" i="109"/>
  <c r="BO16" i="109"/>
  <c r="BP16" i="109"/>
  <c r="BQ16" i="109"/>
  <c r="BR16" i="109"/>
  <c r="BJ16" i="109"/>
  <c r="Y202" i="152"/>
  <c r="BR18" i="167" l="1"/>
  <c r="BE18" i="13"/>
  <c r="BD18" i="13" s="1"/>
  <c r="L211" i="257" s="1"/>
  <c r="AM211" i="257" a="1"/>
  <c r="AM211" i="257" s="1"/>
  <c r="AM244" i="257" a="1"/>
  <c r="AM244" i="257" s="1"/>
  <c r="BE20" i="176"/>
  <c r="BD20" i="176" s="1"/>
  <c r="L244" i="257" s="1"/>
  <c r="BE22" i="170"/>
  <c r="BD22" i="170" s="1"/>
  <c r="L181" i="257" s="1"/>
  <c r="AM181" i="257" a="1"/>
  <c r="AM181" i="257" s="1"/>
  <c r="BE20" i="175"/>
  <c r="BD20" i="175" s="1"/>
  <c r="L228" i="257" s="1"/>
  <c r="AM228" i="257" a="1"/>
  <c r="AM228" i="257" s="1"/>
  <c r="BE22" i="175"/>
  <c r="BD22" i="175" s="1"/>
  <c r="L229" i="257" s="1"/>
  <c r="AM229" i="257" a="1"/>
  <c r="AM229" i="257" s="1"/>
  <c r="AM195" i="257" a="1"/>
  <c r="AM195" i="257" s="1"/>
  <c r="BE18" i="171"/>
  <c r="BD18" i="171" s="1"/>
  <c r="L195" i="257" s="1"/>
  <c r="BE20" i="170"/>
  <c r="BD20" i="170" s="1"/>
  <c r="L180" i="257" s="1"/>
  <c r="AM180" i="257" a="1"/>
  <c r="AM180" i="257" s="1"/>
  <c r="BY22" i="170"/>
  <c r="BY20" i="170"/>
  <c r="BY22" i="175"/>
  <c r="BY20" i="175"/>
  <c r="BY20" i="176"/>
  <c r="AA244" i="257" a="1"/>
  <c r="AA244" i="257" s="1"/>
  <c r="AA229" i="257" a="1"/>
  <c r="AA229" i="257" s="1"/>
  <c r="AA228" i="257" a="1"/>
  <c r="AA228" i="257" s="1"/>
  <c r="AA181" i="257" a="1"/>
  <c r="AA181" i="257" s="1"/>
  <c r="AA180" i="257" a="1"/>
  <c r="AA180" i="257" s="1"/>
  <c r="BY18" i="171"/>
  <c r="BY18" i="13"/>
  <c r="B195" i="257" l="1"/>
  <c r="B211" i="257"/>
  <c r="BB211" i="257"/>
  <c r="BB195" i="257"/>
  <c r="AS211" i="257" l="1"/>
  <c r="AS195" i="257"/>
  <c r="AE211" i="257"/>
  <c r="AR211" i="257"/>
  <c r="AE195" i="257"/>
  <c r="AR195" i="257"/>
  <c r="AC211" i="257" a="1"/>
  <c r="AC211" i="257" s="1"/>
  <c r="AD211" i="257" a="1"/>
  <c r="AD211" i="257" s="1"/>
  <c r="AC195" i="257" a="1"/>
  <c r="AC195" i="257" s="1"/>
  <c r="AD195" i="257" a="1"/>
  <c r="AD195" i="257" s="1"/>
  <c r="AF211" i="257"/>
  <c r="AG211" i="257" a="1"/>
  <c r="AG211" i="257" s="1"/>
  <c r="AF195" i="257"/>
  <c r="AG195" i="257" a="1"/>
  <c r="AG195" i="257" s="1"/>
  <c r="AQ211" i="257"/>
  <c r="AP211" i="257"/>
  <c r="BA211" i="257"/>
  <c r="AL211" i="257" s="1"/>
  <c r="AZ211" i="257"/>
  <c r="AY211" i="257"/>
  <c r="AQ195" i="257"/>
  <c r="AP195" i="257"/>
  <c r="BA195" i="257"/>
  <c r="AL195" i="257" s="1"/>
  <c r="AZ195" i="257"/>
  <c r="AY195" i="257"/>
  <c r="AJ211" i="257" l="1"/>
  <c r="AK211" i="257"/>
  <c r="AJ195" i="257"/>
  <c r="AK195" i="257"/>
  <c r="D164" i="3" l="1"/>
  <c r="B77" i="3"/>
  <c r="T24" i="158" l="1"/>
  <c r="X7" i="257" l="1"/>
  <c r="CB18" i="161"/>
  <c r="BF18" i="159"/>
  <c r="AL35" i="257" s="1"/>
  <c r="AL36" i="257"/>
  <c r="AL37" i="257"/>
  <c r="AL38" i="257"/>
  <c r="AL39" i="257"/>
  <c r="AL40" i="257"/>
  <c r="AL41" i="257"/>
  <c r="AL42" i="257"/>
  <c r="AL43" i="257"/>
  <c r="AL44" i="257"/>
  <c r="AJ36" i="257"/>
  <c r="AJ37" i="257"/>
  <c r="AJ38" i="257"/>
  <c r="AJ39" i="257"/>
  <c r="AJ40" i="257"/>
  <c r="AJ41" i="257"/>
  <c r="AJ42" i="257"/>
  <c r="AJ43" i="257"/>
  <c r="AJ44" i="257"/>
  <c r="BE18" i="159"/>
  <c r="AJ35" i="257" s="1"/>
  <c r="BF200" i="175" l="1"/>
  <c r="BF200" i="170"/>
  <c r="BF200" i="169"/>
  <c r="BF200" i="168"/>
  <c r="W51" i="81"/>
  <c r="W50" i="81"/>
  <c r="W49" i="81"/>
  <c r="AB48" i="81"/>
  <c r="W48" i="81"/>
  <c r="AD53" i="81"/>
  <c r="AB53" i="81"/>
  <c r="W53" i="81"/>
  <c r="W52" i="81"/>
  <c r="W47" i="81"/>
  <c r="J137" i="202" l="1"/>
  <c r="K137" i="202" s="1"/>
  <c r="J136" i="202"/>
  <c r="S228" i="257" l="1"/>
  <c r="I228" i="257"/>
  <c r="S229" i="257"/>
  <c r="I229" i="257"/>
  <c r="S230" i="257"/>
  <c r="I230" i="257"/>
  <c r="S231" i="257"/>
  <c r="I231" i="257"/>
  <c r="S232" i="257"/>
  <c r="I232" i="257"/>
  <c r="S233" i="257"/>
  <c r="I233" i="257"/>
  <c r="S234" i="257"/>
  <c r="I234" i="257"/>
  <c r="S235" i="257"/>
  <c r="I235" i="257"/>
  <c r="S236" i="257"/>
  <c r="I236" i="257"/>
  <c r="H229" i="257" l="1"/>
  <c r="H234" i="257"/>
  <c r="H228" i="257"/>
  <c r="H231" i="257"/>
  <c r="H230" i="257"/>
  <c r="H232" i="257"/>
  <c r="H236" i="257"/>
  <c r="H235" i="257"/>
  <c r="H233" i="257"/>
  <c r="T30" i="161"/>
  <c r="T32" i="161"/>
  <c r="T34" i="161"/>
  <c r="T36" i="161"/>
  <c r="T38" i="161"/>
  <c r="T40" i="161"/>
  <c r="T42" i="161"/>
  <c r="T44" i="161"/>
  <c r="T46" i="161"/>
  <c r="T48" i="161"/>
  <c r="T50" i="161"/>
  <c r="T52" i="161"/>
  <c r="T54" i="161"/>
  <c r="T56" i="161"/>
  <c r="T58" i="161"/>
  <c r="T60" i="161"/>
  <c r="T62" i="161"/>
  <c r="T64" i="161"/>
  <c r="T66" i="161"/>
  <c r="T68" i="161"/>
  <c r="T70" i="161"/>
  <c r="T72" i="161"/>
  <c r="T74" i="161"/>
  <c r="T76" i="161"/>
  <c r="T78" i="161"/>
  <c r="T80" i="161"/>
  <c r="T82" i="161"/>
  <c r="T84" i="161"/>
  <c r="O22" i="167"/>
  <c r="BW22" i="167" s="1" a="1"/>
  <c r="BW22" i="167" s="1"/>
  <c r="O24" i="167"/>
  <c r="BW24" i="167" s="1" a="1"/>
  <c r="BW24" i="167" s="1"/>
  <c r="O26" i="167"/>
  <c r="BW26" i="167" s="1" a="1"/>
  <c r="BW26" i="167" s="1"/>
  <c r="O28" i="167"/>
  <c r="BW28" i="167" s="1" a="1"/>
  <c r="BW28" i="167" s="1"/>
  <c r="O30" i="167"/>
  <c r="BW30" i="167" s="1" a="1"/>
  <c r="BW30" i="167" s="1"/>
  <c r="O32" i="167"/>
  <c r="BW32" i="167" s="1" a="1"/>
  <c r="BW32" i="167" s="1"/>
  <c r="O34" i="167"/>
  <c r="BW34" i="167" s="1" a="1"/>
  <c r="BW34" i="167" s="1"/>
  <c r="O36" i="167"/>
  <c r="BW36" i="167" s="1" a="1"/>
  <c r="BW36" i="167" s="1"/>
  <c r="O38" i="167"/>
  <c r="BW38" i="167" s="1" a="1"/>
  <c r="BW38" i="167" s="1"/>
  <c r="O40" i="167"/>
  <c r="BW40" i="167" s="1" a="1"/>
  <c r="BW40" i="167" s="1"/>
  <c r="O42" i="167"/>
  <c r="BW42" i="167" s="1" a="1"/>
  <c r="BW42" i="167" s="1"/>
  <c r="O44" i="167"/>
  <c r="BW44" i="167" s="1" a="1"/>
  <c r="BW44" i="167" s="1"/>
  <c r="O46" i="167"/>
  <c r="BW46" i="167" s="1" a="1"/>
  <c r="BW46" i="167" s="1"/>
  <c r="O48" i="167"/>
  <c r="BW48" i="167" s="1" a="1"/>
  <c r="BW48" i="167" s="1"/>
  <c r="O50" i="167"/>
  <c r="BW50" i="167" s="1" a="1"/>
  <c r="BW50" i="167" s="1"/>
  <c r="O52" i="167"/>
  <c r="BW52" i="167" s="1" a="1"/>
  <c r="BW52" i="167" s="1"/>
  <c r="O54" i="167"/>
  <c r="BW54" i="167" s="1" a="1"/>
  <c r="BW54" i="167" s="1"/>
  <c r="O56" i="167"/>
  <c r="BW56" i="167" s="1" a="1"/>
  <c r="BW56" i="167" s="1"/>
  <c r="O58" i="167"/>
  <c r="BW58" i="167" s="1" a="1"/>
  <c r="BW58" i="167" s="1"/>
  <c r="O60" i="167"/>
  <c r="BW60" i="167" s="1" a="1"/>
  <c r="BW60" i="167" s="1"/>
  <c r="O62" i="167"/>
  <c r="BW62" i="167" s="1" a="1"/>
  <c r="BW62" i="167" s="1"/>
  <c r="O64" i="167"/>
  <c r="BW64" i="167" s="1" a="1"/>
  <c r="BW64" i="167" s="1"/>
  <c r="O66" i="167"/>
  <c r="BW66" i="167" s="1" a="1"/>
  <c r="BW66" i="167" s="1"/>
  <c r="O68" i="167"/>
  <c r="BW68" i="167" s="1" a="1"/>
  <c r="BW68" i="167" s="1"/>
  <c r="O70" i="167"/>
  <c r="BW70" i="167" s="1" a="1"/>
  <c r="BW70" i="167" s="1"/>
  <c r="O72" i="167"/>
  <c r="BW72" i="167" s="1" a="1"/>
  <c r="BW72" i="167" s="1"/>
  <c r="O74" i="167"/>
  <c r="BW74" i="167" s="1" a="1"/>
  <c r="BW74" i="167" s="1"/>
  <c r="O76" i="167"/>
  <c r="BW76" i="167" s="1" a="1"/>
  <c r="BW76" i="167" s="1"/>
  <c r="R24" i="158"/>
  <c r="R26" i="158"/>
  <c r="T26" i="158"/>
  <c r="T28" i="158"/>
  <c r="T30" i="158"/>
  <c r="R32" i="158"/>
  <c r="T32" i="158"/>
  <c r="R34" i="158"/>
  <c r="T34" i="158"/>
  <c r="R36" i="158"/>
  <c r="T36" i="158"/>
  <c r="R38" i="158"/>
  <c r="T38" i="158"/>
  <c r="R40" i="158"/>
  <c r="T40" i="158"/>
  <c r="R42" i="158"/>
  <c r="T42" i="158"/>
  <c r="R44" i="158"/>
  <c r="T44" i="158"/>
  <c r="R46" i="158"/>
  <c r="T46" i="158"/>
  <c r="R48" i="158"/>
  <c r="T48" i="158"/>
  <c r="R50" i="158"/>
  <c r="T50" i="158"/>
  <c r="R52" i="158"/>
  <c r="T52" i="158"/>
  <c r="R54" i="158"/>
  <c r="T54" i="158"/>
  <c r="R56" i="158"/>
  <c r="T56" i="158"/>
  <c r="R58" i="158"/>
  <c r="T58" i="158"/>
  <c r="R60" i="158"/>
  <c r="T60" i="158"/>
  <c r="R62" i="158"/>
  <c r="T62" i="158"/>
  <c r="R64" i="158"/>
  <c r="T64" i="158"/>
  <c r="R66" i="158"/>
  <c r="T66" i="158"/>
  <c r="R68" i="158"/>
  <c r="T68" i="158"/>
  <c r="R70" i="158"/>
  <c r="T70" i="158"/>
  <c r="R72" i="158"/>
  <c r="T72" i="158"/>
  <c r="R74" i="158"/>
  <c r="T74" i="158"/>
  <c r="BI32" i="158" l="1" a="1"/>
  <c r="BI32" i="158" s="1"/>
  <c r="BH32" i="158" a="1"/>
  <c r="BH32" i="158" s="1"/>
  <c r="BH44" i="158" a="1"/>
  <c r="BH44" i="158" s="1"/>
  <c r="BI44" i="158" a="1"/>
  <c r="BI44" i="158" s="1"/>
  <c r="BI54" i="158" a="1"/>
  <c r="BI54" i="158" s="1"/>
  <c r="BH54" i="158" a="1"/>
  <c r="BH54" i="158" s="1"/>
  <c r="BI42" i="158" a="1"/>
  <c r="BI42" i="158" s="1"/>
  <c r="BH42" i="158" a="1"/>
  <c r="BH42" i="158" s="1"/>
  <c r="BI64" i="158" a="1"/>
  <c r="BI64" i="158" s="1"/>
  <c r="BH64" i="158" a="1"/>
  <c r="BH64" i="158" s="1"/>
  <c r="BI52" i="158" a="1"/>
  <c r="BI52" i="158" s="1"/>
  <c r="BH52" i="158" a="1"/>
  <c r="BH52" i="158" s="1"/>
  <c r="BI40" i="158" a="1"/>
  <c r="BI40" i="158" s="1"/>
  <c r="BH40" i="158" a="1"/>
  <c r="BH40" i="158" s="1"/>
  <c r="BH26" i="158" a="1"/>
  <c r="BH26" i="158" s="1"/>
  <c r="BI26" i="158" a="1"/>
  <c r="BI26" i="158" s="1"/>
  <c r="BH24" i="158" a="1"/>
  <c r="BH24" i="158" s="1"/>
  <c r="BI24" i="158" a="1"/>
  <c r="BI24" i="158" s="1"/>
  <c r="BI66" i="158" a="1"/>
  <c r="BI66" i="158" s="1"/>
  <c r="BH66" i="158" a="1"/>
  <c r="BH66" i="158" s="1"/>
  <c r="BH62" i="158" a="1"/>
  <c r="BH62" i="158" s="1"/>
  <c r="BI62" i="158" a="1"/>
  <c r="BI62" i="158" s="1"/>
  <c r="BH38" i="158" a="1"/>
  <c r="BH38" i="158" s="1"/>
  <c r="BI38" i="158" a="1"/>
  <c r="BI38" i="158" s="1"/>
  <c r="BI56" i="158" a="1"/>
  <c r="BI56" i="158" s="1"/>
  <c r="BH56" i="158" a="1"/>
  <c r="BH56" i="158" s="1"/>
  <c r="BH74" i="158" a="1"/>
  <c r="BH74" i="158" s="1"/>
  <c r="BI74" i="158" a="1"/>
  <c r="BI74" i="158" s="1"/>
  <c r="BH50" i="158" a="1"/>
  <c r="BH50" i="158" s="1"/>
  <c r="BI50" i="158" a="1"/>
  <c r="BI50" i="158" s="1"/>
  <c r="BH60" i="158" a="1"/>
  <c r="BH60" i="158" s="1"/>
  <c r="BI60" i="158" a="1"/>
  <c r="BI60" i="158" s="1"/>
  <c r="BH48" i="158" a="1"/>
  <c r="BH48" i="158" s="1"/>
  <c r="BI48" i="158" a="1"/>
  <c r="BI48" i="158" s="1"/>
  <c r="BH36" i="158" a="1"/>
  <c r="BH36" i="158" s="1"/>
  <c r="BI36" i="158" a="1"/>
  <c r="BI36" i="158" s="1"/>
  <c r="BH68" i="158" a="1"/>
  <c r="BH68" i="158" s="1"/>
  <c r="BI68" i="158" a="1"/>
  <c r="BI68" i="158" s="1"/>
  <c r="BH72" i="158" a="1"/>
  <c r="BH72" i="158" s="1"/>
  <c r="BI72" i="158" a="1"/>
  <c r="BI72" i="158" s="1"/>
  <c r="BI70" i="158" a="1"/>
  <c r="BI70" i="158" s="1"/>
  <c r="BH70" i="158" a="1"/>
  <c r="BH70" i="158" s="1"/>
  <c r="BI58" i="158" a="1"/>
  <c r="BI58" i="158" s="1"/>
  <c r="BH58" i="158" a="1"/>
  <c r="BH58" i="158" s="1"/>
  <c r="BH46" i="158" a="1"/>
  <c r="BH46" i="158" s="1"/>
  <c r="BI46" i="158" a="1"/>
  <c r="BI46" i="158" s="1"/>
  <c r="BI34" i="158" a="1"/>
  <c r="BI34" i="158" s="1"/>
  <c r="BH34" i="158" a="1"/>
  <c r="BH34" i="158" s="1"/>
  <c r="BH42" i="161"/>
  <c r="BI42" i="161"/>
  <c r="BK42" i="161"/>
  <c r="BN42" i="161" s="1"/>
  <c r="BW42" i="161"/>
  <c r="BY42" i="161"/>
  <c r="AX42" i="161"/>
  <c r="BC42" i="161"/>
  <c r="BD42" i="161"/>
  <c r="BH40" i="161"/>
  <c r="BI40" i="161"/>
  <c r="BK40" i="161"/>
  <c r="BN40" i="161" s="1"/>
  <c r="BW40" i="161"/>
  <c r="BY40" i="161"/>
  <c r="AX40" i="161"/>
  <c r="BC40" i="161"/>
  <c r="BD40" i="161"/>
  <c r="BH38" i="161"/>
  <c r="BI38" i="161"/>
  <c r="BK38" i="161"/>
  <c r="BN38" i="161" s="1"/>
  <c r="BW38" i="161"/>
  <c r="BY38" i="161"/>
  <c r="AX38" i="161"/>
  <c r="BD38" i="161"/>
  <c r="BC38" i="161"/>
  <c r="BH72" i="161"/>
  <c r="BI72" i="161"/>
  <c r="BK72" i="161"/>
  <c r="BN72" i="161" s="1"/>
  <c r="BW72" i="161"/>
  <c r="BY72" i="161"/>
  <c r="AX72" i="161"/>
  <c r="BC72" i="161"/>
  <c r="BD72" i="161"/>
  <c r="BH36" i="161"/>
  <c r="BI36" i="161"/>
  <c r="BK36" i="161"/>
  <c r="BN36" i="161" s="1"/>
  <c r="BW36" i="161"/>
  <c r="BY36" i="161"/>
  <c r="AX36" i="161"/>
  <c r="BC36" i="161"/>
  <c r="BD36" i="161"/>
  <c r="BK42" i="167"/>
  <c r="BN42" i="167" s="1"/>
  <c r="C128" i="257" a="1"/>
  <c r="C128" i="257" s="1"/>
  <c r="F128" i="257" s="1" a="1"/>
  <c r="F128" i="257" s="1"/>
  <c r="BA42" i="167"/>
  <c r="BB42" i="167"/>
  <c r="AN128" i="257" s="1" a="1"/>
  <c r="AN128" i="257" s="1"/>
  <c r="BF42" i="167"/>
  <c r="BG42" i="167"/>
  <c r="BH34" i="161"/>
  <c r="BI34" i="161"/>
  <c r="BK34" i="161"/>
  <c r="BN34" i="161" s="1"/>
  <c r="BW34" i="161"/>
  <c r="BY34" i="161"/>
  <c r="AX34" i="161"/>
  <c r="BD34" i="161"/>
  <c r="BC34" i="161"/>
  <c r="BA40" i="167"/>
  <c r="BB40" i="167"/>
  <c r="AN127" i="257" s="1" a="1"/>
  <c r="AN127" i="257" s="1"/>
  <c r="BF40" i="167"/>
  <c r="BG40" i="167"/>
  <c r="BK40" i="167"/>
  <c r="BN40" i="167" s="1"/>
  <c r="BA32" i="167"/>
  <c r="BB32" i="167"/>
  <c r="AN123" i="257" s="1" a="1"/>
  <c r="AN123" i="257" s="1"/>
  <c r="BF32" i="167"/>
  <c r="BG32" i="167"/>
  <c r="BK32" i="167"/>
  <c r="BN32" i="167" s="1"/>
  <c r="BH64" i="161"/>
  <c r="BI64" i="161"/>
  <c r="BK64" i="161"/>
  <c r="BN64" i="161" s="1"/>
  <c r="BW64" i="161"/>
  <c r="BY64" i="161"/>
  <c r="AX64" i="161"/>
  <c r="BC64" i="161"/>
  <c r="BD64" i="161"/>
  <c r="BH32" i="161"/>
  <c r="BI32" i="161"/>
  <c r="BK32" i="161"/>
  <c r="BN32" i="161" s="1"/>
  <c r="BW32" i="161"/>
  <c r="BY32" i="161"/>
  <c r="AX32" i="161"/>
  <c r="BC32" i="161"/>
  <c r="BD32" i="161"/>
  <c r="BA74" i="167"/>
  <c r="BB74" i="167"/>
  <c r="AN144" i="257" s="1" a="1"/>
  <c r="AN144" i="257" s="1"/>
  <c r="BF74" i="167"/>
  <c r="BG74" i="167"/>
  <c r="BK74" i="167"/>
  <c r="BN74" i="167" s="1"/>
  <c r="BA38" i="167"/>
  <c r="BB38" i="167"/>
  <c r="AN126" i="257" s="1" a="1"/>
  <c r="AN126" i="257" s="1"/>
  <c r="BF38" i="167"/>
  <c r="BG38" i="167"/>
  <c r="BK38" i="167"/>
  <c r="BN38" i="167" s="1"/>
  <c r="BA66" i="167"/>
  <c r="BB66" i="167"/>
  <c r="AN140" i="257" s="1" a="1"/>
  <c r="AN140" i="257" s="1"/>
  <c r="BF66" i="167"/>
  <c r="BG66" i="167"/>
  <c r="BK66" i="167"/>
  <c r="BN66" i="167" s="1"/>
  <c r="BK50" i="158"/>
  <c r="BN50" i="158" s="1"/>
  <c r="BW50" i="158"/>
  <c r="AX50" i="158"/>
  <c r="BA50" i="158"/>
  <c r="BY50" i="158"/>
  <c r="BB50" i="158"/>
  <c r="BC50" i="158"/>
  <c r="BD50" i="158"/>
  <c r="L20" i="257" s="1"/>
  <c r="BE50" i="158"/>
  <c r="BF50" i="158"/>
  <c r="AL20" i="257" s="1"/>
  <c r="BH60" i="161"/>
  <c r="BI60" i="161"/>
  <c r="BK60" i="161"/>
  <c r="BN60" i="161" s="1"/>
  <c r="BW60" i="161"/>
  <c r="BY60" i="161"/>
  <c r="AX60" i="161"/>
  <c r="BC60" i="161"/>
  <c r="BD60" i="161"/>
  <c r="BE56" i="158"/>
  <c r="BF56" i="158"/>
  <c r="AL23" i="257" s="1"/>
  <c r="BD56" i="158"/>
  <c r="L23" i="257" s="1"/>
  <c r="BK56" i="158"/>
  <c r="BN56" i="158" s="1"/>
  <c r="BW56" i="158"/>
  <c r="BC56" i="158"/>
  <c r="AX56" i="158"/>
  <c r="BA56" i="158"/>
  <c r="BY56" i="158"/>
  <c r="BB56" i="158"/>
  <c r="BB38" i="158"/>
  <c r="BC38" i="158"/>
  <c r="BY38" i="158"/>
  <c r="BW38" i="158"/>
  <c r="AX38" i="158"/>
  <c r="BA38" i="158"/>
  <c r="BD38" i="158"/>
  <c r="L14" i="257" s="1"/>
  <c r="BE38" i="158"/>
  <c r="BF38" i="158"/>
  <c r="AL14" i="257" s="1"/>
  <c r="BK38" i="158"/>
  <c r="BN38" i="158" s="1"/>
  <c r="BB66" i="158"/>
  <c r="BC66" i="158"/>
  <c r="BY66" i="158"/>
  <c r="BA66" i="158"/>
  <c r="BD66" i="158"/>
  <c r="L28" i="257" s="1"/>
  <c r="BE66" i="158"/>
  <c r="BF66" i="158"/>
  <c r="AL28" i="257" s="1"/>
  <c r="BK66" i="158"/>
  <c r="BN66" i="158" s="1"/>
  <c r="AX66" i="158"/>
  <c r="BW66" i="158"/>
  <c r="BF26" i="167"/>
  <c r="BG26" i="167"/>
  <c r="BK26" i="167"/>
  <c r="BN26" i="167" s="1"/>
  <c r="BA26" i="167"/>
  <c r="BB26" i="167"/>
  <c r="AN120" i="257" s="1" a="1"/>
  <c r="AN120" i="257" s="1"/>
  <c r="BH58" i="161"/>
  <c r="BI58" i="161"/>
  <c r="BK58" i="161"/>
  <c r="BN58" i="161" s="1"/>
  <c r="BW58" i="161"/>
  <c r="BY58" i="161"/>
  <c r="AX58" i="161"/>
  <c r="BC58" i="161"/>
  <c r="BD58" i="161"/>
  <c r="AX40" i="158"/>
  <c r="BY40" i="158"/>
  <c r="BA40" i="158"/>
  <c r="BF40" i="158"/>
  <c r="AL15" i="257" s="1"/>
  <c r="BB40" i="158"/>
  <c r="BC40" i="158"/>
  <c r="BD40" i="158"/>
  <c r="L15" i="257" s="1"/>
  <c r="BE40" i="158"/>
  <c r="BK40" i="158"/>
  <c r="BN40" i="158" s="1"/>
  <c r="BW40" i="158"/>
  <c r="BE54" i="158"/>
  <c r="BK54" i="158"/>
  <c r="BN54" i="158" s="1"/>
  <c r="BF54" i="158"/>
  <c r="BW54" i="158"/>
  <c r="AX54" i="158"/>
  <c r="BA54" i="158"/>
  <c r="BY54" i="158"/>
  <c r="BB54" i="158"/>
  <c r="BC54" i="158"/>
  <c r="BD54" i="158"/>
  <c r="L22" i="257" s="1"/>
  <c r="BK52" i="158"/>
  <c r="BN52" i="158" s="1"/>
  <c r="BW52" i="158"/>
  <c r="AX52" i="158"/>
  <c r="BA52" i="158"/>
  <c r="BY52" i="158"/>
  <c r="BB52" i="158"/>
  <c r="BC52" i="158"/>
  <c r="BD52" i="158"/>
  <c r="L21" i="257" s="1"/>
  <c r="BE52" i="158"/>
  <c r="BF52" i="158"/>
  <c r="AL21" i="257" s="1"/>
  <c r="BW48" i="158"/>
  <c r="BY48" i="158"/>
  <c r="AX48" i="158"/>
  <c r="BA48" i="158"/>
  <c r="BB48" i="158"/>
  <c r="BC48" i="158"/>
  <c r="BD48" i="158"/>
  <c r="L19" i="257" s="1"/>
  <c r="BE48" i="158"/>
  <c r="BF48" i="158"/>
  <c r="AL19" i="257" s="1"/>
  <c r="BK48" i="158"/>
  <c r="BN48" i="158" s="1"/>
  <c r="BA24" i="167"/>
  <c r="BB24" i="167"/>
  <c r="AN119" i="257" s="1" a="1"/>
  <c r="AN119" i="257" s="1"/>
  <c r="BF24" i="167"/>
  <c r="BG24" i="167"/>
  <c r="BK24" i="167"/>
  <c r="BN24" i="167" s="1"/>
  <c r="BH56" i="161"/>
  <c r="BI56" i="161"/>
  <c r="BK56" i="161"/>
  <c r="BN56" i="161" s="1"/>
  <c r="BW56" i="161"/>
  <c r="BY56" i="161"/>
  <c r="AX56" i="161"/>
  <c r="BC56" i="161"/>
  <c r="BD56" i="161"/>
  <c r="BH74" i="161"/>
  <c r="BI74" i="161"/>
  <c r="BK74" i="161"/>
  <c r="BN74" i="161" s="1"/>
  <c r="BW74" i="161"/>
  <c r="BY74" i="161"/>
  <c r="AX74" i="161"/>
  <c r="BC74" i="161"/>
  <c r="BD74" i="161"/>
  <c r="BA68" i="167"/>
  <c r="BB68" i="167"/>
  <c r="AN141" i="257" s="1" a="1"/>
  <c r="AN141" i="257" s="1"/>
  <c r="BF68" i="167"/>
  <c r="BG68" i="167"/>
  <c r="BK68" i="167"/>
  <c r="BN68" i="167" s="1"/>
  <c r="BH66" i="161"/>
  <c r="BI66" i="161"/>
  <c r="BK66" i="161"/>
  <c r="BN66" i="161" s="1"/>
  <c r="BW66" i="161"/>
  <c r="BY66" i="161"/>
  <c r="AX66" i="161"/>
  <c r="BD66" i="161"/>
  <c r="BC66" i="161"/>
  <c r="BH62" i="161"/>
  <c r="BI62" i="161"/>
  <c r="BK62" i="161"/>
  <c r="BN62" i="161" s="1"/>
  <c r="BW62" i="161"/>
  <c r="BY62" i="161"/>
  <c r="AX62" i="161"/>
  <c r="BC62" i="161"/>
  <c r="BD62" i="161"/>
  <c r="BF32" i="158"/>
  <c r="AL11" i="257" s="1"/>
  <c r="BW32" i="158"/>
  <c r="BA32" i="158"/>
  <c r="BY32" i="158"/>
  <c r="AX32" i="158"/>
  <c r="BB32" i="158"/>
  <c r="BC32" i="158"/>
  <c r="BD32" i="158"/>
  <c r="L11" i="257" s="1"/>
  <c r="BE32" i="158"/>
  <c r="BK32" i="158"/>
  <c r="BN32" i="158" s="1"/>
  <c r="BA54" i="167"/>
  <c r="BB54" i="167"/>
  <c r="AN134" i="257" s="1" a="1"/>
  <c r="AN134" i="257" s="1"/>
  <c r="BF54" i="167"/>
  <c r="BG54" i="167"/>
  <c r="BK54" i="167"/>
  <c r="BN54" i="167" s="1"/>
  <c r="BA22" i="167"/>
  <c r="BB22" i="167"/>
  <c r="AN118" i="257" s="1" a="1"/>
  <c r="AN118" i="257" s="1"/>
  <c r="BF22" i="167"/>
  <c r="BG22" i="167"/>
  <c r="BK22" i="167"/>
  <c r="BN22" i="167" s="1"/>
  <c r="BH54" i="161"/>
  <c r="BI54" i="161"/>
  <c r="BK54" i="161"/>
  <c r="BN54" i="161" s="1"/>
  <c r="BW54" i="161"/>
  <c r="BY54" i="161"/>
  <c r="AX54" i="161"/>
  <c r="BC54" i="161"/>
  <c r="BD54" i="161"/>
  <c r="BH70" i="161"/>
  <c r="BI70" i="161"/>
  <c r="BK70" i="161"/>
  <c r="BN70" i="161" s="1"/>
  <c r="BW70" i="161"/>
  <c r="BY70" i="161"/>
  <c r="AX70" i="161"/>
  <c r="BD70" i="161"/>
  <c r="BC70" i="161"/>
  <c r="BD36" i="158"/>
  <c r="L13" i="257" s="1"/>
  <c r="BE36" i="158"/>
  <c r="BK36" i="158"/>
  <c r="BN36" i="158" s="1"/>
  <c r="BW36" i="158"/>
  <c r="BY36" i="158"/>
  <c r="AX36" i="158"/>
  <c r="BA36" i="158"/>
  <c r="BB36" i="158"/>
  <c r="BC36" i="158"/>
  <c r="BF36" i="158"/>
  <c r="AL13" i="257" s="1"/>
  <c r="BA64" i="167"/>
  <c r="BB64" i="167"/>
  <c r="AN139" i="257" s="1" a="1"/>
  <c r="AN139" i="257" s="1"/>
  <c r="BF64" i="167"/>
  <c r="BG64" i="167"/>
  <c r="BK64" i="167"/>
  <c r="BN64" i="167" s="1"/>
  <c r="BG62" i="167"/>
  <c r="BK62" i="167"/>
  <c r="BN62" i="167" s="1"/>
  <c r="C138" i="257" a="1"/>
  <c r="C138" i="257" s="1"/>
  <c r="F138" i="257" s="1" a="1"/>
  <c r="F138" i="257" s="1"/>
  <c r="BA62" i="167"/>
  <c r="BB62" i="167"/>
  <c r="AN138" i="257" s="1" a="1"/>
  <c r="AN138" i="257" s="1"/>
  <c r="BF62" i="167"/>
  <c r="BE34" i="158"/>
  <c r="BF34" i="158"/>
  <c r="AL12" i="257" s="1"/>
  <c r="BK34" i="158"/>
  <c r="BN34" i="158" s="1"/>
  <c r="AX34" i="158"/>
  <c r="BY34" i="158"/>
  <c r="BB34" i="158"/>
  <c r="BC34" i="158"/>
  <c r="BA34" i="158"/>
  <c r="BD34" i="158"/>
  <c r="L12" i="257" s="1"/>
  <c r="BW34" i="158"/>
  <c r="BW46" i="158"/>
  <c r="BY46" i="158"/>
  <c r="AX46" i="158"/>
  <c r="BA46" i="158"/>
  <c r="BK46" i="158"/>
  <c r="BN46" i="158" s="1"/>
  <c r="BB46" i="158"/>
  <c r="BC46" i="158"/>
  <c r="BD46" i="158"/>
  <c r="L18" i="257" s="1"/>
  <c r="BE46" i="158"/>
  <c r="BF46" i="158"/>
  <c r="AL18" i="257" s="1"/>
  <c r="BA52" i="167"/>
  <c r="BB52" i="167"/>
  <c r="AN133" i="257" s="1" a="1"/>
  <c r="AN133" i="257" s="1"/>
  <c r="BF52" i="167"/>
  <c r="BG52" i="167"/>
  <c r="BK52" i="167"/>
  <c r="BN52" i="167" s="1"/>
  <c r="C133" i="257" a="1"/>
  <c r="C133" i="257" s="1"/>
  <c r="F133" i="257" s="1" a="1"/>
  <c r="F133" i="257" s="1"/>
  <c r="BH84" i="161"/>
  <c r="BI84" i="161"/>
  <c r="BK84" i="161"/>
  <c r="BN84" i="161" s="1"/>
  <c r="BW84" i="161"/>
  <c r="BY84" i="161"/>
  <c r="AX84" i="161"/>
  <c r="BD84" i="161"/>
  <c r="BC84" i="161"/>
  <c r="BH52" i="161"/>
  <c r="BI52" i="161"/>
  <c r="BK52" i="161"/>
  <c r="BN52" i="161" s="1"/>
  <c r="BW52" i="161"/>
  <c r="BY52" i="161"/>
  <c r="AX52" i="161"/>
  <c r="BC52" i="161"/>
  <c r="BD52" i="161"/>
  <c r="BH68" i="161"/>
  <c r="BI68" i="161"/>
  <c r="BK68" i="161"/>
  <c r="BN68" i="161" s="1"/>
  <c r="BW68" i="161"/>
  <c r="BY68" i="161"/>
  <c r="AX68" i="161"/>
  <c r="BC68" i="161"/>
  <c r="BD68" i="161"/>
  <c r="BA30" i="167"/>
  <c r="BB30" i="167"/>
  <c r="AN122" i="257" s="1" a="1"/>
  <c r="AN122" i="257" s="1"/>
  <c r="BF30" i="167"/>
  <c r="BG30" i="167"/>
  <c r="BK30" i="167"/>
  <c r="BN30" i="167" s="1"/>
  <c r="C122" i="257" a="1"/>
  <c r="C122" i="257" s="1"/>
  <c r="F122" i="257" s="1" a="1"/>
  <c r="F122" i="257" s="1"/>
  <c r="BA28" i="167"/>
  <c r="BB28" i="167"/>
  <c r="AN121" i="257" s="1" a="1"/>
  <c r="AN121" i="257" s="1"/>
  <c r="BF28" i="167"/>
  <c r="BG28" i="167"/>
  <c r="BK28" i="167"/>
  <c r="BN28" i="167" s="1"/>
  <c r="BC62" i="158"/>
  <c r="BD62" i="158"/>
  <c r="L26" i="257" s="1"/>
  <c r="BE62" i="158"/>
  <c r="BF62" i="158"/>
  <c r="AL26" i="257" s="1"/>
  <c r="BK62" i="158"/>
  <c r="BN62" i="158" s="1"/>
  <c r="BW62" i="158"/>
  <c r="BY62" i="158"/>
  <c r="BA62" i="158"/>
  <c r="BB62" i="158"/>
  <c r="AX62" i="158"/>
  <c r="BK50" i="167"/>
  <c r="BN50" i="167" s="1"/>
  <c r="BA50" i="167"/>
  <c r="BB50" i="167"/>
  <c r="AN132" i="257" s="1" a="1"/>
  <c r="AN132" i="257" s="1"/>
  <c r="BF50" i="167"/>
  <c r="BG50" i="167"/>
  <c r="BH82" i="161"/>
  <c r="BI82" i="161"/>
  <c r="BK82" i="161"/>
  <c r="BN82" i="161" s="1"/>
  <c r="BW82" i="161"/>
  <c r="BY82" i="161"/>
  <c r="AX82" i="161"/>
  <c r="BC82" i="161"/>
  <c r="BD82" i="161"/>
  <c r="BH50" i="161"/>
  <c r="BI50" i="161"/>
  <c r="BK50" i="161"/>
  <c r="BN50" i="161" s="1"/>
  <c r="BW50" i="161"/>
  <c r="BY50" i="161"/>
  <c r="AX50" i="161"/>
  <c r="BC50" i="161"/>
  <c r="BD50" i="161"/>
  <c r="C143" i="257" a="1"/>
  <c r="C143" i="257" s="1"/>
  <c r="F143" i="257" s="1" a="1"/>
  <c r="F143" i="257" s="1"/>
  <c r="BA72" i="167"/>
  <c r="BB72" i="167"/>
  <c r="AN143" i="257" s="1" a="1"/>
  <c r="AN143" i="257" s="1"/>
  <c r="BF72" i="167"/>
  <c r="BK72" i="167"/>
  <c r="BN72" i="167" s="1"/>
  <c r="J143" i="257" s="1"/>
  <c r="BG72" i="167"/>
  <c r="BG34" i="167"/>
  <c r="BK34" i="167"/>
  <c r="BN34" i="167" s="1"/>
  <c r="BA34" i="167"/>
  <c r="BB34" i="167"/>
  <c r="AN124" i="257" s="1" a="1"/>
  <c r="AN124" i="257" s="1"/>
  <c r="BF34" i="167"/>
  <c r="BC64" i="158"/>
  <c r="BD64" i="158"/>
  <c r="L27" i="257" s="1"/>
  <c r="BB64" i="158"/>
  <c r="BE64" i="158"/>
  <c r="BF64" i="158"/>
  <c r="AL27" i="257" s="1"/>
  <c r="BA64" i="158"/>
  <c r="BK64" i="158"/>
  <c r="BN64" i="158" s="1"/>
  <c r="BW64" i="158"/>
  <c r="AX64" i="158"/>
  <c r="BY64" i="158"/>
  <c r="BG56" i="167"/>
  <c r="BK56" i="167"/>
  <c r="BN56" i="167" s="1"/>
  <c r="C135" i="257" a="1"/>
  <c r="C135" i="257" s="1"/>
  <c r="F135" i="257" s="1" a="1"/>
  <c r="F135" i="257" s="1"/>
  <c r="BA56" i="167"/>
  <c r="BB56" i="167"/>
  <c r="AN135" i="257" s="1" a="1"/>
  <c r="AN135" i="257" s="1"/>
  <c r="BF56" i="167"/>
  <c r="AX44" i="158"/>
  <c r="BE44" i="158"/>
  <c r="BK44" i="158"/>
  <c r="BN44" i="158" s="1"/>
  <c r="BW44" i="158"/>
  <c r="BY44" i="158"/>
  <c r="BA44" i="158"/>
  <c r="BB44" i="158"/>
  <c r="BC44" i="158"/>
  <c r="BD44" i="158"/>
  <c r="L17" i="257" s="1"/>
  <c r="BF44" i="158"/>
  <c r="AL17" i="257" s="1"/>
  <c r="BF26" i="158"/>
  <c r="AL8" i="257" s="1"/>
  <c r="BW26" i="158"/>
  <c r="BY26" i="158"/>
  <c r="BA26" i="158"/>
  <c r="BK26" i="158"/>
  <c r="BN26" i="158" s="1"/>
  <c r="BE26" i="158"/>
  <c r="AX26" i="158"/>
  <c r="BB26" i="158"/>
  <c r="BC26" i="158"/>
  <c r="BD26" i="158"/>
  <c r="L8" i="257" s="1"/>
  <c r="BA48" i="167"/>
  <c r="BB48" i="167"/>
  <c r="AN131" i="257" s="1" a="1"/>
  <c r="AN131" i="257" s="1"/>
  <c r="BF48" i="167"/>
  <c r="BG48" i="167"/>
  <c r="BK48" i="167"/>
  <c r="BN48" i="167" s="1"/>
  <c r="C131" i="257" a="1"/>
  <c r="C131" i="257" s="1"/>
  <c r="F131" i="257" s="1" a="1"/>
  <c r="F131" i="257" s="1"/>
  <c r="BH80" i="161"/>
  <c r="BI80" i="161"/>
  <c r="BK80" i="161"/>
  <c r="BN80" i="161" s="1"/>
  <c r="BW80" i="161"/>
  <c r="BY80" i="161"/>
  <c r="AX80" i="161"/>
  <c r="BC80" i="161"/>
  <c r="BD80" i="161"/>
  <c r="BH48" i="161"/>
  <c r="BI48" i="161"/>
  <c r="BK48" i="161"/>
  <c r="BN48" i="161" s="1"/>
  <c r="BW48" i="161"/>
  <c r="BY48" i="161"/>
  <c r="AX48" i="161"/>
  <c r="BC48" i="161"/>
  <c r="BD48" i="161"/>
  <c r="BW72" i="158"/>
  <c r="AX72" i="158"/>
  <c r="BY72" i="158"/>
  <c r="BA72" i="158"/>
  <c r="BB72" i="158"/>
  <c r="BC72" i="158"/>
  <c r="BD72" i="158"/>
  <c r="L31" i="257" s="1"/>
  <c r="BE72" i="158"/>
  <c r="BF72" i="158"/>
  <c r="AL31" i="257" s="1"/>
  <c r="BK72" i="158"/>
  <c r="BN72" i="158" s="1"/>
  <c r="BW70" i="158"/>
  <c r="AX70" i="158"/>
  <c r="BA70" i="158"/>
  <c r="BY70" i="158"/>
  <c r="BB70" i="158"/>
  <c r="BC70" i="158"/>
  <c r="BD70" i="158"/>
  <c r="L30" i="257" s="1"/>
  <c r="BE70" i="158"/>
  <c r="BF70" i="158"/>
  <c r="AL30" i="257" s="1"/>
  <c r="BK70" i="158"/>
  <c r="BN70" i="158" s="1"/>
  <c r="BA68" i="158"/>
  <c r="BY68" i="158"/>
  <c r="BW68" i="158"/>
  <c r="BB68" i="158"/>
  <c r="BC68" i="158"/>
  <c r="BD68" i="158"/>
  <c r="L29" i="257" s="1"/>
  <c r="BE68" i="158"/>
  <c r="BF68" i="158"/>
  <c r="AL29" i="257" s="1"/>
  <c r="AX68" i="158"/>
  <c r="BK68" i="158"/>
  <c r="BN68" i="158" s="1"/>
  <c r="BA60" i="167"/>
  <c r="BB60" i="167"/>
  <c r="AN137" i="257" s="1" a="1"/>
  <c r="AN137" i="257" s="1"/>
  <c r="BF60" i="167"/>
  <c r="BG60" i="167"/>
  <c r="BK60" i="167"/>
  <c r="BN60" i="167" s="1"/>
  <c r="C137" i="257" a="1"/>
  <c r="C137" i="257" s="1"/>
  <c r="F137" i="257" s="1" a="1"/>
  <c r="F137" i="257" s="1"/>
  <c r="BC60" i="158"/>
  <c r="BA60" i="158"/>
  <c r="BD60" i="158"/>
  <c r="L25" i="257" s="1"/>
  <c r="BE60" i="158"/>
  <c r="BF60" i="158"/>
  <c r="AL25" i="257" s="1"/>
  <c r="BK60" i="158"/>
  <c r="BN60" i="158" s="1"/>
  <c r="BW60" i="158"/>
  <c r="BY60" i="158"/>
  <c r="BB60" i="158"/>
  <c r="AX60" i="158"/>
  <c r="BK24" i="158"/>
  <c r="BN24" i="158" s="1"/>
  <c r="BW24" i="158"/>
  <c r="AX24" i="158"/>
  <c r="BY24" i="158"/>
  <c r="BB24" i="158"/>
  <c r="BA24" i="158"/>
  <c r="BC24" i="158"/>
  <c r="BD24" i="158"/>
  <c r="L7" i="257" s="1"/>
  <c r="BE24" i="158"/>
  <c r="BF24" i="158"/>
  <c r="AL7" i="257" s="1"/>
  <c r="BA46" i="167"/>
  <c r="BB46" i="167"/>
  <c r="AN130" i="257" s="1" a="1"/>
  <c r="AN130" i="257" s="1"/>
  <c r="BF46" i="167"/>
  <c r="BG46" i="167"/>
  <c r="BK46" i="167"/>
  <c r="BN46" i="167" s="1"/>
  <c r="BH78" i="161"/>
  <c r="BI78" i="161"/>
  <c r="BK78" i="161"/>
  <c r="BN78" i="161" s="1"/>
  <c r="BW78" i="161"/>
  <c r="BY78" i="161"/>
  <c r="AX78" i="161"/>
  <c r="BC78" i="161"/>
  <c r="BD78" i="161"/>
  <c r="BH46" i="161"/>
  <c r="BI46" i="161"/>
  <c r="BK46" i="161"/>
  <c r="BN46" i="161" s="1"/>
  <c r="BW46" i="161"/>
  <c r="BY46" i="161"/>
  <c r="AX46" i="161"/>
  <c r="BC46" i="161"/>
  <c r="BD46" i="161"/>
  <c r="BF70" i="167"/>
  <c r="BG70" i="167"/>
  <c r="BK70" i="167"/>
  <c r="BN70" i="167" s="1"/>
  <c r="C142" i="257" a="1"/>
  <c r="C142" i="257" s="1"/>
  <c r="F142" i="257" s="1" a="1"/>
  <c r="F142" i="257" s="1"/>
  <c r="BA70" i="167"/>
  <c r="BB70" i="167"/>
  <c r="AN142" i="257" s="1" a="1"/>
  <c r="AN142" i="257" s="1"/>
  <c r="C125" i="257" a="1"/>
  <c r="C125" i="257" s="1"/>
  <c r="F125" i="257" s="1" a="1"/>
  <c r="F125" i="257" s="1"/>
  <c r="BA36" i="167"/>
  <c r="BB36" i="167"/>
  <c r="AN125" i="257" s="1" a="1"/>
  <c r="AN125" i="257" s="1"/>
  <c r="BK36" i="167"/>
  <c r="BN36" i="167" s="1"/>
  <c r="BF36" i="167"/>
  <c r="BG36" i="167"/>
  <c r="BH30" i="161"/>
  <c r="BI30" i="161"/>
  <c r="BK30" i="161"/>
  <c r="BN30" i="161" s="1"/>
  <c r="BW30" i="161"/>
  <c r="BY30" i="161"/>
  <c r="AX30" i="161"/>
  <c r="BC30" i="161"/>
  <c r="BD30" i="161"/>
  <c r="BA58" i="167"/>
  <c r="BB58" i="167"/>
  <c r="AN136" i="257" s="1" a="1"/>
  <c r="AN136" i="257" s="1"/>
  <c r="BF58" i="167"/>
  <c r="BG58" i="167"/>
  <c r="BK58" i="167"/>
  <c r="BN58" i="167" s="1"/>
  <c r="C136" i="257" a="1"/>
  <c r="C136" i="257" s="1"/>
  <c r="F136" i="257" s="1" a="1"/>
  <c r="F136" i="257" s="1"/>
  <c r="BW74" i="158"/>
  <c r="BY74" i="158"/>
  <c r="AX74" i="158"/>
  <c r="BA74" i="158"/>
  <c r="BB74" i="158"/>
  <c r="BC74" i="158"/>
  <c r="BD74" i="158"/>
  <c r="L32" i="257" s="1"/>
  <c r="BK74" i="158"/>
  <c r="BN74" i="158" s="1"/>
  <c r="BE74" i="158"/>
  <c r="BF74" i="158"/>
  <c r="AL32" i="257" s="1"/>
  <c r="BC58" i="158"/>
  <c r="BD58" i="158"/>
  <c r="L24" i="257" s="1"/>
  <c r="BE58" i="158"/>
  <c r="BF58" i="158"/>
  <c r="AL24" i="257" s="1"/>
  <c r="BB58" i="158"/>
  <c r="BK58" i="158"/>
  <c r="BN58" i="158" s="1"/>
  <c r="BA58" i="158"/>
  <c r="BW58" i="158"/>
  <c r="BY58" i="158"/>
  <c r="AX58" i="158"/>
  <c r="BY42" i="158"/>
  <c r="AX42" i="158"/>
  <c r="BE42" i="158"/>
  <c r="BF42" i="158"/>
  <c r="AL16" i="257" s="1"/>
  <c r="BK42" i="158"/>
  <c r="BN42" i="158" s="1"/>
  <c r="BD42" i="158"/>
  <c r="L16" i="257" s="1"/>
  <c r="BB42" i="158"/>
  <c r="BW42" i="158"/>
  <c r="BC42" i="158"/>
  <c r="BA42" i="158"/>
  <c r="BA76" i="167"/>
  <c r="BB76" i="167"/>
  <c r="AN145" i="257" s="1" a="1"/>
  <c r="AN145" i="257" s="1"/>
  <c r="BF76" i="167"/>
  <c r="BG76" i="167"/>
  <c r="BK76" i="167"/>
  <c r="BN76" i="167" s="1"/>
  <c r="C145" i="257" a="1"/>
  <c r="C145" i="257" s="1"/>
  <c r="F145" i="257" s="1" a="1"/>
  <c r="F145" i="257" s="1"/>
  <c r="C129" i="257" a="1"/>
  <c r="C129" i="257" s="1"/>
  <c r="F129" i="257" s="1" a="1"/>
  <c r="F129" i="257" s="1"/>
  <c r="BA44" i="167"/>
  <c r="BB44" i="167"/>
  <c r="AN129" i="257" s="1" a="1"/>
  <c r="AN129" i="257" s="1"/>
  <c r="BF44" i="167"/>
  <c r="BG44" i="167"/>
  <c r="BK44" i="167"/>
  <c r="BN44" i="167" s="1"/>
  <c r="BH76" i="161"/>
  <c r="BI76" i="161"/>
  <c r="BK76" i="161"/>
  <c r="BN76" i="161" s="1"/>
  <c r="BW76" i="161"/>
  <c r="BY76" i="161"/>
  <c r="AX76" i="161"/>
  <c r="BC76" i="161"/>
  <c r="BD76" i="161"/>
  <c r="BH44" i="161"/>
  <c r="BI44" i="161"/>
  <c r="BK44" i="161"/>
  <c r="BN44" i="161" s="1"/>
  <c r="BW44" i="161"/>
  <c r="BY44" i="161"/>
  <c r="AX44" i="161"/>
  <c r="BC44" i="161"/>
  <c r="BD44" i="161"/>
  <c r="C139" i="257" a="1"/>
  <c r="C139" i="257" s="1"/>
  <c r="F139" i="257" s="1" a="1"/>
  <c r="F139" i="257" s="1"/>
  <c r="C127" i="257" a="1"/>
  <c r="C127" i="257" s="1"/>
  <c r="F127" i="257" s="1" a="1"/>
  <c r="F127" i="257" s="1"/>
  <c r="C134" i="257" a="1"/>
  <c r="C134" i="257" s="1"/>
  <c r="F134" i="257" s="1" a="1"/>
  <c r="F134" i="257" s="1"/>
  <c r="C141" i="257" a="1"/>
  <c r="C141" i="257" s="1"/>
  <c r="F141" i="257" s="1" a="1"/>
  <c r="F141" i="257" s="1"/>
  <c r="C130" i="257" a="1"/>
  <c r="C130" i="257" s="1"/>
  <c r="F130" i="257" s="1" a="1"/>
  <c r="F130" i="257" s="1"/>
  <c r="C144" i="257" a="1"/>
  <c r="C144" i="257" s="1"/>
  <c r="F144" i="257" s="1" a="1"/>
  <c r="F144" i="257" s="1"/>
  <c r="C120" i="257" a="1"/>
  <c r="C120" i="257" s="1"/>
  <c r="F120" i="257" s="1" a="1"/>
  <c r="F120" i="257" s="1"/>
  <c r="C126" i="257" a="1"/>
  <c r="C126" i="257" s="1"/>
  <c r="F126" i="257" s="1" a="1"/>
  <c r="F126" i="257" s="1"/>
  <c r="W122" i="257"/>
  <c r="W138" i="257"/>
  <c r="W121" i="257"/>
  <c r="C121" i="257" a="1"/>
  <c r="C121" i="257" s="1"/>
  <c r="F121" i="257" s="1" a="1"/>
  <c r="F121" i="257" s="1"/>
  <c r="W123" i="257"/>
  <c r="C123" i="257" a="1"/>
  <c r="C123" i="257" s="1"/>
  <c r="F123" i="257" s="1" a="1"/>
  <c r="F123" i="257" s="1"/>
  <c r="W137" i="257"/>
  <c r="W134" i="257"/>
  <c r="W131" i="257"/>
  <c r="W135" i="257"/>
  <c r="W130" i="257"/>
  <c r="W120" i="257"/>
  <c r="W129" i="257"/>
  <c r="W128" i="257"/>
  <c r="W119" i="257"/>
  <c r="C119" i="257" a="1"/>
  <c r="C119" i="257" s="1"/>
  <c r="F119" i="257" s="1" a="1"/>
  <c r="F119" i="257" s="1"/>
  <c r="W127" i="257"/>
  <c r="W142" i="257"/>
  <c r="W126" i="257"/>
  <c r="W139" i="257"/>
  <c r="W118" i="257"/>
  <c r="C118" i="257" a="1"/>
  <c r="C118" i="257" s="1"/>
  <c r="F118" i="257" s="1" a="1"/>
  <c r="F118" i="257" s="1"/>
  <c r="W144" i="257"/>
  <c r="W141" i="257"/>
  <c r="W125" i="257"/>
  <c r="W136" i="257"/>
  <c r="W133" i="257"/>
  <c r="W132" i="257"/>
  <c r="C132" i="257" a="1"/>
  <c r="C132" i="257" s="1"/>
  <c r="F132" i="257" s="1" a="1"/>
  <c r="F132" i="257" s="1"/>
  <c r="W145" i="257"/>
  <c r="W143" i="257"/>
  <c r="W140" i="257"/>
  <c r="C140" i="257" a="1"/>
  <c r="C140" i="257" s="1"/>
  <c r="F140" i="257" s="1" a="1"/>
  <c r="F140" i="257" s="1"/>
  <c r="W124" i="257"/>
  <c r="C124" i="257" a="1"/>
  <c r="C124" i="257" s="1"/>
  <c r="F124" i="257" s="1" a="1"/>
  <c r="F124" i="257" s="1"/>
  <c r="W26" i="257"/>
  <c r="W19" i="257"/>
  <c r="W25" i="257"/>
  <c r="W7" i="257"/>
  <c r="W18" i="257"/>
  <c r="X25" i="257"/>
  <c r="W17" i="257"/>
  <c r="W16" i="257"/>
  <c r="W24" i="257"/>
  <c r="X26" i="257"/>
  <c r="X18" i="257"/>
  <c r="X10" i="257"/>
  <c r="X9" i="257"/>
  <c r="X17" i="257"/>
  <c r="W8" i="257"/>
  <c r="X16" i="257"/>
  <c r="X14" i="257"/>
  <c r="W14" i="257"/>
  <c r="W27" i="257"/>
  <c r="W11" i="257"/>
  <c r="X32" i="257"/>
  <c r="W31" i="257"/>
  <c r="X30" i="257"/>
  <c r="W22" i="257"/>
  <c r="W29" i="257"/>
  <c r="W13" i="257"/>
  <c r="X24" i="257"/>
  <c r="W32" i="257"/>
  <c r="X31" i="257"/>
  <c r="X23" i="257"/>
  <c r="W15" i="257"/>
  <c r="W30" i="257"/>
  <c r="X29" i="257"/>
  <c r="X21" i="257"/>
  <c r="X13" i="257"/>
  <c r="W21" i="257"/>
  <c r="X28" i="257"/>
  <c r="X20" i="257"/>
  <c r="X12" i="257"/>
  <c r="X8" i="257"/>
  <c r="X15" i="257"/>
  <c r="W28" i="257"/>
  <c r="W20" i="257"/>
  <c r="W12" i="257"/>
  <c r="W23" i="257"/>
  <c r="X22" i="257"/>
  <c r="X27" i="257"/>
  <c r="X19" i="257"/>
  <c r="X11" i="257"/>
  <c r="AO64" i="161"/>
  <c r="AR64" i="161"/>
  <c r="AR40" i="161"/>
  <c r="AO40" i="161"/>
  <c r="AR62" i="161"/>
  <c r="AO62" i="161"/>
  <c r="AR38" i="161"/>
  <c r="AO38" i="161"/>
  <c r="AO84" i="161"/>
  <c r="AR84" i="161"/>
  <c r="AO60" i="161"/>
  <c r="AR60" i="161"/>
  <c r="AO36" i="161"/>
  <c r="AR36" i="161"/>
  <c r="AR82" i="161"/>
  <c r="AO82" i="161"/>
  <c r="AR58" i="161"/>
  <c r="AO58" i="161"/>
  <c r="AO34" i="161"/>
  <c r="AR34" i="161"/>
  <c r="AO80" i="161"/>
  <c r="AR80" i="161"/>
  <c r="AR56" i="161"/>
  <c r="AO56" i="161"/>
  <c r="AR32" i="161"/>
  <c r="AO32" i="161"/>
  <c r="AO78" i="161"/>
  <c r="AR78" i="161"/>
  <c r="AR54" i="161"/>
  <c r="AO54" i="161"/>
  <c r="AO30" i="161"/>
  <c r="AR30" i="161"/>
  <c r="AO76" i="161"/>
  <c r="AR76" i="161"/>
  <c r="AO52" i="161"/>
  <c r="AR52" i="161"/>
  <c r="AO74" i="161"/>
  <c r="AR74" i="161"/>
  <c r="AO50" i="161"/>
  <c r="AR50" i="161"/>
  <c r="AO72" i="161"/>
  <c r="AR72" i="161"/>
  <c r="AO48" i="161"/>
  <c r="AR48" i="161"/>
  <c r="AR70" i="161"/>
  <c r="AO70" i="161"/>
  <c r="AR46" i="161"/>
  <c r="AO46" i="161"/>
  <c r="AR68" i="161"/>
  <c r="AO68" i="161"/>
  <c r="AO44" i="161"/>
  <c r="AR44" i="161"/>
  <c r="AO66" i="161"/>
  <c r="AR66" i="161"/>
  <c r="AO42" i="161"/>
  <c r="AR42" i="161"/>
  <c r="AO72" i="167"/>
  <c r="AR72" i="167"/>
  <c r="AO48" i="167"/>
  <c r="AR48" i="167"/>
  <c r="AO24" i="167"/>
  <c r="AR24" i="167"/>
  <c r="AO70" i="167"/>
  <c r="AR70" i="167"/>
  <c r="AO46" i="167"/>
  <c r="AR46" i="167"/>
  <c r="AR22" i="167"/>
  <c r="AO22" i="167"/>
  <c r="AO68" i="167"/>
  <c r="AR68" i="167"/>
  <c r="AO44" i="167"/>
  <c r="AR44" i="167"/>
  <c r="AO66" i="167"/>
  <c r="AR66" i="167"/>
  <c r="AO42" i="167"/>
  <c r="AR42" i="167"/>
  <c r="AO64" i="167"/>
  <c r="AR64" i="167"/>
  <c r="AO40" i="167"/>
  <c r="AR40" i="167"/>
  <c r="AO62" i="167"/>
  <c r="AR62" i="167"/>
  <c r="AR38" i="167"/>
  <c r="AO38" i="167"/>
  <c r="AR60" i="167"/>
  <c r="AO60" i="167"/>
  <c r="AO36" i="167"/>
  <c r="AR36" i="167"/>
  <c r="AR58" i="167"/>
  <c r="AO58" i="167"/>
  <c r="AR34" i="167"/>
  <c r="AO34" i="167"/>
  <c r="AR56" i="167"/>
  <c r="AO56" i="167"/>
  <c r="AR32" i="167"/>
  <c r="AO32" i="167"/>
  <c r="AR54" i="167"/>
  <c r="AO54" i="167"/>
  <c r="AR30" i="167"/>
  <c r="AO30" i="167"/>
  <c r="AR76" i="167"/>
  <c r="AO76" i="167"/>
  <c r="AR52" i="167"/>
  <c r="AO52" i="167"/>
  <c r="AR28" i="167"/>
  <c r="AO28" i="167"/>
  <c r="AR74" i="167"/>
  <c r="AO74" i="167"/>
  <c r="AR50" i="167"/>
  <c r="AO50" i="167"/>
  <c r="AR26" i="167"/>
  <c r="AO26" i="167"/>
  <c r="AR64" i="158"/>
  <c r="BU64" i="158" s="1"/>
  <c r="AR40" i="158"/>
  <c r="BU40" i="158" s="1"/>
  <c r="AR26" i="158"/>
  <c r="BU26" i="158" s="1"/>
  <c r="AR52" i="158"/>
  <c r="BU52" i="158" s="1"/>
  <c r="AR72" i="158"/>
  <c r="BU72" i="158" s="1"/>
  <c r="AR54" i="158"/>
  <c r="BU54" i="158" s="1"/>
  <c r="AR66" i="158"/>
  <c r="BU66" i="158" s="1"/>
  <c r="AR60" i="158"/>
  <c r="BU60" i="158" s="1"/>
  <c r="AR48" i="158"/>
  <c r="BU48" i="158" s="1"/>
  <c r="AR36" i="158"/>
  <c r="BU36" i="158" s="1"/>
  <c r="AR42" i="158"/>
  <c r="BU42" i="158" s="1"/>
  <c r="AR46" i="158"/>
  <c r="BU46" i="158" s="1"/>
  <c r="AJ36" i="170"/>
  <c r="BL36" i="170" s="1"/>
  <c r="AJ34" i="170"/>
  <c r="BL34" i="170" s="1"/>
  <c r="AR70" i="158"/>
  <c r="BU70" i="158" s="1"/>
  <c r="AR68" i="158"/>
  <c r="BU68" i="158" s="1"/>
  <c r="AJ32" i="170"/>
  <c r="BL32" i="170" s="1"/>
  <c r="AR34" i="158"/>
  <c r="BU34" i="158" s="1"/>
  <c r="AJ30" i="170"/>
  <c r="BL30" i="170" s="1"/>
  <c r="AR58" i="158"/>
  <c r="BU58" i="158" s="1"/>
  <c r="AR56" i="158"/>
  <c r="BU56" i="158" s="1"/>
  <c r="AJ28" i="170"/>
  <c r="BL28" i="170" s="1"/>
  <c r="AJ26" i="170"/>
  <c r="BL26" i="170" s="1"/>
  <c r="AJ24" i="170"/>
  <c r="BL24" i="170" s="1"/>
  <c r="AR62" i="158"/>
  <c r="BU62" i="158" s="1"/>
  <c r="AR74" i="158"/>
  <c r="BU74" i="158" s="1"/>
  <c r="AR50" i="158"/>
  <c r="BU50" i="158" s="1"/>
  <c r="AR32" i="158"/>
  <c r="BU32" i="158" s="1"/>
  <c r="AR44" i="158"/>
  <c r="BU44" i="158" s="1"/>
  <c r="AR24" i="158"/>
  <c r="BU24" i="158" s="1"/>
  <c r="AR38" i="158"/>
  <c r="BU38" i="158" s="1"/>
  <c r="AL22" i="257"/>
  <c r="BQ18" i="158"/>
  <c r="BE34" i="167" l="1"/>
  <c r="AM124" i="257" a="1"/>
  <c r="AM124" i="257" s="1"/>
  <c r="AM123" i="257" a="1"/>
  <c r="AM123" i="257" s="1"/>
  <c r="BE32" i="167"/>
  <c r="BE70" i="167"/>
  <c r="BD70" i="167" s="1"/>
  <c r="L142" i="257" s="1"/>
  <c r="AM142" i="257" a="1"/>
  <c r="AM142" i="257" s="1"/>
  <c r="AM122" i="257" a="1"/>
  <c r="AM122" i="257" s="1"/>
  <c r="BE30" i="167"/>
  <c r="BD30" i="167" s="1"/>
  <c r="L122" i="257" s="1"/>
  <c r="AM129" i="257" a="1"/>
  <c r="AM129" i="257" s="1"/>
  <c r="BE44" i="167"/>
  <c r="BD44" i="167" s="1"/>
  <c r="L129" i="257" s="1"/>
  <c r="AM130" i="257" a="1"/>
  <c r="AM130" i="257" s="1"/>
  <c r="BE46" i="167"/>
  <c r="BD46" i="167" s="1"/>
  <c r="L130" i="257" s="1"/>
  <c r="AM139" i="257" a="1"/>
  <c r="AM139" i="257" s="1"/>
  <c r="BE64" i="167"/>
  <c r="BD64" i="167" s="1"/>
  <c r="L139" i="257" s="1"/>
  <c r="BE54" i="167"/>
  <c r="BD54" i="167" s="1"/>
  <c r="L134" i="257" s="1"/>
  <c r="AM134" i="257" a="1"/>
  <c r="AM134" i="257" s="1"/>
  <c r="BE74" i="167"/>
  <c r="BD74" i="167" s="1"/>
  <c r="L144" i="257" s="1"/>
  <c r="AM144" i="257" a="1"/>
  <c r="AM144" i="257" s="1"/>
  <c r="BE50" i="167"/>
  <c r="BD50" i="167" s="1"/>
  <c r="L132" i="257" s="1"/>
  <c r="AM132" i="257" a="1"/>
  <c r="AM132" i="257" s="1"/>
  <c r="AM137" i="257" a="1"/>
  <c r="AM137" i="257" s="1"/>
  <c r="BE60" i="167"/>
  <c r="BD60" i="167" s="1"/>
  <c r="L137" i="257" s="1"/>
  <c r="AM140" i="257" a="1"/>
  <c r="AM140" i="257" s="1"/>
  <c r="BE66" i="167"/>
  <c r="BD66" i="167" s="1"/>
  <c r="L140" i="257" s="1"/>
  <c r="AM127" i="257" a="1"/>
  <c r="AM127" i="257" s="1"/>
  <c r="BE40" i="167"/>
  <c r="BD40" i="167" s="1"/>
  <c r="L127" i="257" s="1"/>
  <c r="BE42" i="167"/>
  <c r="BD42" i="167" s="1"/>
  <c r="L128" i="257" s="1"/>
  <c r="AM128" i="257" a="1"/>
  <c r="AM128" i="257" s="1"/>
  <c r="BE72" i="167"/>
  <c r="BD72" i="167" s="1"/>
  <c r="L143" i="257" s="1"/>
  <c r="AM143" i="257" a="1"/>
  <c r="AM143" i="257" s="1"/>
  <c r="AM138" i="257" a="1"/>
  <c r="AM138" i="257" s="1"/>
  <c r="BE62" i="167"/>
  <c r="BD62" i="167" s="1"/>
  <c r="L138" i="257" s="1"/>
  <c r="BE24" i="167"/>
  <c r="BD24" i="167" s="1"/>
  <c r="L119" i="257" s="1"/>
  <c r="AM119" i="257" a="1"/>
  <c r="AM119" i="257" s="1"/>
  <c r="AM135" i="257" a="1"/>
  <c r="AM135" i="257" s="1"/>
  <c r="BE56" i="167"/>
  <c r="BD56" i="167" s="1"/>
  <c r="L135" i="257" s="1"/>
  <c r="BE28" i="167"/>
  <c r="AM121" i="257" a="1"/>
  <c r="AM121" i="257" s="1"/>
  <c r="BE52" i="167"/>
  <c r="BD52" i="167" s="1"/>
  <c r="L133" i="257" s="1"/>
  <c r="AM133" i="257" a="1"/>
  <c r="AM133" i="257" s="1"/>
  <c r="BE48" i="167"/>
  <c r="BD48" i="167" s="1"/>
  <c r="L131" i="257" s="1"/>
  <c r="AM131" i="257" a="1"/>
  <c r="AM131" i="257" s="1"/>
  <c r="BE26" i="167"/>
  <c r="BD26" i="167" s="1"/>
  <c r="L120" i="257" s="1"/>
  <c r="AM120" i="257" a="1"/>
  <c r="AM120" i="257" s="1"/>
  <c r="AM145" i="257" a="1"/>
  <c r="AM145" i="257" s="1"/>
  <c r="BE76" i="167"/>
  <c r="BD76" i="167" s="1"/>
  <c r="L145" i="257" s="1"/>
  <c r="AM136" i="257" a="1"/>
  <c r="AM136" i="257" s="1"/>
  <c r="BE58" i="167"/>
  <c r="BD58" i="167" s="1"/>
  <c r="L136" i="257" s="1"/>
  <c r="BE22" i="167"/>
  <c r="AM118" i="257" a="1"/>
  <c r="AM118" i="257" s="1"/>
  <c r="AM141" i="257" a="1"/>
  <c r="AM141" i="257" s="1"/>
  <c r="BE68" i="167"/>
  <c r="BD68" i="167" s="1"/>
  <c r="L141" i="257" s="1"/>
  <c r="AM126" i="257" a="1"/>
  <c r="AM126" i="257" s="1"/>
  <c r="BE38" i="167"/>
  <c r="BD38" i="167" s="1"/>
  <c r="L126" i="257" s="1"/>
  <c r="BE36" i="167"/>
  <c r="BD36" i="167" s="1"/>
  <c r="L125" i="257" s="1"/>
  <c r="AM125" i="257" a="1"/>
  <c r="AM125" i="257" s="1"/>
  <c r="BV46" i="161"/>
  <c r="BV82" i="161"/>
  <c r="BV62" i="161"/>
  <c r="BV52" i="161"/>
  <c r="BV44" i="161"/>
  <c r="BV34" i="161"/>
  <c r="BV56" i="161"/>
  <c r="BV38" i="161"/>
  <c r="BV68" i="161"/>
  <c r="BV58" i="161"/>
  <c r="BV70" i="161"/>
  <c r="BV54" i="161"/>
  <c r="BV48" i="161"/>
  <c r="BV78" i="161"/>
  <c r="BV60" i="161"/>
  <c r="BV32" i="161"/>
  <c r="BV72" i="161"/>
  <c r="BV84" i="161"/>
  <c r="BV66" i="161"/>
  <c r="BV74" i="161"/>
  <c r="BV80" i="161"/>
  <c r="BV40" i="161"/>
  <c r="BV42" i="161"/>
  <c r="BV76" i="161"/>
  <c r="BV64" i="161"/>
  <c r="BV50" i="161"/>
  <c r="BV36" i="161"/>
  <c r="BV30" i="161"/>
  <c r="BD22" i="167"/>
  <c r="L118" i="257" s="1"/>
  <c r="BD34" i="167"/>
  <c r="L124" i="257" s="1"/>
  <c r="BD32" i="167"/>
  <c r="L123" i="257" s="1"/>
  <c r="BD28" i="167"/>
  <c r="L121" i="257" s="1"/>
  <c r="BR38" i="167"/>
  <c r="BR54" i="167"/>
  <c r="BR62" i="167"/>
  <c r="BR46" i="167"/>
  <c r="BR26" i="167"/>
  <c r="BR32" i="167"/>
  <c r="BR40" i="167"/>
  <c r="BR70" i="167"/>
  <c r="BR50" i="167"/>
  <c r="BR56" i="167"/>
  <c r="BR22" i="167"/>
  <c r="BR64" i="167"/>
  <c r="BR24" i="167"/>
  <c r="BR74" i="167"/>
  <c r="BR34" i="167"/>
  <c r="BR42" i="167"/>
  <c r="BR48" i="167"/>
  <c r="BR30" i="167"/>
  <c r="BR28" i="167"/>
  <c r="BR58" i="167"/>
  <c r="BR52" i="167"/>
  <c r="BR66" i="167"/>
  <c r="BR72" i="167"/>
  <c r="BR36" i="167"/>
  <c r="BR44" i="167"/>
  <c r="BR76" i="167"/>
  <c r="BR60" i="167"/>
  <c r="BR68" i="167"/>
  <c r="BK34" i="170"/>
  <c r="BN34" i="170" s="1"/>
  <c r="BW34" i="170"/>
  <c r="BG34" i="170"/>
  <c r="BA34" i="170"/>
  <c r="BB34" i="170"/>
  <c r="AN187" i="257" s="1" a="1"/>
  <c r="AN187" i="257" s="1"/>
  <c r="BK30" i="170"/>
  <c r="BN30" i="170" s="1"/>
  <c r="BW30" i="170"/>
  <c r="BG30" i="170"/>
  <c r="BA30" i="170"/>
  <c r="BB30" i="170"/>
  <c r="AN185" i="257" s="1" a="1"/>
  <c r="AN185" i="257" s="1"/>
  <c r="BB32" i="170"/>
  <c r="AN186" i="257" s="1" a="1"/>
  <c r="AN186" i="257" s="1"/>
  <c r="BG32" i="170"/>
  <c r="BA32" i="170"/>
  <c r="BK32" i="170"/>
  <c r="BN32" i="170" s="1"/>
  <c r="BW32" i="170"/>
  <c r="BA36" i="170"/>
  <c r="BK36" i="170"/>
  <c r="BN36" i="170" s="1"/>
  <c r="BB36" i="170"/>
  <c r="AN188" i="257" s="1" a="1"/>
  <c r="AN188" i="257" s="1"/>
  <c r="BG36" i="170"/>
  <c r="BW36" i="170"/>
  <c r="BK24" i="170"/>
  <c r="BN24" i="170" s="1"/>
  <c r="BA24" i="170"/>
  <c r="BB24" i="170"/>
  <c r="AN182" i="257" s="1" a="1"/>
  <c r="AN182" i="257" s="1"/>
  <c r="BG24" i="170"/>
  <c r="BW24" i="170"/>
  <c r="BB26" i="170"/>
  <c r="AN183" i="257" s="1" a="1"/>
  <c r="AN183" i="257" s="1"/>
  <c r="BW26" i="170"/>
  <c r="BG26" i="170"/>
  <c r="BK26" i="170"/>
  <c r="BN26" i="170" s="1"/>
  <c r="BA26" i="170"/>
  <c r="BB28" i="170"/>
  <c r="AN184" i="257" s="1" a="1"/>
  <c r="AN184" i="257" s="1"/>
  <c r="BG28" i="170"/>
  <c r="BK28" i="170"/>
  <c r="BN28" i="170" s="1"/>
  <c r="BW28" i="170"/>
  <c r="BA28" i="170"/>
  <c r="AA140" i="257" a="1"/>
  <c r="AA140" i="257" s="1"/>
  <c r="AA143" i="257" a="1"/>
  <c r="AA143" i="257" s="1"/>
  <c r="AA121" i="257" a="1"/>
  <c r="AA121" i="257" s="1"/>
  <c r="AA136" i="257" a="1"/>
  <c r="AA136" i="257" s="1"/>
  <c r="AA125" i="257" a="1"/>
  <c r="AA125" i="257" s="1"/>
  <c r="AA129" i="257" a="1"/>
  <c r="AA129" i="257" s="1"/>
  <c r="AA133" i="257" a="1"/>
  <c r="AA133" i="257" s="1"/>
  <c r="AA141" i="257" a="1"/>
  <c r="AA141" i="257" s="1"/>
  <c r="AA145" i="257" a="1"/>
  <c r="AA145" i="257" s="1"/>
  <c r="AA137" i="257" a="1"/>
  <c r="AA137" i="257" s="1"/>
  <c r="AA122" i="257" a="1"/>
  <c r="AA122" i="257" s="1"/>
  <c r="AA126" i="257" a="1"/>
  <c r="AA126" i="257" s="1"/>
  <c r="AA118" i="257" a="1"/>
  <c r="AA118" i="257" s="1"/>
  <c r="AA138" i="257" a="1"/>
  <c r="AA138" i="257" s="1"/>
  <c r="AA130" i="257" a="1"/>
  <c r="AA130" i="257" s="1"/>
  <c r="AA134" i="257" a="1"/>
  <c r="AA134" i="257" s="1"/>
  <c r="AA127" i="257" a="1"/>
  <c r="AA127" i="257" s="1"/>
  <c r="AA142" i="257" a="1"/>
  <c r="AA142" i="257" s="1"/>
  <c r="AA120" i="257" a="1"/>
  <c r="AA120" i="257" s="1"/>
  <c r="AA123" i="257" a="1"/>
  <c r="AA123" i="257" s="1"/>
  <c r="AA139" i="257" a="1"/>
  <c r="AA139" i="257" s="1"/>
  <c r="AA119" i="257" a="1"/>
  <c r="AA119" i="257" s="1"/>
  <c r="AA132" i="257" a="1"/>
  <c r="AA132" i="257" s="1"/>
  <c r="AA135" i="257" a="1"/>
  <c r="AA135" i="257" s="1"/>
  <c r="AA128" i="257" a="1"/>
  <c r="AA128" i="257" s="1"/>
  <c r="AA131" i="257" a="1"/>
  <c r="AA131" i="257" s="1"/>
  <c r="AA144" i="257" a="1"/>
  <c r="AA144" i="257" s="1"/>
  <c r="AA124" i="257" a="1"/>
  <c r="AA124" i="257" s="1"/>
  <c r="AA30" i="257" a="1"/>
  <c r="AA30" i="257" s="1"/>
  <c r="AA17" i="257" a="1"/>
  <c r="AA17" i="257" s="1"/>
  <c r="AA11" i="257" a="1"/>
  <c r="AA11" i="257" s="1"/>
  <c r="AA18" i="257" a="1"/>
  <c r="AA18" i="257" s="1"/>
  <c r="AA20" i="257" a="1"/>
  <c r="AA20" i="257" s="1"/>
  <c r="AA16" i="257" a="1"/>
  <c r="AA16" i="257" s="1"/>
  <c r="AA32" i="257" a="1"/>
  <c r="AA32" i="257" s="1"/>
  <c r="AA13" i="257" a="1"/>
  <c r="AA13" i="257" s="1"/>
  <c r="AA7" i="257" a="1"/>
  <c r="AA7" i="257" s="1"/>
  <c r="AA26" i="257" a="1"/>
  <c r="AA26" i="257" s="1"/>
  <c r="AA19" i="257" a="1"/>
  <c r="AA19" i="257" s="1"/>
  <c r="AA25" i="257" a="1"/>
  <c r="AA25" i="257" s="1"/>
  <c r="AA28" i="257" a="1"/>
  <c r="AA28" i="257" s="1"/>
  <c r="AA22" i="257" a="1"/>
  <c r="AA22" i="257" s="1"/>
  <c r="AA14" i="257" a="1"/>
  <c r="AA14" i="257" s="1"/>
  <c r="AA23" i="257" a="1"/>
  <c r="AA23" i="257" s="1"/>
  <c r="AA31" i="257" a="1"/>
  <c r="AA31" i="257" s="1"/>
  <c r="AA24" i="257" a="1"/>
  <c r="AA24" i="257" s="1"/>
  <c r="AA21" i="257" a="1"/>
  <c r="AA21" i="257" s="1"/>
  <c r="AA8" i="257" a="1"/>
  <c r="AA8" i="257" s="1"/>
  <c r="AA12" i="257" a="1"/>
  <c r="AA12" i="257" s="1"/>
  <c r="AA15" i="257" a="1"/>
  <c r="AA15" i="257" s="1"/>
  <c r="AA27" i="257" a="1"/>
  <c r="AA27" i="257" s="1"/>
  <c r="AA29" i="257" a="1"/>
  <c r="AA29" i="257" s="1"/>
  <c r="B129" i="257"/>
  <c r="B143" i="257"/>
  <c r="AB26" i="257" a="1"/>
  <c r="AB26" i="257" s="1"/>
  <c r="AB19" i="257" a="1"/>
  <c r="AB19" i="257" s="1"/>
  <c r="J127" i="257"/>
  <c r="J140" i="257"/>
  <c r="AB28" i="257" a="1"/>
  <c r="AB28" i="257" s="1"/>
  <c r="AR24" i="170"/>
  <c r="J130" i="257"/>
  <c r="AR28" i="170"/>
  <c r="AB22" i="257" a="1"/>
  <c r="AB22" i="257" s="1"/>
  <c r="J122" i="257"/>
  <c r="J141" i="257"/>
  <c r="J119" i="257"/>
  <c r="AR26" i="170"/>
  <c r="J132" i="257"/>
  <c r="AB24" i="257" a="1"/>
  <c r="AB24" i="257" s="1"/>
  <c r="AB21" i="257" a="1"/>
  <c r="AB21" i="257" s="1"/>
  <c r="AB25" i="257" a="1"/>
  <c r="AB25" i="257" s="1"/>
  <c r="J123" i="257"/>
  <c r="AB23" i="257" a="1"/>
  <c r="AB23" i="257" s="1"/>
  <c r="AR30" i="170"/>
  <c r="J137" i="257"/>
  <c r="J126" i="257"/>
  <c r="J118" i="257"/>
  <c r="AB31" i="257" a="1"/>
  <c r="AB31" i="257" s="1"/>
  <c r="J133" i="257"/>
  <c r="AB8" i="257" a="1"/>
  <c r="AB8" i="257" s="1"/>
  <c r="AB12" i="257" a="1"/>
  <c r="AB12" i="257" s="1"/>
  <c r="AB15" i="257" a="1"/>
  <c r="AB15" i="257" s="1"/>
  <c r="AB27" i="257" a="1"/>
  <c r="AB27" i="257" s="1"/>
  <c r="J136" i="257"/>
  <c r="J139" i="257"/>
  <c r="J131" i="257"/>
  <c r="J124" i="257"/>
  <c r="AR32" i="170"/>
  <c r="AB14" i="257" a="1"/>
  <c r="AB14" i="257" s="1"/>
  <c r="AB29" i="257" a="1"/>
  <c r="AB29" i="257" s="1"/>
  <c r="J128" i="257"/>
  <c r="J142" i="257"/>
  <c r="AB7" i="257" a="1"/>
  <c r="AB7" i="257" s="1"/>
  <c r="AB30" i="257" a="1"/>
  <c r="AB30" i="257" s="1"/>
  <c r="J134" i="257"/>
  <c r="J144" i="257"/>
  <c r="AR36" i="170"/>
  <c r="AB11" i="257" a="1"/>
  <c r="AB11" i="257" s="1"/>
  <c r="AB18" i="257" a="1"/>
  <c r="AB18" i="257" s="1"/>
  <c r="J120" i="257"/>
  <c r="J138" i="257"/>
  <c r="J129" i="257"/>
  <c r="J135" i="257"/>
  <c r="AR34" i="170"/>
  <c r="AB17" i="257" a="1"/>
  <c r="AB17" i="257" s="1"/>
  <c r="AB16" i="257" a="1"/>
  <c r="AB16" i="257" s="1"/>
  <c r="J121" i="257"/>
  <c r="J145" i="257"/>
  <c r="AB20" i="257" a="1"/>
  <c r="AB20" i="257" s="1"/>
  <c r="AB32" i="257" a="1"/>
  <c r="AB32" i="257" s="1"/>
  <c r="AB13" i="257" a="1"/>
  <c r="AB13" i="257" s="1"/>
  <c r="J125" i="257"/>
  <c r="J216" i="202"/>
  <c r="K216" i="202" s="1"/>
  <c r="J667" i="202"/>
  <c r="K667" i="202" s="1"/>
  <c r="J527" i="202"/>
  <c r="K527" i="202" s="1"/>
  <c r="J525" i="202"/>
  <c r="K525" i="202" s="1"/>
  <c r="J534" i="202"/>
  <c r="K534" i="202" s="1"/>
  <c r="J530" i="202"/>
  <c r="K530" i="202" s="1"/>
  <c r="J522" i="202"/>
  <c r="K522" i="202" s="1"/>
  <c r="J510" i="202"/>
  <c r="K510" i="202" s="1"/>
  <c r="J507" i="202"/>
  <c r="K507" i="202" s="1"/>
  <c r="J503" i="202"/>
  <c r="K503" i="202" s="1"/>
  <c r="J501" i="202"/>
  <c r="K501" i="202" s="1"/>
  <c r="J498" i="202"/>
  <c r="K498" i="202" s="1"/>
  <c r="AM186" i="257" l="1" a="1"/>
  <c r="AM186" i="257" s="1"/>
  <c r="BE32" i="170"/>
  <c r="BD32" i="170" s="1"/>
  <c r="L186" i="257" s="1"/>
  <c r="AM184" i="257" a="1"/>
  <c r="AM184" i="257" s="1"/>
  <c r="BE28" i="170"/>
  <c r="BE24" i="170"/>
  <c r="BD24" i="170" s="1"/>
  <c r="L182" i="257" s="1"/>
  <c r="AM182" i="257" a="1"/>
  <c r="AM182" i="257" s="1"/>
  <c r="AM185" i="257" a="1"/>
  <c r="AM185" i="257" s="1"/>
  <c r="BE30" i="170"/>
  <c r="BD30" i="170" s="1"/>
  <c r="L185" i="257" s="1"/>
  <c r="BE26" i="170"/>
  <c r="BD26" i="170" s="1"/>
  <c r="L183" i="257" s="1"/>
  <c r="AM183" i="257" a="1"/>
  <c r="AM183" i="257" s="1"/>
  <c r="AM188" i="257" a="1"/>
  <c r="AM188" i="257" s="1"/>
  <c r="BE36" i="170"/>
  <c r="BD36" i="170" s="1"/>
  <c r="L188" i="257" s="1"/>
  <c r="BE34" i="170"/>
  <c r="BD34" i="170" s="1"/>
  <c r="L187" i="257" s="1"/>
  <c r="AM187" i="257" a="1"/>
  <c r="AM187" i="257" s="1"/>
  <c r="BY28" i="170"/>
  <c r="BD28" i="170"/>
  <c r="L184" i="257" s="1"/>
  <c r="BY26" i="170"/>
  <c r="BY36" i="170"/>
  <c r="BY34" i="170"/>
  <c r="BY24" i="170"/>
  <c r="BY32" i="170"/>
  <c r="BY30" i="170"/>
  <c r="AA183" i="257" a="1"/>
  <c r="AA183" i="257" s="1"/>
  <c r="AA188" i="257" a="1"/>
  <c r="AA188" i="257" s="1"/>
  <c r="AA185" i="257" a="1"/>
  <c r="AA185" i="257" s="1"/>
  <c r="AA187" i="257" a="1"/>
  <c r="AA187" i="257" s="1"/>
  <c r="AA186" i="257" a="1"/>
  <c r="AA186" i="257" s="1"/>
  <c r="AA184" i="257" a="1"/>
  <c r="AA184" i="257" s="1"/>
  <c r="AA182" i="257" a="1"/>
  <c r="AA182" i="257" s="1"/>
  <c r="B138" i="257"/>
  <c r="B135" i="257"/>
  <c r="B124" i="257"/>
  <c r="B144" i="257"/>
  <c r="B120" i="257"/>
  <c r="B132" i="257"/>
  <c r="B134" i="257"/>
  <c r="B128" i="257"/>
  <c r="B136" i="257"/>
  <c r="B122" i="257"/>
  <c r="B118" i="257"/>
  <c r="B121" i="257"/>
  <c r="B119" i="257"/>
  <c r="B142" i="257"/>
  <c r="B140" i="257"/>
  <c r="B127" i="257"/>
  <c r="B145" i="257"/>
  <c r="B139" i="257"/>
  <c r="B125" i="257"/>
  <c r="B133" i="257"/>
  <c r="B130" i="257"/>
  <c r="B126" i="257"/>
  <c r="B123" i="257"/>
  <c r="B137" i="257"/>
  <c r="B131" i="257"/>
  <c r="B141" i="257"/>
  <c r="J524" i="202"/>
  <c r="J523" i="202"/>
  <c r="J513" i="202"/>
  <c r="J512" i="202"/>
  <c r="J500" i="202"/>
  <c r="J499" i="202"/>
  <c r="J537" i="202" l="1"/>
  <c r="J502" i="202"/>
  <c r="J526" i="202"/>
  <c r="J514" i="202"/>
  <c r="J521" i="202"/>
  <c r="J533" i="202"/>
  <c r="J532" i="202"/>
  <c r="J531" i="202"/>
  <c r="J520" i="202"/>
  <c r="J519" i="202"/>
  <c r="J518" i="202"/>
  <c r="J517" i="202"/>
  <c r="J516" i="202"/>
  <c r="J515" i="202"/>
  <c r="J511" i="202"/>
  <c r="J509" i="202"/>
  <c r="J508" i="202"/>
  <c r="J535" i="202"/>
  <c r="J529" i="202"/>
  <c r="J506" i="202"/>
  <c r="J505" i="202"/>
  <c r="J528" i="202"/>
  <c r="J504" i="202"/>
  <c r="BZ18" i="161"/>
  <c r="CA18" i="161" l="1"/>
  <c r="J5" i="202" l="1"/>
  <c r="K5" i="202" s="1"/>
  <c r="B44" i="108" l="1"/>
  <c r="J74" i="108"/>
  <c r="I74" i="108"/>
  <c r="J73" i="108"/>
  <c r="I73" i="108"/>
  <c r="J72" i="108"/>
  <c r="I72" i="108"/>
  <c r="J71" i="108"/>
  <c r="I71" i="108"/>
  <c r="J70" i="108"/>
  <c r="I70" i="108"/>
  <c r="J69" i="108"/>
  <c r="I69" i="108"/>
  <c r="J68" i="108"/>
  <c r="I68" i="108"/>
  <c r="J67" i="108"/>
  <c r="I67" i="108"/>
  <c r="J66" i="108"/>
  <c r="I66" i="108"/>
  <c r="J65" i="108"/>
  <c r="I65" i="108"/>
  <c r="J64" i="108"/>
  <c r="I64" i="108"/>
  <c r="J63" i="108"/>
  <c r="I63" i="108"/>
  <c r="J62" i="108"/>
  <c r="I62" i="108"/>
  <c r="J61" i="108"/>
  <c r="I61" i="108"/>
  <c r="J60" i="108"/>
  <c r="I60" i="108"/>
  <c r="J59" i="108"/>
  <c r="I59" i="108"/>
  <c r="J58" i="108"/>
  <c r="I58" i="108"/>
  <c r="J57" i="108"/>
  <c r="I57" i="108"/>
  <c r="J56" i="108"/>
  <c r="I56" i="108"/>
  <c r="J55" i="108"/>
  <c r="I55" i="108"/>
  <c r="J54" i="108"/>
  <c r="I54" i="108"/>
  <c r="J53" i="108"/>
  <c r="I53" i="108"/>
  <c r="J52" i="108"/>
  <c r="I52" i="108"/>
  <c r="J51" i="108"/>
  <c r="I51" i="108"/>
  <c r="P50" i="108"/>
  <c r="O50" i="108"/>
  <c r="M50" i="108" l="1"/>
  <c r="N50" i="108"/>
  <c r="N51" i="108" s="1"/>
  <c r="N52" i="108" s="1"/>
  <c r="N53" i="108" s="1"/>
  <c r="N54" i="108" s="1"/>
  <c r="N55" i="108" s="1"/>
  <c r="N56" i="108" s="1"/>
  <c r="N57" i="108" s="1"/>
  <c r="N58" i="108" s="1"/>
  <c r="N59" i="108" s="1"/>
  <c r="N60" i="108" s="1"/>
  <c r="N61" i="108" s="1"/>
  <c r="N62" i="108" s="1"/>
  <c r="N63" i="108" s="1"/>
  <c r="N64" i="108" s="1"/>
  <c r="N65" i="108" s="1"/>
  <c r="N66" i="108" s="1"/>
  <c r="N67" i="108" s="1"/>
  <c r="N68" i="108" s="1"/>
  <c r="N69" i="108" s="1"/>
  <c r="N70" i="108" s="1"/>
  <c r="N71" i="108" s="1"/>
  <c r="N72" i="108" s="1"/>
  <c r="N73" i="108" s="1"/>
  <c r="N74" i="108" s="1"/>
  <c r="P51" i="108"/>
  <c r="P52" i="108" s="1"/>
  <c r="P53" i="108" s="1"/>
  <c r="P54" i="108" s="1"/>
  <c r="P55" i="108" s="1"/>
  <c r="P56" i="108" s="1"/>
  <c r="P57" i="108" s="1"/>
  <c r="P58" i="108" s="1"/>
  <c r="P59" i="108" s="1"/>
  <c r="P60" i="108" s="1"/>
  <c r="P61" i="108" s="1"/>
  <c r="P62" i="108" s="1"/>
  <c r="P63" i="108" s="1"/>
  <c r="P64" i="108" s="1"/>
  <c r="P65" i="108" s="1"/>
  <c r="P66" i="108" s="1"/>
  <c r="P67" i="108" s="1"/>
  <c r="P68" i="108" s="1"/>
  <c r="P69" i="108" s="1"/>
  <c r="P70" i="108" s="1"/>
  <c r="P71" i="108" s="1"/>
  <c r="P72" i="108" s="1"/>
  <c r="P73" i="108" s="1"/>
  <c r="P74" i="108" s="1"/>
  <c r="D78" i="108"/>
  <c r="B7" i="108"/>
  <c r="C78" i="108"/>
  <c r="O51" i="108"/>
  <c r="G78" i="108"/>
  <c r="J494" i="202"/>
  <c r="K494" i="202" s="1"/>
  <c r="J495" i="202"/>
  <c r="K495" i="202" s="1"/>
  <c r="J424" i="202"/>
  <c r="K424" i="202" s="1"/>
  <c r="J425" i="202"/>
  <c r="K425" i="202" s="1"/>
  <c r="J693" i="202"/>
  <c r="K693" i="202" s="1"/>
  <c r="J543" i="202"/>
  <c r="J542" i="202"/>
  <c r="J541" i="202"/>
  <c r="J540" i="202"/>
  <c r="J539" i="202"/>
  <c r="J538" i="202"/>
  <c r="J536" i="202"/>
  <c r="O52" i="108" l="1"/>
  <c r="O53" i="108" s="1"/>
  <c r="O54" i="108" s="1"/>
  <c r="O55" i="108" s="1"/>
  <c r="O56" i="108" s="1"/>
  <c r="O57" i="108" s="1"/>
  <c r="O58" i="108" s="1"/>
  <c r="O59" i="108" s="1"/>
  <c r="O60" i="108" s="1"/>
  <c r="O61" i="108" s="1"/>
  <c r="O62" i="108" s="1"/>
  <c r="O63" i="108" s="1"/>
  <c r="O64" i="108" s="1"/>
  <c r="O65" i="108" s="1"/>
  <c r="O66" i="108" s="1"/>
  <c r="O67" i="108" s="1"/>
  <c r="O68" i="108" s="1"/>
  <c r="O69" i="108" s="1"/>
  <c r="O70" i="108" s="1"/>
  <c r="O71" i="108" s="1"/>
  <c r="O72" i="108" s="1"/>
  <c r="O73" i="108" s="1"/>
  <c r="O74" i="108" s="1"/>
  <c r="G12" i="108"/>
  <c r="M51" i="108"/>
  <c r="F12" i="108"/>
  <c r="F78" i="108"/>
  <c r="AC115" i="173"/>
  <c r="AC114" i="173"/>
  <c r="AC113" i="173"/>
  <c r="AC112" i="173"/>
  <c r="AB115" i="173"/>
  <c r="AB114" i="173"/>
  <c r="AB113" i="173"/>
  <c r="F13" i="108" l="1"/>
  <c r="M52" i="108"/>
  <c r="G13" i="108"/>
  <c r="G14" i="108" l="1"/>
  <c r="M53" i="108"/>
  <c r="F14" i="108"/>
  <c r="M54" i="108" l="1"/>
  <c r="F15" i="108"/>
  <c r="G15" i="108"/>
  <c r="S180" i="257"/>
  <c r="I180" i="257"/>
  <c r="S181" i="257"/>
  <c r="I181" i="257"/>
  <c r="S182" i="257"/>
  <c r="I182" i="257"/>
  <c r="S183" i="257"/>
  <c r="I183" i="257"/>
  <c r="S184" i="257"/>
  <c r="I184" i="257"/>
  <c r="S185" i="257"/>
  <c r="I185" i="257"/>
  <c r="S186" i="257"/>
  <c r="I186" i="257"/>
  <c r="S187" i="257"/>
  <c r="I187" i="257"/>
  <c r="S188" i="257"/>
  <c r="I188" i="257"/>
  <c r="H187" i="257" l="1"/>
  <c r="H182" i="257"/>
  <c r="H186" i="257"/>
  <c r="H180" i="257"/>
  <c r="H185" i="257"/>
  <c r="H181" i="257"/>
  <c r="H184" i="257"/>
  <c r="H183" i="257"/>
  <c r="H188" i="257"/>
  <c r="G16" i="108"/>
  <c r="M55" i="108"/>
  <c r="F16" i="108"/>
  <c r="AL22" i="170"/>
  <c r="AO22" i="170" l="1"/>
  <c r="G17" i="108"/>
  <c r="M56" i="108"/>
  <c r="F17" i="108"/>
  <c r="AY22" i="170" l="1"/>
  <c r="T181" i="257" s="1"/>
  <c r="AZ22" i="170"/>
  <c r="BR22" i="170"/>
  <c r="BU22" i="170" s="1"/>
  <c r="U181" i="257"/>
  <c r="M57" i="108"/>
  <c r="F18" i="108"/>
  <c r="G18" i="108"/>
  <c r="G19" i="108" l="1"/>
  <c r="M58" i="108"/>
  <c r="F19" i="108"/>
  <c r="M59" i="108" l="1"/>
  <c r="F20" i="108"/>
  <c r="G20" i="108"/>
  <c r="G21" i="108" l="1"/>
  <c r="M60" i="108"/>
  <c r="F21" i="108"/>
  <c r="M61" i="108" l="1"/>
  <c r="F22" i="108"/>
  <c r="G22" i="108"/>
  <c r="G23" i="108" l="1"/>
  <c r="M62" i="108"/>
  <c r="F23" i="108"/>
  <c r="M63" i="108" l="1"/>
  <c r="F24" i="108"/>
  <c r="G24" i="108"/>
  <c r="G25" i="108" l="1"/>
  <c r="M64" i="108"/>
  <c r="F25" i="108"/>
  <c r="G26" i="108" l="1"/>
  <c r="M65" i="108"/>
  <c r="F26" i="108"/>
  <c r="BK18" i="167" l="1"/>
  <c r="BN18" i="167" s="1"/>
  <c r="J116" i="257" s="1"/>
  <c r="BK18" i="256"/>
  <c r="BN18" i="256" s="1"/>
  <c r="J290" i="257" s="1"/>
  <c r="M66" i="108"/>
  <c r="F27" i="108"/>
  <c r="G27" i="108"/>
  <c r="G28" i="108" l="1"/>
  <c r="M67" i="108"/>
  <c r="F28" i="108"/>
  <c r="M68" i="108" l="1"/>
  <c r="F29" i="108"/>
  <c r="G29" i="108"/>
  <c r="Q25" i="3"/>
  <c r="Q15" i="3"/>
  <c r="Q16" i="3"/>
  <c r="Q14" i="3"/>
  <c r="Q12" i="3"/>
  <c r="Q11" i="3"/>
  <c r="Q10" i="3"/>
  <c r="G30" i="108" l="1"/>
  <c r="M69" i="108"/>
  <c r="F30" i="108"/>
  <c r="Q28" i="3"/>
  <c r="P76" i="161"/>
  <c r="R76" i="161"/>
  <c r="AI76" i="161"/>
  <c r="P78" i="161"/>
  <c r="R78" i="161"/>
  <c r="AI78" i="161"/>
  <c r="P80" i="161"/>
  <c r="R80" i="161"/>
  <c r="AI80" i="161"/>
  <c r="P82" i="161"/>
  <c r="R82" i="161"/>
  <c r="AI82" i="161"/>
  <c r="P84" i="161"/>
  <c r="R84" i="161"/>
  <c r="AI84" i="161"/>
  <c r="P86" i="161"/>
  <c r="R86" i="161"/>
  <c r="AI86" i="161"/>
  <c r="P64" i="161"/>
  <c r="R64" i="161"/>
  <c r="AI64" i="161"/>
  <c r="P66" i="161"/>
  <c r="R66" i="161"/>
  <c r="AI66" i="161"/>
  <c r="P68" i="161"/>
  <c r="R68" i="161"/>
  <c r="AI68" i="161"/>
  <c r="P70" i="161"/>
  <c r="R70" i="161"/>
  <c r="AI70" i="161"/>
  <c r="P72" i="161"/>
  <c r="R72" i="161"/>
  <c r="AI72" i="161"/>
  <c r="P74" i="161"/>
  <c r="R74" i="161"/>
  <c r="AI74" i="161"/>
  <c r="P58" i="161"/>
  <c r="R58" i="161"/>
  <c r="AI58" i="161"/>
  <c r="P60" i="161"/>
  <c r="R60" i="161"/>
  <c r="AI60" i="161"/>
  <c r="P62" i="161"/>
  <c r="R62" i="161"/>
  <c r="AI62" i="161"/>
  <c r="BQ60" i="161" l="1"/>
  <c r="BU60" i="161" s="1"/>
  <c r="BQ68" i="161"/>
  <c r="BU68" i="161" s="1"/>
  <c r="BQ74" i="161"/>
  <c r="BU74" i="161" s="1"/>
  <c r="BQ66" i="161"/>
  <c r="BU66" i="161" s="1"/>
  <c r="BQ58" i="161"/>
  <c r="BU58" i="161" s="1"/>
  <c r="BQ78" i="161"/>
  <c r="BU78" i="161" s="1"/>
  <c r="BQ64" i="161"/>
  <c r="BU64" i="161" s="1"/>
  <c r="BQ86" i="161"/>
  <c r="BU86" i="161" s="1"/>
  <c r="BQ72" i="161"/>
  <c r="BU72" i="161" s="1"/>
  <c r="BQ80" i="161"/>
  <c r="BU80" i="161" s="1"/>
  <c r="BQ76" i="161"/>
  <c r="BU76" i="161" s="1"/>
  <c r="BQ84" i="161"/>
  <c r="BU84" i="161" s="1"/>
  <c r="BQ70" i="161"/>
  <c r="BU70" i="161" s="1"/>
  <c r="BQ62" i="161"/>
  <c r="BU62" i="161" s="1"/>
  <c r="BQ82" i="161"/>
  <c r="BU82" i="161" s="1"/>
  <c r="M70" i="108"/>
  <c r="F31" i="108"/>
  <c r="G31" i="108"/>
  <c r="G32" i="108" l="1"/>
  <c r="M71" i="108"/>
  <c r="F32" i="108"/>
  <c r="R36" i="160"/>
  <c r="BI36" i="160" l="1" a="1"/>
  <c r="BI36" i="160" s="1"/>
  <c r="AK60" i="257" s="1"/>
  <c r="BH36" i="160" a="1"/>
  <c r="BH36" i="160" s="1"/>
  <c r="AI60" i="257" s="1"/>
  <c r="AX36" i="160"/>
  <c r="BC36" i="160"/>
  <c r="BD36" i="160"/>
  <c r="L60" i="257" s="1"/>
  <c r="BK36" i="160"/>
  <c r="BN36" i="160" s="1"/>
  <c r="BW36" i="160"/>
  <c r="G33" i="108"/>
  <c r="M72" i="108"/>
  <c r="F33" i="108"/>
  <c r="I37" i="81"/>
  <c r="M73" i="108" l="1"/>
  <c r="F34" i="108"/>
  <c r="G34" i="108"/>
  <c r="K497" i="202"/>
  <c r="G36" i="108" l="1"/>
  <c r="G35" i="108"/>
  <c r="M74" i="108"/>
  <c r="F36" i="108" s="1"/>
  <c r="BK36" i="176" s="1"/>
  <c r="BN36" i="176" s="1"/>
  <c r="F35" i="108"/>
  <c r="BJ18" i="175"/>
  <c r="I227" i="257" s="1"/>
  <c r="BC18" i="175"/>
  <c r="BX18" i="175" s="1" a="1"/>
  <c r="BX18" i="175" s="1"/>
  <c r="E227" i="257" l="1" a="1"/>
  <c r="E227" i="257" s="1"/>
  <c r="BV18" i="175" a="1"/>
  <c r="BV18" i="175" s="1"/>
  <c r="H227" i="257"/>
  <c r="J252" i="257" l="1"/>
  <c r="H27" i="3"/>
  <c r="BR19" i="109" l="1"/>
  <c r="BR20" i="109"/>
  <c r="BQ19" i="109"/>
  <c r="BP19" i="109"/>
  <c r="BO19" i="109"/>
  <c r="BM19" i="109"/>
  <c r="BN19" i="109"/>
  <c r="BL19" i="109"/>
  <c r="BK19" i="109"/>
  <c r="BJ19" i="109"/>
  <c r="I147" i="257" l="1"/>
  <c r="BC18" i="170" l="1"/>
  <c r="BX18" i="170" s="1" a="1"/>
  <c r="BX18" i="170" s="1"/>
  <c r="BJ18" i="170"/>
  <c r="I179" i="257" s="1"/>
  <c r="E179" i="257" l="1" a="1"/>
  <c r="E179" i="257" s="1"/>
  <c r="BV18" i="170" a="1"/>
  <c r="BV18" i="170" s="1"/>
  <c r="H179" i="257"/>
  <c r="T20" i="158"/>
  <c r="BI20" i="158" l="1" a="1"/>
  <c r="BI20" i="158" s="1"/>
  <c r="BH20" i="158" a="1"/>
  <c r="BH20" i="158" s="1"/>
  <c r="BD20" i="158"/>
  <c r="L5" i="257" s="1"/>
  <c r="BW20" i="158"/>
  <c r="AX20" i="158"/>
  <c r="BY20" i="158"/>
  <c r="BB20" i="158"/>
  <c r="BC20" i="158"/>
  <c r="BF20" i="158"/>
  <c r="BK20" i="158"/>
  <c r="BN20" i="158" s="1"/>
  <c r="BA20" i="158"/>
  <c r="BE20" i="158"/>
  <c r="X5" i="257"/>
  <c r="AR20" i="158"/>
  <c r="BU20" i="158" s="1"/>
  <c r="AA5" i="257" l="1" a="1"/>
  <c r="AA5" i="257" s="1"/>
  <c r="AB5" i="257" a="1"/>
  <c r="AB5" i="257" s="1"/>
  <c r="AO22" i="159"/>
  <c r="BV22" i="159" s="1"/>
  <c r="AO24" i="159"/>
  <c r="BV24" i="159" s="1"/>
  <c r="AO26" i="159"/>
  <c r="BV26" i="159" s="1"/>
  <c r="AO28" i="159"/>
  <c r="BV28" i="159" s="1"/>
  <c r="AO30" i="159"/>
  <c r="BV30" i="159" s="1"/>
  <c r="AO32" i="159"/>
  <c r="BV32" i="159" s="1"/>
  <c r="AO34" i="159"/>
  <c r="BV34" i="159" s="1"/>
  <c r="BD18" i="159"/>
  <c r="L35" i="257" s="1"/>
  <c r="D9" i="109" l="1"/>
  <c r="BY18" i="159" l="1"/>
  <c r="BY18" i="160"/>
  <c r="BY18" i="163"/>
  <c r="BY18" i="162"/>
  <c r="D7" i="109" l="1"/>
  <c r="D8" i="109"/>
  <c r="O200" i="256" l="1"/>
  <c r="O200" i="253"/>
  <c r="O200" i="255"/>
  <c r="O200" i="252"/>
  <c r="O200" i="254"/>
  <c r="O200" i="251"/>
  <c r="Q200" i="8"/>
  <c r="D5" i="109"/>
  <c r="D4" i="109"/>
  <c r="AV202" i="8"/>
  <c r="B202" i="8"/>
  <c r="B201" i="8"/>
  <c r="B200" i="8"/>
  <c r="AV201" i="256" l="1"/>
  <c r="AV201" i="254"/>
  <c r="AV201" i="255"/>
  <c r="AV201" i="252"/>
  <c r="AV201" i="251"/>
  <c r="AV201" i="253"/>
  <c r="AV200" i="253"/>
  <c r="AV200" i="256"/>
  <c r="AV200" i="254"/>
  <c r="AV200" i="255"/>
  <c r="AV200" i="252"/>
  <c r="AV200" i="251"/>
  <c r="AV201" i="8"/>
  <c r="AV200" i="8"/>
  <c r="AA202" i="8"/>
  <c r="M694" i="202" l="1"/>
  <c r="M668" i="202"/>
  <c r="M612" i="202"/>
  <c r="M543" i="202"/>
  <c r="M533" i="202"/>
  <c r="M520" i="202"/>
  <c r="M542" i="202"/>
  <c r="M532" i="202"/>
  <c r="M519" i="202"/>
  <c r="M619" i="202"/>
  <c r="M692" i="202"/>
  <c r="M656" i="202"/>
  <c r="M611" i="202"/>
  <c r="M691" i="202"/>
  <c r="M652" i="202"/>
  <c r="M607" i="202"/>
  <c r="M676" i="202"/>
  <c r="M638" i="202"/>
  <c r="M593" i="202"/>
  <c r="M541" i="202"/>
  <c r="M531" i="202"/>
  <c r="M518" i="202"/>
  <c r="M493" i="202"/>
  <c r="M485" i="202"/>
  <c r="M468" i="202"/>
  <c r="M368" i="202"/>
  <c r="M303" i="202"/>
  <c r="M366" i="202"/>
  <c r="M293" i="202"/>
  <c r="M283" i="202"/>
  <c r="M423" i="202"/>
  <c r="M359" i="202"/>
  <c r="M271" i="202"/>
  <c r="M422" i="202"/>
  <c r="M385" i="202"/>
  <c r="M267" i="202"/>
  <c r="M357" i="202"/>
  <c r="M256" i="202"/>
  <c r="M402" i="202"/>
  <c r="M378" i="202"/>
  <c r="M239" i="202"/>
  <c r="M618" i="202"/>
  <c r="M689" i="202"/>
  <c r="M655" i="202"/>
  <c r="M610" i="202"/>
  <c r="M688" i="202"/>
  <c r="M651" i="202"/>
  <c r="M606" i="202"/>
  <c r="M675" i="202"/>
  <c r="M637" i="202"/>
  <c r="M592" i="202"/>
  <c r="M540" i="202"/>
  <c r="M535" i="202"/>
  <c r="M517" i="202"/>
  <c r="M492" i="202"/>
  <c r="M484" i="202"/>
  <c r="M467" i="202"/>
  <c r="M375" i="202"/>
  <c r="M315" i="202"/>
  <c r="M372" i="202"/>
  <c r="M312" i="202"/>
  <c r="M365" i="202"/>
  <c r="M292" i="202"/>
  <c r="M364" i="202"/>
  <c r="M287" i="202"/>
  <c r="M282" i="202"/>
  <c r="M419" i="202"/>
  <c r="M387" i="202"/>
  <c r="M270" i="202"/>
  <c r="M418" i="202"/>
  <c r="M384" i="202"/>
  <c r="M266" i="202"/>
  <c r="M420" i="202"/>
  <c r="M361" i="202"/>
  <c r="M274" i="202"/>
  <c r="M678" i="202"/>
  <c r="M698" i="202"/>
  <c r="M672" i="202"/>
  <c r="M633" i="202"/>
  <c r="M666" i="202"/>
  <c r="M626" i="202"/>
  <c r="M670" i="202"/>
  <c r="M628" i="202"/>
  <c r="M661" i="202"/>
  <c r="M624" i="202"/>
  <c r="M621" i="202"/>
  <c r="M685" i="202"/>
  <c r="M654" i="202"/>
  <c r="M609" i="202"/>
  <c r="M684" i="202"/>
  <c r="M650" i="202"/>
  <c r="M605" i="202"/>
  <c r="M674" i="202"/>
  <c r="M636" i="202"/>
  <c r="M591" i="202"/>
  <c r="M471" i="202"/>
  <c r="M539" i="202"/>
  <c r="M529" i="202"/>
  <c r="M516" i="202"/>
  <c r="M491" i="202"/>
  <c r="M483" i="202"/>
  <c r="M466" i="202"/>
  <c r="M526" i="202"/>
  <c r="M514" i="202"/>
  <c r="M405" i="202"/>
  <c r="M434" i="202"/>
  <c r="M369" i="202"/>
  <c r="M307" i="202"/>
  <c r="M433" i="202"/>
  <c r="M392" i="202"/>
  <c r="M305" i="202"/>
  <c r="M437" i="202"/>
  <c r="M374" i="202"/>
  <c r="M314" i="202"/>
  <c r="M436" i="202"/>
  <c r="M371" i="202"/>
  <c r="M311" i="202"/>
  <c r="M435" i="202"/>
  <c r="M370" i="202"/>
  <c r="M309" i="202"/>
  <c r="M296" i="202"/>
  <c r="M389" i="202"/>
  <c r="M291" i="202"/>
  <c r="M349" i="202"/>
  <c r="M289" i="202"/>
  <c r="M363" i="202"/>
  <c r="M286" i="202"/>
  <c r="M281" i="202"/>
  <c r="M416" i="202"/>
  <c r="M360" i="202"/>
  <c r="M273" i="202"/>
  <c r="M662" i="202"/>
  <c r="M627" i="202"/>
  <c r="J587" i="202"/>
  <c r="K587" i="202" s="1"/>
  <c r="M584" i="202"/>
  <c r="M156" i="202"/>
  <c r="M155" i="202"/>
  <c r="M227" i="202"/>
  <c r="M511" i="202"/>
  <c r="M509" i="202"/>
  <c r="M142" i="202"/>
  <c r="M230" i="202"/>
  <c r="M221" i="202"/>
  <c r="M228" i="202"/>
  <c r="M217" i="202"/>
  <c r="M226" i="202"/>
  <c r="M224" i="202"/>
  <c r="M214" i="202"/>
  <c r="M508" i="202"/>
  <c r="M506" i="202"/>
  <c r="M220" i="202"/>
  <c r="M219" i="202"/>
  <c r="M202" i="202"/>
  <c r="M215" i="202"/>
  <c r="M195" i="202"/>
  <c r="M212" i="202"/>
  <c r="M165" i="202"/>
  <c r="M588" i="202"/>
  <c r="M505" i="202"/>
  <c r="M454" i="202"/>
  <c r="M453" i="202"/>
  <c r="M452" i="202"/>
  <c r="M502" i="202"/>
  <c r="M586" i="202"/>
  <c r="M581" i="202"/>
  <c r="M580" i="202"/>
  <c r="M579" i="202"/>
  <c r="M574" i="202"/>
  <c r="M573" i="202"/>
  <c r="M572" i="202"/>
  <c r="M571" i="202"/>
  <c r="M569" i="202"/>
  <c r="M568" i="202"/>
  <c r="M567" i="202"/>
  <c r="M555" i="202"/>
  <c r="M554" i="202"/>
  <c r="M553" i="202"/>
  <c r="M207" i="202"/>
  <c r="M200" i="202"/>
  <c r="M192" i="202"/>
  <c r="M191" i="202"/>
  <c r="AO20" i="168" l="1"/>
  <c r="AO22" i="168"/>
  <c r="AO24" i="168"/>
  <c r="AO26" i="168"/>
  <c r="AO28" i="168"/>
  <c r="AO30" i="168"/>
  <c r="AO32" i="168"/>
  <c r="AO34" i="168"/>
  <c r="AO36" i="168"/>
  <c r="AO18" i="168"/>
  <c r="AI37" i="257"/>
  <c r="AI38" i="257"/>
  <c r="AI39" i="257"/>
  <c r="AI40" i="257"/>
  <c r="AI41" i="257"/>
  <c r="AI42" i="257"/>
  <c r="AI43" i="257"/>
  <c r="AI35" i="257"/>
  <c r="BR28" i="168" l="1"/>
  <c r="BR26" i="168"/>
  <c r="BR36" i="168"/>
  <c r="BR30" i="168"/>
  <c r="BR24" i="168"/>
  <c r="BR34" i="168"/>
  <c r="BR22" i="168"/>
  <c r="BR32" i="168"/>
  <c r="BR20" i="168"/>
  <c r="BR18" i="168"/>
  <c r="AO20" i="159"/>
  <c r="BV20" i="159" s="1"/>
  <c r="AI36" i="257"/>
  <c r="AO36" i="159"/>
  <c r="AI44" i="257"/>
  <c r="I11" i="3"/>
  <c r="AO18" i="159"/>
  <c r="J677" i="202" l="1"/>
  <c r="K677" i="202" s="1"/>
  <c r="J678" i="202"/>
  <c r="K678" i="202" s="1"/>
  <c r="J404" i="202" l="1"/>
  <c r="K404" i="202" s="1"/>
  <c r="J406" i="202"/>
  <c r="K406" i="202" s="1"/>
  <c r="J403" i="202"/>
  <c r="K403" i="202" s="1"/>
  <c r="J405" i="202"/>
  <c r="K405" i="202" s="1"/>
  <c r="BL15" i="109" l="1"/>
  <c r="BK15" i="109"/>
  <c r="BJ15" i="109"/>
  <c r="BN14" i="109"/>
  <c r="AJ16" i="153" s="1"/>
  <c r="ET2" i="257" s="1"/>
  <c r="BM14" i="109"/>
  <c r="BL14" i="109"/>
  <c r="BK14" i="109"/>
  <c r="BJ14" i="109"/>
  <c r="BR13" i="109"/>
  <c r="BQ13" i="109"/>
  <c r="BP13" i="109"/>
  <c r="BO13" i="109"/>
  <c r="BN13" i="109"/>
  <c r="BM13" i="109"/>
  <c r="BL13" i="109"/>
  <c r="BK13" i="109"/>
  <c r="BJ13" i="109"/>
  <c r="BR12" i="109"/>
  <c r="BQ12" i="109"/>
  <c r="BP12" i="109"/>
  <c r="BO12" i="109"/>
  <c r="BN12" i="109"/>
  <c r="BM12" i="109"/>
  <c r="BL12" i="109"/>
  <c r="BK12" i="109"/>
  <c r="BJ12" i="109"/>
  <c r="BN15" i="109"/>
  <c r="BM15" i="109"/>
  <c r="BN29" i="109" l="1"/>
  <c r="BM29" i="109"/>
  <c r="BL29" i="109"/>
  <c r="BK29" i="109"/>
  <c r="BJ29" i="109"/>
  <c r="BN28" i="109"/>
  <c r="BM28" i="109"/>
  <c r="BL28" i="109"/>
  <c r="BK28" i="109"/>
  <c r="BJ28" i="109"/>
  <c r="BR27" i="109"/>
  <c r="BQ27" i="109"/>
  <c r="BP27" i="109"/>
  <c r="BO27" i="109"/>
  <c r="BN27" i="109"/>
  <c r="BM27" i="109"/>
  <c r="BL27" i="109"/>
  <c r="BK27" i="109"/>
  <c r="BJ27" i="109"/>
  <c r="BR26" i="109"/>
  <c r="BQ26" i="109"/>
  <c r="BP26" i="109"/>
  <c r="BO26" i="109"/>
  <c r="BN26" i="109"/>
  <c r="BM26" i="109"/>
  <c r="BL26" i="109"/>
  <c r="BK26" i="109"/>
  <c r="BJ26" i="109"/>
  <c r="BQ29" i="109" l="1"/>
  <c r="BQ28" i="109"/>
  <c r="BO28" i="109"/>
  <c r="BO29" i="109"/>
  <c r="BR28" i="109"/>
  <c r="BR29" i="109"/>
  <c r="BP28" i="109"/>
  <c r="BP29" i="109"/>
  <c r="BN22" i="109" l="1"/>
  <c r="BM22" i="109"/>
  <c r="BL22" i="109"/>
  <c r="BK22" i="109"/>
  <c r="BJ22" i="109"/>
  <c r="BN21" i="109"/>
  <c r="BM21" i="109"/>
  <c r="BL21" i="109"/>
  <c r="BK21" i="109"/>
  <c r="BJ21" i="109"/>
  <c r="BQ20" i="109"/>
  <c r="BP20" i="109"/>
  <c r="BO20" i="109"/>
  <c r="BN20" i="109"/>
  <c r="BM20" i="109"/>
  <c r="BL20" i="109"/>
  <c r="BK20" i="109"/>
  <c r="BJ20" i="109"/>
  <c r="BR21" i="109" l="1"/>
  <c r="BQ22" i="109"/>
  <c r="BQ21" i="109"/>
  <c r="BO22" i="109"/>
  <c r="BO21" i="109"/>
  <c r="BR22" i="109"/>
  <c r="BP21" i="109"/>
  <c r="BP22" i="109"/>
  <c r="AX30" i="176" l="1"/>
  <c r="S249" i="257" s="1"/>
  <c r="BG30" i="176"/>
  <c r="J26" i="3" s="1"/>
  <c r="BJ30" i="176"/>
  <c r="I249" i="257" s="1"/>
  <c r="BR30" i="176" l="1"/>
  <c r="R20" i="154" l="1"/>
  <c r="W19" i="154"/>
  <c r="R19" i="154"/>
  <c r="R18" i="154"/>
  <c r="J488" i="202" l="1"/>
  <c r="K488" i="202" s="1"/>
  <c r="J487" i="202"/>
  <c r="K487" i="202" s="1"/>
  <c r="J489" i="202"/>
  <c r="K489" i="202" s="1"/>
  <c r="K536" i="202"/>
  <c r="K537" i="202"/>
  <c r="J490" i="202"/>
  <c r="K490" i="202" s="1"/>
  <c r="J491" i="202"/>
  <c r="K491" i="202" s="1"/>
  <c r="J492" i="202"/>
  <c r="K492" i="202" s="1"/>
  <c r="J493" i="202"/>
  <c r="K493" i="202" s="1"/>
  <c r="K538" i="202"/>
  <c r="K539" i="202"/>
  <c r="K540" i="202"/>
  <c r="K541" i="202"/>
  <c r="K542" i="202"/>
  <c r="K543" i="202"/>
  <c r="J486" i="202"/>
  <c r="K486" i="202" s="1"/>
  <c r="J698" i="202"/>
  <c r="K698" i="202" s="1"/>
  <c r="J696" i="202"/>
  <c r="K696" i="202" s="1"/>
  <c r="J686" i="202"/>
  <c r="K686" i="202" s="1"/>
  <c r="J683" i="202"/>
  <c r="K683" i="202" s="1"/>
  <c r="J687" i="202"/>
  <c r="K687" i="202" s="1"/>
  <c r="J690" i="202"/>
  <c r="K690" i="202" s="1"/>
  <c r="J680" i="202"/>
  <c r="K680" i="202" s="1"/>
  <c r="J684" i="202"/>
  <c r="K684" i="202" s="1"/>
  <c r="J688" i="202"/>
  <c r="K688" i="202" s="1"/>
  <c r="J691" i="202"/>
  <c r="K691" i="202" s="1"/>
  <c r="J681" i="202"/>
  <c r="K681" i="202" s="1"/>
  <c r="J685" i="202"/>
  <c r="K685" i="202" s="1"/>
  <c r="J689" i="202"/>
  <c r="K689" i="202" s="1"/>
  <c r="J692" i="202"/>
  <c r="K692" i="202" s="1"/>
  <c r="J694" i="202"/>
  <c r="K694" i="202" s="1"/>
  <c r="J682" i="202"/>
  <c r="K682" i="202" s="1"/>
  <c r="J679" i="202"/>
  <c r="K679" i="202" s="1"/>
  <c r="J674" i="202"/>
  <c r="K674" i="202" s="1"/>
  <c r="J675" i="202"/>
  <c r="K675" i="202" s="1"/>
  <c r="J676" i="202"/>
  <c r="K676" i="202" s="1"/>
  <c r="J673" i="202"/>
  <c r="K673" i="202" s="1"/>
  <c r="J437" i="202"/>
  <c r="K437" i="202" s="1"/>
  <c r="J431" i="202"/>
  <c r="K431" i="202" s="1"/>
  <c r="J436" i="202"/>
  <c r="K436" i="202" s="1"/>
  <c r="J430" i="202"/>
  <c r="K430" i="202" s="1"/>
  <c r="J435" i="202"/>
  <c r="K435" i="202" s="1"/>
  <c r="J429" i="202"/>
  <c r="K429" i="202" s="1"/>
  <c r="J434" i="202"/>
  <c r="K434" i="202" s="1"/>
  <c r="J428" i="202"/>
  <c r="K428" i="202" s="1"/>
  <c r="J433" i="202"/>
  <c r="K433" i="202" s="1"/>
  <c r="J427" i="202"/>
  <c r="K427" i="202" s="1"/>
  <c r="J432" i="202"/>
  <c r="K432" i="202" s="1"/>
  <c r="J426" i="202"/>
  <c r="K426" i="202" s="1"/>
  <c r="J402" i="202"/>
  <c r="K402" i="202" s="1"/>
  <c r="J400" i="202"/>
  <c r="K400" i="202" s="1"/>
  <c r="J398" i="202"/>
  <c r="K398" i="202" s="1"/>
  <c r="J396" i="202"/>
  <c r="K396" i="202" s="1"/>
  <c r="J401" i="202"/>
  <c r="K401" i="202" s="1"/>
  <c r="J399" i="202"/>
  <c r="K399" i="202" s="1"/>
  <c r="J397" i="202"/>
  <c r="K397" i="202" s="1"/>
  <c r="J395" i="202"/>
  <c r="K395" i="202" s="1"/>
  <c r="J407" i="202"/>
  <c r="K407" i="202" s="1"/>
  <c r="J412" i="202"/>
  <c r="K412" i="202" s="1"/>
  <c r="J408" i="202"/>
  <c r="K408" i="202" s="1"/>
  <c r="J413" i="202"/>
  <c r="K413" i="202" s="1"/>
  <c r="J417" i="202"/>
  <c r="K417" i="202" s="1"/>
  <c r="J421" i="202"/>
  <c r="K421" i="202" s="1"/>
  <c r="J409" i="202"/>
  <c r="K409" i="202" s="1"/>
  <c r="J414" i="202"/>
  <c r="K414" i="202" s="1"/>
  <c r="J418" i="202"/>
  <c r="K418" i="202" s="1"/>
  <c r="J422" i="202"/>
  <c r="K422" i="202" s="1"/>
  <c r="J410" i="202"/>
  <c r="K410" i="202" s="1"/>
  <c r="J415" i="202"/>
  <c r="K415" i="202" s="1"/>
  <c r="J419" i="202"/>
  <c r="K419" i="202" s="1"/>
  <c r="J423" i="202"/>
  <c r="K423" i="202" s="1"/>
  <c r="J411" i="202"/>
  <c r="K411" i="202" s="1"/>
  <c r="J416" i="202"/>
  <c r="K416" i="202" s="1"/>
  <c r="J420" i="202"/>
  <c r="K420" i="202" s="1"/>
  <c r="C97" i="3"/>
  <c r="B100" i="3"/>
  <c r="B97" i="3"/>
  <c r="C98" i="3"/>
  <c r="B98" i="3"/>
  <c r="C99" i="3"/>
  <c r="C100" i="3"/>
  <c r="C96" i="3"/>
  <c r="B99" i="3"/>
  <c r="B96" i="3"/>
  <c r="D97" i="3" l="1"/>
  <c r="D98" i="3"/>
  <c r="D99" i="3"/>
  <c r="D96" i="3"/>
  <c r="D100" i="3"/>
  <c r="J4" i="202"/>
  <c r="H17" i="154" l="1"/>
  <c r="H18" i="154"/>
  <c r="R17" i="154"/>
  <c r="M20" i="168" l="1"/>
  <c r="M22" i="168"/>
  <c r="M24" i="168"/>
  <c r="M26" i="168"/>
  <c r="M28" i="168"/>
  <c r="M30" i="168"/>
  <c r="M32" i="168"/>
  <c r="M34" i="168"/>
  <c r="M36" i="168"/>
  <c r="M18" i="168"/>
  <c r="M20" i="159"/>
  <c r="M22" i="159"/>
  <c r="M24" i="159"/>
  <c r="M26" i="159"/>
  <c r="M28" i="159"/>
  <c r="M30" i="159"/>
  <c r="M32" i="159"/>
  <c r="M34" i="159"/>
  <c r="M36" i="159"/>
  <c r="M18" i="159"/>
  <c r="R22" i="161"/>
  <c r="R24" i="161"/>
  <c r="R26" i="161"/>
  <c r="R32" i="161"/>
  <c r="R40" i="161"/>
  <c r="R42" i="161"/>
  <c r="R44" i="161"/>
  <c r="R46" i="161"/>
  <c r="R48" i="161"/>
  <c r="R50" i="161"/>
  <c r="R52" i="161"/>
  <c r="R54" i="161"/>
  <c r="R56" i="161"/>
  <c r="P20" i="161"/>
  <c r="P22" i="161"/>
  <c r="P24" i="161"/>
  <c r="P26" i="161"/>
  <c r="P28" i="161"/>
  <c r="P30" i="161"/>
  <c r="P32" i="161"/>
  <c r="P34" i="161"/>
  <c r="P36" i="161"/>
  <c r="P38" i="161"/>
  <c r="P40" i="161"/>
  <c r="P42" i="161"/>
  <c r="P44" i="161"/>
  <c r="P46" i="161"/>
  <c r="P48" i="161"/>
  <c r="P50" i="161"/>
  <c r="P52" i="161"/>
  <c r="P54" i="161"/>
  <c r="P56" i="161"/>
  <c r="P18" i="161"/>
  <c r="R34" i="161"/>
  <c r="R36" i="161"/>
  <c r="R30" i="161" l="1"/>
  <c r="R38" i="161"/>
  <c r="R28" i="161"/>
  <c r="R18" i="161"/>
  <c r="R20" i="161"/>
  <c r="BJ18" i="159" l="1"/>
  <c r="BJ18" i="182"/>
  <c r="BJ18" i="162"/>
  <c r="BJ18" i="163"/>
  <c r="BJ18" i="160"/>
  <c r="BJ18" i="158"/>
  <c r="J125" i="202" l="1"/>
  <c r="J124" i="202"/>
  <c r="K124" i="202" s="1"/>
  <c r="J123" i="202"/>
  <c r="K123" i="202" s="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105" i="202"/>
  <c r="K105" i="202" s="1"/>
  <c r="J104" i="202"/>
  <c r="K104" i="202" s="1"/>
  <c r="J375" i="202"/>
  <c r="K375" i="202" s="1"/>
  <c r="J374" i="202"/>
  <c r="K374" i="202" s="1"/>
  <c r="J373" i="202"/>
  <c r="K373" i="202" s="1"/>
  <c r="J372" i="202"/>
  <c r="K372" i="202" s="1"/>
  <c r="J371" i="202"/>
  <c r="K371" i="202" s="1"/>
  <c r="J394" i="202"/>
  <c r="K394" i="202" s="1"/>
  <c r="J370" i="202"/>
  <c r="K370" i="202" s="1"/>
  <c r="J369" i="202"/>
  <c r="K369" i="202" s="1"/>
  <c r="J368" i="202"/>
  <c r="K368" i="202" s="1"/>
  <c r="J367" i="202"/>
  <c r="K367" i="202" s="1"/>
  <c r="J366" i="202"/>
  <c r="K366" i="202" s="1"/>
  <c r="J365" i="202"/>
  <c r="K365" i="202" s="1"/>
  <c r="J389" i="202"/>
  <c r="K389" i="202" s="1"/>
  <c r="J364" i="202"/>
  <c r="K364" i="202" s="1"/>
  <c r="J363" i="202"/>
  <c r="K363" i="202" s="1"/>
  <c r="J362" i="202"/>
  <c r="K362" i="202" s="1"/>
  <c r="J361" i="202"/>
  <c r="K361" i="202" s="1"/>
  <c r="J360" i="202"/>
  <c r="K360" i="202" s="1"/>
  <c r="J359" i="202"/>
  <c r="K359" i="202" s="1"/>
  <c r="J387" i="202"/>
  <c r="K387" i="202" s="1"/>
  <c r="J358" i="202"/>
  <c r="K358" i="202" s="1"/>
  <c r="J357" i="202"/>
  <c r="K357" i="202" s="1"/>
  <c r="J356" i="202"/>
  <c r="K356" i="202" s="1"/>
  <c r="J378" i="202"/>
  <c r="K378" i="202" s="1"/>
  <c r="K533" i="202"/>
  <c r="K532" i="202"/>
  <c r="K531" i="202"/>
  <c r="K535" i="202"/>
  <c r="J354" i="202"/>
  <c r="K354" i="202" s="1"/>
  <c r="J392" i="202"/>
  <c r="K392" i="202" s="1"/>
  <c r="J355" i="202"/>
  <c r="K355" i="202" s="1"/>
  <c r="J391" i="202"/>
  <c r="K391" i="202" s="1"/>
  <c r="J350" i="202"/>
  <c r="K350" i="202" s="1"/>
  <c r="J349" i="202"/>
  <c r="K349" i="202" s="1"/>
  <c r="J390" i="202"/>
  <c r="K390" i="202" s="1"/>
  <c r="J388" i="202"/>
  <c r="K388" i="202" s="1"/>
  <c r="J346" i="202"/>
  <c r="K346" i="202" s="1"/>
  <c r="J386" i="202"/>
  <c r="K386" i="202" s="1"/>
  <c r="J385" i="202"/>
  <c r="K385" i="202" s="1"/>
  <c r="J384" i="202"/>
  <c r="K384" i="202" s="1"/>
  <c r="J383" i="202"/>
  <c r="K383" i="202" s="1"/>
  <c r="J342" i="202"/>
  <c r="K342" i="202" s="1"/>
  <c r="J382" i="202"/>
  <c r="K382" i="202" s="1"/>
  <c r="J381" i="202"/>
  <c r="K381" i="202" s="1"/>
  <c r="J336" i="202"/>
  <c r="K336" i="202" s="1"/>
  <c r="J380" i="202"/>
  <c r="K380" i="202" s="1"/>
  <c r="J334" i="202"/>
  <c r="K334" i="202" s="1"/>
  <c r="J379" i="202"/>
  <c r="K379" i="202" s="1"/>
  <c r="J377" i="202"/>
  <c r="K377" i="202" s="1"/>
  <c r="J376" i="202"/>
  <c r="K376" i="202" s="1"/>
  <c r="J393" i="202"/>
  <c r="K393" i="202" s="1"/>
  <c r="J672" i="202"/>
  <c r="K672" i="202" s="1"/>
  <c r="J666" i="202"/>
  <c r="K666" i="202" s="1"/>
  <c r="J671" i="202"/>
  <c r="K671" i="202" s="1"/>
  <c r="J670" i="202"/>
  <c r="K670" i="202" s="1"/>
  <c r="J669" i="202"/>
  <c r="K669" i="202" s="1"/>
  <c r="J658" i="202"/>
  <c r="K658" i="202" s="1"/>
  <c r="J668" i="202"/>
  <c r="K668" i="202" s="1"/>
  <c r="J656" i="202"/>
  <c r="K656" i="202" s="1"/>
  <c r="J643" i="202"/>
  <c r="K643" i="202" s="1"/>
  <c r="K529" i="202"/>
  <c r="J485" i="202"/>
  <c r="K485" i="202" s="1"/>
  <c r="J135" i="202"/>
  <c r="K135" i="202" s="1"/>
  <c r="J134" i="202"/>
  <c r="K134" i="202" s="1"/>
  <c r="J133" i="202"/>
  <c r="K133" i="202" s="1"/>
  <c r="J132" i="202"/>
  <c r="K132" i="202" s="1"/>
  <c r="J131" i="202"/>
  <c r="K131" i="202" s="1"/>
  <c r="J130" i="202"/>
  <c r="K130" i="202" s="1"/>
  <c r="J129" i="202"/>
  <c r="K129" i="202" s="1"/>
  <c r="J128" i="202"/>
  <c r="K128" i="202" s="1"/>
  <c r="J127" i="202"/>
  <c r="K127" i="202" s="1"/>
  <c r="J126" i="202"/>
  <c r="K126" i="202" s="1"/>
  <c r="J352" i="202"/>
  <c r="K352" i="202" s="1"/>
  <c r="J351" i="202"/>
  <c r="K351" i="202" s="1"/>
  <c r="J348" i="202"/>
  <c r="J347" i="202"/>
  <c r="J345" i="202"/>
  <c r="K345" i="202" s="1"/>
  <c r="J344" i="202"/>
  <c r="K344" i="202" s="1"/>
  <c r="J343" i="202"/>
  <c r="K343" i="202" s="1"/>
  <c r="J341" i="202"/>
  <c r="K341" i="202" s="1"/>
  <c r="J340" i="202"/>
  <c r="K340" i="202" s="1"/>
  <c r="J339" i="202"/>
  <c r="K339" i="202" s="1"/>
  <c r="J338" i="202"/>
  <c r="K338" i="202" s="1"/>
  <c r="J337" i="202"/>
  <c r="K337" i="202" s="1"/>
  <c r="J335" i="202"/>
  <c r="K335" i="202" s="1"/>
  <c r="J333" i="202"/>
  <c r="K333" i="202" s="1"/>
  <c r="J332" i="202"/>
  <c r="K332" i="202" s="1"/>
  <c r="J331" i="202"/>
  <c r="K331"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17" i="202"/>
  <c r="K317" i="202" s="1"/>
  <c r="J316" i="202"/>
  <c r="K316" i="202" s="1"/>
  <c r="J353" i="202"/>
  <c r="K353" i="202" s="1"/>
  <c r="J665" i="202"/>
  <c r="K665" i="202" s="1"/>
  <c r="J662" i="202"/>
  <c r="K662" i="202" s="1"/>
  <c r="J664" i="202"/>
  <c r="K664" i="202" s="1"/>
  <c r="J663" i="202"/>
  <c r="K663" i="202" s="1"/>
  <c r="J661" i="202"/>
  <c r="K661" i="202" s="1"/>
  <c r="J660" i="202"/>
  <c r="K660" i="202" s="1"/>
  <c r="J659" i="202"/>
  <c r="K659" i="202" s="1"/>
  <c r="J657" i="202"/>
  <c r="K657" i="202" s="1"/>
  <c r="J655" i="202"/>
  <c r="K655" i="202" s="1"/>
  <c r="J654" i="202"/>
  <c r="K654" i="202" s="1"/>
  <c r="J653" i="202"/>
  <c r="K653" i="202" s="1"/>
  <c r="J652" i="202"/>
  <c r="K652" i="202" s="1"/>
  <c r="J651" i="202"/>
  <c r="K651" i="202" s="1"/>
  <c r="J650" i="202"/>
  <c r="K650" i="202" s="1"/>
  <c r="J649" i="202"/>
  <c r="K649" i="202" s="1"/>
  <c r="J648" i="202"/>
  <c r="K648" i="202" s="1"/>
  <c r="J647" i="202"/>
  <c r="K647" i="202" s="1"/>
  <c r="J646" i="202"/>
  <c r="K646" i="202" s="1"/>
  <c r="J645" i="202"/>
  <c r="K645" i="202" s="1"/>
  <c r="J644" i="202"/>
  <c r="K644" i="202" s="1"/>
  <c r="J642" i="202"/>
  <c r="K642" i="202" s="1"/>
  <c r="J641" i="202"/>
  <c r="K641" i="202" s="1"/>
  <c r="J640" i="202"/>
  <c r="K640" i="202" s="1"/>
  <c r="J639" i="202"/>
  <c r="K639" i="202" s="1"/>
  <c r="J638" i="202"/>
  <c r="K638" i="202" s="1"/>
  <c r="J637" i="202"/>
  <c r="K637" i="202" s="1"/>
  <c r="J636" i="202"/>
  <c r="K636" i="202" s="1"/>
  <c r="J635" i="202"/>
  <c r="K635" i="202" s="1"/>
  <c r="J634" i="202"/>
  <c r="K634" i="202" s="1"/>
  <c r="J103" i="202"/>
  <c r="K103" i="202" s="1"/>
  <c r="J102" i="202"/>
  <c r="K10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87" i="202"/>
  <c r="K87" i="202" s="1"/>
  <c r="J86" i="202"/>
  <c r="K86" i="202" s="1"/>
  <c r="J484" i="202"/>
  <c r="K484" i="202" s="1"/>
  <c r="J483" i="202"/>
  <c r="K483" i="202" s="1"/>
  <c r="J482" i="202"/>
  <c r="K482" i="202" s="1"/>
  <c r="J481" i="202"/>
  <c r="K481" i="202" s="1"/>
  <c r="K526" i="202"/>
  <c r="J480" i="202"/>
  <c r="K480" i="202" s="1"/>
  <c r="J479" i="202"/>
  <c r="K479" i="202" s="1"/>
  <c r="J478" i="202"/>
  <c r="K478" i="202" s="1"/>
  <c r="J477" i="202"/>
  <c r="K477" i="202" s="1"/>
  <c r="K524" i="202"/>
  <c r="K523" i="202"/>
  <c r="J476" i="202"/>
  <c r="K476" i="202" s="1"/>
  <c r="J475" i="202"/>
  <c r="K475" i="202" s="1"/>
  <c r="J474" i="202"/>
  <c r="K474" i="202" s="1"/>
  <c r="J473" i="202"/>
  <c r="K473" i="202" s="1"/>
  <c r="J472" i="202"/>
  <c r="K472" i="202" s="1"/>
  <c r="J231" i="202"/>
  <c r="K231" i="202" s="1"/>
  <c r="J456" i="202"/>
  <c r="K456" i="202" s="1"/>
  <c r="J457" i="202"/>
  <c r="K457" i="202" s="1"/>
  <c r="J458" i="202"/>
  <c r="K458" i="202" s="1"/>
  <c r="J459" i="202"/>
  <c r="K459" i="202" s="1"/>
  <c r="K512" i="202"/>
  <c r="K513" i="202"/>
  <c r="J460" i="202"/>
  <c r="K460" i="202" s="1"/>
  <c r="J461" i="202"/>
  <c r="K461" i="202" s="1"/>
  <c r="J462" i="202"/>
  <c r="K462" i="202" s="1"/>
  <c r="J463" i="202"/>
  <c r="K463" i="202" s="1"/>
  <c r="K514" i="202"/>
  <c r="J464" i="202"/>
  <c r="K464" i="202" s="1"/>
  <c r="J465" i="202"/>
  <c r="K465" i="202" s="1"/>
  <c r="J466" i="202"/>
  <c r="K466" i="202" s="1"/>
  <c r="J467" i="202"/>
  <c r="K467" i="202" s="1"/>
  <c r="J468" i="202"/>
  <c r="K468" i="202" s="1"/>
  <c r="K515" i="202"/>
  <c r="K516" i="202"/>
  <c r="K517" i="202"/>
  <c r="K518" i="202"/>
  <c r="K519" i="202"/>
  <c r="K520" i="202"/>
  <c r="J469" i="202"/>
  <c r="K469" i="202" s="1"/>
  <c r="J470" i="202"/>
  <c r="K470" i="202" s="1"/>
  <c r="J471" i="202"/>
  <c r="K471" i="202" s="1"/>
  <c r="K521" i="202"/>
  <c r="J455" i="202"/>
  <c r="K455" i="202" s="1"/>
  <c r="J590" i="202"/>
  <c r="K590" i="202" s="1"/>
  <c r="J591" i="202"/>
  <c r="K591" i="202" s="1"/>
  <c r="J592" i="202"/>
  <c r="K592"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2" i="202"/>
  <c r="K632" i="202" s="1"/>
  <c r="J633" i="202"/>
  <c r="K633" i="202" s="1"/>
  <c r="J589" i="202"/>
  <c r="K589" i="202" s="1"/>
  <c r="J233" i="202"/>
  <c r="K233" i="202" s="1"/>
  <c r="J234" i="202"/>
  <c r="K234" i="202" s="1"/>
  <c r="J235" i="202"/>
  <c r="J236" i="202"/>
  <c r="J237" i="202"/>
  <c r="J238" i="202"/>
  <c r="J239" i="202"/>
  <c r="J240" i="202"/>
  <c r="K240" i="202" s="1"/>
  <c r="J241" i="202"/>
  <c r="J242" i="202"/>
  <c r="J243" i="202"/>
  <c r="J244" i="202"/>
  <c r="J245" i="202"/>
  <c r="J246" i="202"/>
  <c r="J247" i="202"/>
  <c r="J248" i="202"/>
  <c r="J249" i="202"/>
  <c r="J250" i="202"/>
  <c r="J251" i="202"/>
  <c r="J252" i="202"/>
  <c r="J253" i="202"/>
  <c r="J254" i="202"/>
  <c r="J255" i="202"/>
  <c r="J256" i="202"/>
  <c r="J257" i="202"/>
  <c r="K257" i="202" s="1"/>
  <c r="J258" i="202"/>
  <c r="J259" i="202"/>
  <c r="J260" i="202"/>
  <c r="J261" i="202"/>
  <c r="K261" i="202" s="1"/>
  <c r="J262" i="202"/>
  <c r="K262" i="202" s="1"/>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313" i="202"/>
  <c r="K313" i="202" s="1"/>
  <c r="J314" i="202"/>
  <c r="K314" i="202" s="1"/>
  <c r="J315" i="202"/>
  <c r="K315" i="202" s="1"/>
  <c r="J232" i="202"/>
  <c r="K232" i="202" s="1"/>
  <c r="J156" i="202"/>
  <c r="K156" i="202" s="1"/>
  <c r="J155" i="202"/>
  <c r="K155" i="202" s="1"/>
  <c r="J154" i="202"/>
  <c r="K154" i="202" s="1"/>
  <c r="J227" i="202"/>
  <c r="K227" i="202" s="1"/>
  <c r="K509" i="202"/>
  <c r="K511" i="202"/>
  <c r="J142" i="202"/>
  <c r="K142" i="202" s="1"/>
  <c r="J230" i="202"/>
  <c r="K230" i="202" s="1"/>
  <c r="J221" i="202"/>
  <c r="K221" i="202" s="1"/>
  <c r="J229" i="202"/>
  <c r="K229" i="202" s="1"/>
  <c r="J228" i="202"/>
  <c r="K228" i="202" s="1"/>
  <c r="J217" i="202"/>
  <c r="K217" i="202" s="1"/>
  <c r="J226" i="202"/>
  <c r="K226" i="202" s="1"/>
  <c r="J225" i="202"/>
  <c r="K225" i="202" s="1"/>
  <c r="J224" i="202"/>
  <c r="K224" i="202" s="1"/>
  <c r="J214" i="202"/>
  <c r="K214" i="202" s="1"/>
  <c r="J223" i="202"/>
  <c r="K223" i="202" s="1"/>
  <c r="J588" i="202"/>
  <c r="K588" i="202" s="1"/>
  <c r="J222" i="202"/>
  <c r="K222" i="202" s="1"/>
  <c r="J210" i="202"/>
  <c r="K210" i="202" s="1"/>
  <c r="J220" i="202"/>
  <c r="K220" i="202" s="1"/>
  <c r="J219" i="202"/>
  <c r="K219" i="202" s="1"/>
  <c r="J218" i="202"/>
  <c r="K218" i="202" s="1"/>
  <c r="J202" i="202"/>
  <c r="K202" i="202" s="1"/>
  <c r="J215" i="202"/>
  <c r="K215" i="202" s="1"/>
  <c r="J195" i="202"/>
  <c r="K195" i="202" s="1"/>
  <c r="J213" i="202"/>
  <c r="K213" i="202" s="1"/>
  <c r="J212" i="202"/>
  <c r="K212" i="202" s="1"/>
  <c r="J211" i="202"/>
  <c r="K211" i="202" s="1"/>
  <c r="J165" i="202"/>
  <c r="K165" i="202" s="1"/>
  <c r="K506" i="202"/>
  <c r="K508" i="202"/>
  <c r="K505" i="202"/>
  <c r="K504" i="202"/>
  <c r="J454" i="202"/>
  <c r="K454" i="202" s="1"/>
  <c r="J453" i="202"/>
  <c r="K453" i="202" s="1"/>
  <c r="J452" i="202"/>
  <c r="K452" i="202" s="1"/>
  <c r="J451" i="202"/>
  <c r="K451" i="202" s="1"/>
  <c r="J450" i="202"/>
  <c r="K450" i="202" s="1"/>
  <c r="K502" i="202"/>
  <c r="J449" i="202"/>
  <c r="K449" i="202" s="1"/>
  <c r="J448" i="202"/>
  <c r="K448" i="202" s="1"/>
  <c r="J447" i="202"/>
  <c r="K447" i="202" s="1"/>
  <c r="J446" i="202"/>
  <c r="K446" i="202" s="1"/>
  <c r="K500" i="202"/>
  <c r="K499" i="202"/>
  <c r="J445" i="202"/>
  <c r="K445" i="202" s="1"/>
  <c r="J444" i="202"/>
  <c r="K444" i="202" s="1"/>
  <c r="J443" i="202"/>
  <c r="K443" i="202" s="1"/>
  <c r="J441" i="202"/>
  <c r="K441" i="202" s="1"/>
  <c r="J442" i="202"/>
  <c r="J582" i="202"/>
  <c r="K582" i="202" s="1"/>
  <c r="J581" i="202"/>
  <c r="K581" i="202" s="1"/>
  <c r="J580" i="202"/>
  <c r="K580" i="202" s="1"/>
  <c r="J579" i="202"/>
  <c r="K579" i="202" s="1"/>
  <c r="J578" i="202"/>
  <c r="K578" i="202" s="1"/>
  <c r="J577" i="202"/>
  <c r="K577" i="202" s="1"/>
  <c r="J576" i="202"/>
  <c r="K576" i="202" s="1"/>
  <c r="J575" i="202"/>
  <c r="K575" i="202" s="1"/>
  <c r="J574" i="202"/>
  <c r="K574" i="202" s="1"/>
  <c r="J573" i="202"/>
  <c r="K573" i="202" s="1"/>
  <c r="J572" i="202"/>
  <c r="K572"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4" i="202"/>
  <c r="K554" i="202" s="1"/>
  <c r="J553" i="202"/>
  <c r="K553" i="202" s="1"/>
  <c r="J551" i="202"/>
  <c r="K551" i="202" s="1"/>
  <c r="J552" i="202"/>
  <c r="K552" i="202" s="1"/>
  <c r="J586" i="202"/>
  <c r="K586" i="202" s="1"/>
  <c r="J585" i="202"/>
  <c r="K585" i="202" s="1"/>
  <c r="J584" i="202"/>
  <c r="K584" i="202" s="1"/>
  <c r="J583" i="202"/>
  <c r="K583" i="202" s="1"/>
  <c r="J209" i="202"/>
  <c r="K209" i="202" s="1"/>
  <c r="J208" i="202"/>
  <c r="K208" i="202" s="1"/>
  <c r="J207" i="202"/>
  <c r="K207" i="202" s="1"/>
  <c r="J206" i="202"/>
  <c r="K206" i="202" s="1"/>
  <c r="J205" i="202"/>
  <c r="K205" i="202" s="1"/>
  <c r="J204" i="202"/>
  <c r="K204" i="202" s="1"/>
  <c r="J203" i="202"/>
  <c r="K203" i="202" s="1"/>
  <c r="J201" i="202"/>
  <c r="K201" i="202" s="1"/>
  <c r="J200" i="202"/>
  <c r="K200" i="202" s="1"/>
  <c r="J199" i="202"/>
  <c r="K199" i="202" s="1"/>
  <c r="J198" i="202"/>
  <c r="K198" i="202" s="1"/>
  <c r="J197" i="202"/>
  <c r="K197" i="202" s="1"/>
  <c r="J196" i="202"/>
  <c r="K196"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K173" i="202" s="1"/>
  <c r="J172" i="202"/>
  <c r="K172" i="202" s="1"/>
  <c r="J171" i="202"/>
  <c r="J170" i="202"/>
  <c r="J169" i="202"/>
  <c r="J168" i="202"/>
  <c r="J167" i="202"/>
  <c r="J166" i="202"/>
  <c r="J164" i="202"/>
  <c r="J163" i="202"/>
  <c r="J162" i="202"/>
  <c r="J161" i="202"/>
  <c r="K161" i="202" s="1"/>
  <c r="J160" i="202"/>
  <c r="K160" i="202" s="1"/>
  <c r="J159" i="202"/>
  <c r="K159" i="202" s="1"/>
  <c r="J157" i="202"/>
  <c r="K157" i="202" s="1"/>
  <c r="J158" i="202"/>
  <c r="K158" i="202" s="1"/>
  <c r="K125" i="202"/>
  <c r="K163" i="202" l="1"/>
  <c r="K168" i="202"/>
  <c r="K164" i="202"/>
  <c r="K169" i="202"/>
  <c r="K166" i="202"/>
  <c r="K170" i="202"/>
  <c r="K162" i="202"/>
  <c r="K167" i="202"/>
  <c r="K171" i="202"/>
  <c r="K347" i="202"/>
  <c r="K348" i="202"/>
  <c r="K528" i="202"/>
  <c r="K442" i="202"/>
  <c r="K4" i="202"/>
  <c r="J138" i="202"/>
  <c r="K138" i="202" s="1"/>
  <c r="J139" i="202"/>
  <c r="K139" i="202" s="1"/>
  <c r="K136" i="202"/>
  <c r="J3" i="202"/>
  <c r="K248" i="202"/>
  <c r="K249" i="202"/>
  <c r="K252" i="202"/>
  <c r="K253" i="202"/>
  <c r="K256" i="202"/>
  <c r="K258" i="202"/>
  <c r="K246" i="202"/>
  <c r="K247" i="202"/>
  <c r="K250" i="202"/>
  <c r="K251" i="202"/>
  <c r="K254" i="202"/>
  <c r="K255" i="202"/>
  <c r="K259" i="202"/>
  <c r="K260" i="202"/>
  <c r="K243" i="202"/>
  <c r="K244" i="202"/>
  <c r="K245" i="202"/>
  <c r="J48" i="202"/>
  <c r="K48" i="202" s="1"/>
  <c r="J85" i="202"/>
  <c r="K85" i="202" s="1"/>
  <c r="J84" i="202"/>
  <c r="K84" i="202" s="1"/>
  <c r="J83" i="202"/>
  <c r="K83" i="202" s="1"/>
  <c r="J82" i="202"/>
  <c r="K82" i="202" s="1"/>
  <c r="J81" i="202"/>
  <c r="K81" i="202" s="1"/>
  <c r="J80" i="202"/>
  <c r="K80" i="202" s="1"/>
  <c r="J79" i="202"/>
  <c r="K79" i="202" s="1"/>
  <c r="J49" i="202"/>
  <c r="K49" i="202" s="1"/>
  <c r="J50" i="202"/>
  <c r="K50" i="202" s="1"/>
  <c r="J51" i="202"/>
  <c r="K51" i="202" s="1"/>
  <c r="J52" i="202"/>
  <c r="K52" i="202" s="1"/>
  <c r="J53" i="202"/>
  <c r="K53" i="202" s="1"/>
  <c r="J54" i="202"/>
  <c r="K54" i="202" s="1"/>
  <c r="J78" i="202"/>
  <c r="K78" i="202" s="1"/>
  <c r="J77" i="202"/>
  <c r="K77" i="202" s="1"/>
  <c r="J76" i="202"/>
  <c r="K76" i="202" s="1"/>
  <c r="J75" i="202"/>
  <c r="K75" i="202" s="1"/>
  <c r="J74" i="202"/>
  <c r="K74" i="202" s="1"/>
  <c r="J73" i="202"/>
  <c r="K73" i="202" s="1"/>
  <c r="J72" i="202"/>
  <c r="K72" i="202" s="1"/>
  <c r="J71" i="202"/>
  <c r="K71" i="202" s="1"/>
  <c r="J70" i="202"/>
  <c r="K70" i="202" s="1"/>
  <c r="J56" i="202"/>
  <c r="K56" i="202" s="1"/>
  <c r="J57" i="202"/>
  <c r="K57"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68" i="202"/>
  <c r="K68" i="202" s="1"/>
  <c r="J69" i="202"/>
  <c r="K69" i="202" s="1"/>
  <c r="J55" i="202"/>
  <c r="K55" i="202" s="1"/>
  <c r="K239" i="202"/>
  <c r="K241" i="202"/>
  <c r="K242" i="202"/>
  <c r="K153" i="202"/>
  <c r="K549" i="202"/>
  <c r="K550" i="202"/>
  <c r="K238" i="202"/>
  <c r="K235" i="202"/>
  <c r="K140" i="202"/>
  <c r="K141" i="202"/>
  <c r="K544" i="202"/>
  <c r="K438" i="202"/>
  <c r="K439" i="202"/>
  <c r="K496" i="202"/>
  <c r="K236" i="202"/>
  <c r="K143" i="202"/>
  <c r="K144" i="202"/>
  <c r="K145" i="202"/>
  <c r="K146" i="202"/>
  <c r="K147" i="202"/>
  <c r="K545" i="202"/>
  <c r="K546" i="202"/>
  <c r="K547" i="202"/>
  <c r="K548" i="202"/>
  <c r="K440" i="202"/>
  <c r="K237" i="202"/>
  <c r="K148" i="202"/>
  <c r="K149" i="202"/>
  <c r="K150" i="202"/>
  <c r="K151" i="202"/>
  <c r="K152" i="202"/>
  <c r="J7" i="202"/>
  <c r="K7" i="202" s="1"/>
  <c r="J8" i="202"/>
  <c r="K8" i="202" s="1"/>
  <c r="J9" i="202"/>
  <c r="K9" i="202" s="1"/>
  <c r="J10" i="202"/>
  <c r="K10" i="202" s="1"/>
  <c r="J11" i="202"/>
  <c r="K11" i="202" s="1"/>
  <c r="J12" i="202"/>
  <c r="K12" i="202" s="1"/>
  <c r="J13" i="202"/>
  <c r="K13" i="202" s="1"/>
  <c r="J39" i="202"/>
  <c r="K39" i="202" s="1"/>
  <c r="J40" i="202"/>
  <c r="K40" i="202" s="1"/>
  <c r="J41" i="202"/>
  <c r="K41" i="202" s="1"/>
  <c r="J42" i="202"/>
  <c r="K42" i="202" s="1"/>
  <c r="J43" i="202"/>
  <c r="K43" i="202" s="1"/>
  <c r="J44" i="202"/>
  <c r="K44" i="202" s="1"/>
  <c r="J45" i="202"/>
  <c r="K45" i="202" s="1"/>
  <c r="J46" i="202"/>
  <c r="K46" i="202" s="1"/>
  <c r="J47" i="202"/>
  <c r="K47" i="202" s="1"/>
  <c r="J31" i="202"/>
  <c r="K31" i="202" s="1"/>
  <c r="J20" i="202"/>
  <c r="K20" i="202" s="1"/>
  <c r="J32" i="202"/>
  <c r="K32" i="202" s="1"/>
  <c r="J33" i="202"/>
  <c r="K33" i="202" s="1"/>
  <c r="J34" i="202"/>
  <c r="K34" i="202" s="1"/>
  <c r="J25" i="202"/>
  <c r="K25" i="202" s="1"/>
  <c r="J35" i="202"/>
  <c r="K35" i="202" s="1"/>
  <c r="J36" i="202"/>
  <c r="K36" i="202" s="1"/>
  <c r="J37" i="202"/>
  <c r="K37" i="202" s="1"/>
  <c r="J38" i="202"/>
  <c r="K38" i="202" s="1"/>
  <c r="J14" i="202"/>
  <c r="K14" i="202" s="1"/>
  <c r="J15" i="202"/>
  <c r="K15" i="202" s="1"/>
  <c r="J16" i="202"/>
  <c r="K16" i="202" s="1"/>
  <c r="J17" i="202"/>
  <c r="K17" i="202" s="1"/>
  <c r="J18" i="202"/>
  <c r="K18" i="202" s="1"/>
  <c r="J19" i="202"/>
  <c r="K19" i="202" s="1"/>
  <c r="J21" i="202"/>
  <c r="K21" i="202" s="1"/>
  <c r="J22" i="202"/>
  <c r="K22" i="202" s="1"/>
  <c r="J23" i="202"/>
  <c r="K23" i="202" s="1"/>
  <c r="J24" i="202"/>
  <c r="K24" i="202" s="1"/>
  <c r="J26" i="202"/>
  <c r="K26" i="202" s="1"/>
  <c r="J27" i="202"/>
  <c r="K27" i="202" s="1"/>
  <c r="J28" i="202"/>
  <c r="K28" i="202" s="1"/>
  <c r="J29" i="202"/>
  <c r="K29" i="202" s="1"/>
  <c r="J30" i="202"/>
  <c r="K30" i="202" s="1"/>
  <c r="K3" i="202" l="1"/>
  <c r="AN14" i="257"/>
  <c r="AL5" i="257"/>
  <c r="BZ18" i="159"/>
  <c r="R18" i="158" l="1"/>
  <c r="W4" i="257" s="1"/>
  <c r="R18" i="255"/>
  <c r="R28" i="158"/>
  <c r="R30" i="158"/>
  <c r="AK14" i="257"/>
  <c r="AI14" i="257"/>
  <c r="H14" i="257"/>
  <c r="AO38" i="158"/>
  <c r="BV38" i="158" s="1"/>
  <c r="S14" i="257"/>
  <c r="AM14" i="257"/>
  <c r="AJ14" i="257"/>
  <c r="AM5" i="257"/>
  <c r="AJ5" i="257"/>
  <c r="AN5" i="257"/>
  <c r="AN7" i="257"/>
  <c r="AM23" i="257"/>
  <c r="AN23" i="257"/>
  <c r="AJ23" i="257"/>
  <c r="AJ31" i="257"/>
  <c r="AM31" i="257"/>
  <c r="AN31" i="257"/>
  <c r="AM27" i="257"/>
  <c r="AN27" i="257"/>
  <c r="AJ27" i="257"/>
  <c r="AM18" i="257"/>
  <c r="AN18" i="257"/>
  <c r="AM22" i="257"/>
  <c r="AN22" i="257"/>
  <c r="AJ22" i="257"/>
  <c r="AJ19" i="257"/>
  <c r="AM19" i="257"/>
  <c r="AN19" i="257"/>
  <c r="AJ26" i="257"/>
  <c r="AM26" i="257"/>
  <c r="AN26" i="257"/>
  <c r="AM21" i="257"/>
  <c r="AN21" i="257"/>
  <c r="AJ21" i="257"/>
  <c r="AM33" i="257"/>
  <c r="AJ25" i="257"/>
  <c r="AM25" i="257"/>
  <c r="AN25" i="257"/>
  <c r="AJ30" i="257"/>
  <c r="AM30" i="257"/>
  <c r="AN30" i="257"/>
  <c r="AJ29" i="257"/>
  <c r="AM29" i="257"/>
  <c r="AN29" i="257"/>
  <c r="AJ32" i="257"/>
  <c r="AN32" i="257"/>
  <c r="AM32" i="257"/>
  <c r="AN20" i="257"/>
  <c r="AM20" i="257"/>
  <c r="AJ24" i="257"/>
  <c r="AM24" i="257"/>
  <c r="AN24" i="257"/>
  <c r="AN28" i="257"/>
  <c r="AM28" i="257"/>
  <c r="AJ28" i="257"/>
  <c r="AK22" i="257"/>
  <c r="AI22" i="257"/>
  <c r="AO54" i="158"/>
  <c r="BV54" i="158" s="1"/>
  <c r="S22" i="257"/>
  <c r="H22" i="257"/>
  <c r="AK26" i="257"/>
  <c r="S26" i="257"/>
  <c r="H26" i="257"/>
  <c r="AI26" i="257"/>
  <c r="AO62" i="158"/>
  <c r="BV62" i="158" s="1"/>
  <c r="H33" i="257"/>
  <c r="S33" i="257"/>
  <c r="H25" i="257"/>
  <c r="S25" i="257"/>
  <c r="AO60" i="158"/>
  <c r="BV60" i="158" s="1"/>
  <c r="AI25" i="257"/>
  <c r="AK25" i="257"/>
  <c r="AK30" i="257"/>
  <c r="AI30" i="257"/>
  <c r="AO70" i="158"/>
  <c r="BV70" i="158" s="1"/>
  <c r="S30" i="257"/>
  <c r="H30" i="257"/>
  <c r="AI29" i="257"/>
  <c r="AK29" i="257"/>
  <c r="H29" i="257"/>
  <c r="S29" i="257"/>
  <c r="AO68" i="158"/>
  <c r="BV68" i="158" s="1"/>
  <c r="AK32" i="257"/>
  <c r="AI32" i="257"/>
  <c r="AO74" i="158"/>
  <c r="BV74" i="158" s="1"/>
  <c r="S32" i="257"/>
  <c r="H32" i="257"/>
  <c r="AK21" i="257"/>
  <c r="AI21" i="257"/>
  <c r="H21" i="257"/>
  <c r="S21" i="257"/>
  <c r="AO52" i="158"/>
  <c r="BV52" i="158" s="1"/>
  <c r="S20" i="257"/>
  <c r="H20" i="257"/>
  <c r="AK24" i="257"/>
  <c r="AO58" i="158"/>
  <c r="BV58" i="158" s="1"/>
  <c r="AI24" i="257"/>
  <c r="S24" i="257"/>
  <c r="H24" i="257"/>
  <c r="H23" i="257"/>
  <c r="S23" i="257"/>
  <c r="AO56" i="158"/>
  <c r="BV56" i="158" s="1"/>
  <c r="AI23" i="257"/>
  <c r="AK23" i="257"/>
  <c r="AK28" i="257"/>
  <c r="S28" i="257"/>
  <c r="AI28" i="257"/>
  <c r="H28" i="257"/>
  <c r="AO66" i="158"/>
  <c r="BV66" i="158" s="1"/>
  <c r="AK31" i="257"/>
  <c r="H31" i="257"/>
  <c r="AI31" i="257"/>
  <c r="S31" i="257"/>
  <c r="AO72" i="158"/>
  <c r="BV72" i="158" s="1"/>
  <c r="H27" i="257"/>
  <c r="AI27" i="257"/>
  <c r="S27" i="257"/>
  <c r="AO64" i="158"/>
  <c r="BV64" i="158" s="1"/>
  <c r="AK27" i="257"/>
  <c r="H19" i="257"/>
  <c r="AK19" i="257"/>
  <c r="S19" i="257"/>
  <c r="AO48" i="158"/>
  <c r="BV48" i="158" s="1"/>
  <c r="AI19" i="257"/>
  <c r="AK5" i="257"/>
  <c r="AO24" i="158"/>
  <c r="BV24" i="158" s="1"/>
  <c r="AI7" i="257"/>
  <c r="AK7" i="257"/>
  <c r="H7" i="257"/>
  <c r="S7" i="257"/>
  <c r="S148" i="257"/>
  <c r="I148" i="257"/>
  <c r="S149" i="257"/>
  <c r="I149" i="257"/>
  <c r="C149" i="257" a="1"/>
  <c r="C149" i="257" s="1"/>
  <c r="F149" i="257" s="1" a="1"/>
  <c r="F149" i="257" s="1"/>
  <c r="S150" i="257"/>
  <c r="I150" i="257"/>
  <c r="C150" i="257" a="1"/>
  <c r="C150" i="257" s="1"/>
  <c r="F150" i="257" s="1" a="1"/>
  <c r="F150" i="257" s="1"/>
  <c r="S151" i="257"/>
  <c r="I151" i="257"/>
  <c r="S152" i="257"/>
  <c r="I152" i="257"/>
  <c r="C152" i="257" a="1"/>
  <c r="C152" i="257" s="1"/>
  <c r="F152" i="257" s="1" a="1"/>
  <c r="F152" i="257" s="1"/>
  <c r="S153" i="257"/>
  <c r="I153" i="257"/>
  <c r="C153" i="257" a="1"/>
  <c r="C153" i="257" s="1"/>
  <c r="F153" i="257" s="1" a="1"/>
  <c r="F153" i="257" s="1"/>
  <c r="S154" i="257"/>
  <c r="I154" i="257"/>
  <c r="C154" i="257" a="1"/>
  <c r="C154" i="257" s="1"/>
  <c r="F154" i="257" s="1" a="1"/>
  <c r="F154" i="257" s="1"/>
  <c r="S155" i="257"/>
  <c r="I155" i="257"/>
  <c r="C155" i="257" a="1"/>
  <c r="C155" i="257" s="1"/>
  <c r="F155" i="257" s="1" a="1"/>
  <c r="F155" i="257" s="1"/>
  <c r="S156" i="257"/>
  <c r="I156" i="257"/>
  <c r="C156" i="257" a="1"/>
  <c r="C156" i="257" s="1"/>
  <c r="F156" i="257" s="1" a="1"/>
  <c r="F156" i="257" s="1"/>
  <c r="AL20" i="168"/>
  <c r="AL22" i="168"/>
  <c r="AL24" i="168"/>
  <c r="AL26" i="168"/>
  <c r="AL28" i="168"/>
  <c r="AL30" i="168"/>
  <c r="AL32" i="168"/>
  <c r="AL34" i="168"/>
  <c r="AL36" i="168"/>
  <c r="S147" i="257"/>
  <c r="AX18" i="158" l="1"/>
  <c r="W259" i="257"/>
  <c r="AX18" i="255"/>
  <c r="S259" i="257" s="1"/>
  <c r="BB18" i="255"/>
  <c r="BC18" i="255"/>
  <c r="H259" i="257" s="1"/>
  <c r="BD18" i="255"/>
  <c r="L259" i="257" s="1"/>
  <c r="BA18" i="255"/>
  <c r="BY18" i="255" s="1"/>
  <c r="BB259" i="257" s="1"/>
  <c r="BI30" i="158" a="1"/>
  <c r="BI30" i="158" s="1"/>
  <c r="BH30" i="158" a="1"/>
  <c r="BH30" i="158" s="1"/>
  <c r="BI28" i="158" a="1"/>
  <c r="BI28" i="158" s="1"/>
  <c r="AK9" i="257" s="1"/>
  <c r="BH28" i="158" a="1"/>
  <c r="BH28" i="158" s="1"/>
  <c r="AI9" i="257" s="1"/>
  <c r="BF30" i="158"/>
  <c r="AL10" i="257" s="1"/>
  <c r="BW30" i="158"/>
  <c r="BY30" i="158"/>
  <c r="BA30" i="158"/>
  <c r="BE30" i="158"/>
  <c r="BK30" i="158"/>
  <c r="BN30" i="158" s="1"/>
  <c r="BD30" i="158"/>
  <c r="L10" i="257" s="1"/>
  <c r="BC30" i="158"/>
  <c r="AX30" i="158"/>
  <c r="BB30" i="158"/>
  <c r="BF28" i="158"/>
  <c r="AL9" i="257" s="1"/>
  <c r="BW28" i="158"/>
  <c r="BY28" i="158"/>
  <c r="BA28" i="158"/>
  <c r="AM9" i="257" s="1"/>
  <c r="AX28" i="158"/>
  <c r="S9" i="257" s="1"/>
  <c r="BB28" i="158"/>
  <c r="AN9" i="257" s="1"/>
  <c r="BC28" i="158"/>
  <c r="H9" i="257" s="1"/>
  <c r="BD28" i="158"/>
  <c r="L9" i="257" s="1"/>
  <c r="BE28" i="158"/>
  <c r="AJ9" i="257" s="1"/>
  <c r="BK28" i="158"/>
  <c r="BN28" i="158" s="1"/>
  <c r="BU22" i="168"/>
  <c r="BU20" i="168"/>
  <c r="BU36" i="168"/>
  <c r="BU24" i="168"/>
  <c r="BU34" i="168"/>
  <c r="BU32" i="168"/>
  <c r="BU30" i="168"/>
  <c r="BU28" i="168"/>
  <c r="BU26" i="168"/>
  <c r="C14" i="257" a="1"/>
  <c r="C14" i="257" s="1"/>
  <c r="F14" i="257" s="1" a="1"/>
  <c r="F14" i="257" s="1"/>
  <c r="H150" i="257"/>
  <c r="H155" i="257"/>
  <c r="H149" i="257"/>
  <c r="H148" i="257"/>
  <c r="H152" i="257"/>
  <c r="H154" i="257"/>
  <c r="H151" i="257"/>
  <c r="H153" i="257"/>
  <c r="H147" i="257"/>
  <c r="H156" i="257"/>
  <c r="J156" i="257"/>
  <c r="J150" i="257"/>
  <c r="AE21" i="257"/>
  <c r="AE25" i="257"/>
  <c r="AE26" i="257"/>
  <c r="AI33" i="257"/>
  <c r="AN33" i="257"/>
  <c r="J153" i="257"/>
  <c r="AE31" i="257"/>
  <c r="AE29" i="257"/>
  <c r="AE19" i="257"/>
  <c r="AE24" i="257"/>
  <c r="J155" i="257"/>
  <c r="AE23" i="257"/>
  <c r="AE14" i="257"/>
  <c r="J149" i="257"/>
  <c r="AE32" i="257"/>
  <c r="AE22" i="257"/>
  <c r="AE30" i="257"/>
  <c r="J152" i="257"/>
  <c r="AJ7" i="257"/>
  <c r="AM7" i="257"/>
  <c r="W10" i="257"/>
  <c r="J154" i="257"/>
  <c r="AE27" i="257"/>
  <c r="AE28" i="257"/>
  <c r="W9" i="257"/>
  <c r="AL6" i="257"/>
  <c r="AI6" i="257"/>
  <c r="AO22" i="158"/>
  <c r="AN6" i="257"/>
  <c r="AM6" i="257"/>
  <c r="AJ6" i="257"/>
  <c r="AR22" i="158"/>
  <c r="BU22" i="158" s="1"/>
  <c r="AL33" i="257"/>
  <c r="AK33" i="257"/>
  <c r="AR30" i="158"/>
  <c r="BU30" i="158" s="1"/>
  <c r="AR28" i="158"/>
  <c r="BU28" i="158" s="1"/>
  <c r="AO76" i="158"/>
  <c r="AJ33" i="257"/>
  <c r="BD18" i="158"/>
  <c r="L4" i="257" s="1"/>
  <c r="BB18" i="158"/>
  <c r="AN4" i="257" s="1"/>
  <c r="BA18" i="158"/>
  <c r="AO28" i="158"/>
  <c r="AK20" i="257"/>
  <c r="AJ20" i="257"/>
  <c r="AJ18" i="257"/>
  <c r="H11" i="3"/>
  <c r="AL18" i="168"/>
  <c r="AE259" i="257" l="1" a="1"/>
  <c r="AE259" i="257" s="1"/>
  <c r="AS259" i="257"/>
  <c r="AT259" i="257" a="1"/>
  <c r="AT259" i="257" s="1"/>
  <c r="AR259" i="257" a="1"/>
  <c r="AR259" i="257" s="1"/>
  <c r="AW259" i="257"/>
  <c r="AP259" i="257"/>
  <c r="U259" i="257" a="1"/>
  <c r="U259" i="257" s="1"/>
  <c r="T259" i="257" a="1"/>
  <c r="T259" i="257" s="1"/>
  <c r="AY259" i="257"/>
  <c r="AC259" i="257" a="1"/>
  <c r="AC259" i="257" s="1"/>
  <c r="BA259" i="257"/>
  <c r="AF259" i="257"/>
  <c r="AD259" i="257" a="1"/>
  <c r="AD259" i="257" s="1"/>
  <c r="AV259" i="257"/>
  <c r="AG259" i="257" a="1"/>
  <c r="AG259" i="257" s="1"/>
  <c r="AQ259" i="257"/>
  <c r="AM259" i="257"/>
  <c r="BE18" i="255"/>
  <c r="BA200" i="255"/>
  <c r="BF18" i="255"/>
  <c r="BF200" i="255" s="1"/>
  <c r="AN259" i="257"/>
  <c r="BB200" i="255"/>
  <c r="BW18" i="255"/>
  <c r="C259" i="257" s="1" a="1"/>
  <c r="C259" i="257" s="1"/>
  <c r="AM4" i="257"/>
  <c r="BI18" i="158" a="1"/>
  <c r="BI18" i="158" s="1"/>
  <c r="BH18" i="158" a="1"/>
  <c r="BH18" i="158" s="1"/>
  <c r="BV28" i="158"/>
  <c r="BV22" i="158"/>
  <c r="BU18" i="168"/>
  <c r="AA9" i="257" a="1"/>
  <c r="AA9" i="257" s="1"/>
  <c r="AA10" i="257" a="1"/>
  <c r="AA10" i="257" s="1"/>
  <c r="AA6" i="257" a="1"/>
  <c r="AA6" i="257" s="1"/>
  <c r="C29" i="257" a="1"/>
  <c r="C29" i="257" s="1"/>
  <c r="F29" i="257" s="1" a="1"/>
  <c r="F29" i="257" s="1"/>
  <c r="C27" i="257" a="1"/>
  <c r="C27" i="257" s="1"/>
  <c r="F27" i="257" s="1" a="1"/>
  <c r="F27" i="257" s="1"/>
  <c r="C22" i="257" a="1"/>
  <c r="C22" i="257" s="1"/>
  <c r="F22" i="257" s="1" a="1"/>
  <c r="F22" i="257" s="1"/>
  <c r="C30" i="257" a="1"/>
  <c r="C30" i="257" s="1"/>
  <c r="F30" i="257" s="1" a="1"/>
  <c r="F30" i="257" s="1"/>
  <c r="C21" i="257" a="1"/>
  <c r="C21" i="257" s="1"/>
  <c r="F21" i="257" s="1" a="1"/>
  <c r="F21" i="257" s="1"/>
  <c r="C24" i="257" a="1"/>
  <c r="C24" i="257" s="1"/>
  <c r="F24" i="257" s="1" a="1"/>
  <c r="F24" i="257" s="1"/>
  <c r="C25" i="257" a="1"/>
  <c r="C25" i="257" s="1"/>
  <c r="F25" i="257" s="1" a="1"/>
  <c r="F25" i="257" s="1"/>
  <c r="C32" i="257" a="1"/>
  <c r="C32" i="257" s="1"/>
  <c r="F32" i="257" s="1" a="1"/>
  <c r="F32" i="257" s="1"/>
  <c r="C23" i="257" a="1"/>
  <c r="C23" i="257" s="1"/>
  <c r="F23" i="257" s="1" a="1"/>
  <c r="F23" i="257" s="1"/>
  <c r="C31" i="257" a="1"/>
  <c r="C31" i="257" s="1"/>
  <c r="F31" i="257" s="1" a="1"/>
  <c r="F31" i="257" s="1"/>
  <c r="C19" i="257" a="1"/>
  <c r="C19" i="257" s="1"/>
  <c r="F19" i="257" s="1" a="1"/>
  <c r="F19" i="257" s="1"/>
  <c r="B14" i="257"/>
  <c r="C28" i="257" a="1"/>
  <c r="C28" i="257" s="1"/>
  <c r="F28" i="257" s="1" a="1"/>
  <c r="F28" i="257" s="1"/>
  <c r="C26" i="257" a="1"/>
  <c r="C26" i="257" s="1"/>
  <c r="F26" i="257" s="1" a="1"/>
  <c r="F26" i="257" s="1"/>
  <c r="B149" i="257"/>
  <c r="B156" i="257"/>
  <c r="B154" i="257"/>
  <c r="B155" i="257"/>
  <c r="B153" i="257"/>
  <c r="B150" i="257"/>
  <c r="B152" i="257"/>
  <c r="AB6" i="257" a="1"/>
  <c r="AB6" i="257" s="1"/>
  <c r="AB10" i="257" a="1"/>
  <c r="AB10" i="257" s="1"/>
  <c r="AE7" i="257"/>
  <c r="AO50" i="158"/>
  <c r="BV50" i="158" s="1"/>
  <c r="AI20" i="257"/>
  <c r="AE33" i="257"/>
  <c r="J148" i="257"/>
  <c r="AB9" i="257" a="1"/>
  <c r="AB9" i="257" s="1"/>
  <c r="AE9" i="257"/>
  <c r="AR76" i="158"/>
  <c r="BU76" i="158" s="1"/>
  <c r="BY18" i="158"/>
  <c r="BF18" i="158"/>
  <c r="AL4" i="257" s="1"/>
  <c r="BE18" i="158"/>
  <c r="AJ4" i="257" s="1"/>
  <c r="AC88" i="173"/>
  <c r="AB89" i="173"/>
  <c r="AC89" i="173"/>
  <c r="AB90" i="173"/>
  <c r="AC90" i="173"/>
  <c r="AB91" i="173"/>
  <c r="AC91" i="173"/>
  <c r="AB92" i="173"/>
  <c r="AC94" i="173"/>
  <c r="AB95" i="173"/>
  <c r="AC95" i="173"/>
  <c r="AB96" i="173"/>
  <c r="AC96" i="173"/>
  <c r="AB97" i="173"/>
  <c r="B259" i="257" l="1"/>
  <c r="F259" i="257" a="1"/>
  <c r="F259" i="257" s="1"/>
  <c r="BE200" i="255"/>
  <c r="BK18" i="255"/>
  <c r="BN18" i="255" s="1"/>
  <c r="J259" i="257" s="1"/>
  <c r="AO18" i="255"/>
  <c r="AJ259" i="257" a="1"/>
  <c r="AJ259" i="257" s="1"/>
  <c r="BV76" i="158"/>
  <c r="AA33" i="257" a="1"/>
  <c r="AA33" i="257" s="1"/>
  <c r="B32" i="257"/>
  <c r="B24" i="257"/>
  <c r="B30" i="257"/>
  <c r="B19" i="257"/>
  <c r="B22" i="257"/>
  <c r="B28" i="257"/>
  <c r="B31" i="257"/>
  <c r="B27" i="257"/>
  <c r="B25" i="257"/>
  <c r="B23" i="257"/>
  <c r="B29" i="257"/>
  <c r="B26" i="257"/>
  <c r="B21" i="257"/>
  <c r="C9" i="257" a="1"/>
  <c r="C9" i="257" s="1"/>
  <c r="F9" i="257" s="1" a="1"/>
  <c r="F9" i="257" s="1"/>
  <c r="AO18" i="158"/>
  <c r="AI4" i="257"/>
  <c r="AE20" i="257"/>
  <c r="AB33" i="257" a="1"/>
  <c r="AB33" i="257" s="1"/>
  <c r="P19" i="3"/>
  <c r="AJ25" i="154" l="1"/>
  <c r="BG18" i="255"/>
  <c r="AL259" i="257" s="1" a="1"/>
  <c r="AL259" i="257" s="1"/>
  <c r="AR18" i="255"/>
  <c r="B9" i="257"/>
  <c r="C33" i="257" a="1"/>
  <c r="C33" i="257" s="1"/>
  <c r="F33" i="257" s="1" a="1"/>
  <c r="F33" i="257" s="1"/>
  <c r="C20" i="257" a="1"/>
  <c r="C20" i="257" s="1"/>
  <c r="F20" i="257" s="1" a="1"/>
  <c r="F20" i="257" s="1"/>
  <c r="J151" i="257"/>
  <c r="B83" i="3"/>
  <c r="B84" i="3"/>
  <c r="C90" i="3"/>
  <c r="C85" i="3"/>
  <c r="B92" i="3"/>
  <c r="B87" i="3"/>
  <c r="B89" i="3"/>
  <c r="C84" i="3"/>
  <c r="B90" i="3"/>
  <c r="B95" i="3"/>
  <c r="C86" i="3"/>
  <c r="C93" i="3"/>
  <c r="B91" i="3"/>
  <c r="C87" i="3"/>
  <c r="T12" i="255" l="1"/>
  <c r="AA259" i="257" a="1"/>
  <c r="AA259" i="257" s="1"/>
  <c r="AB12" i="255"/>
  <c r="AB259" i="257" a="1"/>
  <c r="AB259" i="257" s="1"/>
  <c r="AM25" i="154"/>
  <c r="BU18" i="255"/>
  <c r="B20" i="257"/>
  <c r="B33" i="257"/>
  <c r="D95" i="3"/>
  <c r="D92" i="3"/>
  <c r="D87" i="3"/>
  <c r="D89" i="3"/>
  <c r="D90" i="3"/>
  <c r="D91" i="3"/>
  <c r="D84" i="3"/>
  <c r="B88" i="3"/>
  <c r="B93" i="3"/>
  <c r="B85" i="3"/>
  <c r="B94" i="3"/>
  <c r="C91" i="3"/>
  <c r="C95" i="3"/>
  <c r="C88" i="3"/>
  <c r="B86" i="3"/>
  <c r="C94" i="3"/>
  <c r="C89" i="3"/>
  <c r="C92" i="3"/>
  <c r="D93" i="3" l="1"/>
  <c r="D94" i="3"/>
  <c r="D88" i="3"/>
  <c r="D85" i="3"/>
  <c r="D86" i="3"/>
  <c r="C83" i="3" l="1"/>
  <c r="D83" i="3"/>
  <c r="G9" i="3"/>
  <c r="E83" i="3" l="1"/>
  <c r="AJ19" i="153" l="1"/>
  <c r="B163" i="3"/>
  <c r="C163" i="3"/>
  <c r="D163" i="3" l="1"/>
  <c r="U40" i="154"/>
  <c r="W43" i="81"/>
  <c r="R32" i="154"/>
  <c r="AI38" i="161" l="1"/>
  <c r="AI40" i="161"/>
  <c r="AI42" i="161"/>
  <c r="AI44" i="161"/>
  <c r="AI46" i="161"/>
  <c r="AI48" i="161"/>
  <c r="AI50" i="161"/>
  <c r="AI52" i="161"/>
  <c r="AI54" i="161"/>
  <c r="AI56" i="161"/>
  <c r="BQ52" i="161" l="1"/>
  <c r="BU52" i="161" s="1"/>
  <c r="BQ54" i="161"/>
  <c r="BU54" i="161" s="1"/>
  <c r="BQ42" i="161"/>
  <c r="BU42" i="161" s="1"/>
  <c r="BQ56" i="161"/>
  <c r="BU56" i="161" s="1"/>
  <c r="BQ48" i="161"/>
  <c r="BU48" i="161" s="1"/>
  <c r="BQ40" i="161"/>
  <c r="BU40" i="161" s="1"/>
  <c r="BQ50" i="161"/>
  <c r="BU50" i="161" s="1"/>
  <c r="BQ46" i="161"/>
  <c r="BU46" i="161" s="1"/>
  <c r="BQ44" i="161"/>
  <c r="BU44" i="161" s="1"/>
  <c r="BQ38" i="161"/>
  <c r="BU38" i="161" s="1"/>
  <c r="AL18" i="171"/>
  <c r="AT195" i="257" s="1" a="1"/>
  <c r="AT195" i="257" s="1"/>
  <c r="BC18" i="158"/>
  <c r="H4" i="257" s="1"/>
  <c r="S4" i="257"/>
  <c r="BA18" i="175" l="1"/>
  <c r="AL18" i="175"/>
  <c r="BB18" i="175"/>
  <c r="AN227" i="257" s="1" a="1"/>
  <c r="AN227" i="257" s="1"/>
  <c r="AK4" i="257"/>
  <c r="BE18" i="175" l="1"/>
  <c r="BD18" i="175" s="1"/>
  <c r="L227" i="257" s="1"/>
  <c r="AM227" i="257" a="1"/>
  <c r="AM227" i="257" s="1"/>
  <c r="AO18" i="175"/>
  <c r="AZ18" i="171" l="1"/>
  <c r="U195" i="257" s="1"/>
  <c r="AY18" i="171"/>
  <c r="T195" i="257" s="1"/>
  <c r="BR18" i="171"/>
  <c r="BU18" i="171" s="1"/>
  <c r="AZ18" i="175"/>
  <c r="U227" i="257" s="1"/>
  <c r="AY18" i="175"/>
  <c r="T227" i="257" s="1"/>
  <c r="BG18" i="175"/>
  <c r="AE4" i="257"/>
  <c r="AV195" i="257" l="1"/>
  <c r="AW195" i="257"/>
  <c r="AR18" i="158"/>
  <c r="AI18" i="161"/>
  <c r="AI20" i="161"/>
  <c r="AI22" i="161"/>
  <c r="AI24" i="161"/>
  <c r="AI26" i="161"/>
  <c r="AI28" i="161"/>
  <c r="AI30" i="161"/>
  <c r="AI32" i="161"/>
  <c r="AI34" i="161"/>
  <c r="AI36" i="161"/>
  <c r="AA4" i="257" l="1" a="1"/>
  <c r="AA4" i="257" s="1"/>
  <c r="BV18" i="158"/>
  <c r="BQ36" i="161"/>
  <c r="BU36" i="161" s="1"/>
  <c r="BQ20" i="161"/>
  <c r="BU20" i="161" s="1"/>
  <c r="BQ22" i="161"/>
  <c r="BU22" i="161" s="1"/>
  <c r="BQ34" i="161"/>
  <c r="BU34" i="161" s="1"/>
  <c r="BQ28" i="161"/>
  <c r="BU28" i="161" s="1"/>
  <c r="BQ32" i="161"/>
  <c r="BU32" i="161" s="1"/>
  <c r="BQ30" i="161"/>
  <c r="BU30" i="161" s="1"/>
  <c r="BQ26" i="161"/>
  <c r="BU26" i="161" s="1"/>
  <c r="BQ24" i="161"/>
  <c r="BU24" i="161" s="1"/>
  <c r="BQ18" i="161"/>
  <c r="BU18" i="161" s="1"/>
  <c r="AB4" i="257" a="1"/>
  <c r="AB4" i="257" s="1"/>
  <c r="BU18" i="158"/>
  <c r="C7" i="257" l="1" a="1"/>
  <c r="C7" i="257" s="1"/>
  <c r="F7" i="257" s="1" a="1"/>
  <c r="F7" i="257" s="1"/>
  <c r="B7" i="257" l="1"/>
  <c r="BF200" i="161"/>
  <c r="BE200" i="161"/>
  <c r="I47" i="81"/>
  <c r="W26" i="81"/>
  <c r="I26" i="81"/>
  <c r="AD48" i="156"/>
  <c r="R20" i="163" l="1"/>
  <c r="R22" i="163"/>
  <c r="R24" i="163"/>
  <c r="R26" i="163"/>
  <c r="R28" i="163"/>
  <c r="R30" i="163"/>
  <c r="R32" i="163"/>
  <c r="R34" i="163"/>
  <c r="R36" i="163"/>
  <c r="H36" i="257"/>
  <c r="H37" i="257"/>
  <c r="H38" i="257"/>
  <c r="H39" i="257"/>
  <c r="H40" i="257"/>
  <c r="H41" i="257"/>
  <c r="H42" i="257"/>
  <c r="H43" i="257"/>
  <c r="AE44" i="257"/>
  <c r="H44" i="257"/>
  <c r="O20" i="167"/>
  <c r="BW20" i="167" s="1" a="1"/>
  <c r="BW20" i="167" s="1"/>
  <c r="AV202" i="182"/>
  <c r="B201" i="182"/>
  <c r="B200" i="182"/>
  <c r="O36" i="182"/>
  <c r="O34" i="182"/>
  <c r="O32" i="182"/>
  <c r="O30" i="182"/>
  <c r="O28" i="182"/>
  <c r="O26" i="182"/>
  <c r="O24" i="182"/>
  <c r="O22" i="182"/>
  <c r="O20" i="182"/>
  <c r="O18" i="182"/>
  <c r="AV202" i="148"/>
  <c r="B201" i="148"/>
  <c r="B200" i="148"/>
  <c r="AL9" i="161"/>
  <c r="AH9" i="161"/>
  <c r="AD9" i="161"/>
  <c r="Z9" i="161"/>
  <c r="V9" i="161"/>
  <c r="R9" i="161"/>
  <c r="N9" i="161"/>
  <c r="J9" i="161"/>
  <c r="AX18" i="159"/>
  <c r="Q22" i="14"/>
  <c r="AD22" i="14"/>
  <c r="AD23" i="14"/>
  <c r="AD26" i="14"/>
  <c r="AD25" i="14"/>
  <c r="AD24" i="14"/>
  <c r="L20" i="14"/>
  <c r="A9" i="14"/>
  <c r="AC34" i="154"/>
  <c r="AC33" i="154"/>
  <c r="AC32" i="154"/>
  <c r="AC23" i="154"/>
  <c r="AC22" i="154"/>
  <c r="AC21" i="154"/>
  <c r="R33" i="154"/>
  <c r="R31" i="154"/>
  <c r="R30" i="154"/>
  <c r="H33" i="154"/>
  <c r="H32" i="154"/>
  <c r="H31" i="154"/>
  <c r="H30" i="154"/>
  <c r="AG26" i="81"/>
  <c r="AB42" i="81"/>
  <c r="W42" i="81"/>
  <c r="W35" i="81"/>
  <c r="AB32" i="81"/>
  <c r="P53" i="81"/>
  <c r="N53" i="81"/>
  <c r="I53" i="81"/>
  <c r="I52" i="81"/>
  <c r="I51" i="81"/>
  <c r="I50" i="81"/>
  <c r="I49" i="81"/>
  <c r="N48" i="81"/>
  <c r="I48" i="81"/>
  <c r="I41" i="81"/>
  <c r="I40" i="81"/>
  <c r="I39" i="81"/>
  <c r="I38" i="81"/>
  <c r="I36" i="81"/>
  <c r="I23" i="81"/>
  <c r="I22" i="81"/>
  <c r="I35" i="81"/>
  <c r="I31" i="81"/>
  <c r="P32" i="81"/>
  <c r="N32" i="81"/>
  <c r="I32" i="81"/>
  <c r="I29" i="81"/>
  <c r="I30" i="81"/>
  <c r="I28" i="81"/>
  <c r="N27" i="81"/>
  <c r="I27" i="81"/>
  <c r="I18" i="81"/>
  <c r="I17" i="81"/>
  <c r="I16" i="81"/>
  <c r="T17" i="81"/>
  <c r="AN17" i="81"/>
  <c r="Z21" i="155"/>
  <c r="L21" i="155"/>
  <c r="Z21" i="156"/>
  <c r="L21" i="156"/>
  <c r="AJ48" i="156"/>
  <c r="AD43" i="156"/>
  <c r="AH43" i="156" s="1"/>
  <c r="Y32" i="156"/>
  <c r="R32" i="156"/>
  <c r="Y31" i="156"/>
  <c r="R31" i="156"/>
  <c r="Y30" i="156"/>
  <c r="R30" i="156"/>
  <c r="AF27" i="156"/>
  <c r="AF26" i="156"/>
  <c r="AF25" i="156"/>
  <c r="R25" i="156"/>
  <c r="Y32" i="155"/>
  <c r="Y31" i="155"/>
  <c r="Y30" i="155"/>
  <c r="R32" i="155"/>
  <c r="R31" i="155"/>
  <c r="R30" i="155"/>
  <c r="AF27" i="155"/>
  <c r="AF26" i="155"/>
  <c r="AF25" i="155"/>
  <c r="R25" i="155"/>
  <c r="BC18" i="159"/>
  <c r="H35" i="257" s="1"/>
  <c r="A9" i="154"/>
  <c r="A9" i="153"/>
  <c r="AV202" i="180"/>
  <c r="B201" i="180"/>
  <c r="B200" i="180"/>
  <c r="AV202" i="81"/>
  <c r="B201" i="81"/>
  <c r="B200" i="81"/>
  <c r="AV202" i="156"/>
  <c r="B201" i="156"/>
  <c r="B200" i="156"/>
  <c r="AV202" i="155"/>
  <c r="B201" i="155"/>
  <c r="B200" i="155"/>
  <c r="AE18" i="156"/>
  <c r="Q43" i="155"/>
  <c r="Z42" i="155"/>
  <c r="AE18" i="155"/>
  <c r="AK21" i="154"/>
  <c r="AL21" i="154"/>
  <c r="AV202" i="154"/>
  <c r="B201" i="154"/>
  <c r="B200" i="154"/>
  <c r="Y15" i="154"/>
  <c r="Q15" i="154"/>
  <c r="H15" i="154"/>
  <c r="H26" i="154"/>
  <c r="W23" i="154"/>
  <c r="R24" i="154"/>
  <c r="R23" i="154"/>
  <c r="R22" i="154"/>
  <c r="O24" i="154"/>
  <c r="M24" i="154"/>
  <c r="H24" i="154"/>
  <c r="H23" i="154"/>
  <c r="H22" i="154"/>
  <c r="W17" i="154"/>
  <c r="O19" i="154"/>
  <c r="M19" i="154"/>
  <c r="H19" i="154"/>
  <c r="P40" i="154"/>
  <c r="H40" i="154"/>
  <c r="AF15" i="148"/>
  <c r="AD32" i="81"/>
  <c r="W32" i="81"/>
  <c r="Q23" i="14"/>
  <c r="W31" i="81"/>
  <c r="R26" i="156"/>
  <c r="R26" i="155"/>
  <c r="R27" i="156"/>
  <c r="R27" i="155"/>
  <c r="O28" i="154"/>
  <c r="M28" i="154"/>
  <c r="H28" i="154"/>
  <c r="H27" i="154"/>
  <c r="I172" i="257"/>
  <c r="S172" i="257"/>
  <c r="I171" i="257"/>
  <c r="S171" i="257"/>
  <c r="I170" i="257"/>
  <c r="S170" i="257"/>
  <c r="I169" i="257"/>
  <c r="S169" i="257"/>
  <c r="I168" i="257"/>
  <c r="S168" i="257"/>
  <c r="I167" i="257"/>
  <c r="S167" i="257"/>
  <c r="I166" i="257"/>
  <c r="S166" i="257"/>
  <c r="I165" i="257"/>
  <c r="S165" i="257"/>
  <c r="I164" i="257"/>
  <c r="S164" i="257"/>
  <c r="BC18" i="169"/>
  <c r="BX18" i="169" s="1" a="1"/>
  <c r="BX18" i="169" s="1"/>
  <c r="BJ18" i="169"/>
  <c r="I163" i="257" s="1"/>
  <c r="AX18" i="169"/>
  <c r="S163" i="257" s="1"/>
  <c r="AX18" i="170"/>
  <c r="S179" i="257" s="1"/>
  <c r="AX18" i="175"/>
  <c r="BC18" i="176"/>
  <c r="BX18" i="176" s="1" a="1"/>
  <c r="BX18" i="176" s="1"/>
  <c r="S244" i="257"/>
  <c r="I244" i="257"/>
  <c r="S245" i="257"/>
  <c r="I245" i="257"/>
  <c r="S246" i="257"/>
  <c r="I246" i="257"/>
  <c r="BJ18" i="176"/>
  <c r="I243" i="257" s="1"/>
  <c r="AX18" i="176"/>
  <c r="S243" i="257" s="1"/>
  <c r="AV202" i="176"/>
  <c r="B201" i="176"/>
  <c r="B200" i="176"/>
  <c r="AV202" i="175"/>
  <c r="B201" i="175"/>
  <c r="B200" i="175"/>
  <c r="AV202" i="13"/>
  <c r="B201" i="13"/>
  <c r="B200" i="13"/>
  <c r="AV202" i="171"/>
  <c r="B201" i="171"/>
  <c r="B200" i="171"/>
  <c r="AV202" i="170"/>
  <c r="B201" i="170"/>
  <c r="B200" i="170"/>
  <c r="AV202" i="169"/>
  <c r="B201" i="169"/>
  <c r="B200" i="169"/>
  <c r="AV202" i="168"/>
  <c r="B201" i="168"/>
  <c r="B200" i="168"/>
  <c r="AV202" i="167"/>
  <c r="B201" i="167"/>
  <c r="B200" i="167"/>
  <c r="A9" i="148"/>
  <c r="A9" i="147"/>
  <c r="A9" i="166"/>
  <c r="A4" i="152"/>
  <c r="AV202" i="161"/>
  <c r="B201" i="161"/>
  <c r="B200" i="161"/>
  <c r="U6" i="106"/>
  <c r="U4" i="106"/>
  <c r="U3" i="106"/>
  <c r="H127" i="106"/>
  <c r="H126" i="106"/>
  <c r="H125" i="106"/>
  <c r="H124" i="106"/>
  <c r="H5" i="106"/>
  <c r="H4" i="106"/>
  <c r="H3" i="106"/>
  <c r="U9" i="81"/>
  <c r="A9" i="155"/>
  <c r="A9" i="156"/>
  <c r="BQ18" i="163"/>
  <c r="R18" i="163"/>
  <c r="AV202" i="163"/>
  <c r="B201" i="163"/>
  <c r="B200" i="163"/>
  <c r="R20" i="162"/>
  <c r="R22" i="162"/>
  <c r="R24" i="162"/>
  <c r="R26" i="162"/>
  <c r="R28" i="162"/>
  <c r="R30" i="162"/>
  <c r="R32" i="162"/>
  <c r="R34" i="162"/>
  <c r="R36" i="162"/>
  <c r="BQ18" i="162"/>
  <c r="R18" i="162"/>
  <c r="AV202" i="162"/>
  <c r="B201" i="162"/>
  <c r="B200" i="162"/>
  <c r="R20" i="160"/>
  <c r="R22" i="160"/>
  <c r="R24" i="160"/>
  <c r="R26" i="160"/>
  <c r="R28" i="160"/>
  <c r="R30" i="160"/>
  <c r="R32" i="160"/>
  <c r="R34" i="160"/>
  <c r="BQ18" i="160"/>
  <c r="R18" i="160"/>
  <c r="AV202" i="160"/>
  <c r="B201" i="160"/>
  <c r="B200" i="160"/>
  <c r="BQ18" i="159"/>
  <c r="AV202" i="159"/>
  <c r="B201" i="159"/>
  <c r="B200" i="159"/>
  <c r="AC18" i="154"/>
  <c r="H25" i="153"/>
  <c r="G25" i="3"/>
  <c r="AV202" i="172"/>
  <c r="B201" i="172"/>
  <c r="B200" i="172"/>
  <c r="AC16" i="153"/>
  <c r="ES2" i="257" s="1"/>
  <c r="V16" i="153"/>
  <c r="ER2" i="257" s="1"/>
  <c r="O16" i="153"/>
  <c r="EQ2" i="257" s="1"/>
  <c r="H16" i="153"/>
  <c r="EP2" i="257" s="1"/>
  <c r="AC35" i="154"/>
  <c r="AC31" i="154"/>
  <c r="AC30" i="154"/>
  <c r="AC29" i="154"/>
  <c r="AC28" i="154"/>
  <c r="AC20" i="154"/>
  <c r="AC19" i="154"/>
  <c r="H34" i="154"/>
  <c r="H25" i="154"/>
  <c r="H21" i="154"/>
  <c r="H16" i="154"/>
  <c r="H14" i="154"/>
  <c r="B149" i="3"/>
  <c r="AV202" i="153"/>
  <c r="B201" i="153"/>
  <c r="B200" i="153"/>
  <c r="AV202" i="158"/>
  <c r="B201" i="158"/>
  <c r="B200" i="158"/>
  <c r="AV202" i="147"/>
  <c r="B201" i="147"/>
  <c r="B200" i="147"/>
  <c r="AV202" i="166"/>
  <c r="B201" i="166"/>
  <c r="B200" i="166"/>
  <c r="AV202" i="144"/>
  <c r="B201" i="144"/>
  <c r="B200" i="144"/>
  <c r="AV202" i="152"/>
  <c r="B201" i="152"/>
  <c r="B200" i="152"/>
  <c r="A9" i="144"/>
  <c r="O200" i="182"/>
  <c r="BA57" i="14"/>
  <c r="AV202" i="14"/>
  <c r="G20" i="3"/>
  <c r="G21" i="3"/>
  <c r="G22" i="3"/>
  <c r="G23" i="3"/>
  <c r="G24" i="3"/>
  <c r="G8" i="3"/>
  <c r="B167" i="3"/>
  <c r="B116" i="3"/>
  <c r="B103" i="3"/>
  <c r="G17" i="3"/>
  <c r="G18" i="3"/>
  <c r="G19" i="3"/>
  <c r="G10" i="3"/>
  <c r="G11" i="3"/>
  <c r="G12" i="3"/>
  <c r="G13" i="3"/>
  <c r="G14" i="3"/>
  <c r="G15" i="3"/>
  <c r="G16" i="3"/>
  <c r="B201" i="14"/>
  <c r="B200" i="14"/>
  <c r="Q200" i="14"/>
  <c r="BH30" i="160" l="1" a="1"/>
  <c r="BH30" i="160" s="1"/>
  <c r="AI57" i="257" s="1"/>
  <c r="BI30" i="160" a="1"/>
  <c r="BI30" i="160" s="1"/>
  <c r="AK57" i="257" s="1"/>
  <c r="BH34" i="162" a="1"/>
  <c r="BH34" i="162" s="1"/>
  <c r="AI76" i="257" s="1"/>
  <c r="BI34" i="162" a="1"/>
  <c r="BI34" i="162" s="1"/>
  <c r="AK76" i="257" s="1"/>
  <c r="BW18" i="182"/>
  <c r="BI18" i="182" a="1"/>
  <c r="BI18" i="182" s="1"/>
  <c r="AK100" i="257" s="1"/>
  <c r="BH18" i="182" a="1"/>
  <c r="BH18" i="182" s="1"/>
  <c r="AI100" i="257" s="1"/>
  <c r="BH36" i="163" a="1"/>
  <c r="BH36" i="163" s="1"/>
  <c r="AI93" i="257" s="1"/>
  <c r="BI36" i="163" a="1"/>
  <c r="BI36" i="163" s="1"/>
  <c r="AK93" i="257" s="1"/>
  <c r="BH28" i="160" a="1"/>
  <c r="BH28" i="160" s="1"/>
  <c r="AI56" i="257" s="1"/>
  <c r="BI28" i="160" a="1"/>
  <c r="BI28" i="160" s="1"/>
  <c r="AK56" i="257" s="1"/>
  <c r="BH32" i="162" a="1"/>
  <c r="BH32" i="162" s="1"/>
  <c r="AI75" i="257" s="1"/>
  <c r="BI32" i="162" a="1"/>
  <c r="BI32" i="162" s="1"/>
  <c r="AK75" i="257" s="1"/>
  <c r="BH20" i="182" a="1"/>
  <c r="BH20" i="182" s="1"/>
  <c r="AI101" i="257" s="1"/>
  <c r="BI20" i="182" a="1"/>
  <c r="BI20" i="182" s="1"/>
  <c r="AK101" i="257" s="1"/>
  <c r="BH34" i="163" a="1"/>
  <c r="BH34" i="163" s="1"/>
  <c r="AI92" i="257" s="1"/>
  <c r="BI34" i="163" a="1"/>
  <c r="BI34" i="163" s="1"/>
  <c r="AK92" i="257" s="1"/>
  <c r="BI26" i="160" a="1"/>
  <c r="BI26" i="160" s="1"/>
  <c r="AK55" i="257" s="1"/>
  <c r="BH26" i="160" a="1"/>
  <c r="BH26" i="160" s="1"/>
  <c r="AI55" i="257" s="1"/>
  <c r="BH30" i="162" a="1"/>
  <c r="BH30" i="162" s="1"/>
  <c r="AI74" i="257" s="1"/>
  <c r="BI30" i="162" a="1"/>
  <c r="BI30" i="162" s="1"/>
  <c r="AK74" i="257" s="1"/>
  <c r="BH22" i="182" a="1"/>
  <c r="BH22" i="182" s="1"/>
  <c r="AI102" i="257" s="1"/>
  <c r="BI22" i="182" a="1"/>
  <c r="BI22" i="182" s="1"/>
  <c r="AK102" i="257" s="1"/>
  <c r="BH32" i="163" a="1"/>
  <c r="BH32" i="163" s="1"/>
  <c r="AI91" i="257" s="1"/>
  <c r="BI32" i="163" a="1"/>
  <c r="BI32" i="163" s="1"/>
  <c r="AK91" i="257" s="1"/>
  <c r="BH18" i="162" a="1"/>
  <c r="BH18" i="162" s="1"/>
  <c r="AI68" i="257" s="1"/>
  <c r="BI18" i="162" a="1"/>
  <c r="BI18" i="162" s="1"/>
  <c r="AK68" i="257" s="1"/>
  <c r="BH32" i="160" a="1"/>
  <c r="BH32" i="160" s="1"/>
  <c r="AI58" i="257" s="1"/>
  <c r="BI32" i="160" a="1"/>
  <c r="BI32" i="160" s="1"/>
  <c r="AK58" i="257" s="1"/>
  <c r="BH24" i="160" a="1"/>
  <c r="BH24" i="160" s="1"/>
  <c r="AI54" i="257" s="1"/>
  <c r="BI24" i="160" a="1"/>
  <c r="BI24" i="160" s="1"/>
  <c r="AK54" i="257" s="1"/>
  <c r="BI28" i="162" a="1"/>
  <c r="BI28" i="162" s="1"/>
  <c r="AK73" i="257" s="1"/>
  <c r="BH28" i="162" a="1"/>
  <c r="BH28" i="162" s="1"/>
  <c r="AI73" i="257" s="1"/>
  <c r="BH24" i="182" a="1"/>
  <c r="BH24" i="182" s="1"/>
  <c r="AI103" i="257" s="1"/>
  <c r="BI24" i="182" a="1"/>
  <c r="BI24" i="182" s="1"/>
  <c r="AK103" i="257" s="1"/>
  <c r="BH30" i="163" a="1"/>
  <c r="BH30" i="163" s="1"/>
  <c r="AI90" i="257" s="1"/>
  <c r="BI30" i="163" a="1"/>
  <c r="BI30" i="163" s="1"/>
  <c r="AK90" i="257" s="1"/>
  <c r="BH36" i="162" a="1"/>
  <c r="BH36" i="162" s="1"/>
  <c r="AI77" i="257" s="1"/>
  <c r="BI36" i="162" a="1"/>
  <c r="BI36" i="162" s="1"/>
  <c r="AK77" i="257" s="1"/>
  <c r="BI22" i="160" a="1"/>
  <c r="BI22" i="160" s="1"/>
  <c r="AK53" i="257" s="1"/>
  <c r="BH22" i="160" a="1"/>
  <c r="BH22" i="160" s="1"/>
  <c r="AI53" i="257" s="1"/>
  <c r="BI26" i="162" a="1"/>
  <c r="BI26" i="162" s="1"/>
  <c r="AK72" i="257" s="1"/>
  <c r="BH26" i="162" a="1"/>
  <c r="BH26" i="162" s="1"/>
  <c r="AI72" i="257" s="1"/>
  <c r="BH26" i="182" a="1"/>
  <c r="BH26" i="182" s="1"/>
  <c r="AI104" i="257" s="1"/>
  <c r="BI26" i="182" a="1"/>
  <c r="BI26" i="182" s="1"/>
  <c r="AK104" i="257" s="1"/>
  <c r="BI28" i="163" a="1"/>
  <c r="BI28" i="163" s="1"/>
  <c r="AK89" i="257" s="1"/>
  <c r="BH28" i="163" a="1"/>
  <c r="BH28" i="163" s="1"/>
  <c r="AI89" i="257" s="1"/>
  <c r="BH24" i="162" a="1"/>
  <c r="BH24" i="162" s="1"/>
  <c r="AI71" i="257" s="1"/>
  <c r="BI24" i="162" a="1"/>
  <c r="BI24" i="162" s="1"/>
  <c r="AK71" i="257" s="1"/>
  <c r="BH28" i="182" a="1"/>
  <c r="BH28" i="182" s="1"/>
  <c r="AI105" i="257" s="1"/>
  <c r="BI28" i="182" a="1"/>
  <c r="BI28" i="182" s="1"/>
  <c r="AK105" i="257" s="1"/>
  <c r="BH26" i="163" a="1"/>
  <c r="BH26" i="163" s="1"/>
  <c r="AI88" i="257" s="1"/>
  <c r="BI26" i="163" a="1"/>
  <c r="BI26" i="163" s="1"/>
  <c r="AK88" i="257" s="1"/>
  <c r="BH36" i="182" a="1"/>
  <c r="BH36" i="182" s="1"/>
  <c r="AI109" i="257" s="1"/>
  <c r="BI36" i="182" a="1"/>
  <c r="BI36" i="182" s="1"/>
  <c r="AK109" i="257" s="1"/>
  <c r="AX18" i="163"/>
  <c r="BI18" i="163" a="1"/>
  <c r="BI18" i="163" s="1"/>
  <c r="AK84" i="257" s="1"/>
  <c r="BH18" i="163" a="1"/>
  <c r="BH18" i="163" s="1"/>
  <c r="AI84" i="257" s="1"/>
  <c r="BH22" i="162" a="1"/>
  <c r="BH22" i="162" s="1"/>
  <c r="AI70" i="257" s="1"/>
  <c r="BI22" i="162" a="1"/>
  <c r="BI22" i="162" s="1"/>
  <c r="AK70" i="257" s="1"/>
  <c r="BI30" i="182" a="1"/>
  <c r="BI30" i="182" s="1"/>
  <c r="AK106" i="257" s="1"/>
  <c r="BH30" i="182" a="1"/>
  <c r="BH30" i="182" s="1"/>
  <c r="AI106" i="257" s="1"/>
  <c r="BH24" i="163" a="1"/>
  <c r="BH24" i="163" s="1"/>
  <c r="AI87" i="257" s="1"/>
  <c r="BI24" i="163" a="1"/>
  <c r="BI24" i="163" s="1"/>
  <c r="AK87" i="257" s="1"/>
  <c r="BI34" i="160" a="1"/>
  <c r="BI34" i="160" s="1"/>
  <c r="AK59" i="257" s="1"/>
  <c r="BH34" i="160" a="1"/>
  <c r="BH34" i="160" s="1"/>
  <c r="AI59" i="257" s="1"/>
  <c r="BH20" i="160" a="1"/>
  <c r="BH20" i="160" s="1"/>
  <c r="AI52" i="257" s="1"/>
  <c r="BI20" i="160" a="1"/>
  <c r="BI20" i="160" s="1"/>
  <c r="AK52" i="257" s="1"/>
  <c r="BH20" i="162" a="1"/>
  <c r="BH20" i="162" s="1"/>
  <c r="AI69" i="257" s="1"/>
  <c r="BI20" i="162" a="1"/>
  <c r="BI20" i="162" s="1"/>
  <c r="AK69" i="257" s="1"/>
  <c r="BI32" i="182" a="1"/>
  <c r="BI32" i="182" s="1"/>
  <c r="AK107" i="257" s="1"/>
  <c r="BH32" i="182" a="1"/>
  <c r="BH32" i="182" s="1"/>
  <c r="AI107" i="257" s="1"/>
  <c r="BH22" i="163" a="1"/>
  <c r="BH22" i="163" s="1"/>
  <c r="AI86" i="257" s="1"/>
  <c r="BI22" i="163" a="1"/>
  <c r="BI22" i="163" s="1"/>
  <c r="AK86" i="257" s="1"/>
  <c r="BW18" i="160"/>
  <c r="BI18" i="160" a="1"/>
  <c r="BI18" i="160" s="1"/>
  <c r="AK51" i="257" s="1"/>
  <c r="BH18" i="160" a="1"/>
  <c r="BH18" i="160" s="1"/>
  <c r="AI51" i="257" s="1"/>
  <c r="BH34" i="182" a="1"/>
  <c r="BH34" i="182" s="1"/>
  <c r="AI108" i="257" s="1"/>
  <c r="BI34" i="182" a="1"/>
  <c r="BI34" i="182" s="1"/>
  <c r="AK108" i="257" s="1"/>
  <c r="BH20" i="163" a="1"/>
  <c r="BH20" i="163" s="1"/>
  <c r="AI85" i="257" s="1"/>
  <c r="BI20" i="163" a="1"/>
  <c r="BI20" i="163" s="1"/>
  <c r="AK85" i="257" s="1"/>
  <c r="BO20" i="256"/>
  <c r="K291" i="257" s="1"/>
  <c r="BO52" i="256"/>
  <c r="K307" i="257" s="1"/>
  <c r="BO84" i="256"/>
  <c r="K323" i="257" s="1"/>
  <c r="BO48" i="255"/>
  <c r="K274" i="257" s="1"/>
  <c r="BO22" i="170"/>
  <c r="K181" i="257" s="1"/>
  <c r="BO32" i="167"/>
  <c r="BO64" i="167"/>
  <c r="BO48" i="161"/>
  <c r="BO80" i="161"/>
  <c r="BO18" i="161"/>
  <c r="BO32" i="159"/>
  <c r="BO22" i="256"/>
  <c r="K292" i="257" s="1"/>
  <c r="BO54" i="256"/>
  <c r="K308" i="257" s="1"/>
  <c r="BO86" i="256"/>
  <c r="K324" i="257" s="1"/>
  <c r="BO50" i="255"/>
  <c r="K275" i="257" s="1"/>
  <c r="BO20" i="168"/>
  <c r="BO34" i="167"/>
  <c r="BO66" i="167"/>
  <c r="BO50" i="161"/>
  <c r="BO82" i="161"/>
  <c r="BO18" i="256"/>
  <c r="K290" i="257" s="1"/>
  <c r="BO24" i="256"/>
  <c r="K293" i="257" s="1"/>
  <c r="BO56" i="256"/>
  <c r="K309" i="257" s="1"/>
  <c r="BO20" i="255"/>
  <c r="K260" i="257" s="1"/>
  <c r="BO52" i="255"/>
  <c r="K276" i="257" s="1"/>
  <c r="BO22" i="168"/>
  <c r="BO36" i="167"/>
  <c r="BO68" i="167"/>
  <c r="BO20" i="161"/>
  <c r="BO52" i="161"/>
  <c r="BO84" i="161"/>
  <c r="BO18" i="159"/>
  <c r="BO22" i="161"/>
  <c r="BO26" i="256"/>
  <c r="K294" i="257" s="1"/>
  <c r="BO58" i="256"/>
  <c r="K310" i="257" s="1"/>
  <c r="BO22" i="255"/>
  <c r="K261" i="257" s="1"/>
  <c r="BO54" i="255"/>
  <c r="K277" i="257" s="1"/>
  <c r="BO28" i="256"/>
  <c r="K295" i="257" s="1"/>
  <c r="BO60" i="256"/>
  <c r="K311" i="257" s="1"/>
  <c r="BO24" i="255"/>
  <c r="K262" i="257" s="1"/>
  <c r="BO56" i="255"/>
  <c r="K278" i="257" s="1"/>
  <c r="BO26" i="168"/>
  <c r="BO40" i="167"/>
  <c r="BO72" i="167"/>
  <c r="BO24" i="161"/>
  <c r="BO56" i="161"/>
  <c r="BO18" i="255"/>
  <c r="K259" i="257" s="1"/>
  <c r="BO30" i="256"/>
  <c r="K296" i="257" s="1"/>
  <c r="BO62" i="256"/>
  <c r="K312" i="257" s="1"/>
  <c r="BO26" i="255"/>
  <c r="K263" i="257" s="1"/>
  <c r="BO58" i="255"/>
  <c r="K279" i="257" s="1"/>
  <c r="BO28" i="168"/>
  <c r="BO42" i="167"/>
  <c r="BO74" i="167"/>
  <c r="BO26" i="161"/>
  <c r="BO58" i="161"/>
  <c r="BO50" i="158"/>
  <c r="BO70" i="167"/>
  <c r="BO32" i="256"/>
  <c r="K297" i="257" s="1"/>
  <c r="BO64" i="256"/>
  <c r="K313" i="257" s="1"/>
  <c r="BO28" i="255"/>
  <c r="K264" i="257" s="1"/>
  <c r="BO60" i="255"/>
  <c r="K280" i="257" s="1"/>
  <c r="BO30" i="168"/>
  <c r="BO44" i="167"/>
  <c r="BO76" i="167"/>
  <c r="BO28" i="161"/>
  <c r="BO60" i="161"/>
  <c r="BO18" i="13"/>
  <c r="BO34" i="256"/>
  <c r="K298" i="257" s="1"/>
  <c r="BO66" i="256"/>
  <c r="K314" i="257" s="1"/>
  <c r="BO30" i="255"/>
  <c r="K265" i="257" s="1"/>
  <c r="BO62" i="255"/>
  <c r="K281" i="257" s="1"/>
  <c r="BO32" i="168"/>
  <c r="BO46" i="167"/>
  <c r="BO30" i="161"/>
  <c r="BO62" i="161"/>
  <c r="BO18" i="171"/>
  <c r="BO36" i="256"/>
  <c r="K299" i="257" s="1"/>
  <c r="BO68" i="256"/>
  <c r="K315" i="257" s="1"/>
  <c r="BO32" i="255"/>
  <c r="K266" i="257" s="1"/>
  <c r="BO64" i="255"/>
  <c r="K282" i="257" s="1"/>
  <c r="BO34" i="168"/>
  <c r="BO48" i="167"/>
  <c r="BO32" i="161"/>
  <c r="BO64" i="161"/>
  <c r="BO18" i="175"/>
  <c r="BO38" i="167"/>
  <c r="BO38" i="256"/>
  <c r="K300" i="257" s="1"/>
  <c r="BO70" i="256"/>
  <c r="K316" i="257" s="1"/>
  <c r="BO34" i="255"/>
  <c r="K267" i="257" s="1"/>
  <c r="BO66" i="255"/>
  <c r="K283" i="257" s="1"/>
  <c r="BO36" i="168"/>
  <c r="BO50" i="167"/>
  <c r="BO34" i="161"/>
  <c r="BO66" i="161"/>
  <c r="BO40" i="256"/>
  <c r="K301" i="257" s="1"/>
  <c r="BO72" i="256"/>
  <c r="K317" i="257" s="1"/>
  <c r="BO36" i="255"/>
  <c r="K268" i="257" s="1"/>
  <c r="BO68" i="255"/>
  <c r="K284" i="257" s="1"/>
  <c r="BO52" i="167"/>
  <c r="BO36" i="161"/>
  <c r="BO68" i="161"/>
  <c r="BO28" i="158"/>
  <c r="BO60" i="158"/>
  <c r="BO24" i="168"/>
  <c r="BO42" i="256"/>
  <c r="K302" i="257" s="1"/>
  <c r="BO74" i="256"/>
  <c r="K318" i="257" s="1"/>
  <c r="BO38" i="255"/>
  <c r="K269" i="257" s="1"/>
  <c r="BO70" i="255"/>
  <c r="K285" i="257" s="1"/>
  <c r="BO22" i="167"/>
  <c r="BO54" i="167"/>
  <c r="BO38" i="161"/>
  <c r="BO70" i="161"/>
  <c r="BO18" i="168"/>
  <c r="BO54" i="161"/>
  <c r="BO44" i="256"/>
  <c r="K303" i="257" s="1"/>
  <c r="BO76" i="256"/>
  <c r="K319" i="257" s="1"/>
  <c r="BO40" i="255"/>
  <c r="K270" i="257" s="1"/>
  <c r="BO72" i="255"/>
  <c r="K286" i="257" s="1"/>
  <c r="BO24" i="167"/>
  <c r="BO56" i="167"/>
  <c r="BO40" i="161"/>
  <c r="BO72" i="161"/>
  <c r="BO18" i="167"/>
  <c r="BO86" i="161"/>
  <c r="BO46" i="256"/>
  <c r="K304" i="257" s="1"/>
  <c r="BO78" i="256"/>
  <c r="K320" i="257" s="1"/>
  <c r="BO42" i="255"/>
  <c r="K271" i="257" s="1"/>
  <c r="BO74" i="255"/>
  <c r="K287" i="257" s="1"/>
  <c r="BO26" i="167"/>
  <c r="BO58" i="167"/>
  <c r="BO42" i="161"/>
  <c r="BO74" i="161"/>
  <c r="BO48" i="256"/>
  <c r="K305" i="257" s="1"/>
  <c r="BO80" i="256"/>
  <c r="K321" i="257" s="1"/>
  <c r="BO44" i="255"/>
  <c r="K272" i="257" s="1"/>
  <c r="BO76" i="255"/>
  <c r="K288" i="257" s="1"/>
  <c r="BO28" i="167"/>
  <c r="BO60" i="167"/>
  <c r="BO44" i="161"/>
  <c r="BO76" i="161"/>
  <c r="BO50" i="256"/>
  <c r="K306" i="257" s="1"/>
  <c r="BO82" i="256"/>
  <c r="K322" i="257" s="1"/>
  <c r="BO46" i="255"/>
  <c r="K273" i="257" s="1"/>
  <c r="BO36" i="176"/>
  <c r="K252" i="257" s="1"/>
  <c r="BO30" i="167"/>
  <c r="BO62" i="167"/>
  <c r="BO46" i="161"/>
  <c r="BO78" i="161"/>
  <c r="BO18" i="158"/>
  <c r="BO26" i="159"/>
  <c r="BO34" i="159"/>
  <c r="BO74" i="158"/>
  <c r="BO52" i="158"/>
  <c r="BO64" i="158"/>
  <c r="BO76" i="158"/>
  <c r="BO24" i="159"/>
  <c r="BO20" i="159"/>
  <c r="BO28" i="159"/>
  <c r="BO36" i="159"/>
  <c r="BO56" i="158"/>
  <c r="BO24" i="158"/>
  <c r="BO58" i="158"/>
  <c r="BO68" i="158"/>
  <c r="BO62" i="158"/>
  <c r="BO72" i="158"/>
  <c r="BO22" i="159"/>
  <c r="BO54" i="158"/>
  <c r="BO30" i="159"/>
  <c r="BO22" i="158"/>
  <c r="BO70" i="158"/>
  <c r="BO38" i="158"/>
  <c r="BO48" i="158"/>
  <c r="BO66" i="158"/>
  <c r="E243" i="257" a="1"/>
  <c r="E243" i="257" s="1"/>
  <c r="BV18" i="176" a="1"/>
  <c r="BV18" i="176" s="1"/>
  <c r="E163" i="257" a="1"/>
  <c r="E163" i="257" s="1"/>
  <c r="BV18" i="169" a="1"/>
  <c r="BV18" i="169" s="1"/>
  <c r="BK32" i="162"/>
  <c r="BN32" i="162" s="1"/>
  <c r="AE75" i="257"/>
  <c r="BW32" i="162"/>
  <c r="AX32" i="162"/>
  <c r="S75" i="257" s="1"/>
  <c r="BC32" i="162"/>
  <c r="H75" i="257" s="1"/>
  <c r="BD32" i="162"/>
  <c r="L75" i="257" s="1"/>
  <c r="BY20" i="182"/>
  <c r="AX20" i="182"/>
  <c r="S101" i="257" s="1"/>
  <c r="BC20" i="182"/>
  <c r="H101" i="257" s="1"/>
  <c r="BD20" i="182"/>
  <c r="L101" i="257" s="1"/>
  <c r="BK20" i="182"/>
  <c r="BN20" i="182" s="1"/>
  <c r="AE101" i="257"/>
  <c r="BW20" i="182"/>
  <c r="AX30" i="162"/>
  <c r="S74" i="257" s="1"/>
  <c r="BC30" i="162"/>
  <c r="H74" i="257" s="1"/>
  <c r="BD30" i="162"/>
  <c r="L74" i="257" s="1"/>
  <c r="BK30" i="162"/>
  <c r="BN30" i="162" s="1"/>
  <c r="BW30" i="162"/>
  <c r="AX22" i="182"/>
  <c r="S102" i="257" s="1"/>
  <c r="BC22" i="182"/>
  <c r="H102" i="257" s="1"/>
  <c r="BD22" i="182"/>
  <c r="L102" i="257" s="1"/>
  <c r="BK22" i="182"/>
  <c r="BN22" i="182" s="1"/>
  <c r="AE102" i="257"/>
  <c r="BW22" i="182"/>
  <c r="BY22" i="182"/>
  <c r="BW32" i="160"/>
  <c r="AX32" i="160"/>
  <c r="S58" i="257" s="1"/>
  <c r="BC32" i="160"/>
  <c r="H58" i="257" s="1"/>
  <c r="BD32" i="160"/>
  <c r="L58" i="257" s="1"/>
  <c r="BK32" i="160"/>
  <c r="BN32" i="160" s="1"/>
  <c r="AX28" i="162"/>
  <c r="S73" i="257" s="1"/>
  <c r="BC28" i="162"/>
  <c r="H73" i="257" s="1"/>
  <c r="BD28" i="162"/>
  <c r="L73" i="257" s="1"/>
  <c r="BK28" i="162"/>
  <c r="BN28" i="162" s="1"/>
  <c r="BW28" i="162"/>
  <c r="BC24" i="182"/>
  <c r="H103" i="257" s="1"/>
  <c r="BD24" i="182"/>
  <c r="L103" i="257" s="1"/>
  <c r="BK24" i="182"/>
  <c r="BN24" i="182" s="1"/>
  <c r="BW24" i="182"/>
  <c r="BY24" i="182"/>
  <c r="AX24" i="182"/>
  <c r="S103" i="257" s="1"/>
  <c r="BK30" i="160"/>
  <c r="BN30" i="160" s="1"/>
  <c r="BW30" i="160"/>
  <c r="BC30" i="160"/>
  <c r="H57" i="257" s="1"/>
  <c r="AX30" i="160"/>
  <c r="S57" i="257" s="1"/>
  <c r="BD30" i="160"/>
  <c r="L57" i="257" s="1"/>
  <c r="AX26" i="162"/>
  <c r="S72" i="257" s="1"/>
  <c r="BC26" i="162"/>
  <c r="H72" i="257" s="1"/>
  <c r="BD26" i="162"/>
  <c r="L72" i="257" s="1"/>
  <c r="BK26" i="162"/>
  <c r="BN26" i="162" s="1"/>
  <c r="BW26" i="162"/>
  <c r="BK26" i="182"/>
  <c r="BN26" i="182" s="1"/>
  <c r="AE104" i="257"/>
  <c r="BW26" i="182"/>
  <c r="BY26" i="182"/>
  <c r="AX26" i="182"/>
  <c r="S104" i="257" s="1"/>
  <c r="BC26" i="182"/>
  <c r="H104" i="257" s="1"/>
  <c r="BD26" i="182"/>
  <c r="L104" i="257" s="1"/>
  <c r="BD28" i="160"/>
  <c r="L56" i="257" s="1"/>
  <c r="BK28" i="160"/>
  <c r="BN28" i="160" s="1"/>
  <c r="AE56" i="257"/>
  <c r="BW28" i="160"/>
  <c r="AX28" i="160"/>
  <c r="S56" i="257" s="1"/>
  <c r="BC28" i="160"/>
  <c r="H56" i="257" s="1"/>
  <c r="BW28" i="182"/>
  <c r="BY28" i="182"/>
  <c r="AX28" i="182"/>
  <c r="S105" i="257" s="1"/>
  <c r="BC28" i="182"/>
  <c r="H105" i="257" s="1"/>
  <c r="BD28" i="182"/>
  <c r="L105" i="257" s="1"/>
  <c r="BK28" i="182"/>
  <c r="BN28" i="182" s="1"/>
  <c r="AX26" i="160"/>
  <c r="S55" i="257" s="1"/>
  <c r="BC26" i="160"/>
  <c r="H55" i="257" s="1"/>
  <c r="BD26" i="160"/>
  <c r="L55" i="257" s="1"/>
  <c r="BK26" i="160"/>
  <c r="BN26" i="160" s="1"/>
  <c r="BW26" i="160"/>
  <c r="BW30" i="182"/>
  <c r="BY30" i="182"/>
  <c r="AX30" i="182"/>
  <c r="S106" i="257" s="1"/>
  <c r="BC30" i="182"/>
  <c r="H106" i="257" s="1"/>
  <c r="BD30" i="182"/>
  <c r="L106" i="257" s="1"/>
  <c r="BK30" i="182"/>
  <c r="BN30" i="182" s="1"/>
  <c r="AE106" i="257"/>
  <c r="AX24" i="160"/>
  <c r="S54" i="257" s="1"/>
  <c r="BC24" i="160"/>
  <c r="H54" i="257" s="1"/>
  <c r="BD24" i="160"/>
  <c r="L54" i="257" s="1"/>
  <c r="BK24" i="160"/>
  <c r="BN24" i="160" s="1"/>
  <c r="BW24" i="160"/>
  <c r="AE54" i="257"/>
  <c r="BD20" i="162"/>
  <c r="L69" i="257" s="1"/>
  <c r="BK20" i="162"/>
  <c r="BN20" i="162" s="1"/>
  <c r="AE69" i="257"/>
  <c r="BW20" i="162"/>
  <c r="AX20" i="162"/>
  <c r="S69" i="257" s="1"/>
  <c r="BC20" i="162"/>
  <c r="H69" i="257" s="1"/>
  <c r="BY32" i="182"/>
  <c r="AX32" i="182"/>
  <c r="S107" i="257" s="1"/>
  <c r="BC32" i="182"/>
  <c r="H107" i="257" s="1"/>
  <c r="BD32" i="182"/>
  <c r="L107" i="257" s="1"/>
  <c r="BK32" i="182"/>
  <c r="BN32" i="182" s="1"/>
  <c r="AE107" i="257"/>
  <c r="BW32" i="182"/>
  <c r="BK22" i="162"/>
  <c r="BN22" i="162" s="1"/>
  <c r="BW22" i="162"/>
  <c r="AX22" i="162"/>
  <c r="S70" i="257" s="1"/>
  <c r="BC22" i="162"/>
  <c r="H70" i="257" s="1"/>
  <c r="BD22" i="162"/>
  <c r="L70" i="257" s="1"/>
  <c r="BW22" i="160"/>
  <c r="AX22" i="160"/>
  <c r="S53" i="257" s="1"/>
  <c r="BC22" i="160"/>
  <c r="H53" i="257" s="1"/>
  <c r="BD22" i="160"/>
  <c r="L53" i="257" s="1"/>
  <c r="BK22" i="160"/>
  <c r="BN22" i="160" s="1"/>
  <c r="AE53" i="257"/>
  <c r="AX34" i="182"/>
  <c r="S108" i="257" s="1"/>
  <c r="BC34" i="182"/>
  <c r="H108" i="257" s="1"/>
  <c r="BD34" i="182"/>
  <c r="L108" i="257" s="1"/>
  <c r="BK34" i="182"/>
  <c r="BN34" i="182" s="1"/>
  <c r="AE108" i="257"/>
  <c r="BW34" i="182"/>
  <c r="BY34" i="182"/>
  <c r="AE93" i="257"/>
  <c r="BK36" i="163"/>
  <c r="BN36" i="163" s="1"/>
  <c r="BD36" i="163"/>
  <c r="L93" i="257" s="1"/>
  <c r="BC36" i="163"/>
  <c r="H93" i="257" s="1"/>
  <c r="AX36" i="163"/>
  <c r="S93" i="257" s="1"/>
  <c r="BW36" i="163"/>
  <c r="BW24" i="162"/>
  <c r="AX24" i="162"/>
  <c r="S71" i="257" s="1"/>
  <c r="BC24" i="162"/>
  <c r="H71" i="257" s="1"/>
  <c r="BD24" i="162"/>
  <c r="L71" i="257" s="1"/>
  <c r="BK24" i="162"/>
  <c r="BN24" i="162" s="1"/>
  <c r="BY44" i="167"/>
  <c r="BY74" i="167"/>
  <c r="BY38" i="167"/>
  <c r="BY76" i="167"/>
  <c r="BY34" i="167"/>
  <c r="BY58" i="167"/>
  <c r="BY60" i="167"/>
  <c r="BY40" i="167"/>
  <c r="BY66" i="167"/>
  <c r="BY50" i="167"/>
  <c r="BY72" i="167"/>
  <c r="BY24" i="167"/>
  <c r="BY30" i="167"/>
  <c r="BY56" i="167"/>
  <c r="BY62" i="167"/>
  <c r="BY46" i="167"/>
  <c r="BY36" i="167"/>
  <c r="BY52" i="167"/>
  <c r="BY68" i="167"/>
  <c r="BY42" i="167"/>
  <c r="BY26" i="167"/>
  <c r="BY32" i="167"/>
  <c r="BY48" i="167"/>
  <c r="BY64" i="167"/>
  <c r="BY22" i="167"/>
  <c r="BY70" i="167"/>
  <c r="BY54" i="167"/>
  <c r="BY28" i="167"/>
  <c r="BK20" i="160"/>
  <c r="BN20" i="160" s="1"/>
  <c r="BW20" i="160"/>
  <c r="AX20" i="160"/>
  <c r="S52" i="257" s="1"/>
  <c r="BC20" i="160"/>
  <c r="H52" i="257" s="1"/>
  <c r="BD20" i="160"/>
  <c r="L52" i="257" s="1"/>
  <c r="BD36" i="182"/>
  <c r="L109" i="257" s="1"/>
  <c r="BK36" i="182"/>
  <c r="BN36" i="182" s="1"/>
  <c r="AE109" i="257"/>
  <c r="BW36" i="182"/>
  <c r="BY36" i="182"/>
  <c r="AX36" i="182"/>
  <c r="S109" i="257" s="1"/>
  <c r="BC36" i="182"/>
  <c r="H109" i="257" s="1"/>
  <c r="BD34" i="163"/>
  <c r="L92" i="257" s="1"/>
  <c r="BC34" i="163"/>
  <c r="H92" i="257" s="1"/>
  <c r="AX34" i="163"/>
  <c r="S92" i="257" s="1"/>
  <c r="BW34" i="163"/>
  <c r="AE92" i="257"/>
  <c r="BK34" i="163"/>
  <c r="BN34" i="163" s="1"/>
  <c r="BD32" i="163"/>
  <c r="L91" i="257" s="1"/>
  <c r="BC32" i="163"/>
  <c r="H91" i="257" s="1"/>
  <c r="AX32" i="163"/>
  <c r="S91" i="257" s="1"/>
  <c r="BW32" i="163"/>
  <c r="AE91" i="257"/>
  <c r="BK32" i="163"/>
  <c r="BN32" i="163" s="1"/>
  <c r="BW30" i="163"/>
  <c r="BK30" i="163"/>
  <c r="BN30" i="163" s="1"/>
  <c r="BD30" i="163"/>
  <c r="L90" i="257" s="1"/>
  <c r="BC30" i="163"/>
  <c r="H90" i="257" s="1"/>
  <c r="AX30" i="163"/>
  <c r="S90" i="257" s="1"/>
  <c r="BW28" i="163"/>
  <c r="AE89" i="257"/>
  <c r="BK28" i="163"/>
  <c r="BN28" i="163" s="1"/>
  <c r="BD28" i="163"/>
  <c r="L89" i="257" s="1"/>
  <c r="BC28" i="163"/>
  <c r="H89" i="257" s="1"/>
  <c r="AX28" i="163"/>
  <c r="S89" i="257" s="1"/>
  <c r="BF20" i="167"/>
  <c r="BF200" i="167" s="1"/>
  <c r="BG20" i="167"/>
  <c r="J18" i="3" s="1"/>
  <c r="BK20" i="167"/>
  <c r="C117" i="257" a="1"/>
  <c r="C117" i="257" s="1"/>
  <c r="F117" i="257" s="1" a="1"/>
  <c r="F117" i="257" s="1"/>
  <c r="BA20" i="167"/>
  <c r="BB20" i="167"/>
  <c r="AN117" i="257" s="1" a="1"/>
  <c r="AN117" i="257" s="1"/>
  <c r="BK26" i="163"/>
  <c r="BN26" i="163" s="1"/>
  <c r="BD26" i="163"/>
  <c r="L88" i="257" s="1"/>
  <c r="BC26" i="163"/>
  <c r="H88" i="257" s="1"/>
  <c r="AX26" i="163"/>
  <c r="S88" i="257" s="1"/>
  <c r="BW26" i="163"/>
  <c r="BW34" i="160"/>
  <c r="AX34" i="160"/>
  <c r="S59" i="257" s="1"/>
  <c r="BC34" i="160"/>
  <c r="H59" i="257" s="1"/>
  <c r="BD34" i="160"/>
  <c r="L59" i="257" s="1"/>
  <c r="BK34" i="160"/>
  <c r="BN34" i="160" s="1"/>
  <c r="AE59" i="257"/>
  <c r="BD24" i="163"/>
  <c r="L87" i="257" s="1"/>
  <c r="BC24" i="163"/>
  <c r="H87" i="257" s="1"/>
  <c r="AX24" i="163"/>
  <c r="S87" i="257" s="1"/>
  <c r="BW24" i="163"/>
  <c r="AE87" i="257"/>
  <c r="BK24" i="163"/>
  <c r="BN24" i="163" s="1"/>
  <c r="BW36" i="162"/>
  <c r="AX36" i="162"/>
  <c r="S77" i="257" s="1"/>
  <c r="BC36" i="162"/>
  <c r="H77" i="257" s="1"/>
  <c r="BD36" i="162"/>
  <c r="L77" i="257" s="1"/>
  <c r="BK36" i="162"/>
  <c r="BN36" i="162" s="1"/>
  <c r="AE77" i="257"/>
  <c r="AX22" i="163"/>
  <c r="S86" i="257" s="1"/>
  <c r="BW22" i="163"/>
  <c r="BK22" i="163"/>
  <c r="BN22" i="163" s="1"/>
  <c r="BD22" i="163"/>
  <c r="L86" i="257" s="1"/>
  <c r="BC22" i="163"/>
  <c r="H86" i="257" s="1"/>
  <c r="BK34" i="162"/>
  <c r="BN34" i="162" s="1"/>
  <c r="AE76" i="257"/>
  <c r="BW34" i="162"/>
  <c r="AX34" i="162"/>
  <c r="S76" i="257" s="1"/>
  <c r="BC34" i="162"/>
  <c r="H76" i="257" s="1"/>
  <c r="BD34" i="162"/>
  <c r="L76" i="257" s="1"/>
  <c r="AE85" i="257"/>
  <c r="BD20" i="163"/>
  <c r="L85" i="257" s="1"/>
  <c r="AX20" i="163"/>
  <c r="S85" i="257" s="1"/>
  <c r="BC20" i="163"/>
  <c r="H85" i="257" s="1"/>
  <c r="BY20" i="168"/>
  <c r="BB148" i="257" s="1"/>
  <c r="AT148" i="257" s="1" a="1"/>
  <c r="AT148" i="257" s="1"/>
  <c r="BY22" i="168"/>
  <c r="BY28" i="168"/>
  <c r="BY34" i="168"/>
  <c r="BY24" i="168"/>
  <c r="BY26" i="168"/>
  <c r="BY30" i="168"/>
  <c r="BY32" i="168"/>
  <c r="BY36" i="168"/>
  <c r="AE105" i="257"/>
  <c r="AE55" i="257"/>
  <c r="AE70" i="257"/>
  <c r="BY18" i="168"/>
  <c r="BB147" i="257" s="1"/>
  <c r="AT147" i="257" s="1" a="1"/>
  <c r="AT147" i="257" s="1"/>
  <c r="AE73" i="257"/>
  <c r="AR32" i="160"/>
  <c r="BU32" i="160" s="1"/>
  <c r="AR22" i="160"/>
  <c r="BU22" i="160" s="1"/>
  <c r="AR36" i="162"/>
  <c r="BU36" i="162" s="1"/>
  <c r="AR34" i="162"/>
  <c r="BU34" i="162" s="1"/>
  <c r="AR20" i="160"/>
  <c r="BU20" i="160" s="1"/>
  <c r="AR32" i="162"/>
  <c r="BU32" i="162" s="1"/>
  <c r="AR30" i="162"/>
  <c r="BU30" i="162" s="1"/>
  <c r="AR28" i="162"/>
  <c r="BU28" i="162" s="1"/>
  <c r="AR24" i="162"/>
  <c r="BU24" i="162" s="1"/>
  <c r="AR22" i="162"/>
  <c r="BU22" i="162" s="1"/>
  <c r="AR36" i="163"/>
  <c r="BU36" i="163" s="1"/>
  <c r="AR20" i="162"/>
  <c r="BU20" i="162" s="1"/>
  <c r="AR34" i="163"/>
  <c r="BU34" i="163" s="1"/>
  <c r="AR32" i="163"/>
  <c r="BU32" i="163" s="1"/>
  <c r="AR18" i="162"/>
  <c r="AA68" i="257" s="1" a="1"/>
  <c r="AA68" i="257" s="1"/>
  <c r="BW18" i="162"/>
  <c r="AR34" i="160"/>
  <c r="BU34" i="160" s="1"/>
  <c r="AR30" i="163"/>
  <c r="BU30" i="163" s="1"/>
  <c r="AR28" i="163"/>
  <c r="BU28" i="163" s="1"/>
  <c r="AR26" i="162"/>
  <c r="BU26" i="162" s="1"/>
  <c r="AR30" i="160"/>
  <c r="BU30" i="160" s="1"/>
  <c r="AR18" i="163"/>
  <c r="AA84" i="257" s="1" a="1"/>
  <c r="AA84" i="257" s="1"/>
  <c r="BW18" i="163"/>
  <c r="AR26" i="163"/>
  <c r="BU26" i="163" s="1"/>
  <c r="AR28" i="160"/>
  <c r="BU28" i="160" s="1"/>
  <c r="AR24" i="163"/>
  <c r="BU24" i="163" s="1"/>
  <c r="AR26" i="160"/>
  <c r="BU26" i="160" s="1"/>
  <c r="AR22" i="163"/>
  <c r="BU22" i="163" s="1"/>
  <c r="AR24" i="160"/>
  <c r="BU24" i="160" s="1"/>
  <c r="W117" i="257"/>
  <c r="H164" i="257"/>
  <c r="H168" i="257"/>
  <c r="H163" i="257"/>
  <c r="H246" i="257"/>
  <c r="H169" i="257"/>
  <c r="H170" i="257"/>
  <c r="H165" i="257"/>
  <c r="H244" i="257"/>
  <c r="H171" i="257"/>
  <c r="H166" i="257"/>
  <c r="H243" i="257"/>
  <c r="H172" i="257"/>
  <c r="H167" i="257"/>
  <c r="S42" i="257"/>
  <c r="AE39" i="257"/>
  <c r="H245" i="257"/>
  <c r="AE42" i="257"/>
  <c r="AK38" i="257"/>
  <c r="AK41" i="257"/>
  <c r="AK44" i="257"/>
  <c r="S38" i="257"/>
  <c r="S35" i="257"/>
  <c r="S41" i="257"/>
  <c r="AE38" i="257"/>
  <c r="DR2" i="257"/>
  <c r="S44" i="257"/>
  <c r="AE41" i="257"/>
  <c r="AK37" i="257"/>
  <c r="S227" i="257"/>
  <c r="AK40" i="257"/>
  <c r="S37" i="257"/>
  <c r="AK35" i="257"/>
  <c r="AK43" i="257"/>
  <c r="S40" i="257"/>
  <c r="AK36" i="257"/>
  <c r="S43" i="257"/>
  <c r="AE40" i="257"/>
  <c r="AE43" i="257"/>
  <c r="S36" i="257"/>
  <c r="AK39" i="257"/>
  <c r="AK42" i="257"/>
  <c r="S39" i="257"/>
  <c r="AR24" i="182"/>
  <c r="BU24" i="182" s="1"/>
  <c r="AE103" i="257"/>
  <c r="AO24" i="182"/>
  <c r="AO28" i="182"/>
  <c r="AR28" i="182"/>
  <c r="BU28" i="182" s="1"/>
  <c r="AO30" i="182"/>
  <c r="AR30" i="182"/>
  <c r="BU30" i="182" s="1"/>
  <c r="AO32" i="182"/>
  <c r="AR32" i="182"/>
  <c r="BU32" i="182" s="1"/>
  <c r="AO34" i="182"/>
  <c r="AR34" i="182"/>
  <c r="BU34" i="182" s="1"/>
  <c r="AO36" i="182"/>
  <c r="AR36" i="182"/>
  <c r="BU36" i="182" s="1"/>
  <c r="AO26" i="182"/>
  <c r="AR26" i="182"/>
  <c r="BU26" i="182" s="1"/>
  <c r="BK18" i="182"/>
  <c r="BN18" i="182" s="1"/>
  <c r="AE100" i="257"/>
  <c r="BY18" i="182"/>
  <c r="AO18" i="182"/>
  <c r="BC18" i="182"/>
  <c r="H100" i="257" s="1"/>
  <c r="AX18" i="182"/>
  <c r="S100" i="257" s="1"/>
  <c r="AR18" i="182"/>
  <c r="AA100" i="257" s="1" a="1"/>
  <c r="AA100" i="257" s="1"/>
  <c r="BD18" i="182"/>
  <c r="L100" i="257" s="1"/>
  <c r="AR20" i="182"/>
  <c r="BU20" i="182" s="1"/>
  <c r="AO20" i="182"/>
  <c r="AR22" i="182"/>
  <c r="BU22" i="182" s="1"/>
  <c r="AO22" i="182"/>
  <c r="AO20" i="167"/>
  <c r="BO20" i="167" s="1"/>
  <c r="AR20" i="167"/>
  <c r="BE200" i="159"/>
  <c r="AR36" i="159"/>
  <c r="AL30" i="176"/>
  <c r="BB30" i="176"/>
  <c r="AN249" i="257" s="1" a="1"/>
  <c r="AN249" i="257" s="1"/>
  <c r="P26" i="3"/>
  <c r="BA30" i="176"/>
  <c r="AM15" i="257"/>
  <c r="AN15" i="257"/>
  <c r="AJ15" i="257"/>
  <c r="AM13" i="257"/>
  <c r="AN13" i="257"/>
  <c r="AJ12" i="257"/>
  <c r="AM12" i="257"/>
  <c r="AN12" i="257"/>
  <c r="AN10" i="257"/>
  <c r="AM10" i="257"/>
  <c r="AJ10" i="257"/>
  <c r="AJ11" i="257"/>
  <c r="AM11" i="257"/>
  <c r="AN11" i="257"/>
  <c r="AN8" i="257"/>
  <c r="AJ8" i="257"/>
  <c r="AM8" i="257"/>
  <c r="BK18" i="176"/>
  <c r="BN18" i="176" s="1"/>
  <c r="AM17" i="257"/>
  <c r="AJ17" i="257"/>
  <c r="AN17" i="257"/>
  <c r="AN16" i="257"/>
  <c r="AJ16" i="257"/>
  <c r="AM16" i="257"/>
  <c r="BA18" i="170"/>
  <c r="BB18" i="170"/>
  <c r="AN179" i="257" s="1" a="1"/>
  <c r="AN179" i="257" s="1"/>
  <c r="AL18" i="170"/>
  <c r="C164" i="257" a="1"/>
  <c r="C164" i="257" s="1"/>
  <c r="F164" i="257" s="1" a="1"/>
  <c r="F164" i="257" s="1"/>
  <c r="J183" i="257"/>
  <c r="J11" i="3"/>
  <c r="BD18" i="160"/>
  <c r="L51" i="257" s="1"/>
  <c r="AO34" i="160"/>
  <c r="AO26" i="160"/>
  <c r="AO34" i="162"/>
  <c r="AO26" i="162"/>
  <c r="AO42" i="158"/>
  <c r="AO32" i="158"/>
  <c r="AO34" i="163"/>
  <c r="AO26" i="163"/>
  <c r="AO32" i="160"/>
  <c r="AO24" i="160"/>
  <c r="AO32" i="162"/>
  <c r="AO40" i="158"/>
  <c r="AO30" i="158"/>
  <c r="AO32" i="163"/>
  <c r="AO24" i="163"/>
  <c r="AO30" i="160"/>
  <c r="AO22" i="160"/>
  <c r="AO30" i="162"/>
  <c r="AO22" i="162"/>
  <c r="AO36" i="158"/>
  <c r="AO26" i="158"/>
  <c r="AO30" i="163"/>
  <c r="AO28" i="160"/>
  <c r="BD18" i="162"/>
  <c r="L68" i="257" s="1"/>
  <c r="AO36" i="162"/>
  <c r="AO28" i="162"/>
  <c r="AO20" i="162"/>
  <c r="BD18" i="163"/>
  <c r="L84" i="257" s="1"/>
  <c r="AO44" i="158"/>
  <c r="AO34" i="158"/>
  <c r="AO36" i="163"/>
  <c r="AO28" i="163"/>
  <c r="AJ30" i="175"/>
  <c r="BL30" i="175" s="1"/>
  <c r="AJ22" i="13"/>
  <c r="BL22" i="13" s="1"/>
  <c r="AJ30" i="13"/>
  <c r="BL30" i="13" s="1"/>
  <c r="AI16" i="257"/>
  <c r="AI11" i="257"/>
  <c r="AJ24" i="13"/>
  <c r="BL24" i="13" s="1"/>
  <c r="AJ26" i="171"/>
  <c r="AJ34" i="171"/>
  <c r="C187" i="257" a="1"/>
  <c r="C187" i="257" s="1"/>
  <c r="F187" i="257" s="1" a="1"/>
  <c r="F187" i="257" s="1"/>
  <c r="AI15" i="257"/>
  <c r="AI10" i="257"/>
  <c r="AJ22" i="176"/>
  <c r="BL22" i="176" s="1"/>
  <c r="AJ34" i="175"/>
  <c r="BL34" i="175" s="1"/>
  <c r="AJ20" i="171"/>
  <c r="AJ28" i="171"/>
  <c r="AO36" i="169"/>
  <c r="BO36" i="169" s="1"/>
  <c r="AI13" i="257"/>
  <c r="AI8" i="257"/>
  <c r="AJ36" i="175"/>
  <c r="BL36" i="175" s="1"/>
  <c r="AJ36" i="13"/>
  <c r="BL36" i="13" s="1"/>
  <c r="AJ22" i="171"/>
  <c r="C185" i="257" a="1"/>
  <c r="C185" i="257" s="1"/>
  <c r="F185" i="257" s="1" a="1"/>
  <c r="F185" i="257" s="1"/>
  <c r="AO22" i="169"/>
  <c r="BO22" i="169" s="1"/>
  <c r="AI17" i="257"/>
  <c r="AI12" i="257"/>
  <c r="BR15" i="109"/>
  <c r="BR14" i="109"/>
  <c r="BO14" i="109"/>
  <c r="BO15" i="109"/>
  <c r="BQ15" i="109"/>
  <c r="BQ14" i="109"/>
  <c r="BP15" i="109"/>
  <c r="BP14" i="109"/>
  <c r="AV201" i="152"/>
  <c r="AV201" i="166"/>
  <c r="AV201" i="14"/>
  <c r="AJ24" i="175"/>
  <c r="BL24" i="175" s="1"/>
  <c r="J228" i="257"/>
  <c r="AV200" i="159"/>
  <c r="AV200" i="14"/>
  <c r="S18" i="257"/>
  <c r="H18" i="257"/>
  <c r="H13" i="257"/>
  <c r="AK13" i="257"/>
  <c r="H17" i="257"/>
  <c r="AK17" i="257"/>
  <c r="S17" i="257"/>
  <c r="H12" i="257"/>
  <c r="AK12" i="257"/>
  <c r="S12" i="257"/>
  <c r="AJ32" i="13"/>
  <c r="BL32" i="13" s="1"/>
  <c r="AJ36" i="171"/>
  <c r="J166" i="257"/>
  <c r="S16" i="257"/>
  <c r="AK16" i="257"/>
  <c r="H16" i="257"/>
  <c r="AK11" i="257"/>
  <c r="H11" i="257"/>
  <c r="S11" i="257"/>
  <c r="AV201" i="153"/>
  <c r="AJ26" i="175"/>
  <c r="BL26" i="175" s="1"/>
  <c r="AJ30" i="171"/>
  <c r="C169" i="257" a="1"/>
  <c r="C169" i="257" s="1"/>
  <c r="F169" i="257" s="1" a="1"/>
  <c r="F169" i="257" s="1"/>
  <c r="AJ20" i="13"/>
  <c r="BL20" i="13" s="1"/>
  <c r="AJ28" i="175"/>
  <c r="BL28" i="175" s="1"/>
  <c r="AJ32" i="175"/>
  <c r="BL32" i="175" s="1"/>
  <c r="AJ34" i="13"/>
  <c r="BL34" i="13" s="1"/>
  <c r="AK15" i="257"/>
  <c r="S15" i="257"/>
  <c r="H15" i="257"/>
  <c r="H60" i="257"/>
  <c r="AX18" i="160"/>
  <c r="S51" i="257" s="1"/>
  <c r="AL32" i="167"/>
  <c r="BR18" i="175"/>
  <c r="BU18" i="175" s="1"/>
  <c r="AK8" i="257"/>
  <c r="S8" i="257"/>
  <c r="H8" i="257"/>
  <c r="H6" i="257"/>
  <c r="S6" i="257"/>
  <c r="S5" i="257"/>
  <c r="H5" i="257"/>
  <c r="AK10" i="257"/>
  <c r="S10" i="257"/>
  <c r="H10" i="257"/>
  <c r="AE37" i="257"/>
  <c r="AL48" i="167"/>
  <c r="AL24" i="167"/>
  <c r="AE88" i="257"/>
  <c r="AD41" i="81"/>
  <c r="AB27" i="81"/>
  <c r="Y26" i="155"/>
  <c r="Y26" i="156"/>
  <c r="W29" i="81"/>
  <c r="W28" i="81"/>
  <c r="Y27" i="155"/>
  <c r="Q26" i="14"/>
  <c r="W30" i="81"/>
  <c r="Q25" i="14"/>
  <c r="R26" i="154"/>
  <c r="Y25" i="156"/>
  <c r="R28" i="154"/>
  <c r="AL54" i="167"/>
  <c r="AL30" i="167"/>
  <c r="AL70" i="167"/>
  <c r="AL46" i="167"/>
  <c r="AL62" i="167"/>
  <c r="AL38" i="167"/>
  <c r="AL22" i="167"/>
  <c r="AD44" i="156"/>
  <c r="W36" i="81"/>
  <c r="W41" i="81"/>
  <c r="AL34" i="167"/>
  <c r="AL64" i="167"/>
  <c r="AL74" i="167"/>
  <c r="AL72" i="167"/>
  <c r="AL56" i="167"/>
  <c r="AL40" i="167"/>
  <c r="AL42" i="167"/>
  <c r="AL18" i="167"/>
  <c r="AL66" i="167"/>
  <c r="AL50" i="167"/>
  <c r="AL58" i="167"/>
  <c r="AL26" i="167"/>
  <c r="AL76" i="167"/>
  <c r="AL68" i="167"/>
  <c r="AL60" i="167"/>
  <c r="AL52" i="167"/>
  <c r="AL44" i="167"/>
  <c r="AL36" i="167"/>
  <c r="AL28" i="167"/>
  <c r="AL20" i="167"/>
  <c r="AX18" i="162"/>
  <c r="S68" i="257" s="1"/>
  <c r="AE74" i="257"/>
  <c r="S84" i="257"/>
  <c r="S60" i="257"/>
  <c r="AE72" i="257"/>
  <c r="BC18" i="162"/>
  <c r="H68" i="257" s="1"/>
  <c r="BC18" i="163"/>
  <c r="H84" i="257" s="1"/>
  <c r="AE57" i="257"/>
  <c r="AE58" i="257"/>
  <c r="BH200" i="159"/>
  <c r="AE90" i="257"/>
  <c r="Q200" i="172"/>
  <c r="O200" i="176"/>
  <c r="O200" i="13"/>
  <c r="O200" i="158"/>
  <c r="O200" i="161"/>
  <c r="O200" i="180"/>
  <c r="O200" i="159"/>
  <c r="O200" i="144"/>
  <c r="O200" i="170"/>
  <c r="O200" i="156"/>
  <c r="O200" i="166"/>
  <c r="O200" i="163"/>
  <c r="O200" i="169"/>
  <c r="O200" i="175"/>
  <c r="O200" i="152"/>
  <c r="O200" i="153"/>
  <c r="O200" i="162"/>
  <c r="O200" i="168"/>
  <c r="O200" i="81"/>
  <c r="O200" i="148"/>
  <c r="AB41" i="81"/>
  <c r="H35" i="154"/>
  <c r="W40" i="81"/>
  <c r="H36" i="154"/>
  <c r="AV200" i="148"/>
  <c r="AV200" i="182"/>
  <c r="AV200" i="180"/>
  <c r="AV200" i="156"/>
  <c r="AV200" i="155"/>
  <c r="AV200" i="154"/>
  <c r="AV200" i="81"/>
  <c r="AV200" i="176"/>
  <c r="AV200" i="161"/>
  <c r="AV200" i="13"/>
  <c r="AV200" i="170"/>
  <c r="AV200" i="168"/>
  <c r="AV200" i="160"/>
  <c r="AV200" i="175"/>
  <c r="AV200" i="162"/>
  <c r="AV200" i="171"/>
  <c r="AV200" i="169"/>
  <c r="AV200" i="167"/>
  <c r="AV200" i="163"/>
  <c r="AV200" i="144"/>
  <c r="AV200" i="147"/>
  <c r="AV200" i="158"/>
  <c r="AV200" i="172"/>
  <c r="AV201" i="182"/>
  <c r="AV201" i="148"/>
  <c r="AV201" i="81"/>
  <c r="AV201" i="155"/>
  <c r="AV201" i="180"/>
  <c r="AV201" i="156"/>
  <c r="AV201" i="154"/>
  <c r="AV201" i="175"/>
  <c r="AV201" i="162"/>
  <c r="AV201" i="171"/>
  <c r="AV201" i="169"/>
  <c r="AV201" i="167"/>
  <c r="AV201" i="163"/>
  <c r="AV201" i="176"/>
  <c r="AV201" i="161"/>
  <c r="AV201" i="13"/>
  <c r="AV201" i="170"/>
  <c r="AV201" i="168"/>
  <c r="AV201" i="160"/>
  <c r="AD46" i="156"/>
  <c r="AV201" i="159"/>
  <c r="O200" i="147"/>
  <c r="O200" i="160"/>
  <c r="O200" i="167"/>
  <c r="O200" i="171"/>
  <c r="O200" i="154"/>
  <c r="O200" i="155"/>
  <c r="AV200" i="152"/>
  <c r="AV201" i="144"/>
  <c r="AV200" i="166"/>
  <c r="AV201" i="147"/>
  <c r="AV201" i="158"/>
  <c r="AV200" i="153"/>
  <c r="AV201" i="172"/>
  <c r="AJ28" i="13"/>
  <c r="BL28" i="13" s="1"/>
  <c r="AJ24" i="171"/>
  <c r="C182" i="257" a="1"/>
  <c r="C182" i="257" s="1"/>
  <c r="F182" i="257" s="1" a="1"/>
  <c r="F182" i="257" s="1"/>
  <c r="AJ26" i="13"/>
  <c r="BL26" i="13" s="1"/>
  <c r="AJ32" i="171"/>
  <c r="J186" i="257"/>
  <c r="AO28" i="169"/>
  <c r="BO28" i="169" s="1"/>
  <c r="Q24" i="14"/>
  <c r="R27" i="154"/>
  <c r="W27" i="81"/>
  <c r="Y25" i="155"/>
  <c r="W27" i="154"/>
  <c r="Y27" i="156"/>
  <c r="I42" i="81"/>
  <c r="BI200" i="159"/>
  <c r="BC18" i="160"/>
  <c r="H51" i="257" s="1"/>
  <c r="H37" i="154"/>
  <c r="M37" i="154"/>
  <c r="AD47" i="156"/>
  <c r="O37" i="154"/>
  <c r="AO20" i="163" l="1"/>
  <c r="AR20" i="163" s="1"/>
  <c r="BU20" i="163" s="1"/>
  <c r="BK20" i="163"/>
  <c r="BN20" i="163" s="1"/>
  <c r="BL24" i="171"/>
  <c r="AR24" i="171"/>
  <c r="BL22" i="171"/>
  <c r="AR22" i="171"/>
  <c r="BE18" i="170"/>
  <c r="BD18" i="170" s="1"/>
  <c r="L179" i="257" s="1"/>
  <c r="AM179" i="257" a="1"/>
  <c r="AM179" i="257" s="1"/>
  <c r="AM249" i="257" a="1"/>
  <c r="AM249" i="257" s="1"/>
  <c r="BE30" i="176"/>
  <c r="BL26" i="171"/>
  <c r="AR26" i="171"/>
  <c r="BL36" i="171"/>
  <c r="AR36" i="171"/>
  <c r="BL32" i="171"/>
  <c r="AR32" i="171"/>
  <c r="BL34" i="171"/>
  <c r="AR34" i="171"/>
  <c r="BL28" i="171"/>
  <c r="AR28" i="171"/>
  <c r="BL30" i="171"/>
  <c r="AR30" i="171"/>
  <c r="BL20" i="171"/>
  <c r="AR20" i="171"/>
  <c r="BY20" i="167"/>
  <c r="BB117" i="257" s="1"/>
  <c r="AM117" i="257" a="1"/>
  <c r="AM117" i="257" s="1"/>
  <c r="BE20" i="167"/>
  <c r="BD20" i="167" s="1"/>
  <c r="L117" i="257" s="1"/>
  <c r="BO22" i="160"/>
  <c r="BV22" i="160"/>
  <c r="BO20" i="182"/>
  <c r="BV20" i="182"/>
  <c r="BO32" i="163"/>
  <c r="BV32" i="163"/>
  <c r="BO20" i="162"/>
  <c r="BV20" i="162"/>
  <c r="BO30" i="158"/>
  <c r="BV30" i="158"/>
  <c r="BO34" i="182"/>
  <c r="BV34" i="182"/>
  <c r="BO36" i="182"/>
  <c r="BV36" i="182"/>
  <c r="BO28" i="162"/>
  <c r="BV28" i="162"/>
  <c r="BO40" i="158"/>
  <c r="BV40" i="158"/>
  <c r="BO36" i="162"/>
  <c r="BV36" i="162"/>
  <c r="BO32" i="162"/>
  <c r="BV32" i="162"/>
  <c r="BO32" i="182"/>
  <c r="BV32" i="182"/>
  <c r="BO24" i="163"/>
  <c r="BV24" i="163"/>
  <c r="BO24" i="160"/>
  <c r="BV24" i="160"/>
  <c r="BO22" i="182"/>
  <c r="BV22" i="182"/>
  <c r="BO44" i="158"/>
  <c r="BV44" i="158"/>
  <c r="BO32" i="160"/>
  <c r="BV32" i="160"/>
  <c r="BO28" i="160"/>
  <c r="BV28" i="160"/>
  <c r="BO26" i="163"/>
  <c r="BV26" i="163"/>
  <c r="BU36" i="159"/>
  <c r="BV36" i="159"/>
  <c r="BO30" i="182"/>
  <c r="BV30" i="182"/>
  <c r="BO26" i="182"/>
  <c r="BV26" i="182"/>
  <c r="BO34" i="163"/>
  <c r="BV34" i="163"/>
  <c r="BO30" i="160"/>
  <c r="BV30" i="160"/>
  <c r="BO30" i="163"/>
  <c r="BV30" i="163"/>
  <c r="BO32" i="158"/>
  <c r="BV32" i="158"/>
  <c r="BO18" i="182"/>
  <c r="BV18" i="182"/>
  <c r="BO34" i="160"/>
  <c r="BV34" i="160"/>
  <c r="BO26" i="158"/>
  <c r="BV26" i="158"/>
  <c r="BO42" i="158"/>
  <c r="BV42" i="158"/>
  <c r="BO28" i="182"/>
  <c r="BV28" i="182"/>
  <c r="BO20" i="163"/>
  <c r="BO36" i="158"/>
  <c r="BV36" i="158"/>
  <c r="BO26" i="162"/>
  <c r="BV26" i="162"/>
  <c r="BO24" i="182"/>
  <c r="BV24" i="182"/>
  <c r="BO34" i="158"/>
  <c r="BV34" i="158"/>
  <c r="BO28" i="163"/>
  <c r="BV28" i="163"/>
  <c r="BO22" i="162"/>
  <c r="BV22" i="162"/>
  <c r="BO34" i="162"/>
  <c r="BV34" i="162"/>
  <c r="BO36" i="163"/>
  <c r="BV36" i="163"/>
  <c r="BO30" i="162"/>
  <c r="BV30" i="162"/>
  <c r="BO26" i="160"/>
  <c r="BV26" i="160"/>
  <c r="P18" i="3"/>
  <c r="BN20" i="167"/>
  <c r="J117" i="257" s="1"/>
  <c r="BU62" i="167"/>
  <c r="BU58" i="167"/>
  <c r="BU50" i="167"/>
  <c r="BU46" i="167"/>
  <c r="BU66" i="167"/>
  <c r="BU70" i="167"/>
  <c r="BU30" i="167"/>
  <c r="BU42" i="167"/>
  <c r="BU54" i="167"/>
  <c r="BU26" i="167"/>
  <c r="BU40" i="167"/>
  <c r="BU38" i="167"/>
  <c r="BU72" i="167"/>
  <c r="BU32" i="167"/>
  <c r="BU28" i="167"/>
  <c r="BU74" i="167"/>
  <c r="BU64" i="167"/>
  <c r="BU24" i="167"/>
  <c r="BU44" i="167"/>
  <c r="BU34" i="167"/>
  <c r="BU48" i="167"/>
  <c r="BU56" i="167"/>
  <c r="BU52" i="167"/>
  <c r="BU36" i="167"/>
  <c r="BU60" i="167"/>
  <c r="BU68" i="167"/>
  <c r="BU76" i="167"/>
  <c r="BU22" i="167"/>
  <c r="BR20" i="167"/>
  <c r="BU20" i="167" s="1"/>
  <c r="AB77" i="257" a="1"/>
  <c r="AB77" i="257" s="1"/>
  <c r="AB89" i="257" a="1"/>
  <c r="AB89" i="257" s="1"/>
  <c r="AB90" i="257" a="1"/>
  <c r="AB90" i="257" s="1"/>
  <c r="BA34" i="175"/>
  <c r="BG34" i="175"/>
  <c r="BK34" i="175"/>
  <c r="BN34" i="175" s="1"/>
  <c r="BW34" i="175"/>
  <c r="C235" i="257" s="1" a="1"/>
  <c r="C235" i="257" s="1"/>
  <c r="F235" i="257" s="1" a="1"/>
  <c r="F235" i="257" s="1"/>
  <c r="BB34" i="175"/>
  <c r="AN235" i="257" s="1" a="1"/>
  <c r="AN235" i="257" s="1"/>
  <c r="BK34" i="171"/>
  <c r="BN34" i="171" s="1"/>
  <c r="BB34" i="171"/>
  <c r="AN203" i="257" s="1" a="1"/>
  <c r="AN203" i="257" s="1"/>
  <c r="BG34" i="171"/>
  <c r="BA34" i="171"/>
  <c r="BW34" i="171"/>
  <c r="C203" i="257" s="1" a="1"/>
  <c r="C203" i="257" s="1"/>
  <c r="F203" i="257" s="1" a="1"/>
  <c r="F203" i="257" s="1"/>
  <c r="BA24" i="175"/>
  <c r="BG24" i="175"/>
  <c r="BW24" i="175"/>
  <c r="C230" i="257" s="1" a="1"/>
  <c r="C230" i="257" s="1"/>
  <c r="F230" i="257" s="1" a="1"/>
  <c r="F230" i="257" s="1"/>
  <c r="BK24" i="175"/>
  <c r="BN24" i="175" s="1"/>
  <c r="BB24" i="175"/>
  <c r="AN230" i="257" s="1" a="1"/>
  <c r="AN230" i="257" s="1"/>
  <c r="BA22" i="171"/>
  <c r="BB22" i="171"/>
  <c r="AN197" i="257" s="1" a="1"/>
  <c r="AN197" i="257" s="1"/>
  <c r="BG22" i="171"/>
  <c r="BW22" i="171"/>
  <c r="C197" i="257" s="1" a="1"/>
  <c r="C197" i="257" s="1"/>
  <c r="F197" i="257" s="1" a="1"/>
  <c r="F197" i="257" s="1"/>
  <c r="BK22" i="171"/>
  <c r="BN22" i="171" s="1"/>
  <c r="BW26" i="171"/>
  <c r="C199" i="257" s="1" a="1"/>
  <c r="C199" i="257" s="1"/>
  <c r="F199" i="257" s="1" a="1"/>
  <c r="F199" i="257" s="1"/>
  <c r="BB26" i="171"/>
  <c r="AN199" i="257" s="1" a="1"/>
  <c r="AN199" i="257" s="1"/>
  <c r="BA26" i="171"/>
  <c r="BG26" i="171"/>
  <c r="BK26" i="171"/>
  <c r="BB36" i="171"/>
  <c r="AN204" i="257" s="1" a="1"/>
  <c r="AN204" i="257" s="1"/>
  <c r="BG36" i="171"/>
  <c r="BK36" i="171"/>
  <c r="BA36" i="171"/>
  <c r="BW36" i="171"/>
  <c r="C204" i="257" s="1" a="1"/>
  <c r="C204" i="257" s="1"/>
  <c r="F204" i="257" s="1" a="1"/>
  <c r="F204" i="257" s="1"/>
  <c r="BG36" i="13"/>
  <c r="BA36" i="13"/>
  <c r="BK36" i="13"/>
  <c r="BN36" i="13" s="1"/>
  <c r="BB36" i="13"/>
  <c r="AN220" i="257" s="1" a="1"/>
  <c r="AN220" i="257" s="1"/>
  <c r="BW36" i="13"/>
  <c r="C220" i="257" s="1" a="1"/>
  <c r="C220" i="257" s="1"/>
  <c r="F220" i="257" s="1" a="1"/>
  <c r="F220" i="257" s="1"/>
  <c r="BK24" i="13"/>
  <c r="BN24" i="13" s="1"/>
  <c r="BW24" i="13"/>
  <c r="C214" i="257" s="1" a="1"/>
  <c r="C214" i="257" s="1"/>
  <c r="F214" i="257" s="1" a="1"/>
  <c r="F214" i="257" s="1"/>
  <c r="BG24" i="13"/>
  <c r="BA24" i="13"/>
  <c r="BB24" i="13"/>
  <c r="AN214" i="257" s="1" a="1"/>
  <c r="AN214" i="257" s="1"/>
  <c r="BA28" i="13"/>
  <c r="BG28" i="13"/>
  <c r="BK28" i="13"/>
  <c r="BN28" i="13" s="1"/>
  <c r="BB28" i="13"/>
  <c r="AN216" i="257" s="1" a="1"/>
  <c r="AN216" i="257" s="1"/>
  <c r="BW28" i="13"/>
  <c r="C216" i="257" s="1" a="1"/>
  <c r="C216" i="257" s="1"/>
  <c r="F216" i="257" s="1" a="1"/>
  <c r="F216" i="257" s="1"/>
  <c r="BW20" i="171"/>
  <c r="C196" i="257" s="1" a="1"/>
  <c r="C196" i="257" s="1"/>
  <c r="F196" i="257" s="1" a="1"/>
  <c r="F196" i="257" s="1"/>
  <c r="BA20" i="171"/>
  <c r="BB20" i="171"/>
  <c r="AN196" i="257" s="1" a="1"/>
  <c r="AN196" i="257" s="1"/>
  <c r="BG20" i="171"/>
  <c r="BK20" i="171"/>
  <c r="BG22" i="176"/>
  <c r="BK22" i="176"/>
  <c r="BN22" i="176" s="1"/>
  <c r="BW22" i="176"/>
  <c r="C245" i="257" s="1" a="1"/>
  <c r="C245" i="257" s="1"/>
  <c r="F245" i="257" s="1" a="1"/>
  <c r="F245" i="257" s="1"/>
  <c r="BA22" i="176"/>
  <c r="BB22" i="176"/>
  <c r="AN245" i="257" s="1" a="1"/>
  <c r="AN245" i="257" s="1"/>
  <c r="BA34" i="13"/>
  <c r="BB34" i="13"/>
  <c r="AN219" i="257" s="1" a="1"/>
  <c r="AN219" i="257" s="1"/>
  <c r="BG34" i="13"/>
  <c r="BK34" i="13"/>
  <c r="BN34" i="13" s="1"/>
  <c r="BW34" i="13"/>
  <c r="C219" i="257" s="1" a="1"/>
  <c r="C219" i="257" s="1"/>
  <c r="F219" i="257" s="1" a="1"/>
  <c r="F219" i="257" s="1"/>
  <c r="BW32" i="13"/>
  <c r="C218" i="257" s="1" a="1"/>
  <c r="C218" i="257" s="1"/>
  <c r="F218" i="257" s="1" a="1"/>
  <c r="F218" i="257" s="1"/>
  <c r="BA32" i="13"/>
  <c r="BB32" i="13"/>
  <c r="AN218" i="257" s="1" a="1"/>
  <c r="AN218" i="257" s="1"/>
  <c r="BG32" i="13"/>
  <c r="BK32" i="13"/>
  <c r="BN32" i="13" s="1"/>
  <c r="BK36" i="175"/>
  <c r="BN36" i="175" s="1"/>
  <c r="BA36" i="175"/>
  <c r="BB36" i="175"/>
  <c r="AN236" i="257" s="1" a="1"/>
  <c r="AN236" i="257" s="1"/>
  <c r="BG36" i="175"/>
  <c r="BW36" i="175"/>
  <c r="C236" i="257" s="1" a="1"/>
  <c r="C236" i="257" s="1"/>
  <c r="F236" i="257" s="1" a="1"/>
  <c r="F236" i="257" s="1"/>
  <c r="BW32" i="175"/>
  <c r="C234" i="257" s="1" a="1"/>
  <c r="C234" i="257" s="1"/>
  <c r="F234" i="257" s="1" a="1"/>
  <c r="F234" i="257" s="1"/>
  <c r="BA32" i="175"/>
  <c r="BB32" i="175"/>
  <c r="AN234" i="257" s="1" a="1"/>
  <c r="AN234" i="257" s="1"/>
  <c r="BG32" i="175"/>
  <c r="BK32" i="175"/>
  <c r="BN32" i="175" s="1"/>
  <c r="BW26" i="175"/>
  <c r="C231" i="257" s="1" a="1"/>
  <c r="C231" i="257" s="1"/>
  <c r="F231" i="257" s="1" a="1"/>
  <c r="F231" i="257" s="1"/>
  <c r="BA26" i="175"/>
  <c r="BB26" i="175"/>
  <c r="AN231" i="257" s="1" a="1"/>
  <c r="AN231" i="257" s="1"/>
  <c r="BG26" i="175"/>
  <c r="BK26" i="175"/>
  <c r="BN26" i="175" s="1"/>
  <c r="BK30" i="13"/>
  <c r="BN30" i="13" s="1"/>
  <c r="BW30" i="13"/>
  <c r="C217" i="257" s="1" a="1"/>
  <c r="C217" i="257" s="1"/>
  <c r="F217" i="257" s="1" a="1"/>
  <c r="F217" i="257" s="1"/>
  <c r="BG30" i="13"/>
  <c r="BA30" i="13"/>
  <c r="BB30" i="13"/>
  <c r="AN217" i="257" s="1" a="1"/>
  <c r="AN217" i="257" s="1"/>
  <c r="BK32" i="171"/>
  <c r="BN32" i="171" s="1"/>
  <c r="BG32" i="171"/>
  <c r="BA32" i="171"/>
  <c r="BB32" i="171"/>
  <c r="AN202" i="257" s="1" a="1"/>
  <c r="AN202" i="257" s="1"/>
  <c r="BW32" i="171"/>
  <c r="C202" i="257" s="1" a="1"/>
  <c r="C202" i="257" s="1"/>
  <c r="F202" i="257" s="1" a="1"/>
  <c r="F202" i="257" s="1"/>
  <c r="BG28" i="175"/>
  <c r="BK28" i="175"/>
  <c r="BN28" i="175" s="1"/>
  <c r="BW28" i="175"/>
  <c r="C232" i="257" s="1" a="1"/>
  <c r="C232" i="257" s="1"/>
  <c r="F232" i="257" s="1" a="1"/>
  <c r="F232" i="257" s="1"/>
  <c r="BA28" i="175"/>
  <c r="BB28" i="175"/>
  <c r="AN232" i="257" s="1" a="1"/>
  <c r="AN232" i="257" s="1"/>
  <c r="BG26" i="13"/>
  <c r="BK26" i="13"/>
  <c r="BN26" i="13" s="1"/>
  <c r="BA26" i="13"/>
  <c r="BW26" i="13"/>
  <c r="C215" i="257" s="1" a="1"/>
  <c r="C215" i="257" s="1"/>
  <c r="F215" i="257" s="1" a="1"/>
  <c r="F215" i="257" s="1"/>
  <c r="BB26" i="13"/>
  <c r="AN215" i="257" s="1" a="1"/>
  <c r="AN215" i="257" s="1"/>
  <c r="BA20" i="13"/>
  <c r="BB20" i="13"/>
  <c r="AN212" i="257" s="1" a="1"/>
  <c r="AN212" i="257" s="1"/>
  <c r="BG20" i="13"/>
  <c r="BK20" i="13"/>
  <c r="BN20" i="13" s="1"/>
  <c r="J212" i="257" s="1"/>
  <c r="BW20" i="13"/>
  <c r="C212" i="257" s="1" a="1"/>
  <c r="C212" i="257" s="1"/>
  <c r="F212" i="257" s="1" a="1"/>
  <c r="F212" i="257" s="1"/>
  <c r="BK22" i="13"/>
  <c r="BN22" i="13" s="1"/>
  <c r="BW22" i="13"/>
  <c r="C213" i="257" s="1" a="1"/>
  <c r="C213" i="257" s="1"/>
  <c r="F213" i="257" s="1" a="1"/>
  <c r="F213" i="257" s="1"/>
  <c r="BB22" i="13"/>
  <c r="AN213" i="257" s="1" a="1"/>
  <c r="AN213" i="257" s="1"/>
  <c r="BA22" i="13"/>
  <c r="BG22" i="13"/>
  <c r="BA30" i="175"/>
  <c r="BK30" i="175"/>
  <c r="BN30" i="175" s="1"/>
  <c r="BB30" i="175"/>
  <c r="AN233" i="257" s="1" a="1"/>
  <c r="AN233" i="257" s="1"/>
  <c r="BG30" i="175"/>
  <c r="BW30" i="175"/>
  <c r="C233" i="257" s="1" a="1"/>
  <c r="C233" i="257" s="1"/>
  <c r="F233" i="257" s="1" a="1"/>
  <c r="F233" i="257" s="1"/>
  <c r="BG24" i="171"/>
  <c r="BK24" i="171"/>
  <c r="BN24" i="171" s="1"/>
  <c r="BA24" i="171"/>
  <c r="BW24" i="171"/>
  <c r="C198" i="257" s="1" a="1"/>
  <c r="C198" i="257" s="1"/>
  <c r="F198" i="257" s="1" a="1"/>
  <c r="F198" i="257" s="1"/>
  <c r="BB24" i="171"/>
  <c r="AN198" i="257" s="1" a="1"/>
  <c r="AN198" i="257" s="1"/>
  <c r="BA30" i="171"/>
  <c r="BB30" i="171"/>
  <c r="AN201" i="257" s="1" a="1"/>
  <c r="AN201" i="257" s="1"/>
  <c r="BG30" i="171"/>
  <c r="BK30" i="171"/>
  <c r="BN30" i="171" s="1"/>
  <c r="BW30" i="171"/>
  <c r="C201" i="257" s="1" a="1"/>
  <c r="C201" i="257" s="1"/>
  <c r="F201" i="257" s="1" a="1"/>
  <c r="F201" i="257" s="1"/>
  <c r="BG28" i="171"/>
  <c r="BA28" i="171"/>
  <c r="BB28" i="171"/>
  <c r="AN200" i="257" s="1" a="1"/>
  <c r="AN200" i="257" s="1"/>
  <c r="BK28" i="171"/>
  <c r="BW28" i="171"/>
  <c r="C200" i="257" s="1" a="1"/>
  <c r="C200" i="257" s="1"/>
  <c r="F200" i="257" s="1" a="1"/>
  <c r="F200" i="257" s="1"/>
  <c r="AY36" i="169"/>
  <c r="T172" i="257" s="1"/>
  <c r="AZ36" i="169"/>
  <c r="U172" i="257" s="1"/>
  <c r="BR36" i="169"/>
  <c r="BR28" i="169"/>
  <c r="AY28" i="169"/>
  <c r="T168" i="257" s="1"/>
  <c r="AZ28" i="169"/>
  <c r="U168" i="257" s="1"/>
  <c r="AY22" i="169"/>
  <c r="T165" i="257" s="1"/>
  <c r="AZ22" i="169"/>
  <c r="U165" i="257" s="1"/>
  <c r="BR22" i="169"/>
  <c r="AB86" i="257" a="1"/>
  <c r="AB86" i="257" s="1"/>
  <c r="AB53" i="257" a="1"/>
  <c r="AB53" i="257" s="1"/>
  <c r="AB58" i="257" a="1"/>
  <c r="AB58" i="257" s="1"/>
  <c r="BU18" i="163"/>
  <c r="AA117" i="257" a="1"/>
  <c r="AA117" i="257" s="1"/>
  <c r="I18" i="3"/>
  <c r="AA85" i="257" a="1"/>
  <c r="AA85" i="257" s="1"/>
  <c r="AA91" i="257" a="1"/>
  <c r="AA91" i="257" s="1"/>
  <c r="AA92" i="257" a="1"/>
  <c r="AA92" i="257" s="1"/>
  <c r="AA86" i="257" a="1"/>
  <c r="AA86" i="257" s="1"/>
  <c r="AA93" i="257" a="1"/>
  <c r="AA93" i="257" s="1"/>
  <c r="AA87" i="257" a="1"/>
  <c r="AA87" i="257" s="1"/>
  <c r="AA88" i="257" a="1"/>
  <c r="AA88" i="257" s="1"/>
  <c r="AA89" i="257" a="1"/>
  <c r="AA89" i="257" s="1"/>
  <c r="AA90" i="257" a="1"/>
  <c r="AA90" i="257" s="1"/>
  <c r="AB93" i="257" a="1"/>
  <c r="AB93" i="257" s="1"/>
  <c r="AB92" i="257" a="1"/>
  <c r="AB92" i="257" s="1"/>
  <c r="AA69" i="257" a="1"/>
  <c r="AA69" i="257" s="1"/>
  <c r="AA70" i="257" a="1"/>
  <c r="AA70" i="257" s="1"/>
  <c r="AA72" i="257" a="1"/>
  <c r="AA72" i="257" s="1"/>
  <c r="AA71" i="257" a="1"/>
  <c r="AA71" i="257" s="1"/>
  <c r="AA73" i="257" a="1"/>
  <c r="AA73" i="257" s="1"/>
  <c r="AA74" i="257" a="1"/>
  <c r="AA74" i="257" s="1"/>
  <c r="AA75" i="257" a="1"/>
  <c r="AA75" i="257" s="1"/>
  <c r="AA76" i="257" a="1"/>
  <c r="AA76" i="257" s="1"/>
  <c r="AA77" i="257" a="1"/>
  <c r="AA77" i="257" s="1"/>
  <c r="AB76" i="257" a="1"/>
  <c r="AB76" i="257" s="1"/>
  <c r="AB70" i="257" a="1"/>
  <c r="AB70" i="257" s="1"/>
  <c r="AB71" i="257" a="1"/>
  <c r="AB71" i="257" s="1"/>
  <c r="AA104" i="257" a="1"/>
  <c r="AA104" i="257" s="1"/>
  <c r="AA105" i="257" a="1"/>
  <c r="AA105" i="257" s="1"/>
  <c r="AA109" i="257" a="1"/>
  <c r="AA109" i="257" s="1"/>
  <c r="AA107" i="257" a="1"/>
  <c r="AA107" i="257" s="1"/>
  <c r="AA101" i="257" a="1"/>
  <c r="AA101" i="257" s="1"/>
  <c r="AA106" i="257" a="1"/>
  <c r="AA106" i="257" s="1"/>
  <c r="AA102" i="257" a="1"/>
  <c r="AA102" i="257" s="1"/>
  <c r="AA103" i="257" a="1"/>
  <c r="AA103" i="257" s="1"/>
  <c r="AA108" i="257" a="1"/>
  <c r="AA108" i="257" s="1"/>
  <c r="AA59" i="257" a="1"/>
  <c r="AA59" i="257" s="1"/>
  <c r="AA54" i="257" a="1"/>
  <c r="AA54" i="257" s="1"/>
  <c r="AA55" i="257" a="1"/>
  <c r="AA55" i="257" s="1"/>
  <c r="AA56" i="257" a="1"/>
  <c r="AA56" i="257" s="1"/>
  <c r="AA52" i="257" a="1"/>
  <c r="AA52" i="257" s="1"/>
  <c r="AB52" i="257" a="1"/>
  <c r="AB52" i="257" s="1"/>
  <c r="AA57" i="257" a="1"/>
  <c r="AA57" i="257" s="1"/>
  <c r="AA53" i="257" a="1"/>
  <c r="AA53" i="257" s="1"/>
  <c r="AA58" i="257" a="1"/>
  <c r="AA58" i="257" s="1"/>
  <c r="AB55" i="257" a="1"/>
  <c r="AB55" i="257" s="1"/>
  <c r="AA44" i="257" a="1"/>
  <c r="AA44" i="257" s="1"/>
  <c r="BU18" i="162"/>
  <c r="AB74" i="257" a="1"/>
  <c r="AB74" i="257" s="1"/>
  <c r="AB75" i="257" a="1"/>
  <c r="AB75" i="257" s="1"/>
  <c r="AB72" i="257" a="1"/>
  <c r="AB72" i="257" s="1"/>
  <c r="AB88" i="257" a="1"/>
  <c r="AB88" i="257" s="1"/>
  <c r="AB85" i="257" a="1"/>
  <c r="AB85" i="257" s="1"/>
  <c r="AB84" i="257" a="1"/>
  <c r="AB84" i="257" s="1"/>
  <c r="AB56" i="257" a="1"/>
  <c r="AB56" i="257" s="1"/>
  <c r="AB59" i="257" a="1"/>
  <c r="AB59" i="257" s="1"/>
  <c r="AB87" i="257" a="1"/>
  <c r="AB87" i="257" s="1"/>
  <c r="AB91" i="257" a="1"/>
  <c r="AB91" i="257" s="1"/>
  <c r="AB57" i="257" a="1"/>
  <c r="AB57" i="257" s="1"/>
  <c r="AB54" i="257" a="1"/>
  <c r="AB54" i="257" s="1"/>
  <c r="AB69" i="257" a="1"/>
  <c r="AB69" i="257" s="1"/>
  <c r="AB73" i="257" a="1"/>
  <c r="AB73" i="257" s="1"/>
  <c r="AB68" i="257" a="1"/>
  <c r="AB68" i="257" s="1"/>
  <c r="C38" i="257" a="1"/>
  <c r="C38" i="257" s="1"/>
  <c r="F38" i="257" s="1" a="1"/>
  <c r="F38" i="257" s="1"/>
  <c r="C39" i="257" a="1"/>
  <c r="C39" i="257" s="1"/>
  <c r="F39" i="257" s="1" a="1"/>
  <c r="F39" i="257" s="1"/>
  <c r="C40" i="257" a="1"/>
  <c r="C40" i="257" s="1"/>
  <c r="F40" i="257" s="1" a="1"/>
  <c r="F40" i="257" s="1"/>
  <c r="C43" i="257" a="1"/>
  <c r="C43" i="257" s="1"/>
  <c r="F43" i="257" s="1" a="1"/>
  <c r="F43" i="257" s="1"/>
  <c r="C41" i="257" a="1"/>
  <c r="C41" i="257" s="1"/>
  <c r="F41" i="257" s="1" a="1"/>
  <c r="F41" i="257" s="1"/>
  <c r="C42" i="257" a="1"/>
  <c r="C42" i="257" s="1"/>
  <c r="F42" i="257" s="1" a="1"/>
  <c r="F42" i="257" s="1"/>
  <c r="AE148" i="257"/>
  <c r="AR148" i="257"/>
  <c r="AE147" i="257"/>
  <c r="AR147" i="257"/>
  <c r="AC148" i="257" a="1"/>
  <c r="AC148" i="257" s="1"/>
  <c r="AD148" i="257" a="1"/>
  <c r="AD148" i="257" s="1"/>
  <c r="AC147" i="257" a="1"/>
  <c r="AC147" i="257" s="1"/>
  <c r="AD147" i="257" a="1"/>
  <c r="AD147" i="257" s="1"/>
  <c r="AF148" i="257"/>
  <c r="AG148" i="257" a="1"/>
  <c r="AG148" i="257" s="1"/>
  <c r="AF147" i="257"/>
  <c r="AG147" i="257" a="1"/>
  <c r="AG147" i="257" s="1"/>
  <c r="B164" i="257"/>
  <c r="B169" i="257"/>
  <c r="B182" i="257"/>
  <c r="B185" i="257"/>
  <c r="B187" i="257"/>
  <c r="K18" i="3"/>
  <c r="K156" i="257"/>
  <c r="AR30" i="175"/>
  <c r="AB105" i="257" a="1"/>
  <c r="AB105" i="257" s="1"/>
  <c r="K154" i="257"/>
  <c r="K195" i="257"/>
  <c r="C100" i="257" a="1"/>
  <c r="C100" i="257" s="1"/>
  <c r="F100" i="257" s="1" a="1"/>
  <c r="F100" i="257" s="1"/>
  <c r="AB100" i="257" a="1"/>
  <c r="AB100" i="257" s="1"/>
  <c r="K152" i="257"/>
  <c r="S13" i="257"/>
  <c r="AR34" i="175"/>
  <c r="AB106" i="257" a="1"/>
  <c r="AB106" i="257" s="1"/>
  <c r="K150" i="257"/>
  <c r="AR26" i="175"/>
  <c r="AE12" i="257"/>
  <c r="AB102" i="257" a="1"/>
  <c r="AB102" i="257" s="1"/>
  <c r="AO22" i="163"/>
  <c r="AE8" i="257"/>
  <c r="AE11" i="257"/>
  <c r="AJ13" i="257"/>
  <c r="AB109" i="257" a="1"/>
  <c r="AB109" i="257" s="1"/>
  <c r="K227" i="257"/>
  <c r="AE15" i="257"/>
  <c r="AE17" i="257"/>
  <c r="AB107" i="257" a="1"/>
  <c r="AB107" i="257" s="1"/>
  <c r="AR24" i="175"/>
  <c r="AE16" i="257"/>
  <c r="K151" i="257"/>
  <c r="AR36" i="175"/>
  <c r="BU30" i="176"/>
  <c r="AB103" i="257" a="1"/>
  <c r="AB103" i="257" s="1"/>
  <c r="K153" i="257"/>
  <c r="AB101" i="257" a="1"/>
  <c r="AB101" i="257" s="1"/>
  <c r="K155" i="257"/>
  <c r="K149" i="257"/>
  <c r="AR32" i="175"/>
  <c r="AB108" i="257" a="1"/>
  <c r="AB108" i="257" s="1"/>
  <c r="K148" i="257"/>
  <c r="AE10" i="257"/>
  <c r="AR28" i="175"/>
  <c r="AE13" i="257"/>
  <c r="AB44" i="257" a="1"/>
  <c r="AB44" i="257" s="1"/>
  <c r="AB104" i="257" a="1"/>
  <c r="AB104" i="257" s="1"/>
  <c r="BB143" i="257"/>
  <c r="BB128" i="257"/>
  <c r="BB121" i="257"/>
  <c r="BB133" i="257"/>
  <c r="BB151" i="257"/>
  <c r="AT151" i="257" s="1" a="1"/>
  <c r="AT151" i="257" s="1"/>
  <c r="BB132" i="257"/>
  <c r="BB153" i="257"/>
  <c r="AT153" i="257" s="1" a="1"/>
  <c r="AT153" i="257" s="1"/>
  <c r="BB140" i="257"/>
  <c r="BB125" i="257"/>
  <c r="AQ147" i="257"/>
  <c r="AP147" i="257"/>
  <c r="BA147" i="257"/>
  <c r="AL147" i="257" s="1"/>
  <c r="AY147" i="257"/>
  <c r="AW147" i="257"/>
  <c r="AZ147" i="257"/>
  <c r="AV147" i="257"/>
  <c r="AS147" i="257"/>
  <c r="BB118" i="257"/>
  <c r="BB141" i="257"/>
  <c r="BB152" i="257"/>
  <c r="AT152" i="257" s="1" a="1"/>
  <c r="AT152" i="257" s="1"/>
  <c r="BB126" i="257"/>
  <c r="BB154" i="257"/>
  <c r="AT154" i="257" s="1" a="1"/>
  <c r="AT154" i="257" s="1"/>
  <c r="BB134" i="257"/>
  <c r="BB150" i="257"/>
  <c r="AT150" i="257" s="1" a="1"/>
  <c r="AT150" i="257" s="1"/>
  <c r="BB145" i="257"/>
  <c r="BB155" i="257"/>
  <c r="AT155" i="257" s="1" a="1"/>
  <c r="AT155" i="257" s="1"/>
  <c r="BB135" i="257"/>
  <c r="BB131" i="257"/>
  <c r="BB156" i="257"/>
  <c r="AT156" i="257" s="1" a="1"/>
  <c r="AT156" i="257" s="1"/>
  <c r="BB122" i="257"/>
  <c r="BB142" i="257"/>
  <c r="BA148" i="257"/>
  <c r="AZ148" i="257"/>
  <c r="AY148" i="257"/>
  <c r="AW148" i="257"/>
  <c r="AV148" i="257"/>
  <c r="AS148" i="257"/>
  <c r="AP148" i="257"/>
  <c r="AQ148" i="257"/>
  <c r="BB138" i="257"/>
  <c r="BB136" i="257"/>
  <c r="BB149" i="257"/>
  <c r="AT149" i="257" s="1" a="1"/>
  <c r="AT149" i="257" s="1"/>
  <c r="BB144" i="257"/>
  <c r="BB119" i="257"/>
  <c r="BB130" i="257"/>
  <c r="BB127" i="257"/>
  <c r="BB120" i="257"/>
  <c r="BB123" i="257"/>
  <c r="BB139" i="257"/>
  <c r="BB137" i="257"/>
  <c r="BB129" i="257"/>
  <c r="BB124" i="257"/>
  <c r="BU18" i="182"/>
  <c r="AO32" i="171"/>
  <c r="BO32" i="171" s="1"/>
  <c r="AO26" i="171"/>
  <c r="AO24" i="13"/>
  <c r="BO24" i="13" s="1"/>
  <c r="AR24" i="13"/>
  <c r="AO26" i="13"/>
  <c r="BO26" i="13" s="1"/>
  <c r="AR26" i="13"/>
  <c r="AO36" i="171"/>
  <c r="BO36" i="171" s="1"/>
  <c r="AO28" i="171"/>
  <c r="AO32" i="13"/>
  <c r="BO32" i="13" s="1"/>
  <c r="AR32" i="13"/>
  <c r="AO20" i="171"/>
  <c r="AO24" i="171"/>
  <c r="BO24" i="171" s="1"/>
  <c r="AO30" i="13"/>
  <c r="BO30" i="13" s="1"/>
  <c r="AR30" i="13"/>
  <c r="AO28" i="13"/>
  <c r="BO28" i="13" s="1"/>
  <c r="AR28" i="13"/>
  <c r="AO34" i="13"/>
  <c r="BO34" i="13" s="1"/>
  <c r="AR34" i="13"/>
  <c r="AR22" i="13"/>
  <c r="AO22" i="13"/>
  <c r="BO22" i="13" s="1"/>
  <c r="AO22" i="171"/>
  <c r="BO22" i="171" s="1"/>
  <c r="AO36" i="13"/>
  <c r="BO36" i="13" s="1"/>
  <c r="AR36" i="13"/>
  <c r="AO20" i="13"/>
  <c r="BO20" i="13" s="1"/>
  <c r="AR20" i="13"/>
  <c r="AO30" i="171"/>
  <c r="BO30" i="171" s="1"/>
  <c r="AO34" i="171"/>
  <c r="BO34" i="171" s="1"/>
  <c r="BA200" i="167"/>
  <c r="BB200" i="167"/>
  <c r="BG200" i="167"/>
  <c r="K26" i="3"/>
  <c r="AL26" i="13"/>
  <c r="AR22" i="176"/>
  <c r="AL32" i="13"/>
  <c r="AL34" i="171"/>
  <c r="H19" i="153"/>
  <c r="EU2" i="257" s="1"/>
  <c r="V19" i="153"/>
  <c r="AC19" i="153"/>
  <c r="O19" i="153"/>
  <c r="EV2" i="257" s="1"/>
  <c r="AO18" i="170"/>
  <c r="BO18" i="170" s="1"/>
  <c r="BF200" i="159"/>
  <c r="AO30" i="176"/>
  <c r="AL20" i="171"/>
  <c r="AO34" i="175"/>
  <c r="BO34" i="175" s="1"/>
  <c r="AL34" i="13"/>
  <c r="AL36" i="175"/>
  <c r="AL18" i="13"/>
  <c r="AT211" i="257" s="1" a="1"/>
  <c r="AT211" i="257" s="1"/>
  <c r="AL32" i="171"/>
  <c r="AO26" i="175"/>
  <c r="BO26" i="175" s="1"/>
  <c r="AL26" i="171"/>
  <c r="AL30" i="13"/>
  <c r="AL34" i="175"/>
  <c r="AO32" i="175"/>
  <c r="BO32" i="175" s="1"/>
  <c r="AL22" i="175"/>
  <c r="AL20" i="176"/>
  <c r="AL30" i="175"/>
  <c r="AL18" i="176"/>
  <c r="AL28" i="175"/>
  <c r="AL28" i="13"/>
  <c r="AL24" i="13"/>
  <c r="J243" i="257"/>
  <c r="AO28" i="175"/>
  <c r="BO28" i="175" s="1"/>
  <c r="C228" i="257" a="1"/>
  <c r="C228" i="257" s="1"/>
  <c r="F228" i="257" s="1" a="1"/>
  <c r="F228" i="257" s="1"/>
  <c r="AL24" i="171"/>
  <c r="AL36" i="171"/>
  <c r="BG18" i="176"/>
  <c r="AL26" i="175"/>
  <c r="AO20" i="175"/>
  <c r="BO20" i="175" s="1"/>
  <c r="AL22" i="176"/>
  <c r="AL22" i="13"/>
  <c r="AL24" i="176"/>
  <c r="AL32" i="175"/>
  <c r="AO18" i="176"/>
  <c r="BO18" i="176" s="1"/>
  <c r="AL36" i="13"/>
  <c r="AL20" i="175"/>
  <c r="AL22" i="171"/>
  <c r="AL20" i="13"/>
  <c r="BA18" i="176"/>
  <c r="AL30" i="171"/>
  <c r="AO24" i="175"/>
  <c r="BO24" i="175" s="1"/>
  <c r="AL28" i="171"/>
  <c r="BW18" i="176"/>
  <c r="C243" i="257" s="1" a="1"/>
  <c r="C243" i="257" s="1"/>
  <c r="F243" i="257" s="1" a="1"/>
  <c r="F243" i="257" s="1"/>
  <c r="AO36" i="175"/>
  <c r="BO36" i="175" s="1"/>
  <c r="AO24" i="176"/>
  <c r="BO24" i="176" s="1"/>
  <c r="AO30" i="175"/>
  <c r="BO30" i="175" s="1"/>
  <c r="BB18" i="176"/>
  <c r="AN243" i="257" s="1" a="1"/>
  <c r="AN243" i="257" s="1"/>
  <c r="AO22" i="176"/>
  <c r="BO22" i="176" s="1"/>
  <c r="C246" i="257" a="1"/>
  <c r="C246" i="257" s="1"/>
  <c r="F246" i="257" s="1" a="1"/>
  <c r="F246" i="257" s="1"/>
  <c r="AL24" i="175"/>
  <c r="I12" i="3"/>
  <c r="AO20" i="169"/>
  <c r="BO20" i="169" s="1"/>
  <c r="AO24" i="170"/>
  <c r="BO24" i="170" s="1"/>
  <c r="AL28" i="170"/>
  <c r="AL20" i="170"/>
  <c r="AO26" i="170"/>
  <c r="BO26" i="170" s="1"/>
  <c r="AL36" i="170"/>
  <c r="AO36" i="170"/>
  <c r="BO36" i="170" s="1"/>
  <c r="C186" i="257" a="1"/>
  <c r="C186" i="257" s="1"/>
  <c r="F186" i="257" s="1" a="1"/>
  <c r="F186" i="257" s="1"/>
  <c r="AL32" i="170"/>
  <c r="C184" i="257" a="1"/>
  <c r="C184" i="257" s="1"/>
  <c r="F184" i="257" s="1" a="1"/>
  <c r="F184" i="257" s="1"/>
  <c r="C183" i="257" a="1"/>
  <c r="C183" i="257" s="1"/>
  <c r="F183" i="257" s="1" a="1"/>
  <c r="F183" i="257" s="1"/>
  <c r="AL24" i="170"/>
  <c r="AL30" i="170"/>
  <c r="AL26" i="170"/>
  <c r="C188" i="257" a="1"/>
  <c r="C188" i="257" s="1"/>
  <c r="F188" i="257" s="1" a="1"/>
  <c r="F188" i="257" s="1"/>
  <c r="C180" i="257" a="1"/>
  <c r="C180" i="257" s="1"/>
  <c r="F180" i="257" s="1" a="1"/>
  <c r="F180" i="257" s="1"/>
  <c r="AO30" i="170"/>
  <c r="BO30" i="170" s="1"/>
  <c r="AO28" i="170"/>
  <c r="BO28" i="170" s="1"/>
  <c r="AO32" i="170"/>
  <c r="BO32" i="170" s="1"/>
  <c r="C165" i="257" a="1"/>
  <c r="C165" i="257" s="1"/>
  <c r="F165" i="257" s="1" a="1"/>
  <c r="F165" i="257" s="1"/>
  <c r="AO34" i="170"/>
  <c r="BO34" i="170" s="1"/>
  <c r="AO20" i="170"/>
  <c r="BO20" i="170" s="1"/>
  <c r="AL34" i="170"/>
  <c r="AL18" i="169"/>
  <c r="AL30" i="169"/>
  <c r="AL22" i="169"/>
  <c r="AO32" i="169"/>
  <c r="BO32" i="169" s="1"/>
  <c r="AL34" i="169"/>
  <c r="AL28" i="169"/>
  <c r="AL20" i="169"/>
  <c r="C171" i="257" a="1"/>
  <c r="C171" i="257" s="1"/>
  <c r="F171" i="257" s="1" a="1"/>
  <c r="F171" i="257" s="1"/>
  <c r="C170" i="257" a="1"/>
  <c r="C170" i="257" s="1"/>
  <c r="F170" i="257" s="1" a="1"/>
  <c r="F170" i="257" s="1"/>
  <c r="AO30" i="169"/>
  <c r="BO30" i="169" s="1"/>
  <c r="AO24" i="169"/>
  <c r="BO24" i="169" s="1"/>
  <c r="BB18" i="169"/>
  <c r="AN163" i="257" s="1" a="1"/>
  <c r="AN163" i="257" s="1"/>
  <c r="C168" i="257" a="1"/>
  <c r="C168" i="257" s="1"/>
  <c r="F168" i="257" s="1" a="1"/>
  <c r="F168" i="257" s="1"/>
  <c r="AL24" i="169"/>
  <c r="AO34" i="169"/>
  <c r="BO34" i="169" s="1"/>
  <c r="AL26" i="169"/>
  <c r="C172" i="257" a="1"/>
  <c r="C172" i="257" s="1"/>
  <c r="F172" i="257" s="1" a="1"/>
  <c r="F172" i="257" s="1"/>
  <c r="BA18" i="169"/>
  <c r="AL32" i="169"/>
  <c r="AO26" i="169"/>
  <c r="BO26" i="169" s="1"/>
  <c r="C166" i="257" a="1"/>
  <c r="C166" i="257" s="1"/>
  <c r="F166" i="257" s="1" a="1"/>
  <c r="F166" i="257" s="1"/>
  <c r="C167" i="257" a="1"/>
  <c r="C167" i="257" s="1"/>
  <c r="F167" i="257" s="1" a="1"/>
  <c r="F167" i="257" s="1"/>
  <c r="AL36" i="169"/>
  <c r="AO18" i="163"/>
  <c r="AO36" i="160"/>
  <c r="AO18" i="160"/>
  <c r="AO18" i="162"/>
  <c r="AK18" i="257"/>
  <c r="AI18" i="257"/>
  <c r="I14" i="3"/>
  <c r="AO20" i="160"/>
  <c r="BV20" i="160" s="1"/>
  <c r="I16" i="3"/>
  <c r="I15" i="3"/>
  <c r="AO24" i="162"/>
  <c r="J15" i="3"/>
  <c r="J14" i="3"/>
  <c r="J12" i="3"/>
  <c r="J16" i="3"/>
  <c r="AK6" i="257"/>
  <c r="AE36" i="257"/>
  <c r="AJ19" i="154"/>
  <c r="AL19" i="154"/>
  <c r="X12" i="161"/>
  <c r="BI200" i="162"/>
  <c r="AM13" i="162" s="1"/>
  <c r="BI200" i="182"/>
  <c r="BH200" i="162"/>
  <c r="BI200" i="161"/>
  <c r="BH200" i="161"/>
  <c r="BI200" i="163"/>
  <c r="AK19" i="154"/>
  <c r="BH200" i="163"/>
  <c r="AE35" i="257"/>
  <c r="BH200" i="182"/>
  <c r="BH200" i="160"/>
  <c r="BI200" i="160"/>
  <c r="AE122" i="257" l="1" a="1"/>
  <c r="AE122" i="257" s="1"/>
  <c r="AR122" i="257" a="1"/>
  <c r="AR122" i="257" s="1"/>
  <c r="AE118" i="257" a="1"/>
  <c r="AE118" i="257" s="1"/>
  <c r="AR118" i="257" a="1"/>
  <c r="AR118" i="257" s="1"/>
  <c r="AE132" i="257" a="1"/>
  <c r="AE132" i="257" s="1"/>
  <c r="AR132" i="257" a="1"/>
  <c r="AR132" i="257" s="1"/>
  <c r="AE124" i="257" a="1"/>
  <c r="AE124" i="257" s="1"/>
  <c r="AR124" i="257" a="1"/>
  <c r="AR124" i="257" s="1"/>
  <c r="AE131" i="257" a="1"/>
  <c r="AE131" i="257" s="1"/>
  <c r="AR131" i="257" a="1"/>
  <c r="AR131" i="257" s="1"/>
  <c r="AE133" i="257" a="1"/>
  <c r="AE133" i="257" s="1"/>
  <c r="AR133" i="257" a="1"/>
  <c r="AR133" i="257" s="1"/>
  <c r="AE138" i="257" a="1"/>
  <c r="AE138" i="257" s="1"/>
  <c r="AR138" i="257" a="1"/>
  <c r="AR138" i="257" s="1"/>
  <c r="AE129" i="257" a="1"/>
  <c r="AE129" i="257" s="1"/>
  <c r="AR129" i="257" a="1"/>
  <c r="AR129" i="257" s="1"/>
  <c r="AE135" i="257" a="1"/>
  <c r="AE135" i="257" s="1"/>
  <c r="AR135" i="257" a="1"/>
  <c r="AR135" i="257" s="1"/>
  <c r="AE121" i="257" a="1"/>
  <c r="AE121" i="257" s="1"/>
  <c r="AR121" i="257" a="1"/>
  <c r="AR121" i="257" s="1"/>
  <c r="AE128" i="257" a="1"/>
  <c r="AE128" i="257" s="1"/>
  <c r="AR128" i="257" a="1"/>
  <c r="AR128" i="257" s="1"/>
  <c r="AE139" i="257" a="1"/>
  <c r="AE139" i="257" s="1"/>
  <c r="AR139" i="257" a="1"/>
  <c r="AR139" i="257" s="1"/>
  <c r="AE145" i="257" a="1"/>
  <c r="AE145" i="257" s="1"/>
  <c r="AR145" i="257" a="1"/>
  <c r="AR145" i="257" s="1"/>
  <c r="AE143" i="257" a="1"/>
  <c r="AE143" i="257" s="1"/>
  <c r="AR143" i="257" a="1"/>
  <c r="AR143" i="257" s="1"/>
  <c r="AE137" i="257" a="1"/>
  <c r="AE137" i="257" s="1"/>
  <c r="AR137" i="257" a="1"/>
  <c r="AR137" i="257" s="1"/>
  <c r="AE123" i="257" a="1"/>
  <c r="AE123" i="257" s="1"/>
  <c r="AR123" i="257" a="1"/>
  <c r="AR123" i="257" s="1"/>
  <c r="AE120" i="257" a="1"/>
  <c r="AE120" i="257" s="1"/>
  <c r="AR120" i="257" a="1"/>
  <c r="AR120" i="257" s="1"/>
  <c r="AE134" i="257" a="1"/>
  <c r="AE134" i="257" s="1"/>
  <c r="AR134" i="257" a="1"/>
  <c r="AR134" i="257" s="1"/>
  <c r="AE136" i="257" a="1"/>
  <c r="AE136" i="257" s="1"/>
  <c r="AR136" i="257" a="1"/>
  <c r="AR136" i="257" s="1"/>
  <c r="AE130" i="257" a="1"/>
  <c r="AE130" i="257" s="1"/>
  <c r="AR130" i="257" a="1"/>
  <c r="AR130" i="257" s="1"/>
  <c r="AE126" i="257" a="1"/>
  <c r="AE126" i="257" s="1"/>
  <c r="AR126" i="257" a="1"/>
  <c r="AR126" i="257" s="1"/>
  <c r="AE125" i="257" a="1"/>
  <c r="AE125" i="257" s="1"/>
  <c r="AR125" i="257" a="1"/>
  <c r="AR125" i="257" s="1"/>
  <c r="AE127" i="257" a="1"/>
  <c r="AE127" i="257" s="1"/>
  <c r="AR127" i="257" a="1"/>
  <c r="AR127" i="257" s="1"/>
  <c r="AE119" i="257" a="1"/>
  <c r="AE119" i="257" s="1"/>
  <c r="AR119" i="257" a="1"/>
  <c r="AR119" i="257" s="1"/>
  <c r="AE140" i="257" a="1"/>
  <c r="AE140" i="257" s="1"/>
  <c r="AR140" i="257" a="1"/>
  <c r="AR140" i="257" s="1"/>
  <c r="AE144" i="257" a="1"/>
  <c r="AE144" i="257" s="1"/>
  <c r="AR144" i="257" a="1"/>
  <c r="AR144" i="257" s="1"/>
  <c r="AE142" i="257" a="1"/>
  <c r="AE142" i="257" s="1"/>
  <c r="AR142" i="257" a="1"/>
  <c r="AR142" i="257" s="1"/>
  <c r="AE141" i="257" a="1"/>
  <c r="AE141" i="257" s="1"/>
  <c r="AR141" i="257" a="1"/>
  <c r="AR141" i="257" s="1"/>
  <c r="AE117" i="257" a="1"/>
  <c r="AE117" i="257" s="1"/>
  <c r="AR117" i="257" a="1"/>
  <c r="AR117" i="257" s="1"/>
  <c r="AT122" i="257" a="1"/>
  <c r="AT122" i="257" s="1"/>
  <c r="AT118" i="257" a="1"/>
  <c r="AT118" i="257" s="1"/>
  <c r="AT132" i="257" a="1"/>
  <c r="AT132" i="257" s="1"/>
  <c r="AT124" i="257" a="1"/>
  <c r="AT124" i="257" s="1"/>
  <c r="AT138" i="257" a="1"/>
  <c r="AT138" i="257" s="1"/>
  <c r="AT131" i="257" a="1"/>
  <c r="AT131" i="257" s="1"/>
  <c r="AT133" i="257" a="1"/>
  <c r="AT133" i="257" s="1"/>
  <c r="AT135" i="257" a="1"/>
  <c r="AT135" i="257" s="1"/>
  <c r="AT121" i="257" a="1"/>
  <c r="AT121" i="257" s="1"/>
  <c r="AT137" i="257" a="1"/>
  <c r="AT137" i="257" s="1"/>
  <c r="AT128" i="257" a="1"/>
  <c r="AT128" i="257" s="1"/>
  <c r="AT129" i="257" a="1"/>
  <c r="AT129" i="257" s="1"/>
  <c r="AT139" i="257" a="1"/>
  <c r="AT139" i="257" s="1"/>
  <c r="AT145" i="257" a="1"/>
  <c r="AT145" i="257" s="1"/>
  <c r="AT143" i="257" a="1"/>
  <c r="AT143" i="257" s="1"/>
  <c r="AT136" i="257" a="1"/>
  <c r="AT136" i="257" s="1"/>
  <c r="AT123" i="257" a="1"/>
  <c r="AT123" i="257" s="1"/>
  <c r="AT120" i="257" a="1"/>
  <c r="AT120" i="257" s="1"/>
  <c r="AT134" i="257" a="1"/>
  <c r="AT134" i="257" s="1"/>
  <c r="AT130" i="257" a="1"/>
  <c r="AT130" i="257" s="1"/>
  <c r="AT126" i="257" a="1"/>
  <c r="AT126" i="257" s="1"/>
  <c r="AT125" i="257" a="1"/>
  <c r="AT125" i="257" s="1"/>
  <c r="AT127" i="257" a="1"/>
  <c r="AT127" i="257" s="1"/>
  <c r="AT119" i="257" a="1"/>
  <c r="AT119" i="257" s="1"/>
  <c r="AT140" i="257" a="1"/>
  <c r="AT140" i="257" s="1"/>
  <c r="AT144" i="257" a="1"/>
  <c r="AT144" i="257" s="1"/>
  <c r="AT142" i="257" a="1"/>
  <c r="AT142" i="257" s="1"/>
  <c r="AT141" i="257" a="1"/>
  <c r="AT141" i="257" s="1"/>
  <c r="AT117" i="257" a="1"/>
  <c r="AT117" i="257" s="1"/>
  <c r="BG18" i="170"/>
  <c r="J21" i="3" s="1"/>
  <c r="BN28" i="171"/>
  <c r="J200" i="257" s="1"/>
  <c r="BO28" i="171"/>
  <c r="BV20" i="163"/>
  <c r="BE34" i="171"/>
  <c r="BD34" i="171" s="1"/>
  <c r="L203" i="257" s="1"/>
  <c r="AM203" i="257" a="1"/>
  <c r="AM203" i="257" s="1"/>
  <c r="AM199" i="257" a="1"/>
  <c r="AM199" i="257" s="1"/>
  <c r="BE26" i="171"/>
  <c r="BD26" i="171" s="1"/>
  <c r="L199" i="257" s="1"/>
  <c r="AM232" i="257" a="1"/>
  <c r="AM232" i="257" s="1"/>
  <c r="BE28" i="175"/>
  <c r="BD28" i="175" s="1"/>
  <c r="L232" i="257" s="1"/>
  <c r="BE20" i="171"/>
  <c r="BD20" i="171" s="1"/>
  <c r="L196" i="257" s="1"/>
  <c r="AM196" i="257" a="1"/>
  <c r="AM196" i="257" s="1"/>
  <c r="AM198" i="257" a="1"/>
  <c r="AM198" i="257" s="1"/>
  <c r="BE24" i="171"/>
  <c r="BD24" i="171" s="1"/>
  <c r="L198" i="257" s="1"/>
  <c r="AM220" i="257" a="1"/>
  <c r="AM220" i="257" s="1"/>
  <c r="BE36" i="13"/>
  <c r="BD36" i="13" s="1"/>
  <c r="L220" i="257" s="1"/>
  <c r="AM200" i="257" a="1"/>
  <c r="AM200" i="257" s="1"/>
  <c r="BE28" i="171"/>
  <c r="BD28" i="171" s="1"/>
  <c r="L200" i="257" s="1"/>
  <c r="BE36" i="175"/>
  <c r="BD36" i="175" s="1"/>
  <c r="L236" i="257" s="1"/>
  <c r="AM236" i="257" a="1"/>
  <c r="AM236" i="257" s="1"/>
  <c r="BO26" i="171"/>
  <c r="AM245" i="257" a="1"/>
  <c r="AM245" i="257" s="1"/>
  <c r="BE22" i="176"/>
  <c r="BD22" i="176" s="1"/>
  <c r="L245" i="257" s="1"/>
  <c r="AM243" i="257" a="1"/>
  <c r="AM243" i="257" s="1"/>
  <c r="BE18" i="176"/>
  <c r="BD18" i="176" s="1"/>
  <c r="L243" i="257" s="1"/>
  <c r="AM230" i="257" a="1"/>
  <c r="AM230" i="257" s="1"/>
  <c r="BE24" i="175"/>
  <c r="BD24" i="175" s="1"/>
  <c r="L230" i="257" s="1"/>
  <c r="BE34" i="13"/>
  <c r="BD34" i="13" s="1"/>
  <c r="L219" i="257" s="1"/>
  <c r="AM219" i="257" a="1"/>
  <c r="AM219" i="257" s="1"/>
  <c r="AM212" i="257" a="1"/>
  <c r="AM212" i="257" s="1"/>
  <c r="BE20" i="13"/>
  <c r="BD20" i="13" s="1"/>
  <c r="L212" i="257" s="1"/>
  <c r="AM231" i="257" a="1"/>
  <c r="AM231" i="257" s="1"/>
  <c r="BE26" i="175"/>
  <c r="BD26" i="175" s="1"/>
  <c r="L231" i="257" s="1"/>
  <c r="AM216" i="257" a="1"/>
  <c r="AM216" i="257" s="1"/>
  <c r="BE28" i="13"/>
  <c r="BD28" i="13" s="1"/>
  <c r="L216" i="257" s="1"/>
  <c r="BE36" i="171"/>
  <c r="BD36" i="171" s="1"/>
  <c r="L204" i="257" s="1"/>
  <c r="AM204" i="257" a="1"/>
  <c r="AM204" i="257" s="1"/>
  <c r="AM202" i="257" a="1"/>
  <c r="AM202" i="257" s="1"/>
  <c r="BE32" i="171"/>
  <c r="BD32" i="171" s="1"/>
  <c r="L202" i="257" s="1"/>
  <c r="BN36" i="171"/>
  <c r="AM197" i="257" a="1"/>
  <c r="AM197" i="257" s="1"/>
  <c r="BE22" i="171"/>
  <c r="BD22" i="171" s="1"/>
  <c r="L197" i="257" s="1"/>
  <c r="AM163" i="257" a="1"/>
  <c r="AM163" i="257" s="1"/>
  <c r="BE18" i="169"/>
  <c r="BD18" i="169" s="1"/>
  <c r="L163" i="257" s="1"/>
  <c r="BO20" i="171"/>
  <c r="AM233" i="257" a="1"/>
  <c r="AM233" i="257" s="1"/>
  <c r="BE30" i="175"/>
  <c r="BD30" i="175" s="1"/>
  <c r="L233" i="257" s="1"/>
  <c r="AM214" i="257" a="1"/>
  <c r="AM214" i="257" s="1"/>
  <c r="BE24" i="13"/>
  <c r="BD24" i="13" s="1"/>
  <c r="L214" i="257" s="1"/>
  <c r="BE26" i="13"/>
  <c r="BD26" i="13" s="1"/>
  <c r="L215" i="257" s="1"/>
  <c r="AM215" i="257" a="1"/>
  <c r="AM215" i="257" s="1"/>
  <c r="BE32" i="13"/>
  <c r="BD32" i="13" s="1"/>
  <c r="L218" i="257" s="1"/>
  <c r="AM218" i="257" a="1"/>
  <c r="AM218" i="257" s="1"/>
  <c r="BN20" i="171"/>
  <c r="J196" i="257" s="1"/>
  <c r="BE30" i="171"/>
  <c r="BD30" i="171" s="1"/>
  <c r="L201" i="257" s="1"/>
  <c r="AM201" i="257" a="1"/>
  <c r="AM201" i="257" s="1"/>
  <c r="AM213" i="257" a="1"/>
  <c r="AM213" i="257" s="1"/>
  <c r="BE22" i="13"/>
  <c r="BD22" i="13" s="1"/>
  <c r="L213" i="257" s="1"/>
  <c r="BN26" i="171"/>
  <c r="J199" i="257" s="1"/>
  <c r="BE34" i="175"/>
  <c r="BD34" i="175" s="1"/>
  <c r="L235" i="257" s="1"/>
  <c r="AM235" i="257" a="1"/>
  <c r="AM235" i="257" s="1"/>
  <c r="BE30" i="13"/>
  <c r="BD30" i="13" s="1"/>
  <c r="L217" i="257" s="1"/>
  <c r="AM217" i="257" a="1"/>
  <c r="AM217" i="257" s="1"/>
  <c r="AM234" i="257" a="1"/>
  <c r="AM234" i="257" s="1"/>
  <c r="BE32" i="175"/>
  <c r="AJ148" i="257"/>
  <c r="AK148" i="257"/>
  <c r="AL148" i="257"/>
  <c r="AJ147" i="257"/>
  <c r="AK147" i="257"/>
  <c r="H18" i="3"/>
  <c r="BO18" i="162"/>
  <c r="BV18" i="162"/>
  <c r="BO18" i="160"/>
  <c r="BO22" i="163"/>
  <c r="BV22" i="163"/>
  <c r="BO36" i="160"/>
  <c r="BO18" i="163"/>
  <c r="BV18" i="163"/>
  <c r="BO24" i="162"/>
  <c r="BV24" i="162"/>
  <c r="AE52" i="257"/>
  <c r="BO20" i="160"/>
  <c r="I26" i="3"/>
  <c r="BO30" i="176"/>
  <c r="K249" i="257" s="1"/>
  <c r="BD32" i="175"/>
  <c r="L234" i="257" s="1"/>
  <c r="BY36" i="13"/>
  <c r="BY34" i="171"/>
  <c r="BY36" i="171"/>
  <c r="BY32" i="171"/>
  <c r="BY36" i="175"/>
  <c r="BB236" i="257" s="1"/>
  <c r="BY20" i="171"/>
  <c r="BY30" i="171"/>
  <c r="BY32" i="13"/>
  <c r="BY28" i="175"/>
  <c r="BB232" i="257" s="1"/>
  <c r="BY22" i="176"/>
  <c r="BB245" i="257" s="1"/>
  <c r="BY30" i="13"/>
  <c r="BU22" i="169"/>
  <c r="BY26" i="171"/>
  <c r="BY26" i="13"/>
  <c r="BU28" i="169"/>
  <c r="BY32" i="175"/>
  <c r="BB234" i="257" s="1"/>
  <c r="BY28" i="13"/>
  <c r="BY30" i="175"/>
  <c r="BU36" i="169"/>
  <c r="BY20" i="13"/>
  <c r="BY24" i="13"/>
  <c r="BY22" i="171"/>
  <c r="BY34" i="175"/>
  <c r="BY28" i="171"/>
  <c r="BY24" i="171"/>
  <c r="BY22" i="13"/>
  <c r="BY26" i="175"/>
  <c r="BB231" i="257" s="1"/>
  <c r="BY34" i="13"/>
  <c r="BY24" i="175"/>
  <c r="AY22" i="176"/>
  <c r="T245" i="257" s="1"/>
  <c r="AZ22" i="176"/>
  <c r="U245" i="257" s="1"/>
  <c r="K245" i="257"/>
  <c r="BR22" i="176"/>
  <c r="BU22" i="176" s="1"/>
  <c r="AY24" i="176"/>
  <c r="T246" i="257" s="1"/>
  <c r="AZ24" i="176"/>
  <c r="U246" i="257" s="1"/>
  <c r="BR24" i="176"/>
  <c r="BU24" i="176" s="1"/>
  <c r="K246" i="257"/>
  <c r="BR28" i="13"/>
  <c r="BU28" i="13" s="1"/>
  <c r="AY28" i="13"/>
  <c r="T216" i="257" s="1"/>
  <c r="AZ28" i="13"/>
  <c r="U216" i="257" s="1"/>
  <c r="BR24" i="13"/>
  <c r="BU24" i="13" s="1"/>
  <c r="AY24" i="13"/>
  <c r="T214" i="257" s="1"/>
  <c r="AZ24" i="13"/>
  <c r="U214" i="257" s="1"/>
  <c r="AY20" i="13"/>
  <c r="T212" i="257" s="1"/>
  <c r="AZ20" i="13"/>
  <c r="U212" i="257" s="1"/>
  <c r="BR20" i="13"/>
  <c r="BU20" i="13" s="1"/>
  <c r="AY36" i="13"/>
  <c r="T220" i="257" s="1"/>
  <c r="AZ36" i="13"/>
  <c r="U220" i="257" s="1"/>
  <c r="BR36" i="13"/>
  <c r="BU36" i="13" s="1"/>
  <c r="AZ32" i="13"/>
  <c r="U218" i="257" s="1"/>
  <c r="AY32" i="13"/>
  <c r="T218" i="257" s="1"/>
  <c r="BR32" i="13"/>
  <c r="BU32" i="13" s="1"/>
  <c r="BR30" i="13"/>
  <c r="BU30" i="13" s="1"/>
  <c r="AY30" i="13"/>
  <c r="T217" i="257" s="1"/>
  <c r="AZ30" i="13"/>
  <c r="U217" i="257" s="1"/>
  <c r="AY22" i="13"/>
  <c r="T213" i="257" s="1"/>
  <c r="AZ22" i="13"/>
  <c r="U213" i="257" s="1"/>
  <c r="BR22" i="13"/>
  <c r="BU22" i="13" s="1"/>
  <c r="AZ34" i="13"/>
  <c r="U219" i="257" s="1"/>
  <c r="AY34" i="13"/>
  <c r="T219" i="257" s="1"/>
  <c r="BR34" i="13"/>
  <c r="BU34" i="13" s="1"/>
  <c r="BR26" i="13"/>
  <c r="BU26" i="13" s="1"/>
  <c r="AY26" i="13"/>
  <c r="T215" i="257" s="1"/>
  <c r="AZ26" i="13"/>
  <c r="U215" i="257" s="1"/>
  <c r="AY20" i="171"/>
  <c r="T196" i="257" s="1"/>
  <c r="AZ20" i="171"/>
  <c r="U196" i="257" s="1"/>
  <c r="BR20" i="171"/>
  <c r="BU20" i="171" s="1"/>
  <c r="AY22" i="171"/>
  <c r="T197" i="257" s="1"/>
  <c r="AZ22" i="171"/>
  <c r="U197" i="257" s="1"/>
  <c r="BR22" i="171"/>
  <c r="BU22" i="171" s="1"/>
  <c r="BR28" i="171"/>
  <c r="BU28" i="171" s="1"/>
  <c r="AY28" i="171"/>
  <c r="T200" i="257" s="1"/>
  <c r="AZ28" i="171"/>
  <c r="U200" i="257" s="1"/>
  <c r="AZ34" i="171"/>
  <c r="U203" i="257" s="1"/>
  <c r="BR34" i="171"/>
  <c r="BU34" i="171" s="1"/>
  <c r="AY34" i="171"/>
  <c r="T203" i="257" s="1"/>
  <c r="BR26" i="171"/>
  <c r="BU26" i="171" s="1"/>
  <c r="AY26" i="171"/>
  <c r="T199" i="257" s="1"/>
  <c r="AZ26" i="171"/>
  <c r="U199" i="257" s="1"/>
  <c r="AY36" i="171"/>
  <c r="T204" i="257" s="1"/>
  <c r="AZ36" i="171"/>
  <c r="U204" i="257" s="1"/>
  <c r="BR36" i="171"/>
  <c r="BU36" i="171" s="1"/>
  <c r="BR30" i="171"/>
  <c r="BU30" i="171" s="1"/>
  <c r="AY30" i="171"/>
  <c r="T201" i="257" s="1"/>
  <c r="AZ30" i="171"/>
  <c r="U201" i="257" s="1"/>
  <c r="AY24" i="171"/>
  <c r="T198" i="257" s="1"/>
  <c r="AZ24" i="171"/>
  <c r="U198" i="257" s="1"/>
  <c r="BR24" i="171"/>
  <c r="BU24" i="171" s="1"/>
  <c r="BR32" i="171"/>
  <c r="BU32" i="171" s="1"/>
  <c r="AY32" i="171"/>
  <c r="T202" i="257" s="1"/>
  <c r="AZ32" i="171"/>
  <c r="U202" i="257" s="1"/>
  <c r="AY24" i="175"/>
  <c r="T230" i="257" s="1"/>
  <c r="AZ24" i="175"/>
  <c r="U230" i="257" s="1"/>
  <c r="BR24" i="175"/>
  <c r="BU24" i="175" s="1"/>
  <c r="AY20" i="175"/>
  <c r="T228" i="257" s="1"/>
  <c r="AZ20" i="175"/>
  <c r="U228" i="257" s="1"/>
  <c r="BR20" i="175"/>
  <c r="BU20" i="175" s="1"/>
  <c r="AY36" i="175"/>
  <c r="T236" i="257" s="1"/>
  <c r="AZ36" i="175"/>
  <c r="U236" i="257" s="1"/>
  <c r="K236" i="257"/>
  <c r="BR36" i="175"/>
  <c r="BU36" i="175" s="1"/>
  <c r="AZ34" i="175"/>
  <c r="U235" i="257" s="1"/>
  <c r="BR34" i="175"/>
  <c r="BU34" i="175" s="1"/>
  <c r="AY34" i="175"/>
  <c r="T235" i="257" s="1"/>
  <c r="AZ32" i="175"/>
  <c r="U234" i="257" s="1"/>
  <c r="K234" i="257"/>
  <c r="BR32" i="175"/>
  <c r="BU32" i="175" s="1"/>
  <c r="AY32" i="175"/>
  <c r="T234" i="257" s="1"/>
  <c r="K233" i="257"/>
  <c r="BR30" i="175"/>
  <c r="BU30" i="175" s="1"/>
  <c r="AY30" i="175"/>
  <c r="T233" i="257" s="1"/>
  <c r="AZ30" i="175"/>
  <c r="U233" i="257" s="1"/>
  <c r="K232" i="257"/>
  <c r="BR28" i="175"/>
  <c r="BU28" i="175" s="1"/>
  <c r="AY28" i="175"/>
  <c r="T232" i="257" s="1"/>
  <c r="AZ28" i="175"/>
  <c r="U232" i="257" s="1"/>
  <c r="K231" i="257"/>
  <c r="BR26" i="175"/>
  <c r="BU26" i="175" s="1"/>
  <c r="AY26" i="175"/>
  <c r="T231" i="257" s="1"/>
  <c r="AZ26" i="175"/>
  <c r="U231" i="257" s="1"/>
  <c r="K186" i="257"/>
  <c r="BR32" i="170"/>
  <c r="BU32" i="170" s="1"/>
  <c r="AY32" i="170"/>
  <c r="T186" i="257" s="1"/>
  <c r="AZ32" i="170"/>
  <c r="U186" i="257" s="1"/>
  <c r="AY24" i="170"/>
  <c r="T182" i="257" s="1"/>
  <c r="BR24" i="170"/>
  <c r="BU24" i="170" s="1"/>
  <c r="AZ24" i="170"/>
  <c r="U182" i="257" s="1"/>
  <c r="K182" i="257"/>
  <c r="AY36" i="170"/>
  <c r="T188" i="257" s="1"/>
  <c r="AZ36" i="170"/>
  <c r="U188" i="257" s="1"/>
  <c r="BR36" i="170"/>
  <c r="BU36" i="170" s="1"/>
  <c r="AZ34" i="170"/>
  <c r="U187" i="257" s="1"/>
  <c r="AY34" i="170"/>
  <c r="T187" i="257" s="1"/>
  <c r="BR34" i="170"/>
  <c r="BU34" i="170" s="1"/>
  <c r="AY20" i="170"/>
  <c r="T180" i="257" s="1"/>
  <c r="AZ20" i="170"/>
  <c r="U180" i="257" s="1"/>
  <c r="K180" i="257"/>
  <c r="BR20" i="170"/>
  <c r="BU20" i="170" s="1"/>
  <c r="BR26" i="170"/>
  <c r="BU26" i="170" s="1"/>
  <c r="AY26" i="170"/>
  <c r="T183" i="257" s="1"/>
  <c r="AZ26" i="170"/>
  <c r="U183" i="257" s="1"/>
  <c r="K184" i="257"/>
  <c r="BR28" i="170"/>
  <c r="BU28" i="170" s="1"/>
  <c r="AY28" i="170"/>
  <c r="T184" i="257" s="1"/>
  <c r="AZ28" i="170"/>
  <c r="U184" i="257" s="1"/>
  <c r="K185" i="257"/>
  <c r="BR30" i="170"/>
  <c r="BU30" i="170" s="1"/>
  <c r="AY30" i="170"/>
  <c r="T185" i="257" s="1"/>
  <c r="AZ30" i="170"/>
  <c r="U185" i="257" s="1"/>
  <c r="BR30" i="169"/>
  <c r="BU30" i="169" s="1"/>
  <c r="AY30" i="169"/>
  <c r="T169" i="257" s="1"/>
  <c r="AZ30" i="169"/>
  <c r="U169" i="257" s="1"/>
  <c r="BR24" i="169"/>
  <c r="BU24" i="169" s="1"/>
  <c r="AY24" i="169"/>
  <c r="T166" i="257" s="1"/>
  <c r="AZ24" i="169"/>
  <c r="U166" i="257" s="1"/>
  <c r="K166" i="257"/>
  <c r="AZ34" i="169"/>
  <c r="U171" i="257" s="1"/>
  <c r="AY34" i="169"/>
  <c r="T171" i="257" s="1"/>
  <c r="BR34" i="169"/>
  <c r="BU34" i="169" s="1"/>
  <c r="AY20" i="169"/>
  <c r="T164" i="257" s="1"/>
  <c r="AZ20" i="169"/>
  <c r="U164" i="257" s="1"/>
  <c r="K164" i="257"/>
  <c r="BR20" i="169"/>
  <c r="BU20" i="169" s="1"/>
  <c r="BR32" i="169"/>
  <c r="BU32" i="169" s="1"/>
  <c r="AY32" i="169"/>
  <c r="T170" i="257" s="1"/>
  <c r="AZ32" i="169"/>
  <c r="U170" i="257" s="1"/>
  <c r="K167" i="257"/>
  <c r="BR26" i="169"/>
  <c r="BU26" i="169" s="1"/>
  <c r="AY26" i="169"/>
  <c r="T167" i="257" s="1"/>
  <c r="AZ26" i="169"/>
  <c r="U167" i="257" s="1"/>
  <c r="AA245" i="257" a="1"/>
  <c r="AA245" i="257" s="1"/>
  <c r="AA219" i="257" a="1"/>
  <c r="AA219" i="257" s="1"/>
  <c r="AA215" i="257" a="1"/>
  <c r="AA215" i="257" s="1"/>
  <c r="AA217" i="257" a="1"/>
  <c r="AA217" i="257" s="1"/>
  <c r="AA212" i="257" a="1"/>
  <c r="AA212" i="257" s="1"/>
  <c r="AA213" i="257" a="1"/>
  <c r="AA213" i="257" s="1"/>
  <c r="AA214" i="257" a="1"/>
  <c r="AA214" i="257" s="1"/>
  <c r="AA220" i="257" a="1"/>
  <c r="AA220" i="257" s="1"/>
  <c r="AA218" i="257" a="1"/>
  <c r="AA218" i="257" s="1"/>
  <c r="AA216" i="257" a="1"/>
  <c r="AA216" i="257" s="1"/>
  <c r="AA203" i="257" a="1"/>
  <c r="AA203" i="257" s="1"/>
  <c r="AA199" i="257" a="1"/>
  <c r="AA199" i="257" s="1"/>
  <c r="AA198" i="257" a="1"/>
  <c r="AA198" i="257" s="1"/>
  <c r="AA202" i="257" a="1"/>
  <c r="AA202" i="257" s="1"/>
  <c r="AA201" i="257" a="1"/>
  <c r="AA201" i="257" s="1"/>
  <c r="AA196" i="257" a="1"/>
  <c r="AA196" i="257" s="1"/>
  <c r="AA200" i="257" a="1"/>
  <c r="AA200" i="257" s="1"/>
  <c r="AA197" i="257" a="1"/>
  <c r="AA197" i="257" s="1"/>
  <c r="AA204" i="257" a="1"/>
  <c r="AA204" i="257" s="1"/>
  <c r="AA230" i="257" a="1"/>
  <c r="AA230" i="257" s="1"/>
  <c r="AA232" i="257" a="1"/>
  <c r="AA232" i="257" s="1"/>
  <c r="AA236" i="257" a="1"/>
  <c r="AA236" i="257" s="1"/>
  <c r="AA234" i="257" a="1"/>
  <c r="AA234" i="257" s="1"/>
  <c r="AA231" i="257" a="1"/>
  <c r="AA231" i="257" s="1"/>
  <c r="AA233" i="257" a="1"/>
  <c r="AA233" i="257" s="1"/>
  <c r="AA235" i="257" a="1"/>
  <c r="AA235" i="257" s="1"/>
  <c r="AM13" i="163"/>
  <c r="C109" i="257" a="1"/>
  <c r="C109" i="257" s="1"/>
  <c r="F109" i="257" s="1" a="1"/>
  <c r="F109" i="257" s="1"/>
  <c r="C90" i="257" a="1"/>
  <c r="C90" i="257" s="1"/>
  <c r="F90" i="257" s="1" a="1"/>
  <c r="F90" i="257" s="1"/>
  <c r="C76" i="257" a="1"/>
  <c r="C76" i="257" s="1"/>
  <c r="F76" i="257" s="1" a="1"/>
  <c r="F76" i="257" s="1"/>
  <c r="C104" i="257" a="1"/>
  <c r="C104" i="257" s="1"/>
  <c r="F104" i="257" s="1" a="1"/>
  <c r="F104" i="257" s="1"/>
  <c r="B42" i="257"/>
  <c r="C103" i="257" a="1"/>
  <c r="C103" i="257" s="1"/>
  <c r="F103" i="257" s="1" a="1"/>
  <c r="F103" i="257" s="1"/>
  <c r="B41" i="257"/>
  <c r="C54" i="257" a="1"/>
  <c r="C54" i="257" s="1"/>
  <c r="F54" i="257" s="1" a="1"/>
  <c r="F54" i="257" s="1"/>
  <c r="C72" i="257" a="1"/>
  <c r="C72" i="257" s="1"/>
  <c r="F72" i="257" s="1" a="1"/>
  <c r="F72" i="257" s="1"/>
  <c r="C12" i="257" a="1"/>
  <c r="C12" i="257" s="1"/>
  <c r="F12" i="257" s="1" a="1"/>
  <c r="F12" i="257" s="1"/>
  <c r="C105" i="257" a="1"/>
  <c r="C105" i="257" s="1"/>
  <c r="F105" i="257" s="1" a="1"/>
  <c r="F105" i="257" s="1"/>
  <c r="B43" i="257"/>
  <c r="B100" i="257"/>
  <c r="C58" i="257" a="1"/>
  <c r="C58" i="257" s="1"/>
  <c r="F58" i="257" s="1" a="1"/>
  <c r="F58" i="257" s="1"/>
  <c r="C17" i="257" a="1"/>
  <c r="C17" i="257" s="1"/>
  <c r="F17" i="257" s="1" a="1"/>
  <c r="F17" i="257" s="1"/>
  <c r="C70" i="257" a="1"/>
  <c r="C70" i="257" s="1"/>
  <c r="F70" i="257" s="1" a="1"/>
  <c r="F70" i="257" s="1"/>
  <c r="C13" i="257" a="1"/>
  <c r="C13" i="257" s="1"/>
  <c r="F13" i="257" s="1" a="1"/>
  <c r="F13" i="257" s="1"/>
  <c r="C88" i="257" a="1"/>
  <c r="C88" i="257" s="1"/>
  <c r="F88" i="257" s="1" a="1"/>
  <c r="F88" i="257" s="1"/>
  <c r="C16" i="257" a="1"/>
  <c r="C16" i="257" s="1"/>
  <c r="F16" i="257" s="1" a="1"/>
  <c r="F16" i="257" s="1"/>
  <c r="C108" i="257" a="1"/>
  <c r="C108" i="257" s="1"/>
  <c r="F108" i="257" s="1" a="1"/>
  <c r="F108" i="257" s="1"/>
  <c r="B40" i="257"/>
  <c r="C92" i="257" a="1"/>
  <c r="C92" i="257" s="1"/>
  <c r="F92" i="257" s="1" a="1"/>
  <c r="F92" i="257" s="1"/>
  <c r="C87" i="257" a="1"/>
  <c r="C87" i="257" s="1"/>
  <c r="F87" i="257" s="1" a="1"/>
  <c r="F87" i="257" s="1"/>
  <c r="C93" i="257" a="1"/>
  <c r="C93" i="257" s="1"/>
  <c r="F93" i="257" s="1" a="1"/>
  <c r="F93" i="257" s="1"/>
  <c r="C101" i="257" a="1"/>
  <c r="C101" i="257" s="1"/>
  <c r="F101" i="257" s="1" a="1"/>
  <c r="F101" i="257" s="1"/>
  <c r="B39" i="257"/>
  <c r="C57" i="257" a="1"/>
  <c r="C57" i="257" s="1"/>
  <c r="F57" i="257" s="1" a="1"/>
  <c r="F57" i="257" s="1"/>
  <c r="C69" i="257" a="1"/>
  <c r="C69" i="257" s="1"/>
  <c r="F69" i="257" s="1" a="1"/>
  <c r="F69" i="257" s="1"/>
  <c r="C91" i="257" a="1"/>
  <c r="C91" i="257" s="1"/>
  <c r="F91" i="257" s="1" a="1"/>
  <c r="F91" i="257" s="1"/>
  <c r="C75" i="257" a="1"/>
  <c r="C75" i="257" s="1"/>
  <c r="F75" i="257" s="1" a="1"/>
  <c r="F75" i="257" s="1"/>
  <c r="C55" i="257" a="1"/>
  <c r="C55" i="257" s="1"/>
  <c r="F55" i="257" s="1" a="1"/>
  <c r="F55" i="257" s="1"/>
  <c r="C74" i="257" a="1"/>
  <c r="C74" i="257" s="1"/>
  <c r="F74" i="257" s="1" a="1"/>
  <c r="F74" i="257" s="1"/>
  <c r="C15" i="257" a="1"/>
  <c r="C15" i="257" s="1"/>
  <c r="F15" i="257" s="1" a="1"/>
  <c r="F15" i="257" s="1"/>
  <c r="C107" i="257" a="1"/>
  <c r="C107" i="257" s="1"/>
  <c r="F107" i="257" s="1" a="1"/>
  <c r="F107" i="257" s="1"/>
  <c r="B38" i="257"/>
  <c r="C56" i="257" a="1"/>
  <c r="C56" i="257" s="1"/>
  <c r="F56" i="257" s="1" a="1"/>
  <c r="F56" i="257" s="1"/>
  <c r="C102" i="257" a="1"/>
  <c r="C102" i="257" s="1"/>
  <c r="F102" i="257" s="1" a="1"/>
  <c r="F102" i="257" s="1"/>
  <c r="C11" i="257" a="1"/>
  <c r="C11" i="257" s="1"/>
  <c r="F11" i="257" s="1" a="1"/>
  <c r="F11" i="257" s="1"/>
  <c r="C77" i="257" a="1"/>
  <c r="C77" i="257" s="1"/>
  <c r="F77" i="257" s="1" a="1"/>
  <c r="F77" i="257" s="1"/>
  <c r="C10" i="257" a="1"/>
  <c r="C10" i="257" s="1"/>
  <c r="F10" i="257" s="1" a="1"/>
  <c r="F10" i="257" s="1"/>
  <c r="C44" i="257" a="1"/>
  <c r="C44" i="257" s="1"/>
  <c r="F44" i="257" s="1" a="1"/>
  <c r="F44" i="257" s="1"/>
  <c r="C59" i="257" a="1"/>
  <c r="C59" i="257" s="1"/>
  <c r="F59" i="257" s="1" a="1"/>
  <c r="F59" i="257" s="1"/>
  <c r="C73" i="257" a="1"/>
  <c r="C73" i="257" s="1"/>
  <c r="F73" i="257" s="1" a="1"/>
  <c r="F73" i="257" s="1"/>
  <c r="C89" i="257" a="1"/>
  <c r="C89" i="257" s="1"/>
  <c r="F89" i="257" s="1" a="1"/>
  <c r="F89" i="257" s="1"/>
  <c r="C53" i="257" a="1"/>
  <c r="C53" i="257" s="1"/>
  <c r="F53" i="257" s="1" a="1"/>
  <c r="F53" i="257" s="1"/>
  <c r="C8" i="257" a="1"/>
  <c r="C8" i="257" s="1"/>
  <c r="F8" i="257" s="1" a="1"/>
  <c r="F8" i="257" s="1"/>
  <c r="C106" i="257" a="1"/>
  <c r="C106" i="257" s="1"/>
  <c r="F106" i="257" s="1" a="1"/>
  <c r="F106" i="257" s="1"/>
  <c r="AM35" i="154"/>
  <c r="AE149" i="257"/>
  <c r="AR149" i="257"/>
  <c r="AE155" i="257"/>
  <c r="AR155" i="257"/>
  <c r="AE154" i="257"/>
  <c r="AR154" i="257"/>
  <c r="AE153" i="257"/>
  <c r="AR153" i="257"/>
  <c r="AE156" i="257"/>
  <c r="AR156" i="257"/>
  <c r="AE152" i="257"/>
  <c r="AR152" i="257"/>
  <c r="AE151" i="257"/>
  <c r="AR151" i="257"/>
  <c r="AE150" i="257"/>
  <c r="AR150" i="257"/>
  <c r="AS123" i="257"/>
  <c r="AS133" i="257"/>
  <c r="AS121" i="257"/>
  <c r="AS127" i="257"/>
  <c r="AS142" i="257"/>
  <c r="AS128" i="257"/>
  <c r="AS130" i="257"/>
  <c r="AS122" i="257"/>
  <c r="AS143" i="257"/>
  <c r="AS119" i="257"/>
  <c r="AS120" i="257"/>
  <c r="AS144" i="257"/>
  <c r="AS131" i="257"/>
  <c r="AS135" i="257"/>
  <c r="AS136" i="257"/>
  <c r="AS138" i="257"/>
  <c r="AS145" i="257"/>
  <c r="AS134" i="257"/>
  <c r="AS140" i="257"/>
  <c r="AS125" i="257"/>
  <c r="AS124" i="257"/>
  <c r="AS126" i="257"/>
  <c r="AS129" i="257"/>
  <c r="AS132" i="257"/>
  <c r="AS137" i="257"/>
  <c r="AS141" i="257"/>
  <c r="AS117" i="257"/>
  <c r="AS139" i="257"/>
  <c r="AS118" i="257"/>
  <c r="AC150" i="257" a="1"/>
  <c r="AC150" i="257" s="1"/>
  <c r="AD150" i="257" a="1"/>
  <c r="AD150" i="257" s="1"/>
  <c r="AC154" i="257" a="1"/>
  <c r="AC154" i="257" s="1"/>
  <c r="AD154" i="257" a="1"/>
  <c r="AD154" i="257" s="1"/>
  <c r="AD153" i="257" a="1"/>
  <c r="AD153" i="257" s="1"/>
  <c r="AC153" i="257" a="1"/>
  <c r="AC153" i="257" s="1"/>
  <c r="AC152" i="257" a="1"/>
  <c r="AC152" i="257" s="1"/>
  <c r="AD152" i="257" a="1"/>
  <c r="AD152" i="257" s="1"/>
  <c r="AD151" i="257" a="1"/>
  <c r="AD151" i="257" s="1"/>
  <c r="AC151" i="257" a="1"/>
  <c r="AC151" i="257" s="1"/>
  <c r="AC155" i="257" a="1"/>
  <c r="AC155" i="257" s="1"/>
  <c r="AD155" i="257" a="1"/>
  <c r="AD155" i="257" s="1"/>
  <c r="AC156" i="257" a="1"/>
  <c r="AC156" i="257" s="1"/>
  <c r="AD156" i="257" a="1"/>
  <c r="AD156" i="257" s="1"/>
  <c r="AC149" i="257" a="1"/>
  <c r="AC149" i="257" s="1"/>
  <c r="AD149" i="257" a="1"/>
  <c r="AD149" i="257" s="1"/>
  <c r="AC133" i="257" a="1"/>
  <c r="AC133" i="257" s="1"/>
  <c r="AD133" i="257" a="1"/>
  <c r="AD133" i="257" s="1"/>
  <c r="AC119" i="257" a="1"/>
  <c r="AC119" i="257" s="1"/>
  <c r="AD119" i="257" a="1"/>
  <c r="AD119" i="257" s="1"/>
  <c r="AC144" i="257" a="1"/>
  <c r="AC144" i="257" s="1"/>
  <c r="AD144" i="257" a="1"/>
  <c r="AD144" i="257" s="1"/>
  <c r="AC131" i="257" a="1"/>
  <c r="AC131" i="257" s="1"/>
  <c r="AD131" i="257" a="1"/>
  <c r="AD131" i="257" s="1"/>
  <c r="AC135" i="257" a="1"/>
  <c r="AC135" i="257" s="1"/>
  <c r="AD135" i="257" a="1"/>
  <c r="AD135" i="257" s="1"/>
  <c r="AD120" i="257" a="1"/>
  <c r="AD120" i="257" s="1"/>
  <c r="AC120" i="257" a="1"/>
  <c r="AC120" i="257" s="1"/>
  <c r="AC136" i="257" a="1"/>
  <c r="AC136" i="257" s="1"/>
  <c r="AD136" i="257" a="1"/>
  <c r="AD136" i="257" s="1"/>
  <c r="AC143" i="257" a="1"/>
  <c r="AC143" i="257" s="1"/>
  <c r="AD143" i="257" a="1"/>
  <c r="AD143" i="257" s="1"/>
  <c r="AD138" i="257" a="1"/>
  <c r="AD138" i="257" s="1"/>
  <c r="AC138" i="257" a="1"/>
  <c r="AC138" i="257" s="1"/>
  <c r="AC145" i="257" a="1"/>
  <c r="AC145" i="257" s="1"/>
  <c r="AD145" i="257" a="1"/>
  <c r="AD145" i="257" s="1"/>
  <c r="AC122" i="257" a="1"/>
  <c r="AC122" i="257" s="1"/>
  <c r="AD122" i="257" a="1"/>
  <c r="AD122" i="257" s="1"/>
  <c r="AD134" i="257" a="1"/>
  <c r="AD134" i="257" s="1"/>
  <c r="AC134" i="257" a="1"/>
  <c r="AC134" i="257" s="1"/>
  <c r="AC125" i="257" a="1"/>
  <c r="AC125" i="257" s="1"/>
  <c r="AD125" i="257" a="1"/>
  <c r="AD125" i="257" s="1"/>
  <c r="AD140" i="257" a="1"/>
  <c r="AD140" i="257" s="1"/>
  <c r="AC140" i="257" a="1"/>
  <c r="AC140" i="257" s="1"/>
  <c r="AD130" i="257" a="1"/>
  <c r="AD130" i="257" s="1"/>
  <c r="AC130" i="257" a="1"/>
  <c r="AC130" i="257" s="1"/>
  <c r="AD124" i="257" a="1"/>
  <c r="AD124" i="257" s="1"/>
  <c r="AC124" i="257" a="1"/>
  <c r="AC124" i="257" s="1"/>
  <c r="AC126" i="257" a="1"/>
  <c r="AC126" i="257" s="1"/>
  <c r="AD126" i="257" a="1"/>
  <c r="AD126" i="257" s="1"/>
  <c r="AC123" i="257" a="1"/>
  <c r="AC123" i="257" s="1"/>
  <c r="AD123" i="257" a="1"/>
  <c r="AD123" i="257" s="1"/>
  <c r="AC129" i="257" a="1"/>
  <c r="AC129" i="257" s="1"/>
  <c r="AD129" i="257" a="1"/>
  <c r="AD129" i="257" s="1"/>
  <c r="AC132" i="257" a="1"/>
  <c r="AC132" i="257" s="1"/>
  <c r="AD132" i="257" a="1"/>
  <c r="AD132" i="257" s="1"/>
  <c r="AC137" i="257" a="1"/>
  <c r="AC137" i="257" s="1"/>
  <c r="AD137" i="257" a="1"/>
  <c r="AD137" i="257" s="1"/>
  <c r="AC141" i="257" a="1"/>
  <c r="AC141" i="257" s="1"/>
  <c r="AD141" i="257" a="1"/>
  <c r="AD141" i="257" s="1"/>
  <c r="AC117" i="257" a="1"/>
  <c r="AC117" i="257" s="1"/>
  <c r="AD117" i="257" a="1"/>
  <c r="AD117" i="257" s="1"/>
  <c r="AC139" i="257" a="1"/>
  <c r="AC139" i="257" s="1"/>
  <c r="AD139" i="257" a="1"/>
  <c r="AD139" i="257" s="1"/>
  <c r="AC118" i="257" a="1"/>
  <c r="AC118" i="257" s="1"/>
  <c r="AD118" i="257" a="1"/>
  <c r="AD118" i="257" s="1"/>
  <c r="AC121" i="257" a="1"/>
  <c r="AC121" i="257" s="1"/>
  <c r="AD121" i="257" a="1"/>
  <c r="AD121" i="257" s="1"/>
  <c r="AC127" i="257" a="1"/>
  <c r="AC127" i="257" s="1"/>
  <c r="AD127" i="257" a="1"/>
  <c r="AD127" i="257" s="1"/>
  <c r="AC142" i="257" a="1"/>
  <c r="AC142" i="257" s="1"/>
  <c r="AD142" i="257" a="1"/>
  <c r="AD142" i="257" s="1"/>
  <c r="AC128" i="257" a="1"/>
  <c r="AC128" i="257" s="1"/>
  <c r="AD128" i="257" a="1"/>
  <c r="AD128" i="257" s="1"/>
  <c r="AF155" i="257"/>
  <c r="AG155" i="257" a="1"/>
  <c r="AG155" i="257" s="1"/>
  <c r="AF149" i="257"/>
  <c r="AG149" i="257" a="1"/>
  <c r="AG149" i="257" s="1"/>
  <c r="AF150" i="257"/>
  <c r="AG150" i="257" a="1"/>
  <c r="AG150" i="257" s="1"/>
  <c r="AF154" i="257"/>
  <c r="AG154" i="257" a="1"/>
  <c r="AG154" i="257" s="1"/>
  <c r="AF153" i="257"/>
  <c r="AG153" i="257" a="1"/>
  <c r="AG153" i="257" s="1"/>
  <c r="AF152" i="257"/>
  <c r="AG152" i="257" a="1"/>
  <c r="AG152" i="257" s="1"/>
  <c r="AF151" i="257"/>
  <c r="AG151" i="257" a="1"/>
  <c r="AG151" i="257" s="1"/>
  <c r="AF156" i="257"/>
  <c r="AG156" i="257" a="1"/>
  <c r="AG156" i="257" s="1"/>
  <c r="AF122" i="257"/>
  <c r="AG122" i="257" a="1"/>
  <c r="AG122" i="257" s="1"/>
  <c r="AF144" i="257"/>
  <c r="AG144" i="257" a="1"/>
  <c r="AG144" i="257" s="1"/>
  <c r="AF131" i="257"/>
  <c r="AG131" i="257" a="1"/>
  <c r="AG131" i="257" s="1"/>
  <c r="AF142" i="257"/>
  <c r="AG142" i="257" a="1"/>
  <c r="AG142" i="257" s="1"/>
  <c r="AF135" i="257"/>
  <c r="AG135" i="257" a="1"/>
  <c r="AG135" i="257" s="1"/>
  <c r="AF136" i="257"/>
  <c r="AG136" i="257" a="1"/>
  <c r="AG136" i="257" s="1"/>
  <c r="AF145" i="257"/>
  <c r="AG145" i="257" a="1"/>
  <c r="AG145" i="257" s="1"/>
  <c r="AF134" i="257"/>
  <c r="AG134" i="257" a="1"/>
  <c r="AG134" i="257" s="1"/>
  <c r="AF125" i="257"/>
  <c r="AG125" i="257" a="1"/>
  <c r="AG125" i="257" s="1"/>
  <c r="AF120" i="257"/>
  <c r="AG120" i="257" a="1"/>
  <c r="AG120" i="257" s="1"/>
  <c r="AF119" i="257"/>
  <c r="AG119" i="257" a="1"/>
  <c r="AG119" i="257" s="1"/>
  <c r="AF140" i="257"/>
  <c r="AG140" i="257" a="1"/>
  <c r="AG140" i="257" s="1"/>
  <c r="AF127" i="257"/>
  <c r="AG127" i="257" a="1"/>
  <c r="AG127" i="257" s="1"/>
  <c r="AF138" i="257"/>
  <c r="AG138" i="257" a="1"/>
  <c r="AG138" i="257" s="1"/>
  <c r="AF124" i="257"/>
  <c r="AG124" i="257" a="1"/>
  <c r="AG124" i="257" s="1"/>
  <c r="AF126" i="257"/>
  <c r="AG126" i="257" a="1"/>
  <c r="AG126" i="257" s="1"/>
  <c r="AF121" i="257"/>
  <c r="AG121" i="257" a="1"/>
  <c r="AG121" i="257" s="1"/>
  <c r="AF143" i="257"/>
  <c r="AG143" i="257" a="1"/>
  <c r="AG143" i="257" s="1"/>
  <c r="AF129" i="257"/>
  <c r="AG129" i="257" a="1"/>
  <c r="AG129" i="257" s="1"/>
  <c r="AF132" i="257"/>
  <c r="AG132" i="257" a="1"/>
  <c r="AG132" i="257" s="1"/>
  <c r="AF137" i="257"/>
  <c r="AG137" i="257" a="1"/>
  <c r="AG137" i="257" s="1"/>
  <c r="AF141" i="257"/>
  <c r="AG141" i="257" a="1"/>
  <c r="AG141" i="257" s="1"/>
  <c r="AF117" i="257"/>
  <c r="AG117" i="257" a="1"/>
  <c r="AG117" i="257" s="1"/>
  <c r="AF130" i="257"/>
  <c r="AG130" i="257" a="1"/>
  <c r="AG130" i="257" s="1"/>
  <c r="AF128" i="257"/>
  <c r="AG128" i="257" a="1"/>
  <c r="AG128" i="257" s="1"/>
  <c r="AF139" i="257"/>
  <c r="AG139" i="257" a="1"/>
  <c r="AG139" i="257" s="1"/>
  <c r="AF118" i="257"/>
  <c r="AG118" i="257" a="1"/>
  <c r="AG118" i="257" s="1"/>
  <c r="AF123" i="257"/>
  <c r="AG123" i="257" a="1"/>
  <c r="AG123" i="257" s="1"/>
  <c r="AF133" i="257"/>
  <c r="AG133" i="257" a="1"/>
  <c r="AG133" i="257" s="1"/>
  <c r="B171" i="257"/>
  <c r="B233" i="257"/>
  <c r="B170" i="257"/>
  <c r="B236" i="257"/>
  <c r="B183" i="257"/>
  <c r="B184" i="257"/>
  <c r="B235" i="257"/>
  <c r="B230" i="257"/>
  <c r="B245" i="257"/>
  <c r="B232" i="257"/>
  <c r="B243" i="257"/>
  <c r="B180" i="257"/>
  <c r="B234" i="257"/>
  <c r="B167" i="257"/>
  <c r="B186" i="257"/>
  <c r="B165" i="257"/>
  <c r="B231" i="257"/>
  <c r="B228" i="257"/>
  <c r="B188" i="257"/>
  <c r="B117" i="257"/>
  <c r="AM34" i="154"/>
  <c r="AY18" i="170"/>
  <c r="T179" i="257" s="1"/>
  <c r="I21" i="3"/>
  <c r="AM33" i="154"/>
  <c r="K21" i="3"/>
  <c r="AM32" i="154"/>
  <c r="J231" i="257"/>
  <c r="J197" i="257"/>
  <c r="J214" i="257"/>
  <c r="K125" i="257"/>
  <c r="J168" i="257"/>
  <c r="K137" i="257"/>
  <c r="K131" i="257"/>
  <c r="K122" i="257"/>
  <c r="K138" i="257"/>
  <c r="J233" i="257"/>
  <c r="K120" i="257"/>
  <c r="J165" i="257"/>
  <c r="W39" i="81"/>
  <c r="EX2" i="257"/>
  <c r="J220" i="257"/>
  <c r="J217" i="257"/>
  <c r="J201" i="257"/>
  <c r="K119" i="257"/>
  <c r="K128" i="257"/>
  <c r="K140" i="257"/>
  <c r="J167" i="257"/>
  <c r="K143" i="257"/>
  <c r="K121" i="257"/>
  <c r="K142" i="257"/>
  <c r="K141" i="257"/>
  <c r="K133" i="257"/>
  <c r="K132" i="257"/>
  <c r="J187" i="257"/>
  <c r="J188" i="257"/>
  <c r="J185" i="257"/>
  <c r="J245" i="257"/>
  <c r="J218" i="257"/>
  <c r="K145" i="257"/>
  <c r="J180" i="257"/>
  <c r="EW2" i="257"/>
  <c r="J232" i="257"/>
  <c r="K135" i="257"/>
  <c r="K124" i="257"/>
  <c r="AE84" i="257"/>
  <c r="J164" i="257"/>
  <c r="J182" i="257"/>
  <c r="J246" i="257"/>
  <c r="J198" i="257"/>
  <c r="J213" i="257"/>
  <c r="J203" i="257"/>
  <c r="K139" i="257"/>
  <c r="J215" i="257"/>
  <c r="J202" i="257"/>
  <c r="J216" i="257"/>
  <c r="K129" i="257"/>
  <c r="AI5" i="257"/>
  <c r="K134" i="257"/>
  <c r="K130" i="257"/>
  <c r="J235" i="257"/>
  <c r="K117" i="257"/>
  <c r="J236" i="257"/>
  <c r="J171" i="257"/>
  <c r="AE86" i="257"/>
  <c r="J169" i="257"/>
  <c r="J184" i="257"/>
  <c r="J230" i="257"/>
  <c r="J234" i="257"/>
  <c r="K127" i="257"/>
  <c r="K126" i="257"/>
  <c r="K136" i="257"/>
  <c r="J147" i="257"/>
  <c r="J172" i="257"/>
  <c r="J170" i="257"/>
  <c r="J219" i="257"/>
  <c r="K144" i="257"/>
  <c r="K118" i="257"/>
  <c r="K123" i="257"/>
  <c r="BA145" i="257"/>
  <c r="AZ145" i="257"/>
  <c r="AY145" i="257"/>
  <c r="AW145" i="257"/>
  <c r="AV145" i="257"/>
  <c r="AQ145" i="257"/>
  <c r="AP145" i="257"/>
  <c r="AW124" i="257"/>
  <c r="AV124" i="257"/>
  <c r="AQ124" i="257"/>
  <c r="AP124" i="257"/>
  <c r="AY124" i="257"/>
  <c r="BA124" i="257"/>
  <c r="AZ124" i="257"/>
  <c r="AQ119" i="257"/>
  <c r="AP119" i="257"/>
  <c r="BA119" i="257"/>
  <c r="AW119" i="257"/>
  <c r="AV119" i="257"/>
  <c r="AY119" i="257"/>
  <c r="AZ119" i="257"/>
  <c r="BA132" i="257"/>
  <c r="AZ132" i="257"/>
  <c r="AY132" i="257"/>
  <c r="AW132" i="257"/>
  <c r="AV132" i="257"/>
  <c r="AQ132" i="257"/>
  <c r="AP132" i="257"/>
  <c r="AS150" i="257"/>
  <c r="AQ150" i="257"/>
  <c r="AP150" i="257"/>
  <c r="AY150" i="257"/>
  <c r="AZ150" i="257"/>
  <c r="AW150" i="257"/>
  <c r="AV150" i="257"/>
  <c r="BA150" i="257"/>
  <c r="BA129" i="257"/>
  <c r="AZ129" i="257"/>
  <c r="AY129" i="257"/>
  <c r="AW129" i="257"/>
  <c r="AV129" i="257"/>
  <c r="AQ129" i="257"/>
  <c r="AP129" i="257"/>
  <c r="AQ144" i="257"/>
  <c r="AP144" i="257"/>
  <c r="BA144" i="257"/>
  <c r="AZ144" i="257"/>
  <c r="AV144" i="257"/>
  <c r="AY144" i="257"/>
  <c r="AW144" i="257"/>
  <c r="AV117" i="257"/>
  <c r="AQ117" i="257"/>
  <c r="AP117" i="257"/>
  <c r="BA117" i="257"/>
  <c r="AZ117" i="257"/>
  <c r="AY117" i="257"/>
  <c r="AW117" i="257"/>
  <c r="BA130" i="257"/>
  <c r="AZ130" i="257"/>
  <c r="AY130" i="257"/>
  <c r="AW130" i="257"/>
  <c r="AV130" i="257"/>
  <c r="AQ130" i="257"/>
  <c r="AP130" i="257"/>
  <c r="AQ142" i="257"/>
  <c r="AP142" i="257"/>
  <c r="AW142" i="257"/>
  <c r="BA142" i="257"/>
  <c r="AZ142" i="257"/>
  <c r="AV142" i="257"/>
  <c r="AY142" i="257"/>
  <c r="BA134" i="257"/>
  <c r="AZ134" i="257"/>
  <c r="AY134" i="257"/>
  <c r="AW134" i="257"/>
  <c r="AV134" i="257"/>
  <c r="AQ134" i="257"/>
  <c r="AP134" i="257"/>
  <c r="AP137" i="257"/>
  <c r="BA137" i="257"/>
  <c r="AZ137" i="257"/>
  <c r="AY137" i="257"/>
  <c r="AW137" i="257"/>
  <c r="AV137" i="257"/>
  <c r="AQ137" i="257"/>
  <c r="BA149" i="257"/>
  <c r="AZ149" i="257"/>
  <c r="AY149" i="257"/>
  <c r="AW149" i="257"/>
  <c r="AV149" i="257"/>
  <c r="AS149" i="257"/>
  <c r="AQ149" i="257"/>
  <c r="AP149" i="257"/>
  <c r="BA151" i="257"/>
  <c r="AZ151" i="257"/>
  <c r="AY151" i="257"/>
  <c r="AW151" i="257"/>
  <c r="AV151" i="257"/>
  <c r="AQ151" i="257"/>
  <c r="AP151" i="257"/>
  <c r="AS151" i="257"/>
  <c r="AZ122" i="257"/>
  <c r="AY122" i="257"/>
  <c r="AW122" i="257"/>
  <c r="AV122" i="257"/>
  <c r="AQ122" i="257"/>
  <c r="AP122" i="257"/>
  <c r="BA122" i="257"/>
  <c r="BA154" i="257"/>
  <c r="AZ154" i="257"/>
  <c r="AY154" i="257"/>
  <c r="AW154" i="257"/>
  <c r="AV154" i="257"/>
  <c r="AS154" i="257"/>
  <c r="AQ154" i="257"/>
  <c r="AP154" i="257"/>
  <c r="BA139" i="257"/>
  <c r="AZ139" i="257"/>
  <c r="AY139" i="257"/>
  <c r="AW139" i="257"/>
  <c r="AV139" i="257"/>
  <c r="AQ139" i="257"/>
  <c r="AP139" i="257"/>
  <c r="BA136" i="257"/>
  <c r="AZ136" i="257"/>
  <c r="AY136" i="257"/>
  <c r="AW136" i="257"/>
  <c r="AV136" i="257"/>
  <c r="AQ136" i="257"/>
  <c r="AP136" i="257"/>
  <c r="AV133" i="257"/>
  <c r="AQ133" i="257"/>
  <c r="AP133" i="257"/>
  <c r="BA133" i="257"/>
  <c r="AZ133" i="257"/>
  <c r="AY133" i="257"/>
  <c r="AW133" i="257"/>
  <c r="AV153" i="257"/>
  <c r="AS153" i="257"/>
  <c r="AQ153" i="257"/>
  <c r="AP153" i="257"/>
  <c r="AZ153" i="257"/>
  <c r="BA153" i="257"/>
  <c r="AY153" i="257"/>
  <c r="AW153" i="257"/>
  <c r="AW156" i="257"/>
  <c r="AV156" i="257"/>
  <c r="AS156" i="257"/>
  <c r="AQ156" i="257"/>
  <c r="AP156" i="257"/>
  <c r="BA156" i="257"/>
  <c r="AZ156" i="257"/>
  <c r="AY156" i="257"/>
  <c r="AQ126" i="257"/>
  <c r="AP126" i="257"/>
  <c r="BA126" i="257"/>
  <c r="AZ126" i="257"/>
  <c r="AV126" i="257"/>
  <c r="AY126" i="257"/>
  <c r="AW126" i="257"/>
  <c r="BA123" i="257"/>
  <c r="AZ123" i="257"/>
  <c r="AY123" i="257"/>
  <c r="AW123" i="257"/>
  <c r="AV123" i="257"/>
  <c r="AQ123" i="257"/>
  <c r="AP123" i="257"/>
  <c r="AZ138" i="257"/>
  <c r="AY138" i="257"/>
  <c r="AW138" i="257"/>
  <c r="AV138" i="257"/>
  <c r="AQ138" i="257"/>
  <c r="AP138" i="257"/>
  <c r="BA138" i="257"/>
  <c r="AP121" i="257"/>
  <c r="BA121" i="257"/>
  <c r="AZ121" i="257"/>
  <c r="AY121" i="257"/>
  <c r="AQ121" i="257"/>
  <c r="AW121" i="257"/>
  <c r="AV121" i="257"/>
  <c r="AY131" i="257"/>
  <c r="AW131" i="257"/>
  <c r="AV131" i="257"/>
  <c r="AQ131" i="257"/>
  <c r="AP131" i="257"/>
  <c r="BA131" i="257"/>
  <c r="AZ131" i="257"/>
  <c r="BA152" i="257"/>
  <c r="AZ152" i="257"/>
  <c r="AY152" i="257"/>
  <c r="AW152" i="257"/>
  <c r="AV152" i="257"/>
  <c r="AS152" i="257"/>
  <c r="AQ152" i="257"/>
  <c r="AP152" i="257"/>
  <c r="BA120" i="257"/>
  <c r="AZ120" i="257"/>
  <c r="AY120" i="257"/>
  <c r="AW120" i="257"/>
  <c r="AV120" i="257"/>
  <c r="AQ120" i="257"/>
  <c r="AP120" i="257"/>
  <c r="BA125" i="257"/>
  <c r="AZ125" i="257"/>
  <c r="AY125" i="257"/>
  <c r="AW125" i="257"/>
  <c r="AV125" i="257"/>
  <c r="AQ125" i="257"/>
  <c r="AP125" i="257"/>
  <c r="AQ128" i="257"/>
  <c r="AP128" i="257"/>
  <c r="BA128" i="257"/>
  <c r="AZ128" i="257"/>
  <c r="AY128" i="257"/>
  <c r="AW128" i="257"/>
  <c r="AV128" i="257"/>
  <c r="AQ135" i="257"/>
  <c r="AP135" i="257"/>
  <c r="BA135" i="257"/>
  <c r="AZ135" i="257"/>
  <c r="AY135" i="257"/>
  <c r="AW135" i="257"/>
  <c r="AV135" i="257"/>
  <c r="BA141" i="257"/>
  <c r="AZ141" i="257"/>
  <c r="AY141" i="257"/>
  <c r="AW141" i="257"/>
  <c r="AV141" i="257"/>
  <c r="AQ141" i="257"/>
  <c r="AP141" i="257"/>
  <c r="BA127" i="257"/>
  <c r="AZ127" i="257"/>
  <c r="AY127" i="257"/>
  <c r="AW127" i="257"/>
  <c r="AV127" i="257"/>
  <c r="AQ127" i="257"/>
  <c r="AP127" i="257"/>
  <c r="AW140" i="257"/>
  <c r="AV140" i="257"/>
  <c r="AQ140" i="257"/>
  <c r="AP140" i="257"/>
  <c r="AZ140" i="257"/>
  <c r="AY140" i="257"/>
  <c r="BA140" i="257"/>
  <c r="BA143" i="257"/>
  <c r="AZ143" i="257"/>
  <c r="AY143" i="257"/>
  <c r="AW143" i="257"/>
  <c r="AV143" i="257"/>
  <c r="AQ143" i="257"/>
  <c r="AP143" i="257"/>
  <c r="BA155" i="257"/>
  <c r="AZ155" i="257"/>
  <c r="AY155" i="257"/>
  <c r="AW155" i="257"/>
  <c r="AV155" i="257"/>
  <c r="AS155" i="257"/>
  <c r="AQ155" i="257"/>
  <c r="AP155" i="257"/>
  <c r="BA118" i="257"/>
  <c r="AZ118" i="257"/>
  <c r="AY118" i="257"/>
  <c r="AW118" i="257"/>
  <c r="AV118" i="257"/>
  <c r="AQ118" i="257"/>
  <c r="AP118" i="257"/>
  <c r="H23" i="3"/>
  <c r="BB200" i="171"/>
  <c r="N22" i="3"/>
  <c r="P23" i="3"/>
  <c r="AM13" i="167"/>
  <c r="BB200" i="13"/>
  <c r="BA200" i="13"/>
  <c r="BA200" i="171"/>
  <c r="BG200" i="13"/>
  <c r="P22" i="3"/>
  <c r="N23" i="3"/>
  <c r="BG200" i="171"/>
  <c r="AR18" i="159"/>
  <c r="BB200" i="158"/>
  <c r="AJ21" i="154"/>
  <c r="W38" i="81"/>
  <c r="AZ30" i="176"/>
  <c r="U249" i="257" s="1"/>
  <c r="AY30" i="176"/>
  <c r="T249" i="257" s="1"/>
  <c r="AK28" i="154"/>
  <c r="AL28" i="154"/>
  <c r="AJ28" i="154"/>
  <c r="AM13" i="161"/>
  <c r="AE51" i="257"/>
  <c r="W37" i="81"/>
  <c r="AB37" i="81"/>
  <c r="R36" i="154"/>
  <c r="AD45" i="156"/>
  <c r="R37" i="154"/>
  <c r="R35" i="154"/>
  <c r="AO22" i="175"/>
  <c r="BO22" i="175" s="1"/>
  <c r="H19" i="3"/>
  <c r="AZ18" i="170"/>
  <c r="U179" i="257" s="1"/>
  <c r="K230" i="257"/>
  <c r="AZ18" i="176"/>
  <c r="U243" i="257" s="1"/>
  <c r="AY18" i="176"/>
  <c r="T243" i="257" s="1"/>
  <c r="AO20" i="176"/>
  <c r="BO20" i="176" s="1"/>
  <c r="K235" i="257"/>
  <c r="K228" i="257"/>
  <c r="BB186" i="257"/>
  <c r="AO18" i="169"/>
  <c r="BO18" i="169" s="1"/>
  <c r="BB187" i="257"/>
  <c r="BB185" i="257"/>
  <c r="K187" i="257"/>
  <c r="BB182" i="257"/>
  <c r="K188" i="257"/>
  <c r="BB164" i="257"/>
  <c r="H15" i="3"/>
  <c r="AJ23" i="154"/>
  <c r="AK23" i="154"/>
  <c r="AL23" i="154"/>
  <c r="BB165" i="257"/>
  <c r="BB171" i="257"/>
  <c r="H16" i="3"/>
  <c r="AE60" i="257"/>
  <c r="AO46" i="158"/>
  <c r="K169" i="257"/>
  <c r="K15" i="3"/>
  <c r="X12" i="163"/>
  <c r="BL200" i="163"/>
  <c r="AO20" i="158"/>
  <c r="AE71" i="257"/>
  <c r="K171" i="257"/>
  <c r="K24" i="3"/>
  <c r="K20" i="3"/>
  <c r="BB200" i="175"/>
  <c r="BA200" i="175"/>
  <c r="AJ33" i="154"/>
  <c r="H14" i="3"/>
  <c r="K25" i="3"/>
  <c r="BB200" i="169"/>
  <c r="BR18" i="176"/>
  <c r="BU18" i="176" s="1"/>
  <c r="BE200" i="158"/>
  <c r="K147" i="257"/>
  <c r="AK22" i="154"/>
  <c r="AJ22" i="154"/>
  <c r="AL22" i="154"/>
  <c r="BL200" i="161"/>
  <c r="BL200" i="159"/>
  <c r="K11" i="3"/>
  <c r="X12" i="159"/>
  <c r="K22" i="3"/>
  <c r="BG200" i="168"/>
  <c r="BB200" i="168"/>
  <c r="BA200" i="170"/>
  <c r="K19" i="3"/>
  <c r="AL33" i="154"/>
  <c r="AK33" i="154"/>
  <c r="I22" i="3"/>
  <c r="BA200" i="169"/>
  <c r="AK29" i="154"/>
  <c r="I19" i="3"/>
  <c r="AJ29" i="154"/>
  <c r="K23" i="3"/>
  <c r="BA200" i="168"/>
  <c r="BB200" i="170"/>
  <c r="AL29" i="154"/>
  <c r="J19" i="3"/>
  <c r="AK20" i="154"/>
  <c r="H12" i="3"/>
  <c r="AL20" i="154"/>
  <c r="AJ20" i="154"/>
  <c r="K243" i="257"/>
  <c r="B106" i="3"/>
  <c r="B158" i="3"/>
  <c r="B139" i="3"/>
  <c r="C121" i="3"/>
  <c r="B134" i="3"/>
  <c r="B128" i="3"/>
  <c r="B130" i="3"/>
  <c r="C112" i="3"/>
  <c r="C119" i="3"/>
  <c r="C79" i="3"/>
  <c r="C108" i="3"/>
  <c r="B124" i="3"/>
  <c r="B112" i="3"/>
  <c r="B162" i="3"/>
  <c r="B137" i="3"/>
  <c r="B155" i="3"/>
  <c r="C110" i="3"/>
  <c r="B122" i="3"/>
  <c r="B119" i="3"/>
  <c r="C140" i="3"/>
  <c r="C105" i="3"/>
  <c r="C133" i="3"/>
  <c r="B127" i="3"/>
  <c r="C131" i="3"/>
  <c r="C152" i="3"/>
  <c r="C159" i="3"/>
  <c r="B117" i="3"/>
  <c r="B79" i="3"/>
  <c r="C158" i="3"/>
  <c r="B153" i="3"/>
  <c r="C137" i="3"/>
  <c r="C162" i="3"/>
  <c r="C104" i="3"/>
  <c r="C156" i="3"/>
  <c r="C127" i="3"/>
  <c r="C129" i="3"/>
  <c r="C78" i="3"/>
  <c r="C126" i="3"/>
  <c r="C118" i="3"/>
  <c r="B152" i="3"/>
  <c r="C169" i="3"/>
  <c r="B110" i="3"/>
  <c r="B126" i="3"/>
  <c r="C132" i="3"/>
  <c r="C155" i="3"/>
  <c r="B133" i="3"/>
  <c r="C138" i="3"/>
  <c r="B125" i="3"/>
  <c r="B80" i="3"/>
  <c r="C134" i="3"/>
  <c r="C124" i="3"/>
  <c r="B123" i="3"/>
  <c r="B78" i="3"/>
  <c r="C136" i="3"/>
  <c r="B154" i="3"/>
  <c r="B135" i="3"/>
  <c r="B120" i="3"/>
  <c r="B118" i="3"/>
  <c r="C151" i="3"/>
  <c r="B107" i="3"/>
  <c r="B113" i="3"/>
  <c r="B108" i="3"/>
  <c r="C153" i="3"/>
  <c r="B138" i="3"/>
  <c r="B161" i="3"/>
  <c r="B140" i="3"/>
  <c r="B129" i="3"/>
  <c r="B159" i="3"/>
  <c r="C157" i="3"/>
  <c r="C128" i="3"/>
  <c r="C107" i="3"/>
  <c r="B169" i="3"/>
  <c r="C117" i="3"/>
  <c r="B141" i="3"/>
  <c r="C160" i="3"/>
  <c r="C80" i="3"/>
  <c r="B160" i="3"/>
  <c r="C139" i="3"/>
  <c r="B136" i="3"/>
  <c r="B168" i="3"/>
  <c r="C135" i="3"/>
  <c r="C120" i="3"/>
  <c r="B156" i="3"/>
  <c r="C111" i="3"/>
  <c r="C168" i="3"/>
  <c r="C122" i="3"/>
  <c r="B150" i="3"/>
  <c r="B157" i="3"/>
  <c r="C123" i="3"/>
  <c r="C150" i="3"/>
  <c r="B104" i="3"/>
  <c r="C141" i="3"/>
  <c r="C125" i="3"/>
  <c r="BK18" i="170" l="1"/>
  <c r="BN18" i="170" s="1"/>
  <c r="H22" i="3"/>
  <c r="J204" i="257"/>
  <c r="AJ155" i="257"/>
  <c r="AK155" i="257"/>
  <c r="AL155" i="257"/>
  <c r="AJ154" i="257"/>
  <c r="AK154" i="257"/>
  <c r="AL154" i="257"/>
  <c r="AK153" i="257"/>
  <c r="AL153" i="257"/>
  <c r="AJ153" i="257"/>
  <c r="AL151" i="257"/>
  <c r="AJ151" i="257"/>
  <c r="AK151" i="257"/>
  <c r="AJ152" i="257"/>
  <c r="AK152" i="257"/>
  <c r="AL152" i="257"/>
  <c r="AJ156" i="257"/>
  <c r="AK156" i="257"/>
  <c r="AL156" i="257"/>
  <c r="AJ150" i="257"/>
  <c r="AK150" i="257"/>
  <c r="AL150" i="257"/>
  <c r="AJ149" i="257"/>
  <c r="AK149" i="257"/>
  <c r="AL149" i="257"/>
  <c r="AJ119" i="257"/>
  <c r="AK119" i="257"/>
  <c r="AL119" i="257"/>
  <c r="AJ141" i="257"/>
  <c r="AK141" i="257"/>
  <c r="AL141" i="257"/>
  <c r="AK122" i="257"/>
  <c r="AL122" i="257"/>
  <c r="AJ122" i="257"/>
  <c r="AK134" i="257"/>
  <c r="AL134" i="257"/>
  <c r="AJ134" i="257"/>
  <c r="AL125" i="257"/>
  <c r="AJ125" i="257"/>
  <c r="AK125" i="257"/>
  <c r="AJ118" i="257"/>
  <c r="AK118" i="257"/>
  <c r="AL118" i="257"/>
  <c r="AJ128" i="257"/>
  <c r="AK128" i="257"/>
  <c r="AL128" i="257"/>
  <c r="AJ121" i="257"/>
  <c r="AK121" i="257"/>
  <c r="AL121" i="257"/>
  <c r="AJ130" i="257"/>
  <c r="AK130" i="257"/>
  <c r="AL130" i="257"/>
  <c r="AJ129" i="257"/>
  <c r="AK129" i="257"/>
  <c r="AL129" i="257"/>
  <c r="AJ124" i="257"/>
  <c r="AK124" i="257"/>
  <c r="AL124" i="257"/>
  <c r="AJ145" i="257"/>
  <c r="AK145" i="257"/>
  <c r="AL145" i="257"/>
  <c r="AJ131" i="257"/>
  <c r="AK131" i="257"/>
  <c r="AL131" i="257"/>
  <c r="AJ143" i="257"/>
  <c r="AK143" i="257"/>
  <c r="AL143" i="257"/>
  <c r="AJ138" i="257"/>
  <c r="AK138" i="257"/>
  <c r="AL138" i="257"/>
  <c r="AL139" i="257"/>
  <c r="AJ139" i="257"/>
  <c r="AK139" i="257"/>
  <c r="AJ126" i="257"/>
  <c r="AK126" i="257"/>
  <c r="AL126" i="257"/>
  <c r="AJ140" i="257"/>
  <c r="AK140" i="257"/>
  <c r="AL140" i="257"/>
  <c r="AK120" i="257"/>
  <c r="AJ120" i="257"/>
  <c r="AL120" i="257"/>
  <c r="AJ123" i="257"/>
  <c r="AK123" i="257"/>
  <c r="AL123" i="257"/>
  <c r="AJ137" i="257"/>
  <c r="AK137" i="257"/>
  <c r="AL137" i="257"/>
  <c r="AJ142" i="257"/>
  <c r="AK142" i="257"/>
  <c r="AL142" i="257"/>
  <c r="AL127" i="257"/>
  <c r="AJ127" i="257"/>
  <c r="AK127" i="257"/>
  <c r="AJ135" i="257"/>
  <c r="AK135" i="257"/>
  <c r="AL135" i="257"/>
  <c r="AK144" i="257"/>
  <c r="AJ144" i="257"/>
  <c r="AL144" i="257"/>
  <c r="AK132" i="257"/>
  <c r="AJ132" i="257"/>
  <c r="AL132" i="257"/>
  <c r="AJ117" i="257"/>
  <c r="AK117" i="257"/>
  <c r="AL117" i="257"/>
  <c r="AJ133" i="257"/>
  <c r="AK133" i="257"/>
  <c r="AL133" i="257"/>
  <c r="AJ136" i="257"/>
  <c r="AK136" i="257"/>
  <c r="AL136" i="257"/>
  <c r="BO46" i="158"/>
  <c r="BV46" i="158"/>
  <c r="BO20" i="158"/>
  <c r="BV20" i="158"/>
  <c r="AA35" i="257" a="1"/>
  <c r="AA35" i="257" s="1"/>
  <c r="BV18" i="159"/>
  <c r="AY20" i="176"/>
  <c r="T244" i="257" s="1"/>
  <c r="AZ20" i="176"/>
  <c r="BR20" i="176"/>
  <c r="BU20" i="176" s="1"/>
  <c r="AY22" i="175"/>
  <c r="T229" i="257" s="1"/>
  <c r="AZ22" i="175"/>
  <c r="U229" i="257" s="1"/>
  <c r="K229" i="257"/>
  <c r="BR22" i="175"/>
  <c r="BU22" i="175" s="1"/>
  <c r="B17" i="257"/>
  <c r="C84" i="257" a="1"/>
  <c r="C84" i="257" s="1"/>
  <c r="F84" i="257" s="1" a="1"/>
  <c r="F84" i="257" s="1"/>
  <c r="B55" i="257"/>
  <c r="B53" i="257"/>
  <c r="B11" i="257"/>
  <c r="B75" i="257"/>
  <c r="B92" i="257"/>
  <c r="B58" i="257"/>
  <c r="B8" i="257"/>
  <c r="B77" i="257"/>
  <c r="B54" i="257"/>
  <c r="B89" i="257"/>
  <c r="B102" i="257"/>
  <c r="B91" i="257"/>
  <c r="B103" i="257"/>
  <c r="B87" i="257"/>
  <c r="B73" i="257"/>
  <c r="B56" i="257"/>
  <c r="B69" i="257"/>
  <c r="B108" i="257"/>
  <c r="B59" i="257"/>
  <c r="B57" i="257"/>
  <c r="B16" i="257"/>
  <c r="B105" i="257"/>
  <c r="B104" i="257"/>
  <c r="B107" i="257"/>
  <c r="B88" i="257"/>
  <c r="B12" i="257"/>
  <c r="B76" i="257"/>
  <c r="C37" i="257" a="1"/>
  <c r="C37" i="257" s="1"/>
  <c r="F37" i="257" s="1" a="1"/>
  <c r="F37" i="257" s="1"/>
  <c r="B44" i="257"/>
  <c r="B15" i="257"/>
  <c r="B101" i="257"/>
  <c r="B13" i="257"/>
  <c r="B72" i="257"/>
  <c r="B90" i="257"/>
  <c r="C86" i="257" a="1"/>
  <c r="C86" i="257" s="1"/>
  <c r="F86" i="257" s="1" a="1"/>
  <c r="F86" i="257" s="1"/>
  <c r="B106" i="257"/>
  <c r="B10" i="257"/>
  <c r="B74" i="257"/>
  <c r="B93" i="257"/>
  <c r="B70" i="257"/>
  <c r="B109" i="257"/>
  <c r="AK50" i="81"/>
  <c r="AK51" i="81"/>
  <c r="AT245" i="257" a="1"/>
  <c r="AT245" i="257" s="1"/>
  <c r="AS245" i="257"/>
  <c r="AT232" i="257" a="1"/>
  <c r="AT232" i="257" s="1"/>
  <c r="AS232" i="257"/>
  <c r="AT236" i="257" a="1"/>
  <c r="AT236" i="257" s="1"/>
  <c r="AS236" i="257"/>
  <c r="AT234" i="257" a="1"/>
  <c r="AT234" i="257" s="1"/>
  <c r="AS234" i="257"/>
  <c r="AT231" i="257" a="1"/>
  <c r="AT231" i="257" s="1"/>
  <c r="AS231" i="257"/>
  <c r="AT186" i="257" a="1"/>
  <c r="AT186" i="257" s="1"/>
  <c r="AS186" i="257"/>
  <c r="AT182" i="257" a="1"/>
  <c r="AT182" i="257" s="1"/>
  <c r="AS182" i="257"/>
  <c r="AT185" i="257" a="1"/>
  <c r="AT185" i="257" s="1"/>
  <c r="AS185" i="257"/>
  <c r="AT187" i="257" a="1"/>
  <c r="AT187" i="257" s="1"/>
  <c r="AS187" i="257"/>
  <c r="AT164" i="257" a="1"/>
  <c r="AT164" i="257" s="1"/>
  <c r="AS164" i="257"/>
  <c r="AT171" i="257" a="1"/>
  <c r="AT171" i="257" s="1"/>
  <c r="AS171" i="257"/>
  <c r="AT165" i="257" a="1"/>
  <c r="AT165" i="257" s="1"/>
  <c r="AS165" i="257"/>
  <c r="AE245" i="257"/>
  <c r="AR245" i="257"/>
  <c r="AE232" i="257"/>
  <c r="AR232" i="257"/>
  <c r="AE236" i="257"/>
  <c r="AR236" i="257"/>
  <c r="AE234" i="257"/>
  <c r="AR234" i="257"/>
  <c r="AE231" i="257"/>
  <c r="AR231" i="257"/>
  <c r="AE186" i="257"/>
  <c r="AR186" i="257"/>
  <c r="AE185" i="257"/>
  <c r="AR185" i="257"/>
  <c r="AE182" i="257"/>
  <c r="AR182" i="257"/>
  <c r="AE187" i="257"/>
  <c r="AR187" i="257"/>
  <c r="AE164" i="257"/>
  <c r="AR164" i="257"/>
  <c r="AE165" i="257"/>
  <c r="AR165" i="257"/>
  <c r="AE171" i="257"/>
  <c r="AR171" i="257"/>
  <c r="AC245" i="257" a="1"/>
  <c r="AC245" i="257" s="1"/>
  <c r="AD245" i="257" a="1"/>
  <c r="AD245" i="257" s="1"/>
  <c r="AC236" i="257" a="1"/>
  <c r="AC236" i="257" s="1"/>
  <c r="AD236" i="257" a="1"/>
  <c r="AD236" i="257" s="1"/>
  <c r="AC234" i="257" a="1"/>
  <c r="AC234" i="257" s="1"/>
  <c r="AD234" i="257" a="1"/>
  <c r="AD234" i="257" s="1"/>
  <c r="AC231" i="257" a="1"/>
  <c r="AC231" i="257" s="1"/>
  <c r="AD231" i="257" a="1"/>
  <c r="AD231" i="257" s="1"/>
  <c r="AC232" i="257" a="1"/>
  <c r="AC232" i="257" s="1"/>
  <c r="AD232" i="257" a="1"/>
  <c r="AD232" i="257" s="1"/>
  <c r="AC182" i="257" a="1"/>
  <c r="AC182" i="257" s="1"/>
  <c r="AD182" i="257" a="1"/>
  <c r="AD182" i="257" s="1"/>
  <c r="AC185" i="257" a="1"/>
  <c r="AC185" i="257" s="1"/>
  <c r="AD185" i="257" a="1"/>
  <c r="AD185" i="257" s="1"/>
  <c r="AD187" i="257" a="1"/>
  <c r="AD187" i="257" s="1"/>
  <c r="AC187" i="257" a="1"/>
  <c r="AC187" i="257" s="1"/>
  <c r="AC186" i="257" a="1"/>
  <c r="AC186" i="257" s="1"/>
  <c r="AD186" i="257" a="1"/>
  <c r="AD186" i="257" s="1"/>
  <c r="AD171" i="257" a="1"/>
  <c r="AD171" i="257" s="1"/>
  <c r="AC171" i="257" a="1"/>
  <c r="AC171" i="257" s="1"/>
  <c r="AD164" i="257" a="1"/>
  <c r="AD164" i="257" s="1"/>
  <c r="AC164" i="257" a="1"/>
  <c r="AC164" i="257" s="1"/>
  <c r="AC165" i="257" a="1"/>
  <c r="AC165" i="257" s="1"/>
  <c r="AD165" i="257" a="1"/>
  <c r="AD165" i="257" s="1"/>
  <c r="AF245" i="257"/>
  <c r="AG245" i="257" a="1"/>
  <c r="AG245" i="257" s="1"/>
  <c r="AF231" i="257"/>
  <c r="AG231" i="257" a="1"/>
  <c r="AG231" i="257" s="1"/>
  <c r="AF232" i="257"/>
  <c r="AG232" i="257" a="1"/>
  <c r="AG232" i="257" s="1"/>
  <c r="AF236" i="257"/>
  <c r="AG236" i="257" a="1"/>
  <c r="AG236" i="257" s="1"/>
  <c r="AF234" i="257"/>
  <c r="AG234" i="257" a="1"/>
  <c r="AG234" i="257" s="1"/>
  <c r="AF185" i="257"/>
  <c r="AG185" i="257" a="1"/>
  <c r="AG185" i="257" s="1"/>
  <c r="AF187" i="257"/>
  <c r="AG187" i="257" a="1"/>
  <c r="AG187" i="257" s="1"/>
  <c r="AF186" i="257"/>
  <c r="AG186" i="257" a="1"/>
  <c r="AG186" i="257" s="1"/>
  <c r="AF182" i="257"/>
  <c r="AG182" i="257" a="1"/>
  <c r="AG182" i="257" s="1"/>
  <c r="AF164" i="257"/>
  <c r="AG164" i="257" a="1"/>
  <c r="AG164" i="257" s="1"/>
  <c r="AF165" i="257"/>
  <c r="AG165" i="257" a="1"/>
  <c r="AG165" i="257" s="1"/>
  <c r="AF171" i="257"/>
  <c r="AG171" i="257" a="1"/>
  <c r="AG171" i="257" s="1"/>
  <c r="B213" i="257"/>
  <c r="B220" i="257"/>
  <c r="B216" i="257"/>
  <c r="B214" i="257"/>
  <c r="B202" i="257"/>
  <c r="B166" i="257"/>
  <c r="B198" i="257"/>
  <c r="B196" i="257"/>
  <c r="B197" i="257"/>
  <c r="B204" i="257"/>
  <c r="B200" i="257"/>
  <c r="B172" i="257"/>
  <c r="B168" i="257"/>
  <c r="B218" i="257"/>
  <c r="B219" i="257"/>
  <c r="B201" i="257"/>
  <c r="B215" i="257"/>
  <c r="B199" i="257"/>
  <c r="B246" i="257"/>
  <c r="B212" i="257"/>
  <c r="B203" i="257"/>
  <c r="B217" i="257"/>
  <c r="K183" i="257"/>
  <c r="AB35" i="257" a="1"/>
  <c r="AB35" i="257" s="1"/>
  <c r="K203" i="257"/>
  <c r="K217" i="257"/>
  <c r="K116" i="257"/>
  <c r="K172" i="257"/>
  <c r="K196" i="257"/>
  <c r="K220" i="257"/>
  <c r="K219" i="257"/>
  <c r="K215" i="257"/>
  <c r="K218" i="257"/>
  <c r="K168" i="257"/>
  <c r="H26" i="3"/>
  <c r="J249" i="257"/>
  <c r="K197" i="257"/>
  <c r="K199" i="257"/>
  <c r="K213" i="257"/>
  <c r="K212" i="257"/>
  <c r="K204" i="257"/>
  <c r="K170" i="257"/>
  <c r="K200" i="257"/>
  <c r="K216" i="257"/>
  <c r="K201" i="257"/>
  <c r="K165" i="257"/>
  <c r="K198" i="257"/>
  <c r="AE68" i="257"/>
  <c r="K202" i="257"/>
  <c r="K214" i="257"/>
  <c r="BB202" i="257"/>
  <c r="BB218" i="257"/>
  <c r="AQ182" i="257"/>
  <c r="AP182" i="257"/>
  <c r="BA182" i="257"/>
  <c r="AZ182" i="257"/>
  <c r="AY182" i="257"/>
  <c r="AW182" i="257"/>
  <c r="AV182" i="257"/>
  <c r="BB233" i="257"/>
  <c r="AQ232" i="257"/>
  <c r="AP232" i="257"/>
  <c r="BA232" i="257"/>
  <c r="AZ232" i="257"/>
  <c r="AY232" i="257"/>
  <c r="AW232" i="257"/>
  <c r="AV232" i="257"/>
  <c r="AY185" i="257"/>
  <c r="AW185" i="257"/>
  <c r="AV185" i="257"/>
  <c r="AQ185" i="257"/>
  <c r="AP185" i="257"/>
  <c r="BA185" i="257"/>
  <c r="AZ185" i="257"/>
  <c r="BB197" i="257"/>
  <c r="BA187" i="257"/>
  <c r="AZ187" i="257"/>
  <c r="AY187" i="257"/>
  <c r="AW187" i="257"/>
  <c r="AV187" i="257"/>
  <c r="AQ187" i="257"/>
  <c r="AP187" i="257"/>
  <c r="BB199" i="257"/>
  <c r="BB220" i="257"/>
  <c r="BB235" i="257"/>
  <c r="BB172" i="257"/>
  <c r="BB217" i="257"/>
  <c r="BB214" i="257"/>
  <c r="BB170" i="257"/>
  <c r="BB183" i="257"/>
  <c r="BB230" i="257"/>
  <c r="BB213" i="257"/>
  <c r="AQ164" i="257"/>
  <c r="AP164" i="257"/>
  <c r="AY164" i="257"/>
  <c r="BA164" i="257"/>
  <c r="AZ164" i="257"/>
  <c r="AW164" i="257"/>
  <c r="AV164" i="257"/>
  <c r="BB167" i="257"/>
  <c r="BB188" i="257"/>
  <c r="BB168" i="257"/>
  <c r="AQ236" i="257"/>
  <c r="AP236" i="257"/>
  <c r="BA236" i="257"/>
  <c r="AZ236" i="257"/>
  <c r="AY236" i="257"/>
  <c r="AW236" i="257"/>
  <c r="AV236" i="257"/>
  <c r="BB203" i="257"/>
  <c r="BB246" i="257"/>
  <c r="BA234" i="257"/>
  <c r="AZ234" i="257"/>
  <c r="AY234" i="257"/>
  <c r="AW234" i="257"/>
  <c r="AV234" i="257"/>
  <c r="AQ234" i="257"/>
  <c r="AP234" i="257"/>
  <c r="BB166" i="257"/>
  <c r="BB200" i="257"/>
  <c r="AZ231" i="257"/>
  <c r="AY231" i="257"/>
  <c r="AW231" i="257"/>
  <c r="AV231" i="257"/>
  <c r="AQ231" i="257"/>
  <c r="AP231" i="257"/>
  <c r="BA231" i="257"/>
  <c r="BB228" i="257"/>
  <c r="AQ245" i="257"/>
  <c r="AP245" i="257"/>
  <c r="BA245" i="257"/>
  <c r="AZ245" i="257"/>
  <c r="AY245" i="257"/>
  <c r="AW245" i="257"/>
  <c r="AV245" i="257"/>
  <c r="BB196" i="257"/>
  <c r="BB219" i="257"/>
  <c r="BB216" i="257"/>
  <c r="BB184" i="257"/>
  <c r="AQ186" i="257"/>
  <c r="AP186" i="257"/>
  <c r="BA186" i="257"/>
  <c r="AZ186" i="257"/>
  <c r="AY186" i="257"/>
  <c r="AW186" i="257"/>
  <c r="AV186" i="257"/>
  <c r="BB198" i="257"/>
  <c r="BB180" i="257"/>
  <c r="BB169" i="257"/>
  <c r="BB212" i="257"/>
  <c r="BB204" i="257"/>
  <c r="BA165" i="257"/>
  <c r="AZ165" i="257"/>
  <c r="AY165" i="257"/>
  <c r="AW165" i="257"/>
  <c r="AV165" i="257"/>
  <c r="AQ165" i="257"/>
  <c r="AP165" i="257"/>
  <c r="BB215" i="257"/>
  <c r="BA171" i="257"/>
  <c r="AY171" i="257"/>
  <c r="AW171" i="257"/>
  <c r="AV171" i="257"/>
  <c r="AQ171" i="257"/>
  <c r="AZ171" i="257"/>
  <c r="AP171" i="257"/>
  <c r="BB201" i="257"/>
  <c r="AM13" i="171"/>
  <c r="AY200" i="171"/>
  <c r="AZ18" i="13"/>
  <c r="U211" i="257" s="1"/>
  <c r="AY18" i="13"/>
  <c r="T211" i="257" s="1"/>
  <c r="BR18" i="13"/>
  <c r="BU18" i="13" s="1"/>
  <c r="AM13" i="13" s="1"/>
  <c r="BU18" i="159"/>
  <c r="AM13" i="159" s="1"/>
  <c r="AR18" i="160"/>
  <c r="AE18" i="257"/>
  <c r="AY200" i="170"/>
  <c r="K29" i="3"/>
  <c r="AR36" i="160"/>
  <c r="K163" i="257"/>
  <c r="AZ18" i="169"/>
  <c r="U163" i="257" s="1"/>
  <c r="AK34" i="154"/>
  <c r="AL34" i="154"/>
  <c r="AL32" i="154"/>
  <c r="I24" i="3"/>
  <c r="AJ32" i="154"/>
  <c r="H10" i="3"/>
  <c r="AK32" i="154"/>
  <c r="D153" i="3"/>
  <c r="D154" i="3"/>
  <c r="D159" i="3"/>
  <c r="D161" i="3"/>
  <c r="D156" i="3"/>
  <c r="D157" i="3"/>
  <c r="D158" i="3"/>
  <c r="D162" i="3"/>
  <c r="D155" i="3"/>
  <c r="D152" i="3"/>
  <c r="D160" i="3"/>
  <c r="D150" i="3"/>
  <c r="D135" i="3"/>
  <c r="D141" i="3"/>
  <c r="D129" i="3"/>
  <c r="D137" i="3"/>
  <c r="D139" i="3"/>
  <c r="D133" i="3"/>
  <c r="D140" i="3"/>
  <c r="D134" i="3"/>
  <c r="D128" i="3"/>
  <c r="D136" i="3"/>
  <c r="D130" i="3"/>
  <c r="D138" i="3"/>
  <c r="D127" i="3"/>
  <c r="D122" i="3"/>
  <c r="D126" i="3"/>
  <c r="D125" i="3"/>
  <c r="D119" i="3"/>
  <c r="D117" i="3"/>
  <c r="D118" i="3"/>
  <c r="D120" i="3"/>
  <c r="D123" i="3"/>
  <c r="D124" i="3"/>
  <c r="D112" i="3"/>
  <c r="D106" i="3"/>
  <c r="D108" i="3"/>
  <c r="D110" i="3"/>
  <c r="D113" i="3"/>
  <c r="D107" i="3"/>
  <c r="D104" i="3"/>
  <c r="D78" i="3"/>
  <c r="D79" i="3"/>
  <c r="D80" i="3"/>
  <c r="I23" i="3"/>
  <c r="AJ34" i="154"/>
  <c r="AL35" i="154"/>
  <c r="AK35" i="154"/>
  <c r="AJ35" i="154"/>
  <c r="K244" i="257"/>
  <c r="I25" i="3"/>
  <c r="BR18" i="169"/>
  <c r="BU18" i="169" s="1"/>
  <c r="AY18" i="169"/>
  <c r="T163" i="257" s="1"/>
  <c r="I20" i="3"/>
  <c r="AJ30" i="154"/>
  <c r="AK30" i="154"/>
  <c r="AL30" i="154"/>
  <c r="U244" i="257"/>
  <c r="BG18" i="169"/>
  <c r="BK18" i="169" s="1"/>
  <c r="BN18" i="169" s="1"/>
  <c r="N15" i="3"/>
  <c r="L15" i="3"/>
  <c r="AM23" i="154"/>
  <c r="M15" i="3"/>
  <c r="O15" i="3"/>
  <c r="AB12" i="163"/>
  <c r="T12" i="163"/>
  <c r="X12" i="182"/>
  <c r="BL200" i="182"/>
  <c r="K16" i="3"/>
  <c r="BF200" i="158"/>
  <c r="N11" i="3"/>
  <c r="BY30" i="176"/>
  <c r="BR18" i="170"/>
  <c r="AL31" i="154"/>
  <c r="AJ31" i="154"/>
  <c r="AK31" i="154"/>
  <c r="BG200" i="176"/>
  <c r="BL200" i="162"/>
  <c r="K14" i="3"/>
  <c r="X12" i="162"/>
  <c r="T12" i="161"/>
  <c r="AB12" i="161"/>
  <c r="L11" i="3"/>
  <c r="AB12" i="159"/>
  <c r="AM19" i="154"/>
  <c r="M11" i="3"/>
  <c r="T12" i="159"/>
  <c r="O11" i="3"/>
  <c r="K12" i="3"/>
  <c r="X12" i="160"/>
  <c r="BL200" i="160"/>
  <c r="C154" i="3"/>
  <c r="B105" i="3"/>
  <c r="C161" i="3"/>
  <c r="C130" i="3"/>
  <c r="B132" i="3"/>
  <c r="C109" i="3"/>
  <c r="B151" i="3"/>
  <c r="B111" i="3"/>
  <c r="B131" i="3"/>
  <c r="C106" i="3"/>
  <c r="C113" i="3"/>
  <c r="B121" i="3"/>
  <c r="B109" i="3"/>
  <c r="AJ245" i="257" l="1"/>
  <c r="AK245" i="257"/>
  <c r="AL245" i="257"/>
  <c r="AL236" i="257"/>
  <c r="AJ236" i="257"/>
  <c r="AK236" i="257"/>
  <c r="AK231" i="257"/>
  <c r="AJ231" i="257"/>
  <c r="AL231" i="257"/>
  <c r="AJ234" i="257"/>
  <c r="AK234" i="257"/>
  <c r="AL234" i="257"/>
  <c r="AJ232" i="257"/>
  <c r="AK232" i="257"/>
  <c r="AL232" i="257"/>
  <c r="AK185" i="257"/>
  <c r="AL185" i="257"/>
  <c r="AJ185" i="257"/>
  <c r="AJ186" i="257"/>
  <c r="AK186" i="257"/>
  <c r="AL186" i="257"/>
  <c r="AJ182" i="257"/>
  <c r="AK182" i="257"/>
  <c r="AL182" i="257"/>
  <c r="AJ187" i="257"/>
  <c r="AK187" i="257"/>
  <c r="AL187" i="257"/>
  <c r="AJ164" i="257"/>
  <c r="AK164" i="257"/>
  <c r="AL164" i="257"/>
  <c r="AJ171" i="257"/>
  <c r="AK171" i="257"/>
  <c r="AL171" i="257"/>
  <c r="AJ165" i="257"/>
  <c r="AK165" i="257"/>
  <c r="AL165" i="257"/>
  <c r="BU36" i="160"/>
  <c r="BV36" i="160"/>
  <c r="AA51" i="257" a="1"/>
  <c r="AA51" i="257" s="1"/>
  <c r="BV18" i="160"/>
  <c r="AA60" i="257" a="1"/>
  <c r="AA60" i="257" s="1"/>
  <c r="B37" i="257"/>
  <c r="B86" i="257"/>
  <c r="C36" i="257" a="1"/>
  <c r="C36" i="257" s="1"/>
  <c r="F36" i="257" s="1" a="1"/>
  <c r="F36" i="257" s="1"/>
  <c r="C52" i="257" a="1"/>
  <c r="C52" i="257" s="1"/>
  <c r="F52" i="257" s="1" a="1"/>
  <c r="F52" i="257" s="1"/>
  <c r="B84" i="257"/>
  <c r="AT246" i="257" a="1"/>
  <c r="AT246" i="257" s="1"/>
  <c r="AS246" i="257"/>
  <c r="AT228" i="257" a="1"/>
  <c r="AT228" i="257" s="1"/>
  <c r="AS228" i="257"/>
  <c r="AT230" i="257" a="1"/>
  <c r="AT230" i="257" s="1"/>
  <c r="AS230" i="257"/>
  <c r="AT233" i="257" a="1"/>
  <c r="AT233" i="257" s="1"/>
  <c r="AS233" i="257"/>
  <c r="AT235" i="257" a="1"/>
  <c r="AT235" i="257" s="1"/>
  <c r="AS235" i="257"/>
  <c r="AT212" i="257" a="1"/>
  <c r="AT212" i="257" s="1"/>
  <c r="AS212" i="257"/>
  <c r="AT213" i="257" a="1"/>
  <c r="AT213" i="257" s="1"/>
  <c r="AS213" i="257"/>
  <c r="AT217" i="257" a="1"/>
  <c r="AT217" i="257" s="1"/>
  <c r="AS217" i="257"/>
  <c r="AT220" i="257" a="1"/>
  <c r="AT220" i="257" s="1"/>
  <c r="AS220" i="257"/>
  <c r="AT215" i="257" a="1"/>
  <c r="AT215" i="257" s="1"/>
  <c r="AS215" i="257"/>
  <c r="AT214" i="257" a="1"/>
  <c r="AT214" i="257" s="1"/>
  <c r="AS214" i="257"/>
  <c r="AT216" i="257" a="1"/>
  <c r="AT216" i="257" s="1"/>
  <c r="AS216" i="257"/>
  <c r="AT218" i="257" a="1"/>
  <c r="AT218" i="257" s="1"/>
  <c r="AS218" i="257"/>
  <c r="AT219" i="257" a="1"/>
  <c r="AT219" i="257" s="1"/>
  <c r="AS219" i="257"/>
  <c r="AT202" i="257" a="1"/>
  <c r="AT202" i="257" s="1"/>
  <c r="AS202" i="257"/>
  <c r="AT203" i="257" a="1"/>
  <c r="AT203" i="257" s="1"/>
  <c r="AS203" i="257"/>
  <c r="AT204" i="257" a="1"/>
  <c r="AT204" i="257" s="1"/>
  <c r="AS204" i="257"/>
  <c r="AT199" i="257" a="1"/>
  <c r="AT199" i="257" s="1"/>
  <c r="AS199" i="257"/>
  <c r="AT197" i="257" a="1"/>
  <c r="AT197" i="257" s="1"/>
  <c r="AS197" i="257"/>
  <c r="AT200" i="257" a="1"/>
  <c r="AT200" i="257" s="1"/>
  <c r="AS200" i="257"/>
  <c r="AT201" i="257" a="1"/>
  <c r="AT201" i="257" s="1"/>
  <c r="AS201" i="257"/>
  <c r="AT198" i="257" a="1"/>
  <c r="AT198" i="257" s="1"/>
  <c r="AS198" i="257"/>
  <c r="AT196" i="257" a="1"/>
  <c r="AT196" i="257" s="1"/>
  <c r="AS196" i="257"/>
  <c r="AT180" i="257" a="1"/>
  <c r="AT180" i="257" s="1"/>
  <c r="AS180" i="257"/>
  <c r="AT184" i="257" a="1"/>
  <c r="AT184" i="257" s="1"/>
  <c r="AS184" i="257"/>
  <c r="AT183" i="257" a="1"/>
  <c r="AT183" i="257" s="1"/>
  <c r="AS183" i="257"/>
  <c r="AT188" i="257" a="1"/>
  <c r="AT188" i="257" s="1"/>
  <c r="AS188" i="257"/>
  <c r="AT166" i="257" a="1"/>
  <c r="AT166" i="257" s="1"/>
  <c r="AS166" i="257"/>
  <c r="AT168" i="257" a="1"/>
  <c r="AT168" i="257" s="1"/>
  <c r="AS168" i="257"/>
  <c r="AT169" i="257" a="1"/>
  <c r="AT169" i="257" s="1"/>
  <c r="AS169" i="257"/>
  <c r="AT167" i="257" a="1"/>
  <c r="AT167" i="257" s="1"/>
  <c r="AS167" i="257"/>
  <c r="AT172" i="257" a="1"/>
  <c r="AT172" i="257" s="1"/>
  <c r="AS172" i="257"/>
  <c r="AT170" i="257" a="1"/>
  <c r="AT170" i="257" s="1"/>
  <c r="AS170" i="257"/>
  <c r="AE246" i="257"/>
  <c r="AR246" i="257"/>
  <c r="AE230" i="257"/>
  <c r="AR230" i="257"/>
  <c r="AE235" i="257"/>
  <c r="AR235" i="257"/>
  <c r="AE233" i="257"/>
  <c r="AR233" i="257"/>
  <c r="AE228" i="257"/>
  <c r="AR228" i="257"/>
  <c r="AE212" i="257"/>
  <c r="AR212" i="257"/>
  <c r="AE213" i="257"/>
  <c r="AR213" i="257"/>
  <c r="AE214" i="257"/>
  <c r="AR214" i="257"/>
  <c r="AE217" i="257"/>
  <c r="AR217" i="257"/>
  <c r="AE218" i="257"/>
  <c r="AR218" i="257"/>
  <c r="AE215" i="257"/>
  <c r="AR215" i="257"/>
  <c r="AE220" i="257"/>
  <c r="AR220" i="257"/>
  <c r="AE216" i="257"/>
  <c r="AR216" i="257"/>
  <c r="AE219" i="257"/>
  <c r="AR219" i="257"/>
  <c r="AE196" i="257"/>
  <c r="AR196" i="257"/>
  <c r="AE197" i="257"/>
  <c r="AR197" i="257"/>
  <c r="AE204" i="257"/>
  <c r="AR204" i="257"/>
  <c r="AE201" i="257"/>
  <c r="AR201" i="257"/>
  <c r="AE198" i="257"/>
  <c r="AR198" i="257"/>
  <c r="AE203" i="257"/>
  <c r="AR203" i="257"/>
  <c r="AE202" i="257"/>
  <c r="AR202" i="257"/>
  <c r="AE200" i="257"/>
  <c r="AR200" i="257"/>
  <c r="AE199" i="257"/>
  <c r="AR199" i="257"/>
  <c r="AE180" i="257"/>
  <c r="AR180" i="257"/>
  <c r="AE184" i="257"/>
  <c r="AR184" i="257"/>
  <c r="AE188" i="257"/>
  <c r="AR188" i="257"/>
  <c r="AE183" i="257"/>
  <c r="AR183" i="257"/>
  <c r="AE166" i="257"/>
  <c r="AR166" i="257"/>
  <c r="AE169" i="257"/>
  <c r="AR169" i="257"/>
  <c r="AE170" i="257"/>
  <c r="AR170" i="257"/>
  <c r="AE168" i="257"/>
  <c r="AR168" i="257"/>
  <c r="AE167" i="257"/>
  <c r="AR167" i="257"/>
  <c r="AE172" i="257"/>
  <c r="AR172" i="257"/>
  <c r="AD246" i="257" a="1"/>
  <c r="AD246" i="257" s="1"/>
  <c r="AC246" i="257" a="1"/>
  <c r="AC246" i="257" s="1"/>
  <c r="AC230" i="257" a="1"/>
  <c r="AC230" i="257" s="1"/>
  <c r="AD230" i="257" a="1"/>
  <c r="AD230" i="257" s="1"/>
  <c r="AC228" i="257" a="1"/>
  <c r="AC228" i="257" s="1"/>
  <c r="AD228" i="257" a="1"/>
  <c r="AD228" i="257" s="1"/>
  <c r="AC235" i="257" a="1"/>
  <c r="AC235" i="257" s="1"/>
  <c r="AD235" i="257" a="1"/>
  <c r="AD235" i="257" s="1"/>
  <c r="AC233" i="257" a="1"/>
  <c r="AC233" i="257" s="1"/>
  <c r="AD233" i="257" a="1"/>
  <c r="AD233" i="257" s="1"/>
  <c r="AD218" i="257" a="1"/>
  <c r="AD218" i="257" s="1"/>
  <c r="AC218" i="257" a="1"/>
  <c r="AC218" i="257" s="1"/>
  <c r="AC216" i="257" a="1"/>
  <c r="AC216" i="257" s="1"/>
  <c r="AD216" i="257" a="1"/>
  <c r="AD216" i="257" s="1"/>
  <c r="AC220" i="257" a="1"/>
  <c r="AC220" i="257" s="1"/>
  <c r="AD220" i="257" a="1"/>
  <c r="AD220" i="257" s="1"/>
  <c r="AC219" i="257" a="1"/>
  <c r="AC219" i="257" s="1"/>
  <c r="AD219" i="257" a="1"/>
  <c r="AD219" i="257" s="1"/>
  <c r="AC212" i="257" a="1"/>
  <c r="AC212" i="257" s="1"/>
  <c r="AD212" i="257" a="1"/>
  <c r="AD212" i="257" s="1"/>
  <c r="AD215" i="257" a="1"/>
  <c r="AD215" i="257" s="1"/>
  <c r="AC215" i="257" a="1"/>
  <c r="AC215" i="257" s="1"/>
  <c r="AC213" i="257" a="1"/>
  <c r="AC213" i="257" s="1"/>
  <c r="AD213" i="257" a="1"/>
  <c r="AD213" i="257" s="1"/>
  <c r="AC214" i="257" a="1"/>
  <c r="AC214" i="257" s="1"/>
  <c r="AD214" i="257" a="1"/>
  <c r="AD214" i="257" s="1"/>
  <c r="AC217" i="257" a="1"/>
  <c r="AC217" i="257" s="1"/>
  <c r="AD217" i="257" a="1"/>
  <c r="AD217" i="257" s="1"/>
  <c r="AD198" i="257" a="1"/>
  <c r="AD198" i="257" s="1"/>
  <c r="AC198" i="257" a="1"/>
  <c r="AC198" i="257" s="1"/>
  <c r="AD203" i="257" a="1"/>
  <c r="AD203" i="257" s="1"/>
  <c r="AC203" i="257" a="1"/>
  <c r="AC203" i="257" s="1"/>
  <c r="AC200" i="257" a="1"/>
  <c r="AC200" i="257" s="1"/>
  <c r="AD200" i="257" a="1"/>
  <c r="AD200" i="257" s="1"/>
  <c r="AD199" i="257" a="1"/>
  <c r="AD199" i="257" s="1"/>
  <c r="AC199" i="257" a="1"/>
  <c r="AC199" i="257" s="1"/>
  <c r="AD202" i="257" a="1"/>
  <c r="AD202" i="257" s="1"/>
  <c r="AC202" i="257" a="1"/>
  <c r="AC202" i="257" s="1"/>
  <c r="AC204" i="257" a="1"/>
  <c r="AC204" i="257" s="1"/>
  <c r="AD204" i="257" a="1"/>
  <c r="AD204" i="257" s="1"/>
  <c r="AC196" i="257" a="1"/>
  <c r="AC196" i="257" s="1"/>
  <c r="AD196" i="257" a="1"/>
  <c r="AD196" i="257" s="1"/>
  <c r="AC197" i="257" a="1"/>
  <c r="AC197" i="257" s="1"/>
  <c r="AD197" i="257" a="1"/>
  <c r="AD197" i="257" s="1"/>
  <c r="AC201" i="257" a="1"/>
  <c r="AC201" i="257" s="1"/>
  <c r="AD201" i="257" a="1"/>
  <c r="AD201" i="257" s="1"/>
  <c r="AD180" i="257" a="1"/>
  <c r="AD180" i="257" s="1"/>
  <c r="AC180" i="257" a="1"/>
  <c r="AC180" i="257" s="1"/>
  <c r="AD184" i="257" a="1"/>
  <c r="AD184" i="257" s="1"/>
  <c r="AC184" i="257" a="1"/>
  <c r="AC184" i="257" s="1"/>
  <c r="AD188" i="257" a="1"/>
  <c r="AD188" i="257" s="1"/>
  <c r="AC188" i="257" a="1"/>
  <c r="AC188" i="257" s="1"/>
  <c r="AD183" i="257" a="1"/>
  <c r="AD183" i="257" s="1"/>
  <c r="AC183" i="257" a="1"/>
  <c r="AC183" i="257" s="1"/>
  <c r="AC169" i="257" a="1"/>
  <c r="AC169" i="257" s="1"/>
  <c r="AD169" i="257" a="1"/>
  <c r="AD169" i="257" s="1"/>
  <c r="AD168" i="257" a="1"/>
  <c r="AD168" i="257" s="1"/>
  <c r="AC168" i="257" a="1"/>
  <c r="AC168" i="257" s="1"/>
  <c r="AD167" i="257" a="1"/>
  <c r="AD167" i="257" s="1"/>
  <c r="AC167" i="257" a="1"/>
  <c r="AC167" i="257" s="1"/>
  <c r="AD172" i="257" a="1"/>
  <c r="AD172" i="257" s="1"/>
  <c r="AC172" i="257" a="1"/>
  <c r="AC172" i="257" s="1"/>
  <c r="AC170" i="257" a="1"/>
  <c r="AC170" i="257" s="1"/>
  <c r="AD170" i="257" a="1"/>
  <c r="AD170" i="257" s="1"/>
  <c r="AC166" i="257" a="1"/>
  <c r="AC166" i="257" s="1"/>
  <c r="AD166" i="257" a="1"/>
  <c r="AD166" i="257" s="1"/>
  <c r="AF246" i="257"/>
  <c r="AG246" i="257" a="1"/>
  <c r="AG246" i="257" s="1"/>
  <c r="AF228" i="257"/>
  <c r="AG228" i="257" a="1"/>
  <c r="AG228" i="257" s="1"/>
  <c r="AF235" i="257"/>
  <c r="AG235" i="257" a="1"/>
  <c r="AG235" i="257" s="1"/>
  <c r="AF230" i="257"/>
  <c r="AG230" i="257" a="1"/>
  <c r="AG230" i="257" s="1"/>
  <c r="AF233" i="257"/>
  <c r="AG233" i="257" a="1"/>
  <c r="AG233" i="257" s="1"/>
  <c r="AF212" i="257"/>
  <c r="AG212" i="257" a="1"/>
  <c r="AG212" i="257" s="1"/>
  <c r="AF215" i="257"/>
  <c r="AG215" i="257" a="1"/>
  <c r="AG215" i="257" s="1"/>
  <c r="AF213" i="257"/>
  <c r="AG213" i="257" a="1"/>
  <c r="AG213" i="257" s="1"/>
  <c r="AF214" i="257"/>
  <c r="AG214" i="257" a="1"/>
  <c r="AG214" i="257" s="1"/>
  <c r="AF217" i="257"/>
  <c r="AG217" i="257" a="1"/>
  <c r="AG217" i="257" s="1"/>
  <c r="AF218" i="257"/>
  <c r="AG218" i="257" a="1"/>
  <c r="AG218" i="257" s="1"/>
  <c r="AF216" i="257"/>
  <c r="AG216" i="257" a="1"/>
  <c r="AG216" i="257" s="1"/>
  <c r="AF220" i="257"/>
  <c r="AG220" i="257" a="1"/>
  <c r="AG220" i="257" s="1"/>
  <c r="AF219" i="257"/>
  <c r="AG219" i="257" a="1"/>
  <c r="AG219" i="257" s="1"/>
  <c r="AF204" i="257"/>
  <c r="AG204" i="257" a="1"/>
  <c r="AG204" i="257" s="1"/>
  <c r="AF197" i="257"/>
  <c r="AG197" i="257" a="1"/>
  <c r="AG197" i="257" s="1"/>
  <c r="AF201" i="257"/>
  <c r="AG201" i="257" a="1"/>
  <c r="AG201" i="257" s="1"/>
  <c r="AF196" i="257"/>
  <c r="AG196" i="257" a="1"/>
  <c r="AG196" i="257" s="1"/>
  <c r="AF198" i="257"/>
  <c r="AG198" i="257" a="1"/>
  <c r="AG198" i="257" s="1"/>
  <c r="AF203" i="257"/>
  <c r="AG203" i="257" a="1"/>
  <c r="AG203" i="257" s="1"/>
  <c r="AF200" i="257"/>
  <c r="AG200" i="257" a="1"/>
  <c r="AG200" i="257" s="1"/>
  <c r="AF199" i="257"/>
  <c r="AG199" i="257" a="1"/>
  <c r="AG199" i="257" s="1"/>
  <c r="AF202" i="257"/>
  <c r="AG202" i="257" a="1"/>
  <c r="AG202" i="257" s="1"/>
  <c r="AF180" i="257"/>
  <c r="AG180" i="257" a="1"/>
  <c r="AG180" i="257" s="1"/>
  <c r="AF184" i="257"/>
  <c r="AG184" i="257" a="1"/>
  <c r="AG184" i="257" s="1"/>
  <c r="AF188" i="257"/>
  <c r="AG188" i="257" a="1"/>
  <c r="AG188" i="257" s="1"/>
  <c r="AF183" i="257"/>
  <c r="AG183" i="257" a="1"/>
  <c r="AG183" i="257" s="1"/>
  <c r="AF167" i="257"/>
  <c r="AG167" i="257" a="1"/>
  <c r="AG167" i="257" s="1"/>
  <c r="AF172" i="257"/>
  <c r="AG172" i="257" a="1"/>
  <c r="AG172" i="257" s="1"/>
  <c r="AF170" i="257"/>
  <c r="AG170" i="257" a="1"/>
  <c r="AG170" i="257" s="1"/>
  <c r="AF166" i="257"/>
  <c r="AG166" i="257" a="1"/>
  <c r="AG166" i="257" s="1"/>
  <c r="AF169" i="257"/>
  <c r="AG169" i="257" a="1"/>
  <c r="AG169" i="257" s="1"/>
  <c r="AF168" i="257"/>
  <c r="AG168" i="257" a="1"/>
  <c r="AG168" i="257" s="1"/>
  <c r="J179" i="257"/>
  <c r="C145" i="3"/>
  <c r="H28" i="3"/>
  <c r="K211" i="257"/>
  <c r="K179" i="257"/>
  <c r="AV211" i="257"/>
  <c r="AW211" i="257"/>
  <c r="AB51" i="257" a="1"/>
  <c r="AB51" i="257" s="1"/>
  <c r="AE6" i="257"/>
  <c r="AB60" i="257" a="1"/>
  <c r="AB60" i="257" s="1"/>
  <c r="BB249" i="257"/>
  <c r="BA201" i="257"/>
  <c r="AZ201" i="257"/>
  <c r="AY201" i="257"/>
  <c r="AW201" i="257"/>
  <c r="AV201" i="257"/>
  <c r="AQ201" i="257"/>
  <c r="AP201" i="257"/>
  <c r="AP212" i="257"/>
  <c r="BA212" i="257"/>
  <c r="AZ212" i="257"/>
  <c r="AY212" i="257"/>
  <c r="AW212" i="257"/>
  <c r="AV212" i="257"/>
  <c r="AQ212" i="257"/>
  <c r="AZ235" i="257"/>
  <c r="AY235" i="257"/>
  <c r="AW235" i="257"/>
  <c r="AV235" i="257"/>
  <c r="AQ235" i="257"/>
  <c r="AP235" i="257"/>
  <c r="BA235" i="257"/>
  <c r="AQ228" i="257"/>
  <c r="AP228" i="257"/>
  <c r="BA228" i="257"/>
  <c r="AZ228" i="257"/>
  <c r="AY228" i="257"/>
  <c r="AW228" i="257"/>
  <c r="AV228" i="257"/>
  <c r="BA246" i="257"/>
  <c r="AZ246" i="257"/>
  <c r="AY246" i="257"/>
  <c r="AW246" i="257"/>
  <c r="AV246" i="257"/>
  <c r="AQ246" i="257"/>
  <c r="AP246" i="257"/>
  <c r="AQ168" i="257"/>
  <c r="AP168" i="257"/>
  <c r="AY168" i="257"/>
  <c r="AW168" i="257"/>
  <c r="AV168" i="257"/>
  <c r="BA168" i="257"/>
  <c r="AZ168" i="257"/>
  <c r="BA169" i="257"/>
  <c r="AZ169" i="257"/>
  <c r="AY169" i="257"/>
  <c r="AW169" i="257"/>
  <c r="AP169" i="257"/>
  <c r="AQ169" i="257"/>
  <c r="AV169" i="257"/>
  <c r="AP216" i="257"/>
  <c r="BA216" i="257"/>
  <c r="AZ216" i="257"/>
  <c r="AY216" i="257"/>
  <c r="AW216" i="257"/>
  <c r="AV216" i="257"/>
  <c r="AQ216" i="257"/>
  <c r="BA188" i="257"/>
  <c r="AZ188" i="257"/>
  <c r="AY188" i="257"/>
  <c r="AW188" i="257"/>
  <c r="AV188" i="257"/>
  <c r="AQ188" i="257"/>
  <c r="AP188" i="257"/>
  <c r="AV215" i="257"/>
  <c r="AQ215" i="257"/>
  <c r="AP215" i="257"/>
  <c r="BA215" i="257"/>
  <c r="AZ215" i="257"/>
  <c r="AY215" i="257"/>
  <c r="AW215" i="257"/>
  <c r="BA180" i="257"/>
  <c r="AZ180" i="257"/>
  <c r="AY180" i="257"/>
  <c r="AW180" i="257"/>
  <c r="AV180" i="257"/>
  <c r="AQ180" i="257"/>
  <c r="AP180" i="257"/>
  <c r="AV219" i="257"/>
  <c r="AQ219" i="257"/>
  <c r="AP219" i="257"/>
  <c r="BA219" i="257"/>
  <c r="AZ219" i="257"/>
  <c r="AW219" i="257"/>
  <c r="AY219" i="257"/>
  <c r="BA200" i="257"/>
  <c r="AZ200" i="257"/>
  <c r="AY200" i="257"/>
  <c r="AW200" i="257"/>
  <c r="AV200" i="257"/>
  <c r="AQ200" i="257"/>
  <c r="AP200" i="257"/>
  <c r="AZ167" i="257"/>
  <c r="AY167" i="257"/>
  <c r="AW167" i="257"/>
  <c r="AV167" i="257"/>
  <c r="AQ167" i="257"/>
  <c r="AP167" i="257"/>
  <c r="BA167" i="257"/>
  <c r="AP220" i="257"/>
  <c r="BA220" i="257"/>
  <c r="AZ220" i="257"/>
  <c r="AY220" i="257"/>
  <c r="AW220" i="257"/>
  <c r="AV220" i="257"/>
  <c r="AQ220" i="257"/>
  <c r="BA196" i="257"/>
  <c r="AZ196" i="257"/>
  <c r="AY196" i="257"/>
  <c r="AW196" i="257"/>
  <c r="AV196" i="257"/>
  <c r="AQ196" i="257"/>
  <c r="AP196" i="257"/>
  <c r="AQ203" i="257"/>
  <c r="AP203" i="257"/>
  <c r="BA203" i="257"/>
  <c r="AZ203" i="257"/>
  <c r="AY203" i="257"/>
  <c r="AW203" i="257"/>
  <c r="AV203" i="257"/>
  <c r="BA213" i="257"/>
  <c r="AZ213" i="257"/>
  <c r="AY213" i="257"/>
  <c r="AW213" i="257"/>
  <c r="AV213" i="257"/>
  <c r="AQ213" i="257"/>
  <c r="AP213" i="257"/>
  <c r="BA218" i="257"/>
  <c r="AZ218" i="257"/>
  <c r="AY218" i="257"/>
  <c r="AW218" i="257"/>
  <c r="AV218" i="257"/>
  <c r="AQ218" i="257"/>
  <c r="AP218" i="257"/>
  <c r="AZ172" i="257"/>
  <c r="AV172" i="257"/>
  <c r="AQ172" i="257"/>
  <c r="AP172" i="257"/>
  <c r="AW172" i="257"/>
  <c r="AY172" i="257"/>
  <c r="BA172" i="257"/>
  <c r="BA184" i="257"/>
  <c r="AZ184" i="257"/>
  <c r="AY184" i="257"/>
  <c r="AW184" i="257"/>
  <c r="AV184" i="257"/>
  <c r="AQ184" i="257"/>
  <c r="AP184" i="257"/>
  <c r="BA166" i="257"/>
  <c r="AZ166" i="257"/>
  <c r="AY166" i="257"/>
  <c r="AW166" i="257"/>
  <c r="AV166" i="257"/>
  <c r="AQ166" i="257"/>
  <c r="AP166" i="257"/>
  <c r="AQ199" i="257"/>
  <c r="AP199" i="257"/>
  <c r="BA199" i="257"/>
  <c r="AZ199" i="257"/>
  <c r="AY199" i="257"/>
  <c r="AW199" i="257"/>
  <c r="AV199" i="257"/>
  <c r="BA230" i="257"/>
  <c r="AZ230" i="257"/>
  <c r="AY230" i="257"/>
  <c r="AW230" i="257"/>
  <c r="AV230" i="257"/>
  <c r="AQ230" i="257"/>
  <c r="AP230" i="257"/>
  <c r="BA233" i="257"/>
  <c r="AZ233" i="257"/>
  <c r="AY233" i="257"/>
  <c r="AW233" i="257"/>
  <c r="AV233" i="257"/>
  <c r="AQ233" i="257"/>
  <c r="AP233" i="257"/>
  <c r="BA183" i="257"/>
  <c r="AZ183" i="257"/>
  <c r="AY183" i="257"/>
  <c r="AW183" i="257"/>
  <c r="AV183" i="257"/>
  <c r="AQ183" i="257"/>
  <c r="AP183" i="257"/>
  <c r="BA214" i="257"/>
  <c r="AZ214" i="257"/>
  <c r="AY214" i="257"/>
  <c r="AW214" i="257"/>
  <c r="AV214" i="257"/>
  <c r="AQ214" i="257"/>
  <c r="AP214" i="257"/>
  <c r="BA197" i="257"/>
  <c r="AZ197" i="257"/>
  <c r="AY197" i="257"/>
  <c r="AW197" i="257"/>
  <c r="AV197" i="257"/>
  <c r="AQ197" i="257"/>
  <c r="AP197" i="257"/>
  <c r="AW202" i="257"/>
  <c r="AV202" i="257"/>
  <c r="AQ202" i="257"/>
  <c r="AP202" i="257"/>
  <c r="BA202" i="257"/>
  <c r="AZ202" i="257"/>
  <c r="AY202" i="257"/>
  <c r="BA204" i="257"/>
  <c r="AZ204" i="257"/>
  <c r="AY204" i="257"/>
  <c r="AW204" i="257"/>
  <c r="AV204" i="257"/>
  <c r="AQ204" i="257"/>
  <c r="AP204" i="257"/>
  <c r="AW198" i="257"/>
  <c r="AV198" i="257"/>
  <c r="AQ198" i="257"/>
  <c r="AP198" i="257"/>
  <c r="BA198" i="257"/>
  <c r="AZ198" i="257"/>
  <c r="AY198" i="257"/>
  <c r="BA170" i="257"/>
  <c r="AZ170" i="257"/>
  <c r="AY170" i="257"/>
  <c r="AW170" i="257"/>
  <c r="AV170" i="257"/>
  <c r="AQ170" i="257"/>
  <c r="AP170" i="257"/>
  <c r="BA217" i="257"/>
  <c r="AZ217" i="257"/>
  <c r="AY217" i="257"/>
  <c r="AW217" i="257"/>
  <c r="AV217" i="257"/>
  <c r="AQ217" i="257"/>
  <c r="AP217" i="257"/>
  <c r="AY200" i="13"/>
  <c r="BU18" i="160"/>
  <c r="BA200" i="176"/>
  <c r="BB200" i="176"/>
  <c r="AM13" i="182"/>
  <c r="AY200" i="175"/>
  <c r="AY200" i="169"/>
  <c r="AY200" i="176"/>
  <c r="I29" i="3"/>
  <c r="D151" i="3"/>
  <c r="C149" i="3" s="1"/>
  <c r="D132" i="3"/>
  <c r="D131" i="3"/>
  <c r="D121" i="3"/>
  <c r="D109" i="3"/>
  <c r="D111" i="3"/>
  <c r="D105" i="3"/>
  <c r="D77" i="3"/>
  <c r="C77" i="3"/>
  <c r="J24" i="3"/>
  <c r="BG200" i="175"/>
  <c r="J25" i="3"/>
  <c r="BW30" i="176"/>
  <c r="C249" i="257" s="1" a="1"/>
  <c r="C249" i="257" s="1"/>
  <c r="F249" i="257" s="1" a="1"/>
  <c r="F249" i="257" s="1"/>
  <c r="J20" i="3"/>
  <c r="BG200" i="169"/>
  <c r="M16" i="3"/>
  <c r="N16" i="3"/>
  <c r="T12" i="182"/>
  <c r="L16" i="3"/>
  <c r="AM21" i="154"/>
  <c r="O16" i="3"/>
  <c r="AB12" i="182"/>
  <c r="AM20" i="154"/>
  <c r="AM22" i="154"/>
  <c r="N12" i="3"/>
  <c r="N14" i="3"/>
  <c r="T12" i="162"/>
  <c r="M14" i="3"/>
  <c r="O14" i="3"/>
  <c r="AB12" i="162"/>
  <c r="L14" i="3"/>
  <c r="AB12" i="160"/>
  <c r="L12" i="3"/>
  <c r="T12" i="160"/>
  <c r="O12" i="3"/>
  <c r="M12" i="3"/>
  <c r="BG200" i="170"/>
  <c r="AJ246" i="257" l="1"/>
  <c r="AK246" i="257"/>
  <c r="AL246" i="257"/>
  <c r="AJ235" i="257"/>
  <c r="AK235" i="257"/>
  <c r="AL235" i="257"/>
  <c r="AJ230" i="257"/>
  <c r="AK230" i="257"/>
  <c r="AL230" i="257"/>
  <c r="AK233" i="257"/>
  <c r="AL233" i="257"/>
  <c r="AJ233" i="257"/>
  <c r="AJ228" i="257"/>
  <c r="AK228" i="257"/>
  <c r="AL228" i="257"/>
  <c r="AJ212" i="257"/>
  <c r="AK212" i="257"/>
  <c r="AL212" i="257"/>
  <c r="AJ213" i="257"/>
  <c r="AK213" i="257"/>
  <c r="AL213" i="257"/>
  <c r="AJ216" i="257"/>
  <c r="AK216" i="257"/>
  <c r="AL216" i="257"/>
  <c r="AJ214" i="257"/>
  <c r="AK214" i="257"/>
  <c r="AL214" i="257"/>
  <c r="AJ219" i="257"/>
  <c r="AK219" i="257"/>
  <c r="AL219" i="257"/>
  <c r="AL220" i="257"/>
  <c r="AJ220" i="257"/>
  <c r="AK220" i="257"/>
  <c r="AJ218" i="257"/>
  <c r="AK218" i="257"/>
  <c r="AL218" i="257"/>
  <c r="AK215" i="257"/>
  <c r="AJ215" i="257"/>
  <c r="AL215" i="257"/>
  <c r="AK217" i="257"/>
  <c r="AL217" i="257"/>
  <c r="AJ217" i="257"/>
  <c r="AJ198" i="257"/>
  <c r="AK198" i="257"/>
  <c r="AL198" i="257"/>
  <c r="AJ197" i="257"/>
  <c r="AK197" i="257"/>
  <c r="AL197" i="257"/>
  <c r="AJ202" i="257"/>
  <c r="AK202" i="257"/>
  <c r="AL202" i="257"/>
  <c r="AJ199" i="257"/>
  <c r="AL199" i="257"/>
  <c r="AK199" i="257"/>
  <c r="AJ200" i="257"/>
  <c r="AK200" i="257"/>
  <c r="AL200" i="257"/>
  <c r="AJ196" i="257"/>
  <c r="AK196" i="257"/>
  <c r="AL196" i="257"/>
  <c r="AJ203" i="257"/>
  <c r="AK203" i="257"/>
  <c r="AL203" i="257"/>
  <c r="AK201" i="257"/>
  <c r="AL201" i="257"/>
  <c r="AJ201" i="257"/>
  <c r="AJ204" i="257"/>
  <c r="AK204" i="257"/>
  <c r="AL204" i="257"/>
  <c r="AJ183" i="257"/>
  <c r="AK183" i="257"/>
  <c r="AL183" i="257"/>
  <c r="AJ180" i="257"/>
  <c r="AK180" i="257"/>
  <c r="AL180" i="257"/>
  <c r="AK184" i="257"/>
  <c r="AJ184" i="257"/>
  <c r="AL184" i="257"/>
  <c r="AL188" i="257"/>
  <c r="AJ188" i="257"/>
  <c r="AK188" i="257"/>
  <c r="AK167" i="257"/>
  <c r="AJ167" i="257"/>
  <c r="AL167" i="257"/>
  <c r="AL172" i="257"/>
  <c r="AJ172" i="257"/>
  <c r="AK172" i="257"/>
  <c r="AJ166" i="257"/>
  <c r="AK166" i="257"/>
  <c r="AL166" i="257"/>
  <c r="AJ170" i="257"/>
  <c r="AK170" i="257"/>
  <c r="AL170" i="257"/>
  <c r="AJ168" i="257"/>
  <c r="AK168" i="257"/>
  <c r="AL168" i="257"/>
  <c r="AK169" i="257"/>
  <c r="AL169" i="257"/>
  <c r="AJ169" i="257"/>
  <c r="C68" i="257" a="1"/>
  <c r="C68" i="257" s="1"/>
  <c r="F68" i="257" s="1" a="1"/>
  <c r="F68" i="257" s="1"/>
  <c r="B52" i="257"/>
  <c r="B36" i="257"/>
  <c r="C71" i="257" a="1"/>
  <c r="C71" i="257" s="1"/>
  <c r="F71" i="257" s="1" a="1"/>
  <c r="F71" i="257" s="1"/>
  <c r="C18" i="257" a="1"/>
  <c r="C18" i="257" s="1"/>
  <c r="F18" i="257" s="1" a="1"/>
  <c r="F18" i="257" s="1"/>
  <c r="C51" i="257" a="1"/>
  <c r="C51" i="257" s="1"/>
  <c r="F51" i="257" s="1" a="1"/>
  <c r="F51" i="257" s="1"/>
  <c r="C60" i="257" a="1"/>
  <c r="C60" i="257" s="1"/>
  <c r="F60" i="257" s="1" a="1"/>
  <c r="F60" i="257" s="1"/>
  <c r="AT249" i="257" a="1"/>
  <c r="AT249" i="257" s="1"/>
  <c r="AS249" i="257"/>
  <c r="AE249" i="257"/>
  <c r="AR249" i="257"/>
  <c r="AC249" i="257" a="1"/>
  <c r="AC249" i="257" s="1"/>
  <c r="AD249" i="257" a="1"/>
  <c r="AD249" i="257" s="1"/>
  <c r="AF249" i="257"/>
  <c r="AG249" i="257" a="1"/>
  <c r="AG249" i="257" s="1"/>
  <c r="J244" i="257"/>
  <c r="J229" i="257"/>
  <c r="J163" i="257"/>
  <c r="BA249" i="257"/>
  <c r="AY249" i="257"/>
  <c r="AW249" i="257"/>
  <c r="AV249" i="257"/>
  <c r="AQ249" i="257"/>
  <c r="AP249" i="257"/>
  <c r="AM13" i="160"/>
  <c r="J29" i="3"/>
  <c r="N26" i="3"/>
  <c r="M26" i="3"/>
  <c r="L26" i="3"/>
  <c r="O26" i="3"/>
  <c r="E77" i="3"/>
  <c r="R14" i="154" s="1"/>
  <c r="D149" i="3"/>
  <c r="D103" i="3"/>
  <c r="C116" i="3"/>
  <c r="C103" i="3"/>
  <c r="D116" i="3"/>
  <c r="H25" i="3"/>
  <c r="H20" i="3"/>
  <c r="P25" i="3"/>
  <c r="T18" i="81"/>
  <c r="R16" i="154"/>
  <c r="AJ249" i="257" l="1"/>
  <c r="AL249" i="257"/>
  <c r="B51" i="257"/>
  <c r="B18" i="257"/>
  <c r="B71" i="257"/>
  <c r="B68" i="257"/>
  <c r="C6" i="257" a="1"/>
  <c r="C6" i="257" s="1"/>
  <c r="F6" i="257" s="1" a="1"/>
  <c r="F6" i="257" s="1"/>
  <c r="B60" i="257"/>
  <c r="B249" i="257"/>
  <c r="E103" i="3"/>
  <c r="T19" i="81" s="1"/>
  <c r="E116" i="3"/>
  <c r="T20" i="81" s="1"/>
  <c r="E149" i="3"/>
  <c r="R34" i="154" s="1"/>
  <c r="T16" i="81"/>
  <c r="B6" i="257" l="1"/>
  <c r="T22" i="81"/>
  <c r="R21" i="154"/>
  <c r="R25" i="154"/>
  <c r="M23" i="3"/>
  <c r="AB12" i="13"/>
  <c r="X12" i="13"/>
  <c r="L23" i="3"/>
  <c r="T12" i="13"/>
  <c r="O23" i="3"/>
  <c r="BY18" i="176" l="1"/>
  <c r="BB243" i="257" l="1"/>
  <c r="BK18" i="159"/>
  <c r="P11" i="3" l="1"/>
  <c r="BN18" i="159"/>
  <c r="AT243" i="257" a="1"/>
  <c r="AT243" i="257" s="1"/>
  <c r="AS243" i="257"/>
  <c r="AE243" i="257"/>
  <c r="AR243" i="257"/>
  <c r="AC243" i="257" a="1"/>
  <c r="AC243" i="257" s="1"/>
  <c r="AD243" i="257" a="1"/>
  <c r="AD243" i="257" s="1"/>
  <c r="AF243" i="257"/>
  <c r="AG243" i="257" a="1"/>
  <c r="AG243" i="257" s="1"/>
  <c r="BA243" i="257"/>
  <c r="AL243" i="257" s="1"/>
  <c r="AZ243" i="257"/>
  <c r="AY243" i="257"/>
  <c r="AW243" i="257"/>
  <c r="AV243" i="257"/>
  <c r="AQ243" i="257"/>
  <c r="AP243" i="257"/>
  <c r="AJ243" i="257" l="1"/>
  <c r="AK243" i="257"/>
  <c r="P16" i="3"/>
  <c r="BK18" i="158"/>
  <c r="BN18" i="158" s="1"/>
  <c r="BK18" i="163" l="1"/>
  <c r="BN18" i="163" s="1"/>
  <c r="P15" i="3" l="1"/>
  <c r="BK18" i="160" l="1"/>
  <c r="P12" i="3" l="1"/>
  <c r="BN18" i="160"/>
  <c r="P21" i="3"/>
  <c r="BK18" i="175"/>
  <c r="BN18" i="175" s="1"/>
  <c r="J227" i="257" s="1"/>
  <c r="BK18" i="162"/>
  <c r="P14" i="3" l="1"/>
  <c r="BN18" i="162"/>
  <c r="J181" i="257"/>
  <c r="H21" i="3"/>
  <c r="H24" i="3"/>
  <c r="H32" i="3" l="1"/>
  <c r="H29" i="3"/>
  <c r="C146" i="3"/>
  <c r="C144" i="3" s="1"/>
  <c r="E144" i="3" l="1"/>
  <c r="C148" i="257" l="1" a="1"/>
  <c r="C148" i="257" s="1"/>
  <c r="F148" i="257" s="1" a="1"/>
  <c r="F148" i="257" s="1"/>
  <c r="BB229" i="257"/>
  <c r="BB244" i="257"/>
  <c r="BB181" i="257"/>
  <c r="BY18" i="169"/>
  <c r="BB163" i="257" s="1"/>
  <c r="BY18" i="175"/>
  <c r="BB227" i="257" s="1"/>
  <c r="C151" i="257" a="1"/>
  <c r="C151" i="257" s="1"/>
  <c r="F151" i="257" s="1" a="1"/>
  <c r="F151" i="257" s="1"/>
  <c r="AT244" i="257" l="1" a="1"/>
  <c r="AT244" i="257" s="1"/>
  <c r="AS244" i="257"/>
  <c r="AT229" i="257" a="1"/>
  <c r="AT229" i="257" s="1"/>
  <c r="AS229" i="257"/>
  <c r="AT227" i="257" a="1"/>
  <c r="AT227" i="257" s="1"/>
  <c r="AS227" i="257"/>
  <c r="AT181" i="257" a="1"/>
  <c r="AT181" i="257" s="1"/>
  <c r="AS181" i="257"/>
  <c r="AT163" i="257" a="1"/>
  <c r="AT163" i="257" s="1"/>
  <c r="AS163" i="257"/>
  <c r="AE244" i="257"/>
  <c r="AR244" i="257"/>
  <c r="AE227" i="257"/>
  <c r="AR227" i="257"/>
  <c r="AE229" i="257"/>
  <c r="AR229" i="257"/>
  <c r="AE181" i="257"/>
  <c r="AR181" i="257"/>
  <c r="AE163" i="257"/>
  <c r="AR163" i="257"/>
  <c r="AC244" i="257" a="1"/>
  <c r="AC244" i="257" s="1"/>
  <c r="AD244" i="257" a="1"/>
  <c r="AD244" i="257" s="1"/>
  <c r="AC229" i="257" a="1"/>
  <c r="AC229" i="257" s="1"/>
  <c r="AD229" i="257" a="1"/>
  <c r="AD229" i="257" s="1"/>
  <c r="AC227" i="257" a="1"/>
  <c r="AC227" i="257" s="1"/>
  <c r="AD227" i="257" a="1"/>
  <c r="AD227" i="257" s="1"/>
  <c r="AC181" i="257" a="1"/>
  <c r="AC181" i="257" s="1"/>
  <c r="AD181" i="257" a="1"/>
  <c r="AD181" i="257" s="1"/>
  <c r="AC163" i="257" a="1"/>
  <c r="AC163" i="257" s="1"/>
  <c r="AD163" i="257" a="1"/>
  <c r="AD163" i="257" s="1"/>
  <c r="AF244" i="257"/>
  <c r="AG244" i="257" a="1"/>
  <c r="AG244" i="257" s="1"/>
  <c r="AF229" i="257"/>
  <c r="AG229" i="257" a="1"/>
  <c r="AG229" i="257" s="1"/>
  <c r="AF227" i="257"/>
  <c r="AG227" i="257" a="1"/>
  <c r="AG227" i="257" s="1"/>
  <c r="AF181" i="257"/>
  <c r="AG181" i="257" a="1"/>
  <c r="AG181" i="257" s="1"/>
  <c r="AF163" i="257"/>
  <c r="AG163" i="257" a="1"/>
  <c r="AG163" i="257" s="1"/>
  <c r="B151" i="257"/>
  <c r="AZ227" i="257"/>
  <c r="AY227" i="257"/>
  <c r="AW227" i="257"/>
  <c r="AV227" i="257"/>
  <c r="AQ227" i="257"/>
  <c r="AP227" i="257"/>
  <c r="BA227" i="257"/>
  <c r="AL227" i="257" s="1"/>
  <c r="AZ163" i="257"/>
  <c r="AY163" i="257"/>
  <c r="AW163" i="257"/>
  <c r="AV163" i="257"/>
  <c r="AQ163" i="257"/>
  <c r="AP163" i="257"/>
  <c r="BA163" i="257"/>
  <c r="AL163" i="257" s="1"/>
  <c r="AY244" i="257"/>
  <c r="AW244" i="257"/>
  <c r="AV244" i="257"/>
  <c r="AQ244" i="257"/>
  <c r="AP244" i="257"/>
  <c r="AZ244" i="257"/>
  <c r="BA244" i="257"/>
  <c r="BA229" i="257"/>
  <c r="AZ229" i="257"/>
  <c r="AY229" i="257"/>
  <c r="AW229" i="257"/>
  <c r="AV229" i="257"/>
  <c r="AQ229" i="257"/>
  <c r="AP229" i="257"/>
  <c r="AY181" i="257"/>
  <c r="AW181" i="257"/>
  <c r="AV181" i="257"/>
  <c r="AQ181" i="257"/>
  <c r="AP181" i="257"/>
  <c r="AZ181" i="257"/>
  <c r="BA181" i="257"/>
  <c r="C229" i="257" a="1"/>
  <c r="C229" i="257" s="1"/>
  <c r="F229" i="257" s="1" a="1"/>
  <c r="F229" i="257" s="1"/>
  <c r="C244" i="257" a="1"/>
  <c r="C244" i="257" s="1"/>
  <c r="F244" i="257" s="1" a="1"/>
  <c r="F244" i="257" s="1"/>
  <c r="BW18" i="175"/>
  <c r="C227" i="257" s="1" a="1"/>
  <c r="C227" i="257" s="1"/>
  <c r="F227" i="257" s="1" a="1"/>
  <c r="F227" i="257" s="1"/>
  <c r="C181" i="257" a="1"/>
  <c r="C181" i="257" s="1"/>
  <c r="F181" i="257" s="1" a="1"/>
  <c r="F181" i="257" s="1"/>
  <c r="BW18" i="169"/>
  <c r="C163" i="257" s="1" a="1"/>
  <c r="C163" i="257" s="1"/>
  <c r="F163" i="257" s="1" a="1"/>
  <c r="F163" i="257" s="1"/>
  <c r="C147" i="257" a="1"/>
  <c r="C147" i="257" s="1"/>
  <c r="F147" i="257" s="1" a="1"/>
  <c r="F147" i="257" s="1"/>
  <c r="AJ244" i="257" l="1"/>
  <c r="AK244" i="257"/>
  <c r="AL244" i="257"/>
  <c r="AJ229" i="257"/>
  <c r="AK229" i="257"/>
  <c r="AL229" i="257"/>
  <c r="AJ227" i="257"/>
  <c r="AK227" i="257"/>
  <c r="AJ181" i="257"/>
  <c r="AK181" i="257"/>
  <c r="AL181" i="257"/>
  <c r="AJ163" i="257"/>
  <c r="AK163" i="257"/>
  <c r="B181" i="257"/>
  <c r="B148" i="257"/>
  <c r="B147" i="257"/>
  <c r="P20" i="3"/>
  <c r="P24" i="3"/>
  <c r="AM13" i="170"/>
  <c r="AM13" i="175"/>
  <c r="AM13" i="168"/>
  <c r="AM13" i="169"/>
  <c r="M22" i="3"/>
  <c r="O22" i="3"/>
  <c r="AB12" i="171"/>
  <c r="T12" i="171"/>
  <c r="L22" i="3"/>
  <c r="X12" i="171"/>
  <c r="L24" i="3"/>
  <c r="T12" i="175"/>
  <c r="X12" i="175"/>
  <c r="AB12" i="175"/>
  <c r="N24" i="3"/>
  <c r="M24" i="3"/>
  <c r="O24" i="3"/>
  <c r="N25" i="3"/>
  <c r="O25" i="3"/>
  <c r="L25" i="3"/>
  <c r="M25" i="3"/>
  <c r="X12" i="169"/>
  <c r="AB12" i="169"/>
  <c r="M20" i="3"/>
  <c r="T12" i="169"/>
  <c r="L20" i="3"/>
  <c r="O20" i="3"/>
  <c r="N20" i="3"/>
  <c r="N19" i="3"/>
  <c r="X12" i="168"/>
  <c r="AB12" i="168"/>
  <c r="L19" i="3"/>
  <c r="M19" i="3"/>
  <c r="T12" i="168"/>
  <c r="O19" i="3"/>
  <c r="B227" i="257" l="1"/>
  <c r="B163" i="257"/>
  <c r="B229" i="257"/>
  <c r="B244" i="257"/>
  <c r="Y202" i="168" l="1"/>
  <c r="Y202" i="170"/>
  <c r="Y202" i="171"/>
  <c r="Y202" i="148"/>
  <c r="Y202" i="144"/>
  <c r="AA202" i="14"/>
  <c r="Y202" i="160"/>
  <c r="Y202" i="162"/>
  <c r="Y202" i="154"/>
  <c r="I21" i="81"/>
  <c r="Y202" i="167"/>
  <c r="Y202" i="169"/>
  <c r="Y202" i="13"/>
  <c r="Y202" i="166"/>
  <c r="Y202" i="147"/>
  <c r="Y202" i="158"/>
  <c r="Y202" i="153"/>
  <c r="AA202" i="172"/>
  <c r="Y202" i="175"/>
  <c r="Y202" i="176"/>
  <c r="Y202" i="159"/>
  <c r="Y202" i="163"/>
  <c r="Y202" i="161"/>
  <c r="Y202" i="155"/>
  <c r="Y202" i="156"/>
  <c r="Y202" i="81"/>
  <c r="Y202" i="180"/>
  <c r="Y202" i="182"/>
  <c r="H30" i="3" l="1"/>
  <c r="AJ18" i="154"/>
  <c r="AE5" i="257" l="1"/>
  <c r="J10" i="3"/>
  <c r="BI200" i="158"/>
  <c r="BA200" i="158"/>
  <c r="I10" i="3"/>
  <c r="BH200" i="158"/>
  <c r="K10" i="3"/>
  <c r="K30" i="3" s="1"/>
  <c r="BL200" i="158"/>
  <c r="X12" i="158"/>
  <c r="J28" i="3" l="1"/>
  <c r="J30" i="3"/>
  <c r="I28" i="3"/>
  <c r="I30" i="3"/>
  <c r="T30" i="3" s="1"/>
  <c r="N10" i="3"/>
  <c r="K28" i="3"/>
  <c r="T12" i="158"/>
  <c r="AB12" i="158"/>
  <c r="L10" i="3"/>
  <c r="M10" i="3"/>
  <c r="M28" i="3" s="1"/>
  <c r="O10" i="3"/>
  <c r="O28" i="3" s="1"/>
  <c r="AM18" i="154"/>
  <c r="Q44" i="14"/>
  <c r="AM13" i="158" l="1"/>
  <c r="C5" i="257" a="1"/>
  <c r="C5" i="257" s="1"/>
  <c r="F5" i="257" s="1" a="1"/>
  <c r="F5" i="257" s="1"/>
  <c r="BA8" i="255"/>
  <c r="BA8" i="256"/>
  <c r="AZ8" i="13"/>
  <c r="AZ8" i="171"/>
  <c r="BA8" i="167"/>
  <c r="P10" i="3"/>
  <c r="BA54" i="14"/>
  <c r="BA55" i="14" s="1"/>
  <c r="H1" i="3"/>
  <c r="L57" i="14"/>
  <c r="N28" i="3"/>
  <c r="T28" i="3"/>
  <c r="L28" i="3"/>
  <c r="H3" i="3" s="1"/>
  <c r="BA8" i="160"/>
  <c r="BA8" i="162"/>
  <c r="BA8" i="163"/>
  <c r="BA8" i="159"/>
  <c r="BA8" i="161"/>
  <c r="AZ8" i="176"/>
  <c r="AZ8" i="169"/>
  <c r="AZ8" i="170"/>
  <c r="AZ8" i="175"/>
  <c r="AZ8" i="168"/>
  <c r="BA8" i="158"/>
  <c r="V35" i="155"/>
  <c r="V35" i="156"/>
  <c r="AA35" i="155"/>
  <c r="AA35" i="156"/>
  <c r="AS8" i="256" l="1"/>
  <c r="AS8" i="254"/>
  <c r="AS8" i="255"/>
  <c r="AS8" i="252"/>
  <c r="AS8" i="251"/>
  <c r="AS8" i="253"/>
  <c r="B5" i="257"/>
  <c r="BA6" i="256"/>
  <c r="BA6" i="255"/>
  <c r="BA6" i="167"/>
  <c r="AZ6" i="13"/>
  <c r="AZ6" i="171"/>
  <c r="P28" i="3"/>
  <c r="S28" i="3" s="1"/>
  <c r="P30" i="3"/>
  <c r="S30" i="3" s="1"/>
  <c r="AF29" i="14"/>
  <c r="M36" i="14"/>
  <c r="AG63" i="14"/>
  <c r="O63" i="14"/>
  <c r="X63" i="14"/>
  <c r="AZ6" i="176"/>
  <c r="AZ6" i="169"/>
  <c r="BA6" i="163"/>
  <c r="AZ6" i="175"/>
  <c r="AZ6" i="170"/>
  <c r="BA6" i="161"/>
  <c r="BA6" i="159"/>
  <c r="BA6" i="158"/>
  <c r="AZ6" i="168"/>
  <c r="BA6" i="162"/>
  <c r="BA6" i="160"/>
  <c r="AF35" i="155"/>
  <c r="AF35" i="156"/>
  <c r="AZ6" i="256" l="1"/>
  <c r="AZ6" i="255"/>
  <c r="AZ8" i="256"/>
  <c r="AZ8" i="255"/>
  <c r="AZ6" i="167"/>
  <c r="AY6" i="171"/>
  <c r="AY6" i="13"/>
  <c r="AZ8" i="167"/>
  <c r="AY8" i="13"/>
  <c r="AY8" i="171"/>
  <c r="AZ8" i="162"/>
  <c r="AZ8" i="159"/>
  <c r="AZ8" i="161"/>
  <c r="AY8" i="176"/>
  <c r="AY8" i="169"/>
  <c r="AY8" i="168"/>
  <c r="AY8" i="175"/>
  <c r="AY8" i="170"/>
  <c r="AZ8" i="163"/>
  <c r="AZ8" i="160"/>
  <c r="AZ8" i="158"/>
  <c r="AZ6" i="162"/>
  <c r="AY6" i="168"/>
  <c r="AY6" i="175"/>
  <c r="AZ6" i="163"/>
  <c r="AZ6" i="159"/>
  <c r="AZ6" i="161"/>
  <c r="AZ6" i="158"/>
  <c r="AY6" i="176"/>
  <c r="AY6" i="169"/>
  <c r="AZ6" i="160"/>
  <c r="AY6" i="170"/>
  <c r="Q46" i="14"/>
  <c r="Q48" i="14"/>
  <c r="AS8" i="161"/>
  <c r="AS8" i="159"/>
  <c r="AS8" i="167"/>
  <c r="AS8" i="171"/>
  <c r="AS8" i="155"/>
  <c r="AS8" i="162"/>
  <c r="AS8" i="144"/>
  <c r="AS8" i="14"/>
  <c r="AS8" i="180"/>
  <c r="AS8" i="175"/>
  <c r="AS8" i="168"/>
  <c r="AS8" i="148"/>
  <c r="AS8" i="169"/>
  <c r="AS8" i="182"/>
  <c r="AS8" i="160"/>
  <c r="AS8" i="154"/>
  <c r="AS8" i="153"/>
  <c r="AS8" i="170"/>
  <c r="AS8" i="13"/>
  <c r="AS8" i="158"/>
  <c r="AS8" i="163"/>
  <c r="AS8" i="81"/>
  <c r="AS8" i="156"/>
  <c r="AS8" i="147"/>
  <c r="AS8" i="166"/>
  <c r="AS8" i="176"/>
  <c r="T21" i="81"/>
  <c r="AN16" i="154"/>
  <c r="T29" i="3" l="1"/>
  <c r="BY18" i="256" l="1"/>
  <c r="BB290" i="257" s="1" a="1"/>
  <c r="BB290" i="257" s="1"/>
  <c r="AR18" i="256"/>
  <c r="BK2" i="257"/>
  <c r="BA7" i="256"/>
  <c r="BA7" i="255"/>
  <c r="BA7" i="167"/>
  <c r="AZ7" i="13"/>
  <c r="AZ7" i="171"/>
  <c r="AZ7" i="176"/>
  <c r="BA7" i="161"/>
  <c r="AZ7" i="169"/>
  <c r="AZ7" i="168"/>
  <c r="AZ7" i="170"/>
  <c r="AZ7" i="175"/>
  <c r="BA7" i="163"/>
  <c r="BA7" i="159"/>
  <c r="BA7" i="158"/>
  <c r="BA7" i="162"/>
  <c r="BA7" i="160"/>
  <c r="BY36" i="176"/>
  <c r="BB252" i="257" s="1"/>
  <c r="AE290" i="257" l="1" a="1"/>
  <c r="AE290" i="257" s="1"/>
  <c r="AR290" i="257" a="1"/>
  <c r="AR290" i="257" s="1"/>
  <c r="AA290" i="257" a="1"/>
  <c r="AA290" i="257" s="1"/>
  <c r="AM26" i="154"/>
  <c r="T12" i="256"/>
  <c r="AB12" i="256"/>
  <c r="AB290" i="257" a="1"/>
  <c r="AB290" i="257" s="1"/>
  <c r="BU18" i="256"/>
  <c r="AG290" i="257" a="1"/>
  <c r="AG290" i="257" s="1"/>
  <c r="AD290" i="257" a="1"/>
  <c r="AD290" i="257" s="1"/>
  <c r="AS290" i="257"/>
  <c r="AY290" i="257" a="1"/>
  <c r="AY290" i="257" s="1"/>
  <c r="AP290" i="257" a="1"/>
  <c r="AP290" i="257" s="1"/>
  <c r="AC290" i="257" a="1"/>
  <c r="AC290" i="257" s="1"/>
  <c r="U290" i="257" a="1"/>
  <c r="U290" i="257" s="1"/>
  <c r="AK38" i="81" s="1"/>
  <c r="AF290" i="257"/>
  <c r="AW290" i="257" a="1"/>
  <c r="AW290" i="257" s="1"/>
  <c r="T290" i="257" a="1"/>
  <c r="T290" i="257" s="1"/>
  <c r="AV290" i="257" a="1"/>
  <c r="AV290" i="257" s="1"/>
  <c r="BA290" i="257" a="1"/>
  <c r="BA290" i="257" s="1"/>
  <c r="AQ290" i="257" a="1"/>
  <c r="AQ290" i="257" s="1"/>
  <c r="AT290" i="257" a="1"/>
  <c r="AT290" i="257" s="1"/>
  <c r="AT252" i="257" a="1"/>
  <c r="AT252" i="257" s="1"/>
  <c r="AS252" i="257"/>
  <c r="AE252" i="257"/>
  <c r="AR252" i="257"/>
  <c r="AC252" i="257" a="1"/>
  <c r="AC252" i="257" s="1"/>
  <c r="AD252" i="257" a="1"/>
  <c r="AD252" i="257" s="1"/>
  <c r="AF252" i="257"/>
  <c r="AG252" i="257" a="1"/>
  <c r="AG252" i="257" s="1"/>
  <c r="BA252" i="257"/>
  <c r="AL252" i="257" s="1"/>
  <c r="AZ252" i="257"/>
  <c r="AY252" i="257"/>
  <c r="AW252" i="257"/>
  <c r="AV252" i="257"/>
  <c r="AQ252" i="257"/>
  <c r="AP252" i="257"/>
  <c r="BW36" i="176"/>
  <c r="C252" i="257" s="1" a="1"/>
  <c r="C252" i="257" s="1"/>
  <c r="F252" i="257" s="1" a="1"/>
  <c r="F252" i="257" s="1"/>
  <c r="AJ252" i="257" l="1"/>
  <c r="AK252" i="257"/>
  <c r="P27" i="3"/>
  <c r="P29" i="3" s="1"/>
  <c r="S29" i="3" s="1"/>
  <c r="BY18" i="170" s="1"/>
  <c r="Q27" i="3"/>
  <c r="Q29" i="3" s="1"/>
  <c r="O27" i="3"/>
  <c r="T12" i="176"/>
  <c r="M27" i="3"/>
  <c r="X12" i="176"/>
  <c r="AB12" i="176"/>
  <c r="AM13" i="176"/>
  <c r="N27" i="3"/>
  <c r="L27" i="3"/>
  <c r="BB179" i="257" l="1"/>
  <c r="AR18" i="170"/>
  <c r="BW18" i="170"/>
  <c r="C179" i="257" s="1" a="1"/>
  <c r="C179" i="257" s="1"/>
  <c r="BJ2" i="257"/>
  <c r="BY18" i="167"/>
  <c r="AZ7" i="159"/>
  <c r="AY7" i="169"/>
  <c r="AY7" i="170"/>
  <c r="AZ7" i="158"/>
  <c r="AZ7" i="160"/>
  <c r="AZ7" i="256"/>
  <c r="AY7" i="171"/>
  <c r="AZ7" i="255"/>
  <c r="B252" i="257"/>
  <c r="AZ7" i="162"/>
  <c r="AZ7" i="163"/>
  <c r="AY7" i="13"/>
  <c r="AZ7" i="161"/>
  <c r="AZ7" i="167"/>
  <c r="AY7" i="175"/>
  <c r="AY7" i="168"/>
  <c r="AY7" i="176"/>
  <c r="Q30" i="3"/>
  <c r="E11" i="81" s="1"/>
  <c r="F179" i="257" l="1" a="1"/>
  <c r="F179" i="257" s="1"/>
  <c r="B179" i="257"/>
  <c r="BU18" i="170"/>
  <c r="AA179" i="257" a="1"/>
  <c r="AA179" i="257" s="1"/>
  <c r="AM31" i="154"/>
  <c r="X12" i="170"/>
  <c r="AB12" i="170"/>
  <c r="T12" i="170"/>
  <c r="M21" i="3"/>
  <c r="N21" i="3"/>
  <c r="O21" i="3"/>
  <c r="L21" i="3"/>
  <c r="AS179" i="257"/>
  <c r="AR179" i="257" s="1"/>
  <c r="AV179" i="257"/>
  <c r="AQ179" i="257"/>
  <c r="AP179" i="257"/>
  <c r="AY179" i="257"/>
  <c r="AC179" i="257" a="1"/>
  <c r="AC179" i="257" s="1"/>
  <c r="AD179" i="257" a="1"/>
  <c r="AD179" i="257" s="1"/>
  <c r="AF179" i="257"/>
  <c r="AG179" i="257" a="1"/>
  <c r="AG179" i="257" s="1"/>
  <c r="AT179" i="257" a="1"/>
  <c r="AT179" i="257" s="1"/>
  <c r="BA179" i="257"/>
  <c r="AZ179" i="257"/>
  <c r="AW179" i="257"/>
  <c r="BW18" i="167" a="1"/>
  <c r="BW18" i="167" s="1"/>
  <c r="C116" i="257" s="1" a="1"/>
  <c r="C116" i="257" s="1"/>
  <c r="F116" i="257" s="1" a="1"/>
  <c r="F116" i="257" s="1"/>
  <c r="AR18" i="167"/>
  <c r="BB116" i="257"/>
  <c r="AE116" i="257" l="1" a="1"/>
  <c r="AE116" i="257" s="1"/>
  <c r="AR116" i="257" a="1"/>
  <c r="AR116" i="257" s="1"/>
  <c r="AE179" i="257"/>
  <c r="AL179" i="257"/>
  <c r="AJ179" i="257"/>
  <c r="AK179" i="257"/>
  <c r="AT116" i="257" a="1"/>
  <c r="AT116" i="257" s="1"/>
  <c r="AV116" i="257"/>
  <c r="AZ116" i="257"/>
  <c r="AP116" i="257"/>
  <c r="AK46" i="81" s="1"/>
  <c r="AY116" i="257"/>
  <c r="AC116" i="257" a="1"/>
  <c r="AC116" i="257" s="1"/>
  <c r="AK39" i="81" s="1"/>
  <c r="AQ116" i="257"/>
  <c r="AK47" i="81" s="1"/>
  <c r="AD116" i="257" a="1"/>
  <c r="AD116" i="257" s="1"/>
  <c r="AK40" i="81" s="1"/>
  <c r="AF116" i="257"/>
  <c r="AG116" i="257" a="1"/>
  <c r="AG116" i="257" s="1"/>
  <c r="BA116" i="257"/>
  <c r="AL116" i="257" s="1"/>
  <c r="AS116" i="257"/>
  <c r="AW116" i="257"/>
  <c r="AK45" i="81" s="1"/>
  <c r="B116" i="257"/>
  <c r="AA116" i="257" a="1"/>
  <c r="AA116" i="257" s="1"/>
  <c r="AK35" i="81" s="1"/>
  <c r="N18" i="3"/>
  <c r="L18" i="3"/>
  <c r="M18" i="3"/>
  <c r="BU18" i="167"/>
  <c r="AM28" i="154"/>
  <c r="AM36" i="154" s="1"/>
  <c r="AC37" i="154" s="1"/>
  <c r="O18" i="3"/>
  <c r="T12" i="167"/>
  <c r="AB12" i="167"/>
  <c r="X12" i="167"/>
  <c r="AK107" i="173"/>
  <c r="AK97" i="173"/>
  <c r="AK89" i="173"/>
  <c r="AK105" i="173"/>
  <c r="AK102" i="173"/>
  <c r="AK100" i="173"/>
  <c r="AK93" i="173"/>
  <c r="BW20" i="163"/>
  <c r="AK99" i="173"/>
  <c r="AK109" i="173"/>
  <c r="AK91" i="173"/>
  <c r="AK113" i="173"/>
  <c r="AK103" i="173"/>
  <c r="AK94" i="173"/>
  <c r="AK106" i="173"/>
  <c r="AK115" i="173"/>
  <c r="AK104" i="173"/>
  <c r="AK101" i="173"/>
  <c r="AK110" i="173"/>
  <c r="AK112" i="173"/>
  <c r="AK111" i="173"/>
  <c r="AK90" i="173"/>
  <c r="BW18" i="158"/>
  <c r="AK92" i="173"/>
  <c r="AK95" i="173"/>
  <c r="AK98" i="173"/>
  <c r="AK108" i="173"/>
  <c r="AK114" i="173"/>
  <c r="AK96" i="173"/>
  <c r="BW18" i="256"/>
  <c r="C290" i="257" s="1" a="1"/>
  <c r="C290" i="257" s="1"/>
  <c r="F290" i="257" s="1" a="1"/>
  <c r="F290" i="257" s="1"/>
  <c r="AK48" i="81" l="1"/>
  <c r="B290" i="257"/>
  <c r="AJ116" i="257"/>
  <c r="AK116" i="257"/>
  <c r="BX72" i="255" a="1"/>
  <c r="BX72" i="255" s="1"/>
  <c r="E286" i="257" s="1" a="1"/>
  <c r="E286" i="257" s="1"/>
  <c r="BX26" i="255" a="1"/>
  <c r="BX26" i="255" s="1"/>
  <c r="E263" i="257" s="1" a="1"/>
  <c r="E263" i="257" s="1"/>
  <c r="BX36" i="255" a="1"/>
  <c r="BX36" i="255" s="1"/>
  <c r="E268" i="257" s="1" a="1"/>
  <c r="E268" i="257" s="1"/>
  <c r="BX48" i="255" a="1"/>
  <c r="BX48" i="255" s="1"/>
  <c r="BX74" i="255" a="1"/>
  <c r="BX74" i="255" s="1"/>
  <c r="E287" i="257" s="1" a="1"/>
  <c r="E287" i="257" s="1"/>
  <c r="BX22" i="255" a="1"/>
  <c r="BX22" i="255" s="1"/>
  <c r="E261" i="257" s="1" a="1"/>
  <c r="E261" i="257" s="1"/>
  <c r="BX18" i="255" a="1"/>
  <c r="BX18" i="255" s="1"/>
  <c r="E259" i="257" s="1" a="1"/>
  <c r="E259" i="257" s="1"/>
  <c r="BX38" i="255" a="1"/>
  <c r="BX38" i="255" s="1"/>
  <c r="E269" i="257" s="1" a="1"/>
  <c r="E269" i="257" s="1"/>
  <c r="BX28" i="255" a="1"/>
  <c r="BX28" i="255" s="1"/>
  <c r="E264" i="257" s="1" a="1"/>
  <c r="E264" i="257" s="1"/>
  <c r="BX52" i="255" a="1"/>
  <c r="BX52" i="255" s="1"/>
  <c r="E276" i="257" s="1" a="1"/>
  <c r="E276" i="257" s="1"/>
  <c r="BX66" i="255" a="1"/>
  <c r="BX66" i="255" s="1"/>
  <c r="E283" i="257" s="1" a="1"/>
  <c r="E283" i="257" s="1"/>
  <c r="BX68" i="255" a="1"/>
  <c r="BX68" i="255" s="1"/>
  <c r="E284" i="257" s="1" a="1"/>
  <c r="E284" i="257" s="1"/>
  <c r="BX50" i="255" a="1"/>
  <c r="BX50" i="255" s="1"/>
  <c r="E275" i="257" s="1" a="1"/>
  <c r="E275" i="257" s="1"/>
  <c r="BX20" i="255" a="1"/>
  <c r="BX20" i="255" s="1"/>
  <c r="BX44" i="255" a="1"/>
  <c r="BX44" i="255" s="1"/>
  <c r="BX34" i="255" a="1"/>
  <c r="BX34" i="255" s="1"/>
  <c r="BX46" i="255" a="1"/>
  <c r="BX46" i="255" s="1"/>
  <c r="E273" i="257" s="1" a="1"/>
  <c r="E273" i="257" s="1"/>
  <c r="BX64" i="255" a="1"/>
  <c r="BX64" i="255" s="1"/>
  <c r="E282" i="257" s="1" a="1"/>
  <c r="E282" i="257" s="1"/>
  <c r="BX76" i="255" a="1"/>
  <c r="BX76" i="255" s="1"/>
  <c r="E288" i="257" s="1" a="1"/>
  <c r="E288" i="257" s="1"/>
  <c r="BX24" i="255" a="1"/>
  <c r="BX24" i="255" s="1"/>
  <c r="E262" i="257" s="1" a="1"/>
  <c r="E262" i="257" s="1"/>
  <c r="BX32" i="255" a="1"/>
  <c r="BX32" i="255" s="1"/>
  <c r="E266" i="257" s="1" a="1"/>
  <c r="E266" i="257" s="1"/>
  <c r="BX58" i="255" a="1"/>
  <c r="BX58" i="255" s="1"/>
  <c r="E279" i="257" s="1" a="1"/>
  <c r="E279" i="257" s="1"/>
  <c r="BX40" i="255" a="1"/>
  <c r="BX40" i="255" s="1"/>
  <c r="E270" i="257" s="1" a="1"/>
  <c r="E270" i="257" s="1"/>
  <c r="BX30" i="255" a="1"/>
  <c r="BX30" i="255" s="1"/>
  <c r="E265" i="257" s="1" a="1"/>
  <c r="E265" i="257" s="1"/>
  <c r="BX42" i="255" a="1"/>
  <c r="BX42" i="255" s="1"/>
  <c r="E271" i="257" s="1" a="1"/>
  <c r="E271" i="257" s="1"/>
  <c r="BX62" i="255" a="1"/>
  <c r="BX62" i="255" s="1"/>
  <c r="E281" i="257" s="1" a="1"/>
  <c r="E281" i="257" s="1"/>
  <c r="BX54" i="255" a="1"/>
  <c r="BX54" i="255" s="1"/>
  <c r="BX70" i="255" a="1"/>
  <c r="BX70" i="255" s="1"/>
  <c r="E285" i="257" s="1" a="1"/>
  <c r="E285" i="257" s="1"/>
  <c r="BX60" i="255" a="1"/>
  <c r="BX60" i="255" s="1"/>
  <c r="E280" i="257" s="1" a="1"/>
  <c r="E280" i="257" s="1"/>
  <c r="BX56" i="255" a="1"/>
  <c r="BX56" i="255" s="1"/>
  <c r="E278" i="257" s="1" a="1"/>
  <c r="E278" i="257" s="1"/>
  <c r="BX18" i="256" a="1"/>
  <c r="BX18" i="256" s="1"/>
  <c r="E290" i="257" s="1" a="1"/>
  <c r="E290" i="257" s="1"/>
  <c r="BX56" i="256" a="1"/>
  <c r="BX56" i="256" s="1"/>
  <c r="E309" i="257" s="1" a="1"/>
  <c r="E309" i="257" s="1"/>
  <c r="BX80" i="256" a="1"/>
  <c r="BX80" i="256" s="1"/>
  <c r="E321" i="257" s="1" a="1"/>
  <c r="E321" i="257" s="1"/>
  <c r="BX36" i="256" a="1"/>
  <c r="BX36" i="256" s="1"/>
  <c r="E299" i="257" s="1" a="1"/>
  <c r="E299" i="257" s="1"/>
  <c r="BX38" i="256" a="1"/>
  <c r="BX38" i="256" s="1"/>
  <c r="E300" i="257" s="1" a="1"/>
  <c r="E300" i="257" s="1"/>
  <c r="BX40" i="256" a="1"/>
  <c r="BX40" i="256" s="1"/>
  <c r="E301" i="257" s="1" a="1"/>
  <c r="E301" i="257" s="1"/>
  <c r="BX46" i="256" a="1"/>
  <c r="BX46" i="256" s="1"/>
  <c r="E304" i="257" s="1" a="1"/>
  <c r="E304" i="257" s="1"/>
  <c r="BX26" i="256" a="1"/>
  <c r="BX26" i="256" s="1"/>
  <c r="BX62" i="256" a="1"/>
  <c r="BX62" i="256" s="1"/>
  <c r="E312" i="257" s="1" a="1"/>
  <c r="E312" i="257" s="1"/>
  <c r="BX20" i="256" a="1"/>
  <c r="BX20" i="256" s="1"/>
  <c r="E291" i="257" s="1" a="1"/>
  <c r="E291" i="257" s="1"/>
  <c r="BX78" i="256" a="1"/>
  <c r="BX78" i="256" s="1"/>
  <c r="E320" i="257" s="1" a="1"/>
  <c r="E320" i="257" s="1"/>
  <c r="BX70" i="256" a="1"/>
  <c r="BX70" i="256" s="1"/>
  <c r="E316" i="257" s="1" a="1"/>
  <c r="E316" i="257" s="1"/>
  <c r="BX42" i="256" a="1"/>
  <c r="BX42" i="256" s="1"/>
  <c r="E302" i="257" s="1" a="1"/>
  <c r="E302" i="257" s="1"/>
  <c r="BX64" i="256" a="1"/>
  <c r="BX64" i="256" s="1"/>
  <c r="E313" i="257" s="1" a="1"/>
  <c r="E313" i="257" s="1"/>
  <c r="BX50" i="256" a="1"/>
  <c r="BX50" i="256" s="1"/>
  <c r="E306" i="257" s="1" a="1"/>
  <c r="E306" i="257" s="1"/>
  <c r="BX86" i="256" a="1"/>
  <c r="BX86" i="256" s="1"/>
  <c r="E324" i="257" s="1" a="1"/>
  <c r="E324" i="257" s="1"/>
  <c r="BX68" i="256" a="1"/>
  <c r="BX68" i="256" s="1"/>
  <c r="E315" i="257" s="1" a="1"/>
  <c r="E315" i="257" s="1"/>
  <c r="BX66" i="256" a="1"/>
  <c r="BX66" i="256" s="1"/>
  <c r="E314" i="257" s="1" a="1"/>
  <c r="E314" i="257" s="1"/>
  <c r="BX58" i="256" a="1"/>
  <c r="BX58" i="256" s="1"/>
  <c r="E310" i="257" s="1" a="1"/>
  <c r="E310" i="257" s="1"/>
  <c r="BX52" i="256" a="1"/>
  <c r="BX52" i="256" s="1"/>
  <c r="E307" i="257" s="1" a="1"/>
  <c r="E307" i="257" s="1"/>
  <c r="BX54" i="256" a="1"/>
  <c r="BX54" i="256" s="1"/>
  <c r="E308" i="257" s="1" a="1"/>
  <c r="E308" i="257" s="1"/>
  <c r="BX34" i="256" a="1"/>
  <c r="BX34" i="256" s="1"/>
  <c r="E298" i="257" s="1" a="1"/>
  <c r="E298" i="257" s="1"/>
  <c r="BX82" i="256" a="1"/>
  <c r="BX82" i="256" s="1"/>
  <c r="E322" i="257" s="1" a="1"/>
  <c r="E322" i="257" s="1"/>
  <c r="BX74" i="256" a="1"/>
  <c r="BX74" i="256" s="1"/>
  <c r="E318" i="257" s="1" a="1"/>
  <c r="E318" i="257" s="1"/>
  <c r="BX60" i="256" a="1"/>
  <c r="BX60" i="256" s="1"/>
  <c r="E311" i="257" s="1" a="1"/>
  <c r="E311" i="257" s="1"/>
  <c r="BX28" i="256" a="1"/>
  <c r="BX28" i="256" s="1"/>
  <c r="E295" i="257" s="1" a="1"/>
  <c r="E295" i="257" s="1"/>
  <c r="BX72" i="256" a="1"/>
  <c r="BX72" i="256" s="1"/>
  <c r="E317" i="257" s="1" a="1"/>
  <c r="E317" i="257" s="1"/>
  <c r="BX44" i="256" a="1"/>
  <c r="BX44" i="256" s="1"/>
  <c r="E303" i="257" s="1" a="1"/>
  <c r="E303" i="257" s="1"/>
  <c r="BX24" i="256" a="1"/>
  <c r="BX24" i="256" s="1"/>
  <c r="E293" i="257" s="1" a="1"/>
  <c r="E293" i="257" s="1"/>
  <c r="BX48" i="256" a="1"/>
  <c r="BX48" i="256" s="1"/>
  <c r="E305" i="257" s="1" a="1"/>
  <c r="E305" i="257" s="1"/>
  <c r="BX84" i="256" a="1"/>
  <c r="BX84" i="256" s="1"/>
  <c r="E323" i="257" s="1" a="1"/>
  <c r="E323" i="257" s="1"/>
  <c r="BX76" i="256" a="1"/>
  <c r="BX76" i="256" s="1"/>
  <c r="E319" i="257" s="1" a="1"/>
  <c r="E319" i="257" s="1"/>
  <c r="BX32" i="256" a="1"/>
  <c r="BX32" i="256" s="1"/>
  <c r="E297" i="257" s="1" a="1"/>
  <c r="E297" i="257" s="1"/>
  <c r="BX22" i="256" a="1"/>
  <c r="BX22" i="256" s="1"/>
  <c r="E292" i="257" s="1" a="1"/>
  <c r="E292" i="257" s="1"/>
  <c r="BX30" i="256" a="1"/>
  <c r="BX30" i="256" s="1"/>
  <c r="E296" i="257" s="1" a="1"/>
  <c r="E296" i="257" s="1"/>
  <c r="O30" i="3"/>
  <c r="O29" i="3"/>
  <c r="M30" i="3"/>
  <c r="M29" i="3"/>
  <c r="N30" i="3"/>
  <c r="N29" i="3"/>
  <c r="L30" i="3"/>
  <c r="L29" i="3"/>
  <c r="BX36" i="160" a="1"/>
  <c r="BX36" i="160" s="1"/>
  <c r="E60" i="257" s="1" a="1"/>
  <c r="E60" i="257" s="1"/>
  <c r="BX18" i="160" a="1"/>
  <c r="BX18" i="160" s="1"/>
  <c r="E51" i="257" s="1" a="1"/>
  <c r="E51" i="257" s="1"/>
  <c r="BX32" i="160" a="1"/>
  <c r="BX32" i="160" s="1"/>
  <c r="E58" i="257" s="1" a="1"/>
  <c r="E58" i="257" s="1"/>
  <c r="BX20" i="160" a="1"/>
  <c r="BX20" i="160" s="1"/>
  <c r="E52" i="257" s="1" a="1"/>
  <c r="E52" i="257" s="1"/>
  <c r="BX34" i="160" a="1"/>
  <c r="BX34" i="160" s="1"/>
  <c r="E59" i="257" s="1" a="1"/>
  <c r="E59" i="257" s="1"/>
  <c r="BX22" i="160" a="1"/>
  <c r="BX22" i="160" s="1"/>
  <c r="E53" i="257" s="1" a="1"/>
  <c r="E53" i="257" s="1"/>
  <c r="BX28" i="160" a="1"/>
  <c r="BX28" i="160" s="1"/>
  <c r="E56" i="257" s="1" a="1"/>
  <c r="E56" i="257" s="1"/>
  <c r="BX30" i="160" a="1"/>
  <c r="BX30" i="160" s="1"/>
  <c r="E57" i="257" s="1" a="1"/>
  <c r="E57" i="257" s="1"/>
  <c r="BX26" i="160" a="1"/>
  <c r="BX26" i="160" s="1"/>
  <c r="E55" i="257" s="1" a="1"/>
  <c r="E55" i="257" s="1"/>
  <c r="BX24" i="160" a="1"/>
  <c r="BX24" i="160" s="1"/>
  <c r="E54" i="257" s="1" a="1"/>
  <c r="E54" i="257" s="1"/>
  <c r="BX20" i="163" a="1"/>
  <c r="BX20" i="163" s="1"/>
  <c r="E85" i="257" s="1" a="1"/>
  <c r="E85" i="257" s="1"/>
  <c r="C85" i="257" a="1"/>
  <c r="C85" i="257" s="1"/>
  <c r="BX24" i="162" a="1"/>
  <c r="BX24" i="162" s="1"/>
  <c r="E71" i="257" s="1" a="1"/>
  <c r="E71" i="257" s="1"/>
  <c r="BX34" i="162" a="1"/>
  <c r="BX34" i="162" s="1"/>
  <c r="E76" i="257" s="1" a="1"/>
  <c r="E76" i="257" s="1"/>
  <c r="BX22" i="162" a="1"/>
  <c r="BX22" i="162" s="1"/>
  <c r="E70" i="257" s="1" a="1"/>
  <c r="E70" i="257" s="1"/>
  <c r="BX20" i="162" a="1"/>
  <c r="BX20" i="162" s="1"/>
  <c r="E69" i="257" s="1" a="1"/>
  <c r="E69" i="257" s="1"/>
  <c r="BX30" i="162" a="1"/>
  <c r="BX30" i="162" s="1"/>
  <c r="E74" i="257" s="1" a="1"/>
  <c r="E74" i="257" s="1"/>
  <c r="BX18" i="162" a="1"/>
  <c r="BX18" i="162" s="1"/>
  <c r="E68" i="257" s="1" a="1"/>
  <c r="E68" i="257" s="1"/>
  <c r="BX28" i="162" a="1"/>
  <c r="BX28" i="162" s="1"/>
  <c r="E73" i="257" s="1" a="1"/>
  <c r="E73" i="257" s="1"/>
  <c r="BX26" i="162" a="1"/>
  <c r="BX26" i="162" s="1"/>
  <c r="E72" i="257" s="1" a="1"/>
  <c r="E72" i="257" s="1"/>
  <c r="BX32" i="162" a="1"/>
  <c r="BX32" i="162" s="1"/>
  <c r="E75" i="257" s="1" a="1"/>
  <c r="E75" i="257" s="1"/>
  <c r="BX36" i="162" a="1"/>
  <c r="BX36" i="162" s="1"/>
  <c r="E77" i="257" s="1" a="1"/>
  <c r="E77" i="257" s="1"/>
  <c r="BX34" i="163" a="1"/>
  <c r="BX34" i="163" s="1"/>
  <c r="E92" i="257" s="1" a="1"/>
  <c r="E92" i="257" s="1"/>
  <c r="BX32" i="163" a="1"/>
  <c r="BX32" i="163" s="1"/>
  <c r="E91" i="257" s="1" a="1"/>
  <c r="E91" i="257" s="1"/>
  <c r="BX26" i="163" a="1"/>
  <c r="BX26" i="163" s="1"/>
  <c r="E88" i="257" s="1" a="1"/>
  <c r="E88" i="257" s="1"/>
  <c r="BX36" i="163" a="1"/>
  <c r="BX36" i="163" s="1"/>
  <c r="E93" i="257" s="1" a="1"/>
  <c r="E93" i="257" s="1"/>
  <c r="BX30" i="163" a="1"/>
  <c r="BX30" i="163" s="1"/>
  <c r="E90" i="257" s="1" a="1"/>
  <c r="E90" i="257" s="1"/>
  <c r="BX28" i="163" a="1"/>
  <c r="BX28" i="163" s="1"/>
  <c r="E89" i="257" s="1" a="1"/>
  <c r="E89" i="257" s="1"/>
  <c r="BX24" i="163" a="1"/>
  <c r="BX24" i="163" s="1"/>
  <c r="E87" i="257" s="1" a="1"/>
  <c r="E87" i="257" s="1"/>
  <c r="BX18" i="163" a="1"/>
  <c r="BX18" i="163" s="1"/>
  <c r="E84" i="257" s="1" a="1"/>
  <c r="E84" i="257" s="1"/>
  <c r="BX22" i="163" a="1"/>
  <c r="BX22" i="163" s="1"/>
  <c r="E86" i="257" s="1" a="1"/>
  <c r="E86" i="257" s="1"/>
  <c r="BX18" i="182" a="1"/>
  <c r="BX18" i="182" s="1"/>
  <c r="E100" i="257" s="1" a="1"/>
  <c r="E100" i="257" s="1"/>
  <c r="BX24" i="182" a="1"/>
  <c r="BX24" i="182" s="1"/>
  <c r="E103" i="257" s="1" a="1"/>
  <c r="E103" i="257" s="1"/>
  <c r="BX30" i="182" a="1"/>
  <c r="BX30" i="182" s="1"/>
  <c r="E106" i="257" s="1" a="1"/>
  <c r="E106" i="257" s="1"/>
  <c r="BX20" i="182" a="1"/>
  <c r="BX20" i="182" s="1"/>
  <c r="E101" i="257" s="1" a="1"/>
  <c r="E101" i="257" s="1"/>
  <c r="BX32" i="182" a="1"/>
  <c r="BX32" i="182" s="1"/>
  <c r="E107" i="257" s="1" a="1"/>
  <c r="E107" i="257" s="1"/>
  <c r="BX34" i="182" a="1"/>
  <c r="BX34" i="182" s="1"/>
  <c r="E108" i="257" s="1" a="1"/>
  <c r="E108" i="257" s="1"/>
  <c r="BX36" i="182" a="1"/>
  <c r="BX36" i="182" s="1"/>
  <c r="E109" i="257" s="1" a="1"/>
  <c r="E109" i="257" s="1"/>
  <c r="BX28" i="182" a="1"/>
  <c r="BX28" i="182" s="1"/>
  <c r="E105" i="257" s="1" a="1"/>
  <c r="E105" i="257" s="1"/>
  <c r="BX22" i="182" a="1"/>
  <c r="BX22" i="182" s="1"/>
  <c r="E102" i="257" s="1" a="1"/>
  <c r="E102" i="257" s="1"/>
  <c r="BX26" i="182" a="1"/>
  <c r="BX26" i="182" s="1"/>
  <c r="E104" i="257" s="1" a="1"/>
  <c r="E104" i="257" s="1"/>
  <c r="BW18" i="159"/>
  <c r="BX18" i="159" s="1" a="1"/>
  <c r="BX18" i="159" s="1"/>
  <c r="E35" i="257" s="1" a="1"/>
  <c r="E35" i="257" s="1"/>
  <c r="BX34" i="159" a="1"/>
  <c r="BX34" i="159" s="1"/>
  <c r="E43" i="257" s="1" a="1"/>
  <c r="E43" i="257" s="1"/>
  <c r="BX22" i="159" a="1"/>
  <c r="BX22" i="159" s="1"/>
  <c r="E37" i="257" s="1" a="1"/>
  <c r="E37" i="257" s="1"/>
  <c r="BX36" i="159" a="1"/>
  <c r="BX36" i="159" s="1"/>
  <c r="E44" i="257" s="1" a="1"/>
  <c r="E44" i="257" s="1"/>
  <c r="BX24" i="159" a="1"/>
  <c r="BX24" i="159" s="1"/>
  <c r="E38" i="257" s="1" a="1"/>
  <c r="E38" i="257" s="1"/>
  <c r="BX26" i="159" a="1"/>
  <c r="BX26" i="159" s="1"/>
  <c r="E39" i="257" s="1" a="1"/>
  <c r="E39" i="257" s="1"/>
  <c r="BX28" i="159" a="1"/>
  <c r="BX28" i="159" s="1"/>
  <c r="E40" i="257" s="1" a="1"/>
  <c r="E40" i="257" s="1"/>
  <c r="BX30" i="159" a="1"/>
  <c r="BX30" i="159" s="1"/>
  <c r="E41" i="257" s="1" a="1"/>
  <c r="E41" i="257" s="1"/>
  <c r="BX32" i="159" a="1"/>
  <c r="BX32" i="159" s="1"/>
  <c r="E42" i="257" s="1" a="1"/>
  <c r="E42" i="257" s="1"/>
  <c r="BX20" i="159" a="1"/>
  <c r="BX20" i="159" s="1"/>
  <c r="E36" i="257" s="1" a="1"/>
  <c r="E36" i="257" s="1"/>
  <c r="C4" i="257" a="1"/>
  <c r="C4" i="257" s="1"/>
  <c r="E260" i="257" a="1"/>
  <c r="E260" i="257" s="1"/>
  <c r="E267" i="257" a="1"/>
  <c r="E267" i="257" s="1"/>
  <c r="E272" i="257" a="1"/>
  <c r="E272" i="257" s="1"/>
  <c r="E277" i="257" a="1"/>
  <c r="E277" i="257" s="1"/>
  <c r="E274" i="257" a="1"/>
  <c r="E274" i="257" s="1"/>
  <c r="AK88" i="173"/>
  <c r="Q290" i="257" s="1" a="1"/>
  <c r="Q290" i="257" s="1"/>
  <c r="E294" i="257" a="1"/>
  <c r="E294" i="257" s="1"/>
  <c r="AG51" i="257"/>
  <c r="AG56" i="257"/>
  <c r="AG61" i="257"/>
  <c r="AG65" i="257"/>
  <c r="AG60" i="257"/>
  <c r="AG57" i="257"/>
  <c r="AG53" i="257"/>
  <c r="AG64" i="257"/>
  <c r="AG63" i="257"/>
  <c r="AG54" i="257"/>
  <c r="AG55" i="257"/>
  <c r="AG52" i="257"/>
  <c r="AG59" i="257"/>
  <c r="AG62" i="257"/>
  <c r="AG58" i="257"/>
  <c r="AG98" i="257"/>
  <c r="AG84" i="257"/>
  <c r="AG95" i="257"/>
  <c r="AG86" i="257"/>
  <c r="AG92" i="257"/>
  <c r="AG89" i="257"/>
  <c r="AG91" i="257"/>
  <c r="AG97" i="257"/>
  <c r="AG90" i="257"/>
  <c r="AG96" i="257"/>
  <c r="AG93" i="257"/>
  <c r="AG87" i="257"/>
  <c r="AG88" i="257"/>
  <c r="AG94" i="257"/>
  <c r="AG70" i="257"/>
  <c r="AG69" i="257"/>
  <c r="AG74" i="257"/>
  <c r="AG68" i="257"/>
  <c r="AG75" i="257"/>
  <c r="AG73" i="257"/>
  <c r="AG71" i="257"/>
  <c r="AG80" i="257"/>
  <c r="AG79" i="257"/>
  <c r="AG82" i="257"/>
  <c r="AG72" i="257"/>
  <c r="AG77" i="257"/>
  <c r="AG78" i="257"/>
  <c r="AG76" i="257"/>
  <c r="AG81" i="257"/>
  <c r="AG43" i="257"/>
  <c r="AG37" i="257"/>
  <c r="AG46" i="257"/>
  <c r="AG44" i="257"/>
  <c r="AG45" i="257"/>
  <c r="AG41" i="257"/>
  <c r="AG36" i="257"/>
  <c r="AG47" i="257"/>
  <c r="AG39" i="257"/>
  <c r="AG48" i="257"/>
  <c r="AG38" i="257"/>
  <c r="AG49" i="257"/>
  <c r="AG42" i="257"/>
  <c r="AG40" i="257"/>
  <c r="AG105" i="257"/>
  <c r="AG101" i="257"/>
  <c r="AG104" i="257"/>
  <c r="AG108" i="257"/>
  <c r="AG111" i="257"/>
  <c r="AG112" i="257"/>
  <c r="AG106" i="257"/>
  <c r="AG102" i="257"/>
  <c r="AG113" i="257"/>
  <c r="AG103" i="257"/>
  <c r="AG110" i="257"/>
  <c r="AG109" i="257"/>
  <c r="AG100" i="257"/>
  <c r="AG107" i="257"/>
  <c r="AG114" i="257"/>
  <c r="AG85" i="257" l="1"/>
  <c r="F85" i="257" a="1"/>
  <c r="F85" i="257" s="1"/>
  <c r="B4" i="257"/>
  <c r="F4" i="257" a="1"/>
  <c r="F4" i="257" s="1"/>
  <c r="I20" i="81"/>
  <c r="AF36" i="155"/>
  <c r="AF36" i="156"/>
  <c r="I19" i="81"/>
  <c r="BE2" i="257" s="1"/>
  <c r="A4" i="256"/>
  <c r="A4" i="14"/>
  <c r="A4" i="171"/>
  <c r="A4" i="182"/>
  <c r="A4" i="144"/>
  <c r="AB36" i="14"/>
  <c r="A4" i="13"/>
  <c r="A4" i="175"/>
  <c r="A4" i="154"/>
  <c r="A4" i="153"/>
  <c r="AF37" i="156"/>
  <c r="AF37" i="155"/>
  <c r="A4" i="159"/>
  <c r="A4" i="155"/>
  <c r="A4" i="166"/>
  <c r="A4" i="163"/>
  <c r="A4" i="148"/>
  <c r="A4" i="162"/>
  <c r="A4" i="253"/>
  <c r="A4" i="167"/>
  <c r="A4" i="180"/>
  <c r="D169" i="3"/>
  <c r="A4" i="176"/>
  <c r="A4" i="161"/>
  <c r="Z44" i="14"/>
  <c r="D168" i="3"/>
  <c r="A4" i="255"/>
  <c r="A4" i="81"/>
  <c r="A4" i="147"/>
  <c r="A4" i="168"/>
  <c r="A4" i="169"/>
  <c r="A4" i="156"/>
  <c r="A4" i="252"/>
  <c r="A4" i="158"/>
  <c r="A4" i="170"/>
  <c r="A4" i="251"/>
  <c r="A4" i="254"/>
  <c r="A4" i="160"/>
  <c r="H2" i="3"/>
  <c r="V36" i="156"/>
  <c r="V36" i="155"/>
  <c r="V37" i="156"/>
  <c r="V37" i="155"/>
  <c r="AA36" i="156"/>
  <c r="AA36" i="155"/>
  <c r="AA37" i="156"/>
  <c r="AA37" i="155"/>
  <c r="B85" i="257"/>
  <c r="C35" i="257" a="1"/>
  <c r="C35" i="257" s="1"/>
  <c r="BX18" i="158" a="1"/>
  <c r="BX18" i="158" s="1"/>
  <c r="E4" i="257" s="1" a="1"/>
  <c r="E4" i="257" s="1"/>
  <c r="BX22" i="158" a="1"/>
  <c r="BX22" i="158" s="1"/>
  <c r="E6" i="257" s="1" a="1"/>
  <c r="E6" i="257" s="1"/>
  <c r="BX76" i="158" a="1"/>
  <c r="BX76" i="158" s="1"/>
  <c r="E33" i="257" s="1" a="1"/>
  <c r="E33" i="257" s="1"/>
  <c r="BX24" i="158" a="1"/>
  <c r="BX24" i="158" s="1"/>
  <c r="E7" i="257" s="1" a="1"/>
  <c r="E7" i="257" s="1"/>
  <c r="BX26" i="158" a="1"/>
  <c r="BX26" i="158" s="1"/>
  <c r="E8" i="257" s="1" a="1"/>
  <c r="E8" i="257" s="1"/>
  <c r="BX42" i="158" a="1"/>
  <c r="BX42" i="158" s="1"/>
  <c r="E16" i="257" s="1" a="1"/>
  <c r="E16" i="257" s="1"/>
  <c r="BX32" i="158" a="1"/>
  <c r="BX32" i="158" s="1"/>
  <c r="E11" i="257" s="1" a="1"/>
  <c r="E11" i="257" s="1"/>
  <c r="BX46" i="158" a="1"/>
  <c r="BX46" i="158" s="1"/>
  <c r="E18" i="257" s="1" a="1"/>
  <c r="E18" i="257" s="1"/>
  <c r="BX64" i="158" a="1"/>
  <c r="BX64" i="158" s="1"/>
  <c r="BX34" i="158" a="1"/>
  <c r="BX34" i="158" s="1"/>
  <c r="BX52" i="158" a="1"/>
  <c r="BX52" i="158" s="1"/>
  <c r="E21" i="257" s="1" a="1"/>
  <c r="E21" i="257" s="1"/>
  <c r="BX66" i="158" a="1"/>
  <c r="BX66" i="158" s="1"/>
  <c r="E28" i="257" s="1" a="1"/>
  <c r="E28" i="257" s="1"/>
  <c r="BX50" i="158" a="1"/>
  <c r="BX50" i="158" s="1"/>
  <c r="E20" i="257" s="1" a="1"/>
  <c r="E20" i="257" s="1"/>
  <c r="BX40" i="158" a="1"/>
  <c r="BX40" i="158" s="1"/>
  <c r="E15" i="257" s="1" a="1"/>
  <c r="E15" i="257" s="1"/>
  <c r="BX70" i="158" a="1"/>
  <c r="BX70" i="158" s="1"/>
  <c r="E30" i="257" s="1" a="1"/>
  <c r="E30" i="257" s="1"/>
  <c r="BX56" i="158" a="1"/>
  <c r="BX56" i="158" s="1"/>
  <c r="E23" i="257" s="1" a="1"/>
  <c r="E23" i="257" s="1"/>
  <c r="BX68" i="158" a="1"/>
  <c r="BX68" i="158" s="1"/>
  <c r="E29" i="257" s="1" a="1"/>
  <c r="E29" i="257" s="1"/>
  <c r="BX44" i="158" a="1"/>
  <c r="BX44" i="158" s="1"/>
  <c r="E17" i="257" s="1" a="1"/>
  <c r="E17" i="257" s="1"/>
  <c r="BX62" i="158" a="1"/>
  <c r="BX62" i="158" s="1"/>
  <c r="BX74" i="158" a="1"/>
  <c r="BX74" i="158" s="1"/>
  <c r="E32" i="257" s="1" a="1"/>
  <c r="E32" i="257" s="1"/>
  <c r="BX36" i="158" a="1"/>
  <c r="BX36" i="158" s="1"/>
  <c r="BX60" i="158" a="1"/>
  <c r="BX60" i="158" s="1"/>
  <c r="BX54" i="158" a="1"/>
  <c r="BX54" i="158" s="1"/>
  <c r="E22" i="257" s="1" a="1"/>
  <c r="E22" i="257" s="1"/>
  <c r="BX48" i="158" a="1"/>
  <c r="BX48" i="158" s="1"/>
  <c r="E19" i="257" s="1" a="1"/>
  <c r="E19" i="257" s="1"/>
  <c r="BX58" i="158" a="1"/>
  <c r="BX58" i="158" s="1"/>
  <c r="E24" i="257" s="1" a="1"/>
  <c r="E24" i="257" s="1"/>
  <c r="BX38" i="158" a="1"/>
  <c r="BX38" i="158" s="1"/>
  <c r="E14" i="257" s="1" a="1"/>
  <c r="E14" i="257" s="1"/>
  <c r="BX72" i="158" a="1"/>
  <c r="BX72" i="158" s="1"/>
  <c r="E31" i="257" s="1" a="1"/>
  <c r="E31" i="257" s="1"/>
  <c r="BX20" i="158" a="1"/>
  <c r="BX20" i="158" s="1"/>
  <c r="E5" i="257" s="1" a="1"/>
  <c r="E5" i="257" s="1"/>
  <c r="BX30" i="158" a="1"/>
  <c r="BX30" i="158" s="1"/>
  <c r="E10" i="257" s="1" a="1"/>
  <c r="E10" i="257" s="1"/>
  <c r="BX28" i="158" a="1"/>
  <c r="BX28" i="158" s="1"/>
  <c r="E9" i="257" s="1" a="1"/>
  <c r="E9" i="257" s="1"/>
  <c r="Q318" i="257" a="1"/>
  <c r="Q318" i="257" s="1"/>
  <c r="Q324" i="257" a="1"/>
  <c r="Q324" i="257" s="1"/>
  <c r="Q320" i="257" a="1"/>
  <c r="Q320" i="257" s="1"/>
  <c r="Q310" i="257" a="1"/>
  <c r="Q310" i="257" s="1"/>
  <c r="P300" i="257" a="1"/>
  <c r="P300" i="257" s="1"/>
  <c r="P290" i="257" a="1"/>
  <c r="P290" i="257" s="1"/>
  <c r="Q295" i="257" a="1"/>
  <c r="Q295" i="257" s="1"/>
  <c r="P297" i="257" a="1"/>
  <c r="P297" i="257" s="1"/>
  <c r="Q309" i="257" a="1"/>
  <c r="Q309" i="257" s="1"/>
  <c r="P309" i="257" a="1"/>
  <c r="P309" i="257" s="1"/>
  <c r="Q308" i="257" a="1"/>
  <c r="Q308" i="257" s="1"/>
  <c r="P299" i="257" a="1"/>
  <c r="P299" i="257" s="1"/>
  <c r="P295" i="257" a="1"/>
  <c r="P295" i="257" s="1"/>
  <c r="Q323" i="257" a="1"/>
  <c r="Q323" i="257" s="1"/>
  <c r="P323" i="257" a="1"/>
  <c r="P323" i="257" s="1"/>
  <c r="P317" i="257" a="1"/>
  <c r="P317" i="257" s="1"/>
  <c r="Q296" i="257" a="1"/>
  <c r="Q296" i="257" s="1"/>
  <c r="Q304" i="257" a="1"/>
  <c r="Q304" i="257" s="1"/>
  <c r="Q306" i="257" a="1"/>
  <c r="Q306" i="257" s="1"/>
  <c r="P310" i="257" a="1"/>
  <c r="P310" i="257" s="1"/>
  <c r="P318" i="257" a="1"/>
  <c r="P318" i="257" s="1"/>
  <c r="P320" i="257" a="1"/>
  <c r="P320" i="257" s="1"/>
  <c r="P293" i="257" a="1"/>
  <c r="P293" i="257" s="1"/>
  <c r="P316" i="257" a="1"/>
  <c r="P316" i="257" s="1"/>
  <c r="Q301" i="257" a="1"/>
  <c r="Q301" i="257" s="1"/>
  <c r="Q311" i="257" a="1"/>
  <c r="Q311" i="257" s="1"/>
  <c r="Q319" i="257" a="1"/>
  <c r="Q319" i="257" s="1"/>
  <c r="P291" i="257" a="1"/>
  <c r="P291" i="257" s="1"/>
  <c r="Q299" i="257" a="1"/>
  <c r="Q299" i="257" s="1"/>
  <c r="P321" i="257" a="1"/>
  <c r="P321" i="257" s="1"/>
  <c r="P298" i="257" a="1"/>
  <c r="P298" i="257" s="1"/>
  <c r="P324" i="257" a="1"/>
  <c r="P324" i="257" s="1"/>
  <c r="Q303" i="257" a="1"/>
  <c r="Q303" i="257" s="1"/>
  <c r="Q314" i="257" a="1"/>
  <c r="Q314" i="257" s="1"/>
  <c r="Q291" i="257" a="1"/>
  <c r="Q291" i="257" s="1"/>
  <c r="P296" i="257" a="1"/>
  <c r="P296" i="257" s="1"/>
  <c r="Q316" i="257" a="1"/>
  <c r="Q316" i="257" s="1"/>
  <c r="P314" i="257" a="1"/>
  <c r="P314" i="257" s="1"/>
  <c r="P322" i="257" a="1"/>
  <c r="P322" i="257" s="1"/>
  <c r="P301" i="257" a="1"/>
  <c r="P301" i="257" s="1"/>
  <c r="Q321" i="257" a="1"/>
  <c r="Q321" i="257" s="1"/>
  <c r="Q302" i="257" a="1"/>
  <c r="Q302" i="257" s="1"/>
  <c r="Q300" i="257" a="1"/>
  <c r="Q300" i="257" s="1"/>
  <c r="Q294" i="257" a="1"/>
  <c r="Q294" i="257" s="1"/>
  <c r="Q307" i="257" a="1"/>
  <c r="Q307" i="257" s="1"/>
  <c r="P313" i="257" a="1"/>
  <c r="P313" i="257" s="1"/>
  <c r="P307" i="257" a="1"/>
  <c r="P307" i="257" s="1"/>
  <c r="Q322" i="257" a="1"/>
  <c r="Q322" i="257" s="1"/>
  <c r="Q297" i="257" a="1"/>
  <c r="Q297" i="257" s="1"/>
  <c r="P312" i="257" a="1"/>
  <c r="P312" i="257" s="1"/>
  <c r="P306" i="257" a="1"/>
  <c r="P306" i="257" s="1"/>
  <c r="P305" i="257" a="1"/>
  <c r="P305" i="257" s="1"/>
  <c r="P308" i="257" a="1"/>
  <c r="P308" i="257" s="1"/>
  <c r="Q305" i="257" a="1"/>
  <c r="Q305" i="257" s="1"/>
  <c r="P319" i="257" a="1"/>
  <c r="P319" i="257" s="1"/>
  <c r="P304" i="257" a="1"/>
  <c r="P304" i="257" s="1"/>
  <c r="P303" i="257" a="1"/>
  <c r="P303" i="257" s="1"/>
  <c r="Q293" i="257" a="1"/>
  <c r="Q293" i="257" s="1"/>
  <c r="Q298" i="257" a="1"/>
  <c r="Q298" i="257" s="1"/>
  <c r="Q315" i="257" a="1"/>
  <c r="Q315" i="257" s="1"/>
  <c r="P292" i="257" a="1"/>
  <c r="P292" i="257" s="1"/>
  <c r="P311" i="257" a="1"/>
  <c r="P311" i="257" s="1"/>
  <c r="P302" i="257" a="1"/>
  <c r="P302" i="257" s="1"/>
  <c r="Q292" i="257" a="1"/>
  <c r="Q292" i="257" s="1"/>
  <c r="Q313" i="257" a="1"/>
  <c r="Q313" i="257" s="1"/>
  <c r="Q312" i="257" a="1"/>
  <c r="Q312" i="257" s="1"/>
  <c r="P315" i="257" a="1"/>
  <c r="P315" i="257" s="1"/>
  <c r="Q317" i="257" a="1"/>
  <c r="Q317" i="257" s="1"/>
  <c r="P294" i="257" a="1"/>
  <c r="P294" i="257" s="1"/>
  <c r="E26" i="257" a="1"/>
  <c r="E26" i="257" s="1"/>
  <c r="E27" i="257" a="1"/>
  <c r="E27" i="257" s="1"/>
  <c r="E25" i="257" a="1"/>
  <c r="E25" i="257" s="1"/>
  <c r="E13" i="257" a="1"/>
  <c r="E13" i="257" s="1"/>
  <c r="E12" i="257" a="1"/>
  <c r="E12" i="257" s="1"/>
  <c r="AG35" i="257" l="1"/>
  <c r="AK41" i="81" s="1"/>
  <c r="F35" i="257" a="1"/>
  <c r="F35" i="257" s="1"/>
  <c r="C167" i="3"/>
  <c r="D167" i="3"/>
  <c r="Z46" i="14"/>
  <c r="Z48" i="14"/>
  <c r="B35" i="257"/>
  <c r="AK44" i="81"/>
  <c r="AK36" i="81"/>
  <c r="AK37" i="81"/>
  <c r="AK43" i="81"/>
  <c r="H4" i="3" l="1"/>
  <c r="E167" i="3"/>
  <c r="T23" i="81" s="1"/>
  <c r="AS5" i="252" l="1"/>
  <c r="AS5" i="147"/>
  <c r="AS5" i="253"/>
  <c r="AS5" i="158"/>
  <c r="AS5" i="256"/>
  <c r="AS5" i="81"/>
  <c r="AS5" i="176"/>
  <c r="AS5" i="255"/>
  <c r="AJ15" i="180" a="1"/>
  <c r="AJ15" i="180" s="1"/>
  <c r="AS5" i="13"/>
  <c r="AS5" i="169"/>
  <c r="AS5" i="170"/>
  <c r="AS5" i="163"/>
  <c r="AS5" i="175"/>
  <c r="AS5" i="180"/>
  <c r="AS5" i="154"/>
  <c r="AS5" i="156"/>
  <c r="AS5" i="182"/>
  <c r="AS5" i="168"/>
  <c r="AS5" i="160"/>
  <c r="AS5" i="155"/>
  <c r="AS5" i="144"/>
  <c r="AS5" i="153"/>
  <c r="AS5" i="159"/>
  <c r="AS5" i="171"/>
  <c r="AS5" i="161"/>
  <c r="AS5" i="251"/>
  <c r="AS5" i="14"/>
  <c r="AS5" i="166"/>
  <c r="AS5" i="162"/>
  <c r="AS5" i="148"/>
  <c r="AS5" i="167"/>
  <c r="AS5" i="2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Cheek, Taylor</author>
  </authors>
  <commentList>
    <comment ref="H24" authorId="0" shapeId="0" xr:uid="{B2FA2FB5-501B-4482-9B8A-3DD48AA0B46F}">
      <text>
        <r>
          <rPr>
            <b/>
            <sz val="9"/>
            <color indexed="81"/>
            <rFont val="Tahoma"/>
            <family val="2"/>
          </rPr>
          <t>Cheek, Taylor:</t>
        </r>
        <r>
          <rPr>
            <sz val="9"/>
            <color indexed="81"/>
            <rFont val="Tahoma"/>
            <family val="2"/>
          </rPr>
          <t xml:space="preserve">
Used in CBDATA Discount Rate lookup.</t>
        </r>
      </text>
    </comment>
    <comment ref="BE43" authorId="0" shapeId="0" xr:uid="{F21471BE-752C-4AA4-A8B3-20D98124B3CB}">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 ref="BE74" authorId="0" shapeId="0" xr:uid="{D588565E-1965-4B41-8998-D49EB13EF623}">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 ref="BE75" authorId="0" shapeId="0" xr:uid="{8878EEFC-D192-4474-93DA-8F49A343D121}">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Jones, Travis</author>
    <author>Cheek, Taylor</author>
  </authors>
  <commentList>
    <comment ref="R3" authorId="0" shapeId="0" xr:uid="{720A9CD4-7DF5-452F-AC68-1665C7B0C0E1}">
      <text>
        <r>
          <rPr>
            <b/>
            <sz val="9"/>
            <color indexed="81"/>
            <rFont val="Tahoma"/>
            <family val="2"/>
          </rPr>
          <t>Jones, Travis:</t>
        </r>
        <r>
          <rPr>
            <sz val="9"/>
            <color indexed="81"/>
            <rFont val="Tahoma"/>
            <family val="2"/>
          </rPr>
          <t xml:space="preserve">
Was 12 years
</t>
        </r>
      </text>
    </comment>
    <comment ref="R7" authorId="0" shapeId="0" xr:uid="{4895EA44-4C34-4825-893D-FE17496E4370}">
      <text>
        <r>
          <rPr>
            <b/>
            <sz val="9"/>
            <color indexed="81"/>
            <rFont val="Tahoma"/>
            <charset val="1"/>
          </rPr>
          <t>Jones, Travis:</t>
        </r>
        <r>
          <rPr>
            <sz val="9"/>
            <color indexed="81"/>
            <rFont val="Tahoma"/>
            <charset val="1"/>
          </rPr>
          <t xml:space="preserve">
Was 12</t>
        </r>
      </text>
    </comment>
    <comment ref="F15" authorId="0" shapeId="0" xr:uid="{17643F80-7124-4310-AF3D-B04E18D6B4A1}">
      <text>
        <r>
          <rPr>
            <b/>
            <sz val="9"/>
            <color indexed="81"/>
            <rFont val="Tahoma"/>
            <family val="2"/>
          </rPr>
          <t>Jones, Travis:</t>
        </r>
        <r>
          <rPr>
            <sz val="9"/>
            <color indexed="81"/>
            <rFont val="Tahoma"/>
            <family val="2"/>
          </rPr>
          <t xml:space="preserve">
T5/T5HO removed from TRM</t>
        </r>
      </text>
    </comment>
    <comment ref="R15" authorId="0" shapeId="0" xr:uid="{241D879F-35C0-4FFF-AF81-A68FEF26C718}">
      <text>
        <r>
          <rPr>
            <b/>
            <sz val="9"/>
            <color indexed="81"/>
            <rFont val="Tahoma"/>
            <family val="2"/>
          </rPr>
          <t>Jones, Travis:</t>
        </r>
        <r>
          <rPr>
            <sz val="9"/>
            <color indexed="81"/>
            <rFont val="Tahoma"/>
            <family val="2"/>
          </rPr>
          <t xml:space="preserve">
Old EUL 12 years
</t>
        </r>
      </text>
    </comment>
    <comment ref="R41" authorId="0" shapeId="0" xr:uid="{3BDD6C0E-E1B5-4B3D-801D-9A3655FFE0DF}">
      <text>
        <r>
          <rPr>
            <b/>
            <sz val="9"/>
            <color indexed="81"/>
            <rFont val="Tahoma"/>
            <charset val="1"/>
          </rPr>
          <t>Jones, Travis:</t>
        </r>
        <r>
          <rPr>
            <sz val="9"/>
            <color indexed="81"/>
            <rFont val="Tahoma"/>
            <charset val="1"/>
          </rPr>
          <t xml:space="preserve">
Was 14 years</t>
        </r>
      </text>
    </comment>
    <comment ref="R42" authorId="0" shapeId="0" xr:uid="{A5D52EA3-B8F0-4211-8082-4A0D0EBF2E01}">
      <text>
        <r>
          <rPr>
            <b/>
            <sz val="9"/>
            <color indexed="81"/>
            <rFont val="Tahoma"/>
            <charset val="1"/>
          </rPr>
          <t>Jones, Travis:</t>
        </r>
        <r>
          <rPr>
            <sz val="9"/>
            <color indexed="81"/>
            <rFont val="Tahoma"/>
            <charset val="1"/>
          </rPr>
          <t xml:space="preserve">
Was 6 years</t>
        </r>
      </text>
    </comment>
    <comment ref="C48" authorId="0" shapeId="0" xr:uid="{9803BC75-D432-4184-98F8-98EB23FCF44E}">
      <text>
        <r>
          <rPr>
            <b/>
            <sz val="9"/>
            <color indexed="81"/>
            <rFont val="Tahoma"/>
            <family val="2"/>
          </rPr>
          <t>Jones, Travis:</t>
        </r>
        <r>
          <rPr>
            <sz val="9"/>
            <color indexed="81"/>
            <rFont val="Tahoma"/>
            <family val="2"/>
          </rPr>
          <t xml:space="preserve">
Still on 2024 TRM but with 2025 primary key. Units changed</t>
        </r>
      </text>
    </comment>
    <comment ref="C61" authorId="0" shapeId="0" xr:uid="{7ACF9FE1-A979-4C11-BBE1-C698FC9DFCC4}">
      <text>
        <r>
          <rPr>
            <b/>
            <sz val="9"/>
            <color indexed="81"/>
            <rFont val="Tahoma"/>
            <family val="2"/>
          </rPr>
          <t>Jones, Travis:</t>
        </r>
        <r>
          <rPr>
            <sz val="9"/>
            <color indexed="81"/>
            <rFont val="Tahoma"/>
            <family val="2"/>
          </rPr>
          <t xml:space="preserve">
Used 1/4 inch numbers</t>
        </r>
      </text>
    </comment>
    <comment ref="C64" authorId="0" shapeId="0" xr:uid="{7BF7B116-A876-4527-BC1A-3023F6F2623B}">
      <text>
        <r>
          <rPr>
            <b/>
            <sz val="9"/>
            <color indexed="81"/>
            <rFont val="Tahoma"/>
            <family val="2"/>
          </rPr>
          <t>Jones, Travis:</t>
        </r>
        <r>
          <rPr>
            <sz val="9"/>
            <color indexed="81"/>
            <rFont val="Tahoma"/>
            <family val="2"/>
          </rPr>
          <t xml:space="preserve">
Used 1/8 inch numbers</t>
        </r>
      </text>
    </comment>
    <comment ref="R65" authorId="0" shapeId="0" xr:uid="{A8803D45-9001-40D4-91FF-988B1371183D}">
      <text>
        <r>
          <rPr>
            <b/>
            <sz val="9"/>
            <color indexed="81"/>
            <rFont val="Tahoma"/>
            <charset val="1"/>
          </rPr>
          <t>Jones, Travis:</t>
        </r>
        <r>
          <rPr>
            <sz val="9"/>
            <color indexed="81"/>
            <rFont val="Tahoma"/>
            <charset val="1"/>
          </rPr>
          <t xml:space="preserve">
Was 10 years</t>
        </r>
      </text>
    </comment>
    <comment ref="R68" authorId="0" shapeId="0" xr:uid="{FC5978A3-E391-471C-A361-0D5F7226C00F}">
      <text>
        <r>
          <rPr>
            <b/>
            <sz val="9"/>
            <color indexed="81"/>
            <rFont val="Tahoma"/>
            <charset val="1"/>
          </rPr>
          <t>Jones, Travis:</t>
        </r>
        <r>
          <rPr>
            <sz val="9"/>
            <color indexed="81"/>
            <rFont val="Tahoma"/>
            <charset val="1"/>
          </rPr>
          <t xml:space="preserve">
was 10 years
</t>
        </r>
      </text>
    </comment>
    <comment ref="R70" authorId="0" shapeId="0" xr:uid="{26F7A100-B626-485F-B9E1-480ADC7A5283}">
      <text>
        <r>
          <rPr>
            <b/>
            <sz val="9"/>
            <color indexed="81"/>
            <rFont val="Tahoma"/>
            <charset val="1"/>
          </rPr>
          <t>was 13 years</t>
        </r>
      </text>
    </comment>
    <comment ref="R77" authorId="0" shapeId="0" xr:uid="{A3390189-AB5C-4EEE-B1CD-EE6B711A61D2}">
      <text>
        <r>
          <rPr>
            <b/>
            <sz val="9"/>
            <color indexed="81"/>
            <rFont val="Tahoma"/>
            <charset val="1"/>
          </rPr>
          <t>Jones, Travis:</t>
        </r>
        <r>
          <rPr>
            <sz val="9"/>
            <color indexed="81"/>
            <rFont val="Tahoma"/>
            <charset val="1"/>
          </rPr>
          <t xml:space="preserve">
was 10 years</t>
        </r>
      </text>
    </comment>
    <comment ref="S87" authorId="1" shapeId="0" xr:uid="{57483419-1BFC-4371-922E-5AD0B820CAA2}">
      <text>
        <r>
          <rPr>
            <b/>
            <sz val="9"/>
            <color indexed="81"/>
            <rFont val="Tahoma"/>
            <family val="2"/>
          </rPr>
          <t>Cheek, Taylor:</t>
        </r>
        <r>
          <rPr>
            <sz val="9"/>
            <color indexed="81"/>
            <rFont val="Tahoma"/>
            <family val="2"/>
          </rPr>
          <t xml:space="preserve">
Not used</t>
        </r>
      </text>
    </comment>
    <comment ref="T87" authorId="1" shapeId="0" xr:uid="{E4BF1DA3-2A1E-4475-8564-F71F38E74803}">
      <text>
        <r>
          <rPr>
            <b/>
            <sz val="9"/>
            <color indexed="81"/>
            <rFont val="Tahoma"/>
            <family val="2"/>
          </rPr>
          <t>Cheek, Taylor:</t>
        </r>
        <r>
          <rPr>
            <sz val="9"/>
            <color indexed="81"/>
            <rFont val="Tahoma"/>
            <family val="2"/>
          </rPr>
          <t xml:space="preserve">
Not Used</t>
        </r>
      </text>
    </comment>
    <comment ref="U87" authorId="1" shapeId="0" xr:uid="{10FE824F-2E6E-4909-8ED6-F560EC37C62C}">
      <text>
        <r>
          <rPr>
            <b/>
            <sz val="9"/>
            <color indexed="81"/>
            <rFont val="Tahoma"/>
            <family val="2"/>
          </rPr>
          <t>Cheek, Taylor:</t>
        </r>
        <r>
          <rPr>
            <sz val="9"/>
            <color indexed="81"/>
            <rFont val="Tahoma"/>
            <family val="2"/>
          </rPr>
          <t xml:space="preserve">
Not Used</t>
        </r>
      </text>
    </comment>
    <comment ref="V87" authorId="1" shapeId="0" xr:uid="{FEFC7CB5-4EDE-485A-A91F-6D5E986E21E1}">
      <text>
        <r>
          <rPr>
            <b/>
            <sz val="9"/>
            <color indexed="81"/>
            <rFont val="Tahoma"/>
            <family val="2"/>
          </rPr>
          <t>Cheek, Taylor:</t>
        </r>
        <r>
          <rPr>
            <sz val="9"/>
            <color indexed="81"/>
            <rFont val="Tahoma"/>
            <family val="2"/>
          </rPr>
          <t xml:space="preserve">
Not Used</t>
        </r>
      </text>
    </comment>
    <comment ref="Z87" authorId="1" shapeId="0" xr:uid="{593DB835-7302-4597-B981-08FDE1ADED34}">
      <text>
        <r>
          <rPr>
            <b/>
            <sz val="9"/>
            <color indexed="81"/>
            <rFont val="Tahoma"/>
            <family val="2"/>
          </rPr>
          <t>Cheek, Taylor:</t>
        </r>
        <r>
          <rPr>
            <sz val="9"/>
            <color indexed="81"/>
            <rFont val="Tahoma"/>
            <family val="2"/>
          </rPr>
          <t xml:space="preserve">
Source of Part Load Cooling Rating</t>
        </r>
      </text>
    </comment>
    <comment ref="AA87" authorId="1" shapeId="0" xr:uid="{74CCEEE8-C42A-4FAF-AF0C-4CE17401B78F}">
      <text>
        <r>
          <rPr>
            <b/>
            <sz val="9"/>
            <color indexed="81"/>
            <rFont val="Tahoma"/>
            <family val="2"/>
          </rPr>
          <t>Cheek, Taylor:</t>
        </r>
        <r>
          <rPr>
            <sz val="9"/>
            <color indexed="81"/>
            <rFont val="Tahoma"/>
            <family val="2"/>
          </rPr>
          <t xml:space="preserve">
Source of Part Load Cooling Baseline Value.
Used in Calculated kWh.</t>
        </r>
      </text>
    </comment>
    <comment ref="AB87" authorId="1" shapeId="0" xr:uid="{807A673A-D3C7-4B1D-94CC-1CCDE3A57327}">
      <text>
        <r>
          <rPr>
            <b/>
            <sz val="9"/>
            <color indexed="81"/>
            <rFont val="Tahoma"/>
            <family val="2"/>
          </rPr>
          <t>Cheek, Taylor:</t>
        </r>
        <r>
          <rPr>
            <sz val="9"/>
            <color indexed="81"/>
            <rFont val="Tahoma"/>
            <family val="2"/>
          </rPr>
          <t xml:space="preserve">
STDHVACTONMIN</t>
        </r>
      </text>
    </comment>
    <comment ref="AC87" authorId="1" shapeId="0" xr:uid="{6AF086CB-B9EF-4B3A-9D2C-EF112D298E77}">
      <text>
        <r>
          <rPr>
            <b/>
            <sz val="9"/>
            <color indexed="81"/>
            <rFont val="Tahoma"/>
            <family val="2"/>
          </rPr>
          <t>Cheek, Taylor:</t>
        </r>
        <r>
          <rPr>
            <sz val="9"/>
            <color indexed="81"/>
            <rFont val="Tahoma"/>
            <family val="2"/>
          </rPr>
          <t xml:space="preserve">
STDHVACTONMAX</t>
        </r>
      </text>
    </comment>
    <comment ref="AD87" authorId="1" shapeId="0" xr:uid="{B7358A57-129F-4D2E-886E-0AC5682FB01B}">
      <text>
        <r>
          <rPr>
            <b/>
            <sz val="9"/>
            <color indexed="81"/>
            <rFont val="Tahoma"/>
            <family val="2"/>
          </rPr>
          <t>Cheek, Taylor:</t>
        </r>
        <r>
          <rPr>
            <sz val="9"/>
            <color indexed="81"/>
            <rFont val="Tahoma"/>
            <family val="2"/>
          </rPr>
          <t xml:space="preserve">
Used in Calculated kWh</t>
        </r>
      </text>
    </comment>
    <comment ref="AE87" authorId="1" shapeId="0" xr:uid="{A8C47E9D-D110-43A4-8D57-87DECB36E279}">
      <text>
        <r>
          <rPr>
            <b/>
            <sz val="9"/>
            <color indexed="81"/>
            <rFont val="Tahoma"/>
            <family val="2"/>
          </rPr>
          <t>Cheek, Taylor:</t>
        </r>
        <r>
          <rPr>
            <sz val="9"/>
            <color indexed="81"/>
            <rFont val="Tahoma"/>
            <family val="2"/>
          </rPr>
          <t xml:space="preserve">
Used in Calculated kWh</t>
        </r>
      </text>
    </comment>
    <comment ref="AF87" authorId="1" shapeId="0" xr:uid="{59F95245-79C4-4A57-8D84-9C3FDC37AE59}">
      <text>
        <r>
          <rPr>
            <b/>
            <sz val="9"/>
            <color indexed="81"/>
            <rFont val="Tahoma"/>
            <family val="2"/>
          </rPr>
          <t>Cheek, Taylor:</t>
        </r>
        <r>
          <rPr>
            <sz val="9"/>
            <color indexed="81"/>
            <rFont val="Tahoma"/>
            <family val="2"/>
          </rPr>
          <t xml:space="preserve">
Source of Other Efficiency Rating.</t>
        </r>
      </text>
    </comment>
    <comment ref="AG87" authorId="1" shapeId="0" xr:uid="{950065BC-5E79-4A18-B2AE-06B55EF99B1A}">
      <text>
        <r>
          <rPr>
            <b/>
            <sz val="9"/>
            <color indexed="81"/>
            <rFont val="Tahoma"/>
            <family val="2"/>
          </rPr>
          <t>Cheek, Taylor:</t>
        </r>
        <r>
          <rPr>
            <sz val="9"/>
            <color indexed="81"/>
            <rFont val="Tahoma"/>
            <family val="2"/>
          </rPr>
          <t xml:space="preserve">
Source of Other Efficiency Baseline Value.</t>
        </r>
      </text>
    </comment>
    <comment ref="AH87" authorId="1" shapeId="0" xr:uid="{4046A1B9-6795-4D1A-83D4-5E9E03D6E9B6}">
      <text>
        <r>
          <rPr>
            <b/>
            <sz val="9"/>
            <color indexed="81"/>
            <rFont val="Tahoma"/>
            <family val="2"/>
          </rPr>
          <t>Cheek, Taylor:</t>
        </r>
        <r>
          <rPr>
            <sz val="9"/>
            <color indexed="81"/>
            <rFont val="Tahoma"/>
            <family val="2"/>
          </rPr>
          <t xml:space="preserve">
Source of Details Efficiency Unit</t>
        </r>
      </text>
    </comment>
    <comment ref="AI87" authorId="1" shapeId="0" xr:uid="{22C048A0-B92D-468A-871C-1A21B855C5AC}">
      <text>
        <r>
          <rPr>
            <b/>
            <sz val="9"/>
            <color indexed="81"/>
            <rFont val="Tahoma"/>
            <family val="2"/>
          </rPr>
          <t>Cheek, Taylor:</t>
        </r>
        <r>
          <rPr>
            <sz val="9"/>
            <color indexed="81"/>
            <rFont val="Tahoma"/>
            <family val="2"/>
          </rPr>
          <t xml:space="preserve">
Source of Details Efficiency Base value.</t>
        </r>
      </text>
    </comment>
    <comment ref="AD90" authorId="0" shapeId="0" xr:uid="{C8ECFE39-1333-4179-B54F-BB7F36AF821D}">
      <text>
        <r>
          <rPr>
            <b/>
            <sz val="9"/>
            <color indexed="81"/>
            <rFont val="Tahoma"/>
            <charset val="1"/>
          </rPr>
          <t>Jones, Travis:</t>
        </r>
        <r>
          <rPr>
            <sz val="9"/>
            <color indexed="81"/>
            <rFont val="Tahoma"/>
            <charset val="1"/>
          </rPr>
          <t xml:space="preserve">
was 1403 hours</t>
        </r>
      </text>
    </comment>
    <comment ref="N95" authorId="1" shapeId="0" xr:uid="{D94975B3-4DD6-471B-97B3-FBE6CE187FF7}">
      <text>
        <r>
          <rPr>
            <b/>
            <sz val="9"/>
            <color indexed="81"/>
            <rFont val="Tahoma"/>
            <family val="2"/>
          </rPr>
          <t>Cheek, Taylor:</t>
        </r>
        <r>
          <rPr>
            <sz val="9"/>
            <color indexed="81"/>
            <rFont val="Tahoma"/>
            <family val="2"/>
          </rPr>
          <t xml:space="preserve">
Error in TRM formula. Sourcing full load efficiencies for total savings, dividing by part load efficiencies.</t>
        </r>
      </text>
    </comment>
    <comment ref="R98" authorId="0" shapeId="0" xr:uid="{F20FA6D5-ED5A-42E2-AAED-F3C239023C73}">
      <text>
        <r>
          <rPr>
            <b/>
            <sz val="9"/>
            <color indexed="81"/>
            <rFont val="Tahoma"/>
            <charset val="1"/>
          </rPr>
          <t>Jones, Travis:</t>
        </r>
        <r>
          <rPr>
            <sz val="9"/>
            <color indexed="81"/>
            <rFont val="Tahoma"/>
            <charset val="1"/>
          </rPr>
          <t xml:space="preserve">
was 8 years</t>
        </r>
      </text>
    </comment>
    <comment ref="R112" authorId="0" shapeId="0" xr:uid="{3919E48B-96AA-4D27-BC79-413DF2AD2356}">
      <text>
        <r>
          <rPr>
            <b/>
            <sz val="9"/>
            <color indexed="81"/>
            <rFont val="Tahoma"/>
            <charset val="1"/>
          </rPr>
          <t>Jones, Travis:</t>
        </r>
        <r>
          <rPr>
            <sz val="9"/>
            <color indexed="81"/>
            <rFont val="Tahoma"/>
            <charset val="1"/>
          </rPr>
          <t xml:space="preserve">
was 15 years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<sst xmlns="http://schemas.openxmlformats.org/spreadsheetml/2006/main" count="10174" uniqueCount="3104">
  <si>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</si>
  <si>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</si>
  <si>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</si>
  <si>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</si>
  <si>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</si>
  <si>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</si>
  <si>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</si>
  <si>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</si>
  <si>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</si>
  <si>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</si>
  <si>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</si>
  <si>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</si>
  <si>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</si>
  <si>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</si>
  <si>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</si>
  <si>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</si>
  <si>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</si>
  <si>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</si>
  <si>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</si>
  <si>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</si>
  <si>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</si>
  <si>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</si>
  <si>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</si>
  <si>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</si>
  <si>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</si>
  <si>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</si>
  <si>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</si>
  <si>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</si>
  <si>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</si>
  <si>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</si>
  <si>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</si>
  <si>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</si>
  <si>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</si>
  <si>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</si>
  <si>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</si>
  <si>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</si>
  <si>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</si>
  <si>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</si>
  <si>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</si>
  <si>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</si>
  <si>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</si>
  <si>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</si>
  <si>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</si>
  <si>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</si>
  <si>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</si>
  <si>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</si>
  <si>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</si>
  <si>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</si>
  <si>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</si>
  <si>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</si>
  <si>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</si>
  <si>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</si>
  <si>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</si>
  <si>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</si>
  <si>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</si>
  <si>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</si>
  <si>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</si>
  <si>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</si>
  <si>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</si>
  <si>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</si>
  <si>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</si>
  <si>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</si>
  <si>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</si>
  <si>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</si>
  <si>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</si>
  <si>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</si>
  <si>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</si>
  <si>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</si>
  <si>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</si>
  <si>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</si>
  <si>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</si>
  <si>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</si>
  <si>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</si>
  <si>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</si>
  <si>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</si>
  <si>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</si>
  <si>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</si>
  <si>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</si>
  <si>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</si>
  <si>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</si>
  <si>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</si>
  <si>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</si>
  <si>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</si>
  <si>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</si>
  <si>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</si>
  <si>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</si>
  <si>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</si>
  <si>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</si>
  <si>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</si>
  <si>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</si>
  <si>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</si>
  <si>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</si>
  <si>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</si>
  <si>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</si>
  <si>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</si>
  <si>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</si>
  <si>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</si>
  <si>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</si>
  <si>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</si>
  <si>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</si>
  <si>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</si>
  <si>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</si>
  <si>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</si>
  <si>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</si>
  <si>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</si>
  <si>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</si>
  <si>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</si>
  <si>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</si>
  <si>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</si>
  <si>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</si>
  <si>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</si>
  <si>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</si>
  <si>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</si>
  <si>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</si>
  <si>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</si>
  <si>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</si>
  <si>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</si>
  <si>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</si>
  <si>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</si>
  <si>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</si>
  <si>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</si>
  <si>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</si>
  <si>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</si>
  <si>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</si>
  <si>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</si>
  <si>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</si>
  <si>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</si>
  <si>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</si>
  <si>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</si>
  <si>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</si>
  <si>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</si>
  <si>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</si>
  <si>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</si>
  <si>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</si>
  <si>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</si>
  <si>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</si>
  <si>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</si>
  <si>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</si>
  <si>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</si>
  <si>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</si>
  <si>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</si>
  <si>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</si>
  <si>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</si>
  <si>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</si>
  <si>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</si>
  <si>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</si>
  <si>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</si>
  <si>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</si>
  <si>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</si>
  <si>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</si>
  <si>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</si>
  <si>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</si>
  <si>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</si>
  <si>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</si>
  <si>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</si>
  <si>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</si>
  <si>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</si>
  <si>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</si>
  <si>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</si>
  <si>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</si>
  <si>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</si>
  <si>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</si>
  <si>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</si>
  <si>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</si>
  <si>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</si>
  <si>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</si>
  <si>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</si>
  <si>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</si>
  <si>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</si>
  <si>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</si>
  <si>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</si>
  <si>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</si>
  <si>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</si>
  <si>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</si>
  <si>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</si>
  <si>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</si>
  <si>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</si>
  <si>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</si>
  <si>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</si>
  <si>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</si>
  <si>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</si>
  <si>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</si>
  <si>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</si>
  <si>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</si>
  <si>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</si>
  <si>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</si>
  <si>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</si>
  <si>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</si>
  <si>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</si>
  <si>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</si>
  <si>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</si>
  <si>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</si>
  <si>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</si>
  <si>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</si>
  <si>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</si>
  <si>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</si>
  <si>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</si>
  <si>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</si>
  <si>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</si>
  <si>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</si>
  <si>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</si>
  <si>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</si>
  <si>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</si>
  <si>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</si>
  <si>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</si>
  <si>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</si>
  <si>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</si>
  <si>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</si>
  <si>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</si>
  <si>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</si>
  <si>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</si>
  <si>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</si>
  <si>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</si>
  <si>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</si>
  <si>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</si>
  <si>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</si>
  <si>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</si>
  <si>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</si>
  <si>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</si>
  <si>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</si>
  <si>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</si>
  <si>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</si>
  <si>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</si>
  <si>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</si>
  <si>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</si>
  <si>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</si>
  <si>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</si>
  <si>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</si>
  <si>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</si>
  <si>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</si>
  <si>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</si>
  <si>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</si>
  <si>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</si>
  <si>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</si>
  <si>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</si>
  <si>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</si>
  <si>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</si>
  <si>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</si>
  <si>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</si>
  <si>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</si>
  <si>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</si>
  <si>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</si>
  <si>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</si>
  <si>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</si>
  <si>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</si>
  <si>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</si>
  <si>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</si>
  <si>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</si>
  <si>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</si>
  <si>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</si>
  <si>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</si>
  <si>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</si>
  <si>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</si>
  <si>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</si>
  <si>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</si>
  <si>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</si>
  <si>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</si>
  <si>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</si>
  <si>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</si>
  <si>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</si>
  <si>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</si>
  <si>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</si>
  <si>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</si>
  <si>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</si>
  <si>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</si>
  <si>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</si>
  <si>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</si>
  <si>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</si>
  <si>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</si>
  <si>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</si>
  <si>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</si>
  <si>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</si>
  <si>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</si>
  <si>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</si>
  <si>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</si>
  <si>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</si>
  <si>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</si>
  <si>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</si>
  <si>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</si>
  <si>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</si>
  <si>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</si>
  <si>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</si>
  <si>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</si>
  <si>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</si>
  <si>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</si>
  <si>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</si>
  <si>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</si>
  <si>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</si>
  <si>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</si>
  <si>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</si>
  <si>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</si>
  <si>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</si>
  <si>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</si>
  <si>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</si>
  <si>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</si>
  <si>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</si>
  <si>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</si>
  <si>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</si>
  <si>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</si>
  <si>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</si>
  <si>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</si>
  <si>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</si>
  <si>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</si>
  <si>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</si>
  <si>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</si>
  <si>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</si>
  <si>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</si>
  <si>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</si>
  <si>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</si>
  <si>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</si>
  <si>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</si>
  <si>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</si>
  <si>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</si>
  <si>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</si>
  <si>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</si>
  <si>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</si>
  <si>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</si>
  <si>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</si>
  <si>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</si>
  <si>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</si>
  <si>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</si>
  <si>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</si>
  <si>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</si>
  <si>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</si>
  <si>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</si>
  <si>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</si>
  <si>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</si>
  <si>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</si>
  <si>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</si>
  <si>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</si>
  <si>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</si>
  <si>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</si>
  <si>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</si>
  <si>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</si>
  <si>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</si>
  <si>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</si>
  <si>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</si>
  <si>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</si>
  <si>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</si>
  <si>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</si>
  <si>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</si>
  <si>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</si>
  <si>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</si>
  <si>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</si>
  <si>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</si>
  <si>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</si>
  <si>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</si>
  <si>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</si>
  <si>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</si>
  <si>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</si>
  <si>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</si>
  <si>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</si>
  <si>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</si>
  <si>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</si>
  <si>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</si>
  <si>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</si>
  <si>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</si>
  <si>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</si>
  <si>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</si>
  <si>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</si>
  <si>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</si>
  <si>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</si>
  <si>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</si>
  <si>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</si>
  <si>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</si>
  <si>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</si>
  <si>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</si>
  <si>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</si>
  <si>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</si>
  <si>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</si>
  <si>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</si>
  <si>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</si>
  <si>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</si>
  <si>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</si>
  <si>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</si>
  <si>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</si>
  <si>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</si>
  <si>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</si>
  <si>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</si>
  <si>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</si>
  <si>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</si>
  <si>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</si>
  <si>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</si>
  <si>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</si>
  <si>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</si>
  <si>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</si>
  <si>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</si>
  <si>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</si>
  <si>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</si>
  <si>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</si>
  <si>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</si>
  <si>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</si>
  <si>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</si>
  <si>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</si>
  <si>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</si>
  <si>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</si>
  <si>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</si>
  <si>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</si>
  <si>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</si>
  <si>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</si>
  <si>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</si>
  <si>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</si>
  <si>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</si>
  <si>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</si>
  <si>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</si>
  <si>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</si>
  <si>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</si>
  <si>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</si>
  <si>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</si>
  <si>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</si>
  <si>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</si>
  <si>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</si>
  <si>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</si>
  <si>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</si>
  <si>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</si>
  <si>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</si>
  <si>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</si>
  <si>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</si>
  <si>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</si>
  <si>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</si>
  <si>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</si>
  <si>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</si>
  <si>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</si>
  <si>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</si>
  <si>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</si>
  <si>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</si>
  <si>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</si>
  <si>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</si>
  <si>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</si>
  <si>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Linear Tube LED Fixture</t>
  </si>
  <si>
    <t>Non Linear LED Fixture</t>
  </si>
  <si>
    <t>Application Tab</t>
  </si>
  <si>
    <t>End Use Category</t>
  </si>
  <si>
    <t>Units</t>
  </si>
  <si>
    <t>Demand Control Ventilation</t>
  </si>
  <si>
    <t>Air Cooled Chiller</t>
  </si>
  <si>
    <t>Water Cooled Chiller</t>
  </si>
  <si>
    <t>CRAC Unit</t>
  </si>
  <si>
    <t>Window Film</t>
  </si>
  <si>
    <t>Window Replacement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</si>
  <si>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</si>
  <si>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</si>
  <si>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</si>
  <si>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</si>
  <si>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</si>
  <si>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</si>
  <si>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</si>
  <si>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</si>
  <si>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</si>
  <si>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</si>
  <si>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</si>
  <si>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</si>
  <si>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</si>
  <si>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</si>
  <si>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</si>
  <si>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</si>
  <si>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</si>
  <si>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</si>
  <si>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</si>
  <si>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</si>
  <si>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Range Hood</t>
  </si>
  <si>
    <t>Commercial Refrigerator</t>
  </si>
  <si>
    <t>Commercial Freezer</t>
  </si>
  <si>
    <t>VFD for Chiller</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</si>
  <si>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</si>
  <si>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</si>
  <si>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</si>
  <si>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</si>
  <si>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</si>
  <si>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</si>
  <si>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</si>
  <si>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</si>
  <si>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</si>
  <si>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</si>
  <si>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</si>
  <si>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</si>
  <si>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</si>
  <si>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</si>
  <si>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</si>
  <si>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</si>
  <si>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</si>
  <si>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</si>
  <si>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</si>
  <si>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</si>
  <si>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</si>
  <si>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</si>
  <si>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</si>
  <si>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</si>
  <si>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</si>
  <si>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</si>
  <si>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</si>
  <si>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</si>
  <si>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</si>
  <si>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</si>
  <si>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</si>
  <si>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</si>
  <si>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</si>
  <si>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</si>
  <si>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</si>
  <si>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</si>
  <si>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</si>
  <si>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</si>
  <si>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</si>
  <si>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</si>
  <si>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</si>
  <si>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</si>
  <si>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</si>
  <si>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</si>
  <si>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</si>
  <si>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</si>
  <si>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</si>
  <si>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</si>
  <si>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</si>
  <si>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</si>
  <si>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</si>
  <si>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</si>
  <si>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</si>
  <si>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</si>
  <si>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</si>
  <si>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</si>
  <si>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</si>
  <si>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</si>
  <si>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Oncor</t>
  </si>
  <si>
    <t>Incremental</t>
  </si>
  <si>
    <t>T5 - 4 ft - 1 Lamp</t>
  </si>
  <si>
    <t>T5 - 4 ft - 2 Lamp</t>
  </si>
  <si>
    <t>T5 - 4 ft - 4 Lamp</t>
  </si>
  <si>
    <t>T5 - 4 ft - 6 Lamp</t>
  </si>
  <si>
    <t>Inefficient Signage Fixture</t>
  </si>
  <si>
    <t>Inefficient Neon Fixture</t>
  </si>
  <si>
    <t>Inefficient Induction Fixture</t>
  </si>
  <si>
    <t>Project Category</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</si>
  <si>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</si>
  <si>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</si>
  <si>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</si>
  <si>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</si>
  <si>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</si>
  <si>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</si>
  <si>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</si>
  <si>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</si>
  <si>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</si>
  <si>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</si>
  <si>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Others</t>
  </si>
  <si>
    <t>Others (Incremental)</t>
  </si>
  <si>
    <t>Commercial Cooker (Incremental)</t>
  </si>
  <si>
    <t>Commercial Fryer (Incremental)</t>
  </si>
  <si>
    <t>Commercial Range Hood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</si>
  <si>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</si>
  <si>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</si>
  <si>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</si>
  <si>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</si>
  <si>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</si>
  <si>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</si>
  <si>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</si>
  <si>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</si>
  <si>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</si>
  <si>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</si>
  <si>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</si>
  <si>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</si>
  <si>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</si>
  <si>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</si>
  <si>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</si>
  <si>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</si>
  <si>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</si>
  <si>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</si>
  <si>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</si>
  <si>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</si>
  <si>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</si>
  <si>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</si>
  <si>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</si>
  <si>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</si>
  <si>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</si>
  <si>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</si>
  <si>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</si>
  <si>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</si>
  <si>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</si>
  <si>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</si>
  <si>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</si>
  <si>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</si>
  <si>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</si>
  <si>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</si>
  <si>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</si>
  <si>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</si>
  <si>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</si>
  <si>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</si>
  <si>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</si>
  <si>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</si>
  <si>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</si>
  <si>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</si>
  <si>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</si>
  <si>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</si>
  <si>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</si>
  <si>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</si>
  <si>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</si>
  <si>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</si>
  <si>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</si>
  <si>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</si>
  <si>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</si>
  <si>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</si>
  <si>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</si>
  <si>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</si>
  <si>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Incentive Less Than $150</t>
  </si>
  <si>
    <t>X.0.0</t>
  </si>
  <si>
    <t>0.X.0</t>
  </si>
  <si>
    <t>0.0.X</t>
  </si>
  <si>
    <t>Versioning Guidelines (using the highest hierarchy in a group of changes)</t>
  </si>
  <si>
    <t>Chiller Control Optimization</t>
  </si>
  <si>
    <t>Chiller Control Optimization (Incremental)</t>
  </si>
  <si>
    <t>Advanced RTU Compressor Controller</t>
  </si>
  <si>
    <t>Advanced RTU Compressor Controller (Incremental)</t>
  </si>
  <si>
    <t>~~~~~~~~~~~~~~~~~~~~~~~~~~~~~</t>
  </si>
  <si>
    <t>Total kWh</t>
  </si>
  <si>
    <t>Total kW</t>
  </si>
  <si>
    <t>VFD for Process Motor</t>
  </si>
  <si>
    <t>Eff. Wattage Not Met</t>
  </si>
  <si>
    <t>Linear Feet Exceeded</t>
  </si>
  <si>
    <t>Operating Hours Invalid</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</si>
  <si>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</si>
  <si>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</si>
  <si>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</si>
  <si>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</si>
  <si>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</si>
  <si>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</si>
  <si>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</si>
  <si>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</si>
  <si>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</si>
  <si>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</si>
  <si>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</si>
  <si>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</si>
  <si>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</si>
  <si>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</si>
  <si>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</si>
  <si>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</si>
  <si>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</si>
  <si>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</si>
  <si>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</si>
  <si>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</si>
  <si>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</si>
  <si>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</si>
  <si>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</si>
  <si>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</si>
  <si>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</si>
  <si>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</si>
  <si>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</si>
  <si>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</si>
  <si>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</si>
  <si>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</si>
  <si>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</si>
  <si>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</si>
  <si>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</si>
  <si>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</si>
  <si>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</si>
  <si>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</si>
  <si>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</si>
  <si>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</si>
  <si>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</si>
  <si>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</si>
  <si>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</si>
  <si>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</si>
  <si>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</si>
  <si>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</si>
  <si>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</si>
  <si>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</si>
  <si>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</si>
  <si>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</si>
  <si>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</si>
  <si>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</si>
  <si>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</si>
  <si>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</si>
  <si>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</si>
  <si>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</si>
  <si>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</si>
  <si>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</si>
  <si>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</si>
  <si>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</si>
  <si>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</si>
  <si>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</si>
  <si>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</si>
  <si>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</si>
  <si>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</si>
  <si>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</si>
  <si>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</si>
  <si>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</si>
  <si>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</si>
  <si>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</si>
  <si>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</si>
  <si>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</si>
  <si>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</si>
  <si>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</si>
  <si>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</si>
  <si>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</si>
  <si>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</si>
  <si>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</si>
  <si>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</si>
  <si>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</si>
  <si>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</si>
  <si>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</si>
  <si>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</si>
  <si>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</si>
  <si>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</si>
  <si>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</si>
  <si>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</si>
  <si>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</si>
  <si>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</si>
  <si>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</si>
  <si>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Alma</t>
  </si>
  <si>
    <t>Altamont</t>
  </si>
  <si>
    <t>Atchison</t>
  </si>
  <si>
    <t>Milford</t>
  </si>
  <si>
    <t>Barnard</t>
  </si>
  <si>
    <t>Benton</t>
  </si>
  <si>
    <t>Lincoln</t>
  </si>
  <si>
    <t>Easton</t>
  </si>
  <si>
    <t>Corning</t>
  </si>
  <si>
    <t>Edgerton</t>
  </si>
  <si>
    <t>Liberty</t>
  </si>
  <si>
    <t>Franklin</t>
  </si>
  <si>
    <t>Randolph</t>
  </si>
  <si>
    <t>Kansas City</t>
  </si>
  <si>
    <t>Horton</t>
  </si>
  <si>
    <t>Independence</t>
  </si>
  <si>
    <t>Mound City</t>
  </si>
  <si>
    <t>Howard</t>
  </si>
  <si>
    <t>Princeton</t>
  </si>
  <si>
    <t>Richmond</t>
  </si>
  <si>
    <t>Waverly</t>
  </si>
  <si>
    <t>Wellington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</si>
  <si>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</si>
  <si>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</si>
  <si>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</si>
  <si>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</si>
  <si>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</si>
  <si>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</si>
  <si>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</si>
  <si>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</si>
  <si>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</si>
  <si>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</si>
  <si>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</si>
  <si>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</si>
  <si>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</si>
  <si>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</si>
  <si>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</si>
  <si>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</si>
  <si>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</si>
  <si>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</si>
  <si>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</si>
  <si>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</si>
  <si>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</si>
  <si>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</si>
  <si>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</si>
  <si>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</si>
  <si>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</si>
  <si>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</si>
  <si>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</si>
  <si>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</si>
  <si>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</si>
  <si>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</si>
  <si>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</si>
  <si>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</si>
  <si>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</si>
  <si>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</si>
  <si>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</si>
  <si>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</si>
  <si>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NPV</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</si>
  <si>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</si>
  <si>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</si>
  <si>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</si>
  <si>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</si>
  <si>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</si>
  <si>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</si>
  <si>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</si>
  <si>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</si>
  <si>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</si>
  <si>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</si>
  <si>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</si>
  <si>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</si>
  <si>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</si>
  <si>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</si>
  <si>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</si>
  <si>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</si>
  <si>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</si>
  <si>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</si>
  <si>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</si>
  <si>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</si>
  <si>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</si>
  <si>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</si>
  <si>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</si>
  <si>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</si>
  <si>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</si>
  <si>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</si>
  <si>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</si>
  <si>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</si>
  <si>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</si>
  <si>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</si>
  <si>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</si>
  <si>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</si>
  <si>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</si>
  <si>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</si>
  <si>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</si>
  <si>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</si>
  <si>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</si>
  <si>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</si>
  <si>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</si>
  <si>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</si>
  <si>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</si>
  <si>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</si>
  <si>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</si>
  <si>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</si>
  <si>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</si>
  <si>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</si>
  <si>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</si>
  <si>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</si>
  <si>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</si>
  <si>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</si>
  <si>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</si>
  <si>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</si>
  <si>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</si>
  <si>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</si>
  <si>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Standard Category</t>
  </si>
  <si>
    <t>Custom Category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</si>
  <si>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</si>
  <si>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</si>
  <si>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</si>
  <si>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</si>
  <si>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</si>
  <si>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</si>
  <si>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</si>
  <si>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</si>
  <si>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</si>
  <si>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</si>
  <si>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</si>
  <si>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</si>
  <si>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</si>
  <si>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</si>
  <si>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</si>
  <si>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</si>
  <si>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</si>
  <si>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</si>
  <si>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</si>
  <si>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</si>
  <si>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</si>
  <si>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</si>
  <si>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</si>
  <si>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</si>
  <si>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</si>
  <si>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</si>
  <si>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</si>
  <si>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</si>
  <si>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</si>
  <si>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</si>
  <si>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</si>
  <si>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Door</t>
  </si>
  <si>
    <t>Remove 4ft Lamp from T8 or T12 system</t>
  </si>
  <si>
    <t>Remove 8ft Lamp from T8 or T12 System</t>
  </si>
  <si>
    <t>Motor</t>
  </si>
  <si>
    <t>Strip Curtains Cooler</t>
  </si>
  <si>
    <t>Strip Curtains Freezer</t>
  </si>
  <si>
    <t>TRM Measure Name</t>
  </si>
  <si>
    <t>-----Interior-----</t>
  </si>
  <si>
    <t>Measure Type</t>
  </si>
  <si>
    <t>Column2</t>
  </si>
  <si>
    <t>Efficient Category</t>
  </si>
  <si>
    <t>Material</t>
  </si>
  <si>
    <t>Labor</t>
  </si>
  <si>
    <t>Total Measure Cost</t>
  </si>
  <si>
    <t>LED Linear Lamps</t>
  </si>
  <si>
    <t>Permanent Lamp Removal</t>
  </si>
  <si>
    <t>LED replacing Fluorescent Freezer Case Lights w/Doors 4', 5', or 6'</t>
  </si>
  <si>
    <t>LED replacing Fluorescent Refrigerator Case Lights w/Doors 4', 5', or 6'</t>
  </si>
  <si>
    <t>Install Location</t>
  </si>
  <si>
    <t>Efficient Measure</t>
  </si>
  <si>
    <t>kWh</t>
  </si>
  <si>
    <t>kW</t>
  </si>
  <si>
    <t>Deemed</t>
  </si>
  <si>
    <t>Calculated</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</si>
  <si>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</si>
  <si>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</si>
  <si>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</si>
  <si>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</si>
  <si>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</si>
  <si>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</si>
  <si>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</si>
  <si>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</si>
  <si>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</si>
  <si>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</si>
  <si>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</si>
  <si>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</si>
  <si>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</si>
  <si>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</si>
  <si>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</si>
  <si>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</si>
  <si>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</si>
  <si>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</si>
  <si>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</si>
  <si>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</si>
  <si>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</si>
  <si>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</si>
  <si>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</si>
  <si>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</si>
  <si>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</si>
  <si>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</si>
  <si>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</si>
  <si>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</si>
  <si>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</si>
  <si>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</si>
  <si>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</si>
  <si>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</si>
  <si>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</si>
  <si>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</si>
  <si>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</si>
  <si>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</si>
  <si>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</si>
  <si>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</si>
  <si>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</si>
  <si>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</si>
  <si>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</si>
  <si>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</si>
  <si>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</si>
  <si>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</si>
  <si>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</si>
  <si>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</si>
  <si>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</si>
  <si>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</si>
  <si>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Total Cost</t>
  </si>
  <si>
    <t>End Use Factor</t>
  </si>
  <si>
    <t>Caps</t>
  </si>
  <si>
    <t>End Use kW</t>
  </si>
  <si>
    <t>Project Type</t>
  </si>
  <si>
    <t>Base Equipment Detail</t>
  </si>
  <si>
    <t>New Equipment Detail</t>
  </si>
  <si>
    <t>Cost Type</t>
  </si>
  <si>
    <t>Replace Failed Equip.</t>
  </si>
  <si>
    <t>INDEX(CMEMISC[Proj Desc 1],MATCH('M04-S09'!C18,CMEMISC[Project Category],0),1):INDEX(CMEMISC[Proj Desc 1],MATCH('M04-S09'!C18,CMEMISC[Project Category],1),1)</t>
  </si>
  <si>
    <t>CB</t>
  </si>
  <si>
    <t>Value</t>
  </si>
  <si>
    <t>Payback (years)</t>
  </si>
  <si>
    <t>kWh Rate Min</t>
  </si>
  <si>
    <t>kWh Rate Max</t>
  </si>
  <si>
    <t>Standard</t>
  </si>
  <si>
    <t>Input Watt</t>
  </si>
  <si>
    <t>Hours per Year</t>
  </si>
  <si>
    <t>New Fixture Type</t>
  </si>
  <si>
    <t>New Quantity</t>
  </si>
  <si>
    <t>Descrip-tion</t>
  </si>
  <si>
    <t>Garage</t>
  </si>
  <si>
    <t>Garage (24/7)</t>
  </si>
  <si>
    <t>LED - Fixture</t>
  </si>
  <si>
    <t>LED - Fixture w/ Linear Tubes</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</si>
  <si>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</si>
  <si>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</si>
  <si>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</si>
  <si>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</si>
  <si>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</si>
  <si>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</si>
  <si>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</si>
  <si>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</si>
  <si>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</si>
  <si>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</si>
  <si>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</si>
  <si>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</si>
  <si>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</si>
  <si>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</si>
  <si>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</si>
  <si>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</si>
  <si>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</si>
  <si>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</si>
  <si>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</si>
  <si>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</si>
  <si>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</si>
  <si>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</si>
  <si>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</si>
  <si>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</si>
  <si>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</si>
  <si>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</si>
  <si>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</si>
  <si>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</si>
  <si>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</si>
  <si>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</si>
  <si>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</si>
  <si>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</si>
  <si>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</si>
  <si>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</si>
  <si>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</si>
  <si>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</si>
  <si>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</si>
  <si>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</si>
  <si>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</si>
  <si>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</si>
  <si>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</si>
  <si>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</si>
  <si>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</si>
  <si>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</si>
  <si>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</si>
  <si>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</si>
  <si>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</si>
  <si>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</si>
  <si>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</si>
  <si>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</si>
  <si>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</si>
  <si>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</si>
  <si>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</si>
  <si>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</si>
  <si>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</si>
  <si>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</si>
  <si>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</si>
  <si>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Compressed Air - No Loss Condensate Drain/Valve</t>
  </si>
  <si>
    <t>Multi-Family</t>
  </si>
  <si>
    <t>Office</t>
  </si>
  <si>
    <t>Religious Building</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</si>
  <si>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</si>
  <si>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</si>
  <si>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</si>
  <si>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</si>
  <si>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</si>
  <si>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</si>
  <si>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</si>
  <si>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</si>
  <si>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</si>
  <si>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</si>
  <si>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</si>
  <si>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</si>
  <si>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</si>
  <si>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</si>
  <si>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</si>
  <si>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</si>
  <si>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</si>
  <si>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</si>
  <si>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</si>
  <si>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</si>
  <si>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</si>
  <si>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</si>
  <si>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</si>
  <si>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</si>
  <si>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</si>
  <si>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</si>
  <si>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</si>
  <si>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</si>
  <si>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</si>
  <si>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</si>
  <si>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</si>
  <si>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</si>
  <si>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</si>
  <si>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</si>
  <si>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</si>
  <si>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</si>
  <si>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</si>
  <si>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</si>
  <si>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</si>
  <si>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</si>
  <si>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</si>
  <si>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</si>
  <si>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</si>
  <si>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</si>
  <si>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</si>
  <si>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</si>
  <si>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</si>
  <si>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</si>
  <si>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</si>
  <si>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</si>
  <si>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</si>
  <si>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</si>
  <si>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</si>
  <si>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</si>
  <si>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</si>
  <si>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</si>
  <si>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</si>
  <si>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</si>
  <si>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</si>
  <si>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</si>
  <si>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</si>
  <si>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</si>
  <si>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</si>
  <si>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</si>
  <si>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</si>
  <si>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</si>
  <si>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</si>
  <si>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</si>
  <si>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</si>
  <si>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</si>
  <si>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</si>
  <si>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</si>
  <si>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</si>
  <si>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</si>
  <si>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</si>
  <si>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</si>
  <si>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</si>
  <si>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</si>
  <si>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</si>
  <si>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</si>
  <si>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</si>
  <si>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</si>
  <si>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</si>
  <si>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</si>
  <si>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</si>
  <si>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</si>
  <si>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</si>
  <si>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</si>
  <si>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</si>
  <si>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</si>
  <si>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</si>
  <si>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</si>
  <si>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</si>
  <si>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</si>
  <si>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</si>
  <si>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</si>
  <si>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</si>
  <si>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</si>
  <si>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</si>
  <si>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</si>
  <si>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</si>
  <si>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</si>
  <si>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</si>
  <si>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</si>
  <si>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</si>
  <si>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</si>
  <si>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</si>
  <si>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</si>
  <si>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</si>
  <si>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</si>
  <si>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</si>
  <si>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</si>
  <si>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</si>
  <si>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</si>
  <si>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</si>
  <si>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</si>
  <si>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</si>
  <si>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</si>
  <si>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</si>
  <si>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</si>
  <si>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</si>
  <si>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</si>
  <si>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</si>
  <si>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</si>
  <si>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</si>
  <si>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</si>
  <si>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</si>
  <si>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</si>
  <si>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</si>
  <si>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</si>
  <si>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</si>
  <si>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</si>
  <si>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</si>
  <si>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</si>
  <si>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</si>
  <si>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</si>
  <si>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</si>
  <si>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Block Bidding</t>
  </si>
  <si>
    <t>Block Bidding Rate ($/kWh)</t>
  </si>
  <si>
    <t>Activate Block Bid</t>
  </si>
  <si>
    <t>$/kW Rate</t>
  </si>
  <si>
    <t>Enter Bldg Type (Building Tab)</t>
  </si>
  <si>
    <t>Measure Qty</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</si>
  <si>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</si>
  <si>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</si>
  <si>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</si>
  <si>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</si>
  <si>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</si>
  <si>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</si>
  <si>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</si>
  <si>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</si>
  <si>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</si>
  <si>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01</t>
  </si>
  <si>
    <t>02</t>
  </si>
  <si>
    <t>03</t>
  </si>
  <si>
    <t>04</t>
  </si>
  <si>
    <t>05</t>
  </si>
  <si>
    <t>06</t>
  </si>
  <si>
    <t>07</t>
  </si>
  <si>
    <t>08</t>
  </si>
  <si>
    <t>11</t>
  </si>
  <si>
    <t>12</t>
  </si>
  <si>
    <t>13</t>
  </si>
  <si>
    <t>15</t>
  </si>
  <si>
    <t>17</t>
  </si>
  <si>
    <t>18</t>
  </si>
  <si>
    <t>19</t>
  </si>
  <si>
    <t>20</t>
  </si>
  <si>
    <t>21</t>
  </si>
  <si>
    <t>Measure Number Indicator</t>
  </si>
  <si>
    <t>Baseline Min Wattage</t>
  </si>
  <si>
    <t>Baseline Max Wattage</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</si>
  <si>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</si>
  <si>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</si>
  <si>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Enter Site City &amp; Zip (Building Tab)</t>
  </si>
  <si>
    <t>IECC 2018</t>
  </si>
  <si>
    <t>Complete Step 1: Lighting Schedule</t>
  </si>
  <si>
    <t>Codes</t>
  </si>
  <si>
    <t>MP</t>
  </si>
  <si>
    <t>Annual Avoided Energy Cost</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</si>
  <si>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</si>
  <si>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</si>
  <si>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</si>
  <si>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</si>
  <si>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</si>
  <si>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</si>
  <si>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</si>
  <si>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</si>
  <si>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</si>
  <si>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</si>
  <si>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</si>
  <si>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</si>
  <si>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</si>
  <si>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</si>
  <si>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</si>
  <si>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</si>
  <si>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</si>
  <si>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</si>
  <si>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</si>
  <si>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</si>
  <si>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</si>
  <si>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</si>
  <si>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</si>
  <si>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</si>
  <si>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</si>
  <si>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</si>
  <si>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</si>
  <si>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</si>
  <si>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</si>
  <si>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</si>
  <si>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</si>
  <si>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</si>
  <si>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</si>
  <si>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</si>
  <si>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</si>
  <si>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</si>
  <si>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</si>
  <si>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Section Incentive</t>
  </si>
  <si>
    <t>Incentive per Unit</t>
  </si>
  <si>
    <t>kW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</si>
  <si>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</si>
  <si>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</si>
  <si>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</si>
  <si>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</si>
  <si>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</si>
  <si>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</si>
  <si>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</si>
  <si>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</si>
  <si>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Fred Schreiber</t>
  </si>
  <si>
    <r>
      <t>Jaime Jim</t>
    </r>
    <r>
      <rPr>
        <sz val="11"/>
        <color theme="1"/>
        <rFont val="Calibri"/>
        <family val="2"/>
      </rPr>
      <t>é</t>
    </r>
    <r>
      <rPr>
        <sz val="11"/>
        <color theme="1"/>
        <rFont val="Calibri"/>
        <family val="2"/>
      </rPr>
      <t>nez-Fuentes</t>
    </r>
  </si>
  <si>
    <t>Brett Sharp</t>
  </si>
  <si>
    <t>Canada</t>
  </si>
  <si>
    <t>CAN</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</si>
  <si>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</si>
  <si>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</si>
  <si>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</si>
  <si>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</si>
  <si>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</si>
  <si>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</si>
  <si>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</si>
  <si>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</si>
  <si>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</si>
  <si>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</si>
  <si>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</si>
  <si>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</si>
  <si>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</si>
  <si>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</si>
  <si>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</si>
  <si>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</si>
  <si>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</si>
  <si>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</si>
  <si>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Efficiency Details</t>
  </si>
  <si>
    <t>App Expired</t>
  </si>
  <si>
    <t>Enthalpy Economizer (Incremental)</t>
  </si>
  <si>
    <t>Heat Pump - Water Source (Incremental)</t>
  </si>
  <si>
    <t>Heat Pump - Ground Source (Incremental)</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</si>
  <si>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</si>
  <si>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</si>
  <si>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</si>
  <si>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</si>
  <si>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</si>
  <si>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</si>
  <si>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</si>
  <si>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</si>
  <si>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</si>
  <si>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</si>
  <si>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</si>
  <si>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</si>
  <si>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</si>
  <si>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</si>
  <si>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</si>
  <si>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</si>
  <si>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</si>
  <si>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r>
      <rPr>
        <sz val="11"/>
        <color rgb="FF76BB40"/>
        <rFont val="Wingdings"/>
        <charset val="2"/>
      </rPr>
      <t xml:space="preserve">( </t>
    </r>
    <r>
      <rPr>
        <b/>
        <sz val="11"/>
        <color rgb="FF76BB40"/>
        <rFont val="Arial"/>
        <family val="2"/>
      </rPr>
      <t xml:space="preserve">
Contact</t>
    </r>
  </si>
  <si>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</si>
  <si>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</si>
  <si>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</si>
  <si>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</si>
  <si>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</si>
  <si>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</si>
  <si>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</si>
  <si>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</si>
  <si>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</si>
  <si>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</si>
  <si>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</si>
  <si>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</si>
  <si>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</si>
  <si>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</si>
  <si>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</si>
  <si>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</si>
  <si>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</si>
  <si>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</si>
  <si>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</si>
  <si>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</si>
  <si>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 xml:space="preserve">evergy.com/mybusiness </t>
  </si>
  <si>
    <t>Taylor Cheek</t>
  </si>
  <si>
    <t>Signatory</t>
  </si>
  <si>
    <t>T&amp;C</t>
  </si>
  <si>
    <t>Tax Entity / Tax ID</t>
  </si>
  <si>
    <t>Initial Engineering Notes</t>
  </si>
  <si>
    <t>Final Engineering Notes</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</si>
  <si>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</si>
  <si>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</si>
  <si>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</si>
  <si>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</si>
  <si>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</si>
  <si>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</si>
  <si>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</si>
  <si>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</si>
  <si>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</si>
  <si>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</si>
  <si>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</si>
  <si>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</si>
  <si>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</si>
  <si>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</si>
  <si>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</si>
  <si>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</si>
  <si>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</si>
  <si>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</si>
  <si>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</si>
  <si>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</si>
  <si>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</si>
  <si>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</si>
  <si>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</si>
  <si>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</si>
  <si>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</si>
  <si>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</si>
  <si>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</si>
  <si>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</si>
  <si>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</si>
  <si>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</si>
  <si>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</si>
  <si>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</si>
  <si>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</si>
  <si>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</si>
  <si>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</si>
  <si>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</si>
  <si>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</si>
  <si>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</si>
  <si>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</si>
  <si>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</si>
  <si>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Efficient Definition</t>
  </si>
  <si>
    <t>Parking Garage LEDs</t>
  </si>
  <si>
    <t>Exterior Dusk-to-Dawn LEDs</t>
  </si>
  <si>
    <t>T12 2' 20W</t>
  </si>
  <si>
    <t>T12 4' 30W</t>
  </si>
  <si>
    <t>T12 4' 34W</t>
  </si>
  <si>
    <t>T12 4' 40W</t>
  </si>
  <si>
    <t>T12 8' 60W</t>
  </si>
  <si>
    <t>T12 8' 75W</t>
  </si>
  <si>
    <t>T8 2' 17W</t>
  </si>
  <si>
    <t>T8 4' 25W</t>
  </si>
  <si>
    <t>T8 4' 28W</t>
  </si>
  <si>
    <t>T8 4' 32W</t>
  </si>
  <si>
    <t>T5 2' 13W</t>
  </si>
  <si>
    <t>T5 2' 14W</t>
  </si>
  <si>
    <t>T5 4' 28W</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</si>
  <si>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</si>
  <si>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</si>
  <si>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</si>
  <si>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</si>
  <si>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</si>
  <si>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</si>
  <si>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</si>
  <si>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</si>
  <si>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</si>
  <si>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</si>
  <si>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</si>
  <si>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</si>
  <si>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</si>
  <si>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</si>
  <si>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</si>
  <si>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</si>
  <si>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</si>
  <si>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</si>
  <si>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</si>
  <si>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Electric Heating</t>
  </si>
  <si>
    <t>Fixture-Mounted Occupancy Sensor</t>
  </si>
  <si>
    <t xml:space="preserve">Fixture-Mounted Daylight Sensor </t>
  </si>
  <si>
    <t>Default kW Controlled</t>
  </si>
  <si>
    <t>Energy Savings Factor</t>
  </si>
  <si>
    <t>Hours</t>
  </si>
  <si>
    <t>WHFe</t>
  </si>
  <si>
    <t>Wattage Unit</t>
  </si>
  <si>
    <t>ESF</t>
  </si>
  <si>
    <t>sensor</t>
  </si>
  <si>
    <t>Min Watts Controlled</t>
  </si>
  <si>
    <t>Min Watts Req.</t>
  </si>
  <si>
    <t>Eff Category 1</t>
  </si>
  <si>
    <t>Ineff Dropdown 1</t>
  </si>
  <si>
    <t>HID</t>
  </si>
  <si>
    <t>Incand_CFL</t>
  </si>
  <si>
    <t>BR_R</t>
  </si>
  <si>
    <t>Ineff. Type</t>
  </si>
  <si>
    <t>Ineff. Details</t>
  </si>
  <si>
    <t>Ineff Dropdown 2</t>
  </si>
  <si>
    <t>T12 4' 60W</t>
  </si>
  <si>
    <t>T12 4' 116W</t>
  </si>
  <si>
    <t>T12 8' 95W</t>
  </si>
  <si>
    <t>T12 8' 110W</t>
  </si>
  <si>
    <t>T12 8' 185W</t>
  </si>
  <si>
    <t>T12 8' 215W</t>
  </si>
  <si>
    <t>T8 4' 44W</t>
  </si>
  <si>
    <t>T8 8' 59W</t>
  </si>
  <si>
    <t>T8 8' 86W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</si>
  <si>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</si>
  <si>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</si>
  <si>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</si>
  <si>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</si>
  <si>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</si>
  <si>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</si>
  <si>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</si>
  <si>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</si>
  <si>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</si>
  <si>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</si>
  <si>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</si>
  <si>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</si>
  <si>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</si>
  <si>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</si>
  <si>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</si>
  <si>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</si>
  <si>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</si>
  <si>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</si>
  <si>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</si>
  <si>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</si>
  <si>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</si>
  <si>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</si>
  <si>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</si>
  <si>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</si>
  <si>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</si>
  <si>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</si>
  <si>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</si>
  <si>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</si>
  <si>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</si>
  <si>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</si>
  <si>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</si>
  <si>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</si>
  <si>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</si>
  <si>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</si>
  <si>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</si>
  <si>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</si>
  <si>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</si>
  <si>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</si>
  <si>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</si>
  <si>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</si>
  <si>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</si>
  <si>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</si>
  <si>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</si>
  <si>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</si>
  <si>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Eff Min Wattage</t>
  </si>
  <si>
    <t>Eff Max Wattage</t>
  </si>
  <si>
    <t>T12_T8</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</si>
  <si>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</si>
  <si>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</si>
  <si>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</si>
  <si>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</si>
  <si>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</si>
  <si>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</si>
  <si>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</si>
  <si>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</si>
  <si>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</si>
  <si>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</si>
  <si>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</si>
  <si>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</si>
  <si>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</si>
  <si>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</si>
  <si>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</si>
  <si>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</si>
  <si>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</si>
  <si>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</si>
  <si>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</si>
  <si>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</si>
  <si>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</si>
  <si>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</si>
  <si>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</si>
  <si>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</si>
  <si>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</si>
  <si>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</si>
  <si>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</si>
  <si>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</si>
  <si>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</si>
  <si>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</si>
  <si>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</si>
  <si>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</si>
  <si>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</si>
  <si>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</si>
  <si>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</si>
  <si>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</si>
  <si>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</si>
  <si>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</si>
  <si>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</si>
  <si>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</si>
  <si>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</si>
  <si>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</si>
  <si>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</si>
  <si>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</si>
  <si>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</si>
  <si>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</si>
  <si>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</si>
  <si>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</si>
  <si>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</si>
  <si>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</si>
  <si>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</si>
  <si>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</si>
  <si>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</si>
  <si>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</si>
  <si>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</si>
  <si>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</si>
  <si>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</si>
  <si>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</si>
  <si>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</si>
  <si>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</si>
  <si>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</si>
  <si>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</si>
  <si>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</si>
  <si>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</si>
  <si>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</si>
  <si>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</si>
  <si>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</si>
  <si>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</si>
  <si>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</si>
  <si>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</si>
  <si>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</si>
  <si>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</si>
  <si>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</si>
  <si>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</si>
  <si>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</si>
  <si>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</si>
  <si>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</si>
  <si>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</si>
  <si>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</si>
  <si>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</si>
  <si>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</si>
  <si>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</si>
  <si>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</si>
  <si>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</si>
  <si>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</si>
  <si>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</si>
  <si>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</si>
  <si>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</si>
  <si>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</si>
  <si>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</si>
  <si>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</si>
  <si>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</si>
  <si>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</si>
  <si>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</si>
  <si>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</si>
  <si>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</si>
  <si>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</si>
  <si>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</si>
  <si>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</si>
  <si>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</si>
  <si>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</si>
  <si>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</si>
  <si>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</si>
  <si>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</si>
  <si>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</si>
  <si>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32W</t>
  </si>
  <si>
    <t>2L T8 4' 32W</t>
  </si>
  <si>
    <t>3L T8 4' 32W</t>
  </si>
  <si>
    <t>4L T8 4' 32W</t>
  </si>
  <si>
    <t>6L T8 4' 32W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</si>
  <si>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</si>
  <si>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</si>
  <si>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</si>
  <si>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</si>
  <si>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</si>
  <si>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</si>
  <si>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</si>
  <si>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</si>
  <si>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</si>
  <si>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</si>
  <si>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</si>
  <si>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</si>
  <si>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</si>
  <si>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</si>
  <si>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</si>
  <si>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</si>
  <si>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T5 2' 13W</t>
  </si>
  <si>
    <t>2L T5 2' 13W</t>
  </si>
  <si>
    <t>1L T5 2' 14W</t>
  </si>
  <si>
    <t>2L T5 2' 14W</t>
  </si>
  <si>
    <t>1L T5 3' 21W</t>
  </si>
  <si>
    <t>2L T5 3' 21W</t>
  </si>
  <si>
    <t>1L T5 3' 39W</t>
  </si>
  <si>
    <t>1L T5 4' 28W</t>
  </si>
  <si>
    <t>2L T5 4' 28W</t>
  </si>
  <si>
    <t>3L T5 4' 28W</t>
  </si>
  <si>
    <t>4L T5 4' 28W</t>
  </si>
  <si>
    <t>1L T5 5' 35W</t>
  </si>
  <si>
    <t>2L T5 5' 35W</t>
  </si>
  <si>
    <t>8L T8 4' 32W</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</si>
  <si>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</si>
  <si>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</si>
  <si>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</si>
  <si>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</si>
  <si>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</si>
  <si>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</si>
  <si>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</si>
  <si>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</si>
  <si>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</si>
  <si>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</si>
  <si>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</si>
  <si>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</si>
  <si>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</si>
  <si>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</si>
  <si>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</si>
  <si>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</si>
  <si>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</si>
  <si>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</si>
  <si>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</si>
  <si>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Process Chiller</t>
  </si>
  <si>
    <t>HVAC Controls Op w/ Peak</t>
  </si>
  <si>
    <t>HVAC Controls Op w/o Peak</t>
  </si>
  <si>
    <t>Ext Lighting w/o Peak</t>
  </si>
  <si>
    <t>2-ft LED Linear Replacement Lamps</t>
  </si>
  <si>
    <t>17W 2-ft T8 with Electronic NBF Ballast</t>
  </si>
  <si>
    <t>4-ft LED Linear Replacement Lamps</t>
  </si>
  <si>
    <t>32W 4-ft T8 with Electronic NBF Ballast</t>
  </si>
  <si>
    <t>8' LED Lamp</t>
  </si>
  <si>
    <t>96", T-8 lamp, Instant Start Ballast, NLO</t>
  </si>
  <si>
    <t>Remove T8</t>
  </si>
  <si>
    <t>T8 4 ft (watts)</t>
  </si>
  <si>
    <t>T8 8 ft (watts)</t>
  </si>
  <si>
    <t>Photocell Occupancy Sensor (watts controlled)</t>
  </si>
  <si>
    <t>No Control</t>
  </si>
  <si>
    <t>Wall-Mount Occupancy Sensor (watts controlled)</t>
  </si>
  <si>
    <t>SteamModeESTAR</t>
  </si>
  <si>
    <t>SteamModeBase</t>
  </si>
  <si>
    <t>IdleRateESTAR</t>
  </si>
  <si>
    <t>IdleRateBase</t>
  </si>
  <si>
    <t>LED Freezer (Low Temp) Case Light Fixtures (4, 5, and 6-foot)</t>
  </si>
  <si>
    <t>Linear Fluorescent T8 Fixtures</t>
  </si>
  <si>
    <t>LED Refrigerated (Medium Temp) Case Light Fixtures (4, 5, and 6-foot)</t>
  </si>
  <si>
    <t>No strip curtain</t>
  </si>
  <si>
    <t>ECM Motor</t>
  </si>
  <si>
    <t>Column12</t>
  </si>
  <si>
    <t>Column13</t>
  </si>
  <si>
    <t>Column14</t>
  </si>
  <si>
    <t>Column15</t>
  </si>
  <si>
    <t>Column16</t>
  </si>
  <si>
    <t>Column17</t>
  </si>
  <si>
    <t>Process Chiller (Incremental)</t>
  </si>
  <si>
    <t>EER</t>
  </si>
  <si>
    <t>SEER</t>
  </si>
  <si>
    <t>IEER</t>
  </si>
  <si>
    <t>EFLHcool</t>
  </si>
  <si>
    <t>EFLHheat</t>
  </si>
  <si>
    <t>COP</t>
  </si>
  <si>
    <t>Column18</t>
  </si>
  <si>
    <t>HSPF</t>
  </si>
  <si>
    <t>This is a TRC tool</t>
  </si>
  <si>
    <t>Who will install/installed the equipment for this project?</t>
  </si>
  <si>
    <r>
      <t>Evergy Contact</t>
    </r>
    <r>
      <rPr>
        <sz val="11"/>
        <color rgb="FFFF0000"/>
        <rFont val="Arial"/>
        <family val="2"/>
      </rPr>
      <t>*</t>
    </r>
  </si>
  <si>
    <t>Retrofit_2ft</t>
  </si>
  <si>
    <t>Retrofit_8ft</t>
  </si>
  <si>
    <t>Secondary Contact (Optional)</t>
  </si>
  <si>
    <t>Contact First Name</t>
  </si>
  <si>
    <t>Last Name</t>
  </si>
  <si>
    <t>Primary Phone</t>
  </si>
  <si>
    <t>M02S02F13</t>
  </si>
  <si>
    <t>M02S02F14</t>
  </si>
  <si>
    <t>M02S02F15</t>
  </si>
  <si>
    <t>M02S02F16</t>
  </si>
  <si>
    <t>M02S02F17</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</si>
  <si>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</si>
  <si>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</si>
  <si>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</si>
  <si>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</si>
  <si>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MH 125W</t>
  </si>
  <si>
    <t>MH 200W</t>
  </si>
  <si>
    <t>MH 320W</t>
  </si>
  <si>
    <t>MH 350W</t>
  </si>
  <si>
    <t>HPS 310W</t>
  </si>
  <si>
    <t>MH 450W</t>
  </si>
  <si>
    <t>MH 750W</t>
  </si>
  <si>
    <t>MH 1,000W</t>
  </si>
  <si>
    <t>MV 700W</t>
  </si>
  <si>
    <t>MV 1,000W</t>
  </si>
  <si>
    <t>kW Shifted to Off-Peak</t>
  </si>
  <si>
    <t>Rate ($/kW)</t>
  </si>
  <si>
    <t>=</t>
  </si>
  <si>
    <t>$/kW</t>
  </si>
  <si>
    <t>Peak Load (kW) Shift</t>
  </si>
  <si>
    <t>Water Heating/Food Services</t>
  </si>
  <si>
    <t>Please fill out the Trade Ally / contractor information below.</t>
  </si>
  <si>
    <t>RCx</t>
  </si>
  <si>
    <t>Service Provider</t>
  </si>
  <si>
    <t>Deemed kWh Savings</t>
  </si>
  <si>
    <t>Deemed kW Savings</t>
  </si>
  <si>
    <t>Spillover Deemed kWh Savings</t>
  </si>
  <si>
    <t>Spillover Deemed kW Savings</t>
  </si>
  <si>
    <t>Reporting Methodology</t>
  </si>
  <si>
    <t>Incentive Type</t>
  </si>
  <si>
    <t>RCx Threshold</t>
  </si>
  <si>
    <t>Type of Control System</t>
  </si>
  <si>
    <t>Electrical Engineer</t>
  </si>
  <si>
    <t>Mechanical Engineer</t>
  </si>
  <si>
    <t>Architect</t>
  </si>
  <si>
    <t>Start</t>
  </si>
  <si>
    <t>City Code</t>
  </si>
  <si>
    <t>County Code</t>
  </si>
  <si>
    <t>Baseline Code</t>
  </si>
  <si>
    <t>Study kWh</t>
  </si>
  <si>
    <t>Initial Estimated Study Received</t>
  </si>
  <si>
    <t>Revised Estimated Study Received</t>
  </si>
  <si>
    <t>Last Major Renovation (Year)</t>
  </si>
  <si>
    <t>Waste Heat Factor (e)</t>
  </si>
  <si>
    <t>New Construction Project Type</t>
  </si>
  <si>
    <t>New Building</t>
  </si>
  <si>
    <t>Building Addition</t>
  </si>
  <si>
    <t>Change of Purpose</t>
  </si>
  <si>
    <t>816-382-8747</t>
  </si>
  <si>
    <t>Baseline Cost</t>
  </si>
  <si>
    <t>App:</t>
  </si>
  <si>
    <t>Main</t>
  </si>
  <si>
    <t>Captures ID</t>
  </si>
  <si>
    <t>10% LPD Reduction Req.</t>
  </si>
  <si>
    <t>NC Lighting Incentive ($/Watt Reduced)</t>
  </si>
  <si>
    <t>NC Lighting Cost Cap</t>
  </si>
  <si>
    <t>Efficiency Type</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</si>
  <si>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</si>
  <si>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</si>
  <si>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</si>
  <si>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</si>
  <si>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</si>
  <si>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</si>
  <si>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</si>
  <si>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</si>
  <si>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</si>
  <si>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</si>
  <si>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</si>
  <si>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</si>
  <si>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</si>
  <si>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</si>
  <si>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</si>
  <si>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</si>
  <si>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</si>
  <si>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</si>
  <si>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</si>
  <si>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</si>
  <si>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Trade Ally or Contractor (Check)</t>
  </si>
  <si>
    <t>Trade Ally / General Contractor</t>
  </si>
  <si>
    <t>Additional Contact 1</t>
  </si>
  <si>
    <t>Additional Contact 2</t>
  </si>
  <si>
    <t>Design Team Options</t>
  </si>
  <si>
    <t>Verify the above Incentive Summary is accurate. Has your energy efficiency project scope changed from the original plan? If so, please review and update the measures, quantities, and costs associated with each line item.</t>
  </si>
  <si>
    <t>RCx and Custom</t>
  </si>
  <si>
    <t>Sub-Program</t>
  </si>
  <si>
    <t>Spillover Incremental Cost</t>
  </si>
  <si>
    <t>Spillover Baseline Cost</t>
  </si>
  <si>
    <t>Principal building activity</t>
  </si>
  <si>
    <t>Education</t>
  </si>
  <si>
    <t>CBECS 2012 Midwest Electricity Energy Intensity (kWh/sq ft)</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</si>
  <si>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</si>
  <si>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</si>
  <si>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</si>
  <si>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</si>
  <si>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</si>
  <si>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</si>
  <si>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</si>
  <si>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</si>
  <si>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</si>
  <si>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</si>
  <si>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</si>
  <si>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</si>
  <si>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</si>
  <si>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</si>
  <si>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</si>
  <si>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Legal/Contractual Requirements*</t>
  </si>
  <si>
    <t>Plan/Develop Phase Start</t>
  </si>
  <si>
    <t>Plan/Develop Phase End</t>
  </si>
  <si>
    <t>Design/Build Phase Start</t>
  </si>
  <si>
    <t>Design/Build Phase End</t>
  </si>
  <si>
    <t>Procure/Constr Phase Start</t>
  </si>
  <si>
    <t>Procure/Constr Phase End</t>
  </si>
  <si>
    <t>Completion Date</t>
  </si>
  <si>
    <t>T8 - 4 ft - 4 Lamp</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</si>
  <si>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</si>
  <si>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</si>
  <si>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</si>
  <si>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</si>
  <si>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</si>
  <si>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</si>
  <si>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</si>
  <si>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1L T8 Ubend 32W</t>
  </si>
  <si>
    <t>2L T8 Ubend 32W</t>
  </si>
  <si>
    <t>System Wattage</t>
  </si>
  <si>
    <t>Nominal Wattage</t>
  </si>
  <si>
    <t>Notes</t>
  </si>
  <si>
    <t>Service Provider / Contractor (Check)</t>
  </si>
  <si>
    <t>MBSharp@trccompanies.com</t>
  </si>
  <si>
    <t>Application Type</t>
  </si>
  <si>
    <t>Expiration Date</t>
  </si>
  <si>
    <t>Expiration Status</t>
  </si>
  <si>
    <t>FOOT1</t>
  </si>
  <si>
    <t>FOOT2</t>
  </si>
  <si>
    <t>FOOT3</t>
  </si>
  <si>
    <t>FOOT4</t>
  </si>
  <si>
    <t>FOOT5</t>
  </si>
  <si>
    <t>FOOT6</t>
  </si>
  <si>
    <t>FOOTDISCLAIM_N</t>
  </si>
  <si>
    <t>FOOTDISCLAIM</t>
  </si>
  <si>
    <t>DX Unit ≥135 kbtu &amp; &lt;240 kbtu (≥11.25 tons &amp; &lt;20 tons)</t>
  </si>
  <si>
    <t>DX Unit ≥65 kbtu &amp; &lt;135 kbtu (≥5.42 tons &amp; &lt;11.25 tons)</t>
  </si>
  <si>
    <t>DX Unit &lt;65 kbtu (&lt;5.42 tons)</t>
  </si>
  <si>
    <t>ASHP &lt;65kbtu (&lt;5.42 tons) - Split System</t>
  </si>
  <si>
    <t>ASHP &lt;65kbtu (&lt;5.42 tons) - Single Package System</t>
  </si>
  <si>
    <t>ASHP ≥65 kbtu &amp; &lt;135 kbtu (≥5.42 tons &amp; &lt;11.25 tons)</t>
  </si>
  <si>
    <t>DX Unit ≥760 kbtu (&gt;63.3 tons)</t>
  </si>
  <si>
    <t>ASHP ≥135 kbtu &amp; &lt;240 kbtu (≥11.25 tons &amp; &lt;20 tons)</t>
  </si>
  <si>
    <t>FOOTDISCLAIM_X</t>
  </si>
  <si>
    <t>DX Unit ≥240 kbtu &amp; &lt;760 kbtu (≥20 tons &amp; &lt;63.3 tons)</t>
  </si>
  <si>
    <t>Energy Recovery Ventilator</t>
  </si>
  <si>
    <t>Energy Recovery Ventilator (Incremental)</t>
  </si>
  <si>
    <t>ASHP ≥240kbtu (≥20 tons)</t>
  </si>
  <si>
    <t>Event</t>
  </si>
  <si>
    <t>T5HO 4' 54W</t>
  </si>
  <si>
    <t>!</t>
  </si>
  <si>
    <t>Temperature Setback (Incremental)</t>
  </si>
  <si>
    <t>Temperature Setback</t>
  </si>
  <si>
    <t>Programmable Thermostat</t>
  </si>
  <si>
    <t>Programmable Thermostat (Incremental)</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</si>
  <si>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</si>
  <si>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</si>
  <si>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</si>
  <si>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</si>
  <si>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</si>
  <si>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</si>
  <si>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</si>
  <si>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</si>
  <si>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</si>
  <si>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</si>
  <si>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Project Notifications:</t>
  </si>
  <si>
    <t>T5HO_4ft_Lamp</t>
  </si>
  <si>
    <t>T5HO</t>
  </si>
  <si>
    <t>T12_T8_T5_T5HO</t>
  </si>
  <si>
    <t>Lauren Hoover</t>
  </si>
  <si>
    <t>Dana Gordon</t>
  </si>
  <si>
    <t>Dgordon@trccompanies.com</t>
  </si>
  <si>
    <t>816-266-0742</t>
  </si>
  <si>
    <t>Municipal Building</t>
  </si>
  <si>
    <t>Base Total Annual kWh</t>
  </si>
  <si>
    <t>New Total Annual kWh</t>
  </si>
  <si>
    <t>New Units</t>
  </si>
  <si>
    <t>VRF - Air Cooled &lt;65,000 Btuh</t>
  </si>
  <si>
    <t>VRF - Air Cooled 65,000 ≤ Btuh &lt; 135,000</t>
  </si>
  <si>
    <t>VRF - Air Cooled 135,000 ≤ Btuh &lt; 240,000</t>
  </si>
  <si>
    <t>VRF - Air Cooled ≥ 240,000 Btuh</t>
  </si>
  <si>
    <t>Retrofit_4ft_1x4</t>
  </si>
  <si>
    <t>Retrofit_4ft_2x4</t>
  </si>
  <si>
    <t>1L T5HO 2' 24W</t>
  </si>
  <si>
    <t>2L T5HO 2' 24W</t>
  </si>
  <si>
    <t>1L T5HO 4' 54W</t>
  </si>
  <si>
    <t>2L T5HO 4' 54W</t>
  </si>
  <si>
    <t>3L T5HO 4' 54W</t>
  </si>
  <si>
    <t>4L T5HO 4' 54W</t>
  </si>
  <si>
    <t>5L T5HO 4' 54W</t>
  </si>
  <si>
    <t>6L T5HO 4' 54W</t>
  </si>
  <si>
    <t>5L T8 4' 32W</t>
  </si>
  <si>
    <t>6L T12 4' 40W</t>
  </si>
  <si>
    <t>5L T12 4' 40W</t>
  </si>
  <si>
    <t>6L T5 4' 28W</t>
  </si>
  <si>
    <t>5L T5 4' 28W</t>
  </si>
  <si>
    <t xml:space="preserve">Based on KCP&amp;L data provided on 8/24/19 by Chris DeLaTorre </t>
  </si>
  <si>
    <t>Utility</t>
  </si>
  <si>
    <t xml:space="preserve">$/kWh </t>
  </si>
  <si>
    <t xml:space="preserve">$/kW-yr </t>
  </si>
  <si>
    <t>100 cfm</t>
  </si>
  <si>
    <t>100 Sq. Ft. Cond. Space</t>
  </si>
  <si>
    <t>Remove 4ft Lamp from T5 or T5HO system</t>
  </si>
  <si>
    <t>T5_T5HO</t>
  </si>
  <si>
    <t>Parking Garage LED Linear Lamp Replacing 2ft T8, T12, or T5/T5HO Lamp</t>
  </si>
  <si>
    <t>Parking Garage LED Linear Lamp Replacing 4ft T8, T12, or T5/T5HO Lamp</t>
  </si>
  <si>
    <t>Parking Garage LED Linear Lamp Replacing 8ft T8 or T12 Lamp</t>
  </si>
  <si>
    <t>8-ft LED Linear Replacement Lamps</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</si>
  <si>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</si>
  <si>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</si>
  <si>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</si>
  <si>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</si>
  <si>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</si>
  <si>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</si>
  <si>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</si>
  <si>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</si>
  <si>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</si>
  <si>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</si>
  <si>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</si>
  <si>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</si>
  <si>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IPLV</t>
  </si>
  <si>
    <t>Water-Cooled Positive Displ. Chiller &lt; 75 tons</t>
  </si>
  <si>
    <t>Sort A-Z</t>
  </si>
  <si>
    <t>Efficiency Unit</t>
  </si>
  <si>
    <t>Base</t>
  </si>
  <si>
    <t>EE</t>
  </si>
  <si>
    <t>Full-Load</t>
  </si>
  <si>
    <t>Remove 4ft Lamp from T12 or T8 system</t>
  </si>
  <si>
    <t>2ft LED Linear Lamp replacing 2ft T12, T8 or T5/T5HO Lamp</t>
  </si>
  <si>
    <t>8ft LED Linear Lamp replacing 8ft T12 or T8 Lamp</t>
  </si>
  <si>
    <t>Remove 8ft Lamp from T12 or T8 System</t>
  </si>
  <si>
    <t>Column19</t>
  </si>
  <si>
    <t>Column20</t>
  </si>
  <si>
    <t>Ext  &gt;500</t>
  </si>
  <si>
    <t>Ext ≤210</t>
  </si>
  <si>
    <t>Ext 211-300</t>
  </si>
  <si>
    <t>Ext 301-500</t>
  </si>
  <si>
    <t>301-500</t>
  </si>
  <si>
    <t>PG &lt;=130</t>
  </si>
  <si>
    <t>PG &gt;210</t>
  </si>
  <si>
    <t>PG 131-210</t>
  </si>
  <si>
    <t>HID &gt;850</t>
  </si>
  <si>
    <t>HID 150-350</t>
  </si>
  <si>
    <t>HID 351-500</t>
  </si>
  <si>
    <t>HID 501-850</t>
  </si>
  <si>
    <t>HID_T12_T8_T5_T5HO</t>
  </si>
  <si>
    <t>1L T5HOHO 4' 54W</t>
  </si>
  <si>
    <t>1L T5HO 5' 80W</t>
  </si>
  <si>
    <t>2L T5HO 3' 39W</t>
  </si>
  <si>
    <t>Retrofit_2U</t>
  </si>
  <si>
    <t>Water-Cooled Positive Displ. Chiller 75 ≤ tons &lt; 150</t>
  </si>
  <si>
    <t>Water-Cooled Positive Displ. Chiller 150 ≤ tons &lt; 300</t>
  </si>
  <si>
    <t>Water-Cooled Centrifugal Chiller 150 ≤ tons &lt; 300</t>
  </si>
  <si>
    <t>T5HO 2' 24W</t>
  </si>
  <si>
    <t>T5HO_2ft_Lamp</t>
  </si>
  <si>
    <t>HID_T12_T8_T5HO</t>
  </si>
  <si>
    <t>HID_T12_T5HO</t>
  </si>
  <si>
    <t>Exterior LED replacing ≤210W</t>
  </si>
  <si>
    <t>Exterior LED replacing &gt;500W</t>
  </si>
  <si>
    <t>Parking Non-Linear LED replacing ≤130W</t>
  </si>
  <si>
    <t>Parking Non-Linear LED replacing &gt;210W</t>
  </si>
  <si>
    <t xml:space="preserve">2ft LED Linear Lamp replacing 2ft T12, T8 or T5/T5HO Lamp </t>
  </si>
  <si>
    <t xml:space="preserve">4ft LED Linear Lamp replacing 4ft T12, T8 or T5/T5HO Lamp </t>
  </si>
  <si>
    <t xml:space="preserve">8ft LED Linear Lamp replacing 8ft T12 or T8 Lamp </t>
  </si>
  <si>
    <t>Water-Cooled Centrifugal Chiller 300 ≤ tons &lt; 400</t>
  </si>
  <si>
    <t>Water-Cooled Centrifugal Chiller 400 ≤ tons &lt; 600</t>
  </si>
  <si>
    <t>Water-Cooled Positive Displ. Chiller 300 ≤ tons &lt; 600</t>
  </si>
  <si>
    <t>Water-Cooled Positive Displ. Chiller ≥ 600 tons</t>
  </si>
  <si>
    <t>Territory</t>
  </si>
  <si>
    <t>Building Shell (Incremental)</t>
  </si>
  <si>
    <t>Incandescent</t>
  </si>
  <si>
    <t>LED Retrofit Kit Replacing Fluor</t>
  </si>
  <si>
    <t>Interior LED Fixture repl. &gt;850W HID</t>
  </si>
  <si>
    <t>Interior LED Lamp/Retrofit Kit repl. &gt;850W HID</t>
  </si>
  <si>
    <t>Exterior LED replacing 211-300W</t>
  </si>
  <si>
    <t>Exterior LED replacing 301-500W</t>
  </si>
  <si>
    <t>Interior LED Lamp/Retrofit Kit repl. 150-300W HID</t>
  </si>
  <si>
    <t>Interior LED Lamp/Retrofit Kit repl. 301-500W HID</t>
  </si>
  <si>
    <t>Interior LED Lamp/Retrofit Kit repl. 501-850W HID</t>
  </si>
  <si>
    <t>Interior LED Fixture repl. 150-300W HID</t>
  </si>
  <si>
    <t>Interior LED Fixture repl. 301-500W HID</t>
  </si>
  <si>
    <t>Interior LED Fixture repl. 501-850W HID</t>
  </si>
  <si>
    <t>Parking Non-Linear LED replacing 131-210W</t>
  </si>
  <si>
    <t>LED Fixture Replacing 
2' | 1 to 4 Lamps</t>
  </si>
  <si>
    <t>LED Fixture Replacing 
8' | 1 to 2 Lamps</t>
  </si>
  <si>
    <t xml:space="preserve">LED Retrofit Kit Replacing 
2' | 1 to 4 Lamps </t>
  </si>
  <si>
    <t xml:space="preserve">LED Retrofit Kit Replacing 
8' | 1 to 2 Lamps </t>
  </si>
  <si>
    <t>Secondary TA / Contractor Contact</t>
  </si>
  <si>
    <t>Trade Ally / Contractor Contact</t>
  </si>
  <si>
    <t>----Interior Sensors----</t>
  </si>
  <si>
    <t>Integrated Occ. Sensor for LED Fixture &lt;10k lm</t>
  </si>
  <si>
    <t>Integrated Occ. Sensor for LED Fixture ≥10k lm</t>
  </si>
  <si>
    <t>Integrated Dual Occ.&amp; Daylight Sensor for LED Fixture ≥10k lm</t>
  </si>
  <si>
    <t>Integrated Dual Occ.&amp; Daylight Sensor for LED Fixture &lt; 10k lm</t>
  </si>
  <si>
    <t>LED Fixt.-Mounted Dual Occ.&amp; Daylight Sensor &lt; 10k lm</t>
  </si>
  <si>
    <t>LED Fixt.-Mounted Dual Occ.&amp; Daylight Sensor ≥10k lm</t>
  </si>
  <si>
    <t>VRF - Air Cooled &lt; 65 kbtu 
(&lt; 5.42 ton)</t>
  </si>
  <si>
    <t>VRF - Air Cooled 65 ≤ kBtu &lt; 135 
(5.42 ≤ tons &lt; 11.25)</t>
  </si>
  <si>
    <t>VRF - Air Cooled 135 ≤ kBtu &lt; 240 
(11.25 ≤ tons &lt; 20)</t>
  </si>
  <si>
    <t>VRF - Air Cooled ≥ 240 kbtu 
(≥ 20 tons)</t>
  </si>
  <si>
    <r>
      <t>ENERGY STAR Hot Holding Cabinet (&lt; 13 ft</t>
    </r>
    <r>
      <rPr>
        <vertAlign val="superscript"/>
        <sz val="11"/>
        <rFont val="Calibri"/>
        <family val="2"/>
      </rPr>
      <t>3</t>
    </r>
    <r>
      <rPr>
        <sz val="11"/>
        <rFont val="Calibri"/>
        <family val="2"/>
      </rPr>
      <t>)</t>
    </r>
  </si>
  <si>
    <r>
      <t>ENERGY STAR Hot Holding Cabinet (13 ≤ ft</t>
    </r>
    <r>
      <rPr>
        <vertAlign val="superscript"/>
        <sz val="11"/>
        <rFont val="Calibri"/>
        <family val="2"/>
      </rPr>
      <t>3</t>
    </r>
    <r>
      <rPr>
        <sz val="11"/>
        <rFont val="Calibri"/>
        <family val="2"/>
      </rPr>
      <t xml:space="preserve"> &lt; 28)</t>
    </r>
  </si>
  <si>
    <r>
      <t>ENERGY STAR Hot Holding Cabinet (≥ 28 ft</t>
    </r>
    <r>
      <rPr>
        <vertAlign val="superscript"/>
        <sz val="11"/>
        <rFont val="Calibri"/>
        <family val="2"/>
      </rPr>
      <t>3</t>
    </r>
    <r>
      <rPr>
        <sz val="11"/>
        <rFont val="Calibri"/>
        <family val="2"/>
      </rPr>
      <t>)</t>
    </r>
  </si>
  <si>
    <t>WHFd</t>
  </si>
  <si>
    <t>Interior Remote or Wall-Mounted Daylight Sensor Controlling ≥ 570W</t>
  </si>
  <si>
    <t>Heating Tons</t>
  </si>
  <si>
    <t>ELECHEAT</t>
  </si>
  <si>
    <t>Base Fixture Type</t>
  </si>
  <si>
    <t>Base Quantity</t>
  </si>
  <si>
    <t>Payee Company's W-9 (Oct 2018 or later)</t>
  </si>
  <si>
    <t>✉  Draft Email</t>
  </si>
  <si>
    <r>
      <t xml:space="preserve">Submit this application online.
</t>
    </r>
    <r>
      <rPr>
        <b/>
        <sz val="12"/>
        <color theme="1"/>
        <rFont val="Wingdings 3"/>
        <family val="1"/>
        <charset val="2"/>
      </rPr>
      <t>$</t>
    </r>
  </si>
  <si>
    <r>
      <t>I understand and agree to comply with the Payment Terms and Conditions of the Evergy Business Energy Savings Program.</t>
    </r>
    <r>
      <rPr>
        <b/>
        <sz val="11.5"/>
        <color rgb="FFFF0000"/>
        <rFont val="Arial"/>
        <family val="2"/>
      </rPr>
      <t>*</t>
    </r>
  </si>
  <si>
    <t>This button will create a draft email. Please attach your application and supporting documentation and then hit send.</t>
  </si>
  <si>
    <t>Variable Name</t>
  </si>
  <si>
    <t>Payment Agreement Checkbox*</t>
  </si>
  <si>
    <t>Is the Site address the same as the Company address?</t>
  </si>
  <si>
    <t>C Corporation</t>
  </si>
  <si>
    <t>S Corporation</t>
  </si>
  <si>
    <t>Trust Estate</t>
  </si>
  <si>
    <t>Sole/Individual Proprietor</t>
  </si>
  <si>
    <t>Program Cycle</t>
  </si>
  <si>
    <t>Program Year</t>
  </si>
  <si>
    <t>Revision # within Program Year</t>
  </si>
  <si>
    <t>system</t>
  </si>
  <si>
    <t>Interior LED Linear Lamp Replacing 2ft T8, T12, or T5/T5HO Lamp</t>
  </si>
  <si>
    <t>Interior LED Linear Lamp Replacing 8ft T8 or T12 Lamp</t>
  </si>
  <si>
    <t>Interior LED Fixture Replacing 150-300W HID Fixture</t>
  </si>
  <si>
    <t>Interior LED Fixture Replacing 301-500W HID Fixture</t>
  </si>
  <si>
    <t>Interior LED Fixture Replacing 501-850W HID Fixture</t>
  </si>
  <si>
    <t>Interior LED Fixture Replacing &gt;850W HID Fixture</t>
  </si>
  <si>
    <t>Interior LED Retrofit Kit/Lamp Replacing 150-300W HID Fixture</t>
  </si>
  <si>
    <t>Interior LED Retrofit Kit/Lamp Replacing 301-500W HID Fixture</t>
  </si>
  <si>
    <t>Interior LED Retrofit Kit/Lamp Replacing 501-850W HID Fixture</t>
  </si>
  <si>
    <t>Interior LED Retrofit Kit/Lamp Replacing &gt;850W HID Fixture</t>
  </si>
  <si>
    <t>Exterior LED Replacing HID or Fluorescent Fixture &lt;210W</t>
  </si>
  <si>
    <t>Exterior LED Replacing HID or Fluorescent Fixture 211-300W</t>
  </si>
  <si>
    <t>Exterior LED Replacing HID or Fluorescent Fixture 301-500W</t>
  </si>
  <si>
    <t>Exterior LED Replacing HID or Fluorescent Fixture &gt;500W</t>
  </si>
  <si>
    <t>Parking Garage LED Fixture or Screw-Base LED Lamp Replacing HID or Fluorescent Fixture ≤130W</t>
  </si>
  <si>
    <t>Parking Garage LED Fixture or Screw-Base LED Lamp Replacing HID or Fluorescent Fixture 131-210W</t>
  </si>
  <si>
    <t>Parking Garage LED Fixture or Screw-Base LED Lamp Replacing HID or Fluorescent Fixture &gt;210W</t>
  </si>
  <si>
    <t>Interior T12/T8 4' 1-2 Lamp Fixture Replaced by LED Fixture</t>
  </si>
  <si>
    <t>Interior T12/T8 4' 3-6 Lamp Fixture Replaced by LED Fixture</t>
  </si>
  <si>
    <t>Interior T12/T8 8' 1-2 Lamp Fixture Replaced by LED Fixture</t>
  </si>
  <si>
    <t>Interior T12/T8/T5/T5HO 2' 1-4 Lamp OR Ubend 1-2 Lamp Fixture Replaced by LED Fixture</t>
  </si>
  <si>
    <t>Interior T5/T5HO 4' 1-2 Lamp Fixture Replaced by LED Fixture</t>
  </si>
  <si>
    <t>Interior T5/T5HO 4' 3-6 Lamp Fixture Replaced by LED Fixture</t>
  </si>
  <si>
    <t>Interior T12/T8 4' 1-2 Lamp Fixture Replaced by LED Retofit Kit</t>
  </si>
  <si>
    <t>Interior T12/T8 4' 3-6 Lamp Fixture Replaced by LED Retofit Kit</t>
  </si>
  <si>
    <t>Interior T12/T8 8' 1-2 Lamp Fixture Replaced by LED Retofit Kit</t>
  </si>
  <si>
    <t>Interior T12/T8/T5/T5HO 2' 1-4 Lamp OR Ubend 1-2 Lamp Fixture Replaced by LED Retrofit Kit</t>
  </si>
  <si>
    <t>Interior T5/T5HO 4' 1-2 Lamp Fixture Replaced by LED Retrofit Kit</t>
  </si>
  <si>
    <t>Interior T5/T5HO 4' 3-6 Lamp Fixture Replaced by LED Retrofit Kit</t>
  </si>
  <si>
    <t>LED Fixture</t>
  </si>
  <si>
    <t>LED Retrofit Kit</t>
  </si>
  <si>
    <t>LED Retrofit Kit/Lamp</t>
  </si>
  <si>
    <t>Exterior LED Fixture</t>
  </si>
  <si>
    <t>LED Parking Garage Fixture or Screw-Base LED Lamp (no LED Linear tubes)</t>
  </si>
  <si>
    <t>T5 4 ft (watts)</t>
  </si>
  <si>
    <t>Interior T12/T8 4' 1-2 Lamp Fixture</t>
  </si>
  <si>
    <t>Interior T12/T8 4' 3-6 Lamp Fixture</t>
  </si>
  <si>
    <t>Interior T12/T8 8' 1-2 Lamp Fixture</t>
  </si>
  <si>
    <t>Interior T5/T5HO 4' 1-2 Lamp Fixture</t>
  </si>
  <si>
    <t>Interior T5/T5HO 4' 3-6 Lamp Fixture</t>
  </si>
  <si>
    <t>150-300W HID Fixture</t>
  </si>
  <si>
    <t>301-500W HID Fixture</t>
  </si>
  <si>
    <t>501-850W HID Fixture</t>
  </si>
  <si>
    <t>&gt;850W HID Fixture</t>
  </si>
  <si>
    <t>HID or Fluorescent Fixture &lt;210W</t>
  </si>
  <si>
    <t>HID or Fluorescent Fixture 211-300W</t>
  </si>
  <si>
    <t>HID or Fluorescent Fixture 301-500W</t>
  </si>
  <si>
    <t>HID or Fluorescent Fixture &gt;500W</t>
  </si>
  <si>
    <t>HID or Fluorescent Fixture ≤130W</t>
  </si>
  <si>
    <t>HID or Fluorescent Fixture 131-210W</t>
  </si>
  <si>
    <t>HID or Fluorescent Fixture &gt;210W</t>
  </si>
  <si>
    <t>VFD for HVAC Supply and Return Fans 1-5 HP</t>
  </si>
  <si>
    <t>VFD for HVAC Supply and Return Fans 6-15 HP</t>
  </si>
  <si>
    <t>VFD for HVAC Supply and Return Fans 16-25 HP</t>
  </si>
  <si>
    <t>VFD for HVAC Supply and Return Fans 26-50 HP</t>
  </si>
  <si>
    <t>VFD for HVAC Supply and Return Fans 51-75 HP</t>
  </si>
  <si>
    <t>VFD applied to HVAC fan motor that has a variable or reduced load</t>
  </si>
  <si>
    <t>Motor installed without a VFD or other method of control</t>
  </si>
  <si>
    <t>Evaporator Fan Controls for ECM Motors - Refrigeration Coolers &amp; Freezers- 16W</t>
  </si>
  <si>
    <t>Evaporator Fan Controls for ECM Motors - Refrigeration Coolers &amp; Freezers - 1/15 - 1/20HP</t>
  </si>
  <si>
    <t>Evaporator Fan Controls for ECM Motors - Refrigeration Coolers &amp; Freezers - 1/5HP</t>
  </si>
  <si>
    <t>Evaporator Fan Controls for ECM Motors - Refrigeration Coolers &amp; Freezers - 1/3HP</t>
  </si>
  <si>
    <t>Evaporator Fan Controls for ECM Motors - Refrigeration Coolers &amp; Freezers - 1/2HP</t>
  </si>
  <si>
    <t>Evaporator Fan Controls for ECM Motors - Refrigeration Coolers &amp; Freezers - 3/4HP</t>
  </si>
  <si>
    <t>Automatic Door Closer for Walk-In Coolers</t>
  </si>
  <si>
    <t>Automatic Door Closer for Walk-In Freezers</t>
  </si>
  <si>
    <t>Anti-Sweat Heater Controls for Freezer Case, Low Heat Doors</t>
  </si>
  <si>
    <t>Anti-Sweat Heater Controls for Freezer Case, No Heat Doors</t>
  </si>
  <si>
    <t>Anti-Sweat Heater Controls for Freezer Case, Standard Doors</t>
  </si>
  <si>
    <t>Anti-Sweat Heater Controls for Refrigerated Case, Low or No Heat Doors</t>
  </si>
  <si>
    <t>Anti-Sweat Heater Controls for Refrigerated Case, Standard Door</t>
  </si>
  <si>
    <t>ECM Compressor and Condenser/Condensing Unit Fan Motor</t>
  </si>
  <si>
    <t>Strip Curtain - Energy Savings (kWh/sq ft)</t>
  </si>
  <si>
    <t>Installation of an automatic, hydraulic-type door closer on main walk-in cooler doors.</t>
  </si>
  <si>
    <t>Installation of an automatic, hydraulic-type door closer on main walk-in freezer doors.</t>
  </si>
  <si>
    <t>Install Anti-Sweat Heater Controls on refrigerated case door without heater controls</t>
  </si>
  <si>
    <t>Install an Electronically commutated motor (ECM) in place of existing shaded pole or split capacitor motors on condenser fans.</t>
  </si>
  <si>
    <t>Reach-in or walk-in cooler or freezer with continuous operating EC motor</t>
  </si>
  <si>
    <t>A walk in cooler without an automatic closure.</t>
  </si>
  <si>
    <t>A walk in freezer without an automatic closure.</t>
  </si>
  <si>
    <t>refrigerated display case with doors, not using anti-sweat heater controls.</t>
  </si>
  <si>
    <t>Shaded Pole (SP) or permanent split capacitor (PSC) condensing unit fan motor</t>
  </si>
  <si>
    <t>Interior T12/T8/T5/T5HO 2' 1-4 Lamp Fixture</t>
  </si>
  <si>
    <t>Interior T12/T8/T5/T5HO Ubend 1-2 Lamp Fixture</t>
  </si>
  <si>
    <t>LED Fixture Replacing 
U-bend | 1 to 2 Lamps</t>
  </si>
  <si>
    <t xml:space="preserve">LED Retrofit Kit Replacing 
U-bend | 1 to 2 Lamps </t>
  </si>
  <si>
    <t>LED Fixture Replacing 
4' T12/T8 | 1 to 2 Lamps</t>
  </si>
  <si>
    <t>LED Fixture Replacing 
4' T12/T8 | 3 to 6 Lamps</t>
  </si>
  <si>
    <t>LED Fixture Replacing 
4' T5/T5HO | 1 to 2 Lamps</t>
  </si>
  <si>
    <t>LED Fixture Replacing 
4' T5/T5HO | 3 to 6 Lamps</t>
  </si>
  <si>
    <t xml:space="preserve">LED Retrofit Kit Replacing 
4' T12/T8 | 1 to 2 Lamps </t>
  </si>
  <si>
    <t xml:space="preserve">LED Retrofit Kit Replacing 
4' T12/T8 | 3 to 6 Lamps </t>
  </si>
  <si>
    <t>LED Retrofit Kit Replacing 
4' T5/T5HO | 1 to 2 Lamps</t>
  </si>
  <si>
    <t>LED Retrofit Kit Replacing 
4' T5/T5HO | 3 to 6 Lamps</t>
  </si>
  <si>
    <t>Logan Markham</t>
  </si>
  <si>
    <t>816-206-7070</t>
  </si>
  <si>
    <t>LMarkham@trccompanies.com</t>
  </si>
  <si>
    <t>Randy Jameson</t>
  </si>
  <si>
    <t>Joan Nganga</t>
  </si>
  <si>
    <r>
      <t xml:space="preserve">The Site Contact is: </t>
    </r>
    <r>
      <rPr>
        <sz val="11"/>
        <color rgb="FFFF0000"/>
        <rFont val="Arial"/>
        <family val="2"/>
      </rPr>
      <t>*</t>
    </r>
  </si>
  <si>
    <t>The Site Contact is:</t>
  </si>
  <si>
    <t>Company Contact</t>
  </si>
  <si>
    <t>Main, NC, RCx</t>
  </si>
  <si>
    <t>RCx TA Options</t>
  </si>
  <si>
    <t>Ana Ruelas</t>
  </si>
  <si>
    <t>Nominal Incentive</t>
  </si>
  <si>
    <t>Phases</t>
  </si>
  <si>
    <t>kVA Rating</t>
  </si>
  <si>
    <t>Load Factor</t>
  </si>
  <si>
    <t>kWh Losses</t>
  </si>
  <si>
    <t>New</t>
  </si>
  <si>
    <t>Low-Voltage Dry-Type Distribution Transformer</t>
  </si>
  <si>
    <t>Three-Phase</t>
  </si>
  <si>
    <t>Liquid-Immersed Distribution Transformer</t>
  </si>
  <si>
    <t>Medium-Voltage Dry-Type Distribution Transformer</t>
  </si>
  <si>
    <t>Single-Phase</t>
  </si>
  <si>
    <t>kVA</t>
  </si>
  <si>
    <t>Base Eff.</t>
  </si>
  <si>
    <t>New Eff.</t>
  </si>
  <si>
    <t>Electrical Phase Types</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</si>
  <si>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</si>
  <si>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</si>
  <si>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</si>
  <si>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</si>
  <si>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</si>
  <si>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</si>
  <si>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</si>
  <si>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</si>
  <si>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</si>
  <si>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</si>
  <si>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</si>
  <si>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</si>
  <si>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</si>
  <si>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Retrofit existing</t>
  </si>
  <si>
    <t>Replace in-life equip.</t>
  </si>
  <si>
    <t>New / No existing equip.</t>
  </si>
  <si>
    <t>Replace EoSL equip.</t>
  </si>
  <si>
    <t>Lighting Review 02/2022</t>
  </si>
  <si>
    <t>Calculated on trendline</t>
  </si>
  <si>
    <t>T8 - 4ft - 2 Lamp - 32W</t>
  </si>
  <si>
    <t>T8 - 5ft - 1 Lamp - 40W</t>
  </si>
  <si>
    <t>T8 - 5 ft - 1 Lamp</t>
  </si>
  <si>
    <t>LED - Other</t>
  </si>
  <si>
    <t>Other LED Luminaire</t>
  </si>
  <si>
    <t>COMPCUSTOMER</t>
  </si>
  <si>
    <t>COMPBUILD</t>
  </si>
  <si>
    <t>COMPMEASURE</t>
  </si>
  <si>
    <t>COMPPAY</t>
  </si>
  <si>
    <t>COMPSUMMARY</t>
  </si>
  <si>
    <t>Bonus Active</t>
  </si>
  <si>
    <t>Chuck Reno</t>
  </si>
  <si>
    <t>816-715-0163</t>
  </si>
  <si>
    <t>creno@trccompanies.com</t>
  </si>
  <si>
    <t>LED Lamp ≤9W Replacing CFL</t>
  </si>
  <si>
    <t>LED Lamp 10-15W Replacing CFL</t>
  </si>
  <si>
    <t>LED Lamp ≥16W Replacing CFL</t>
  </si>
  <si>
    <t>LED  ≤ 9 Watt Lamp Replacing CFL Lamp</t>
  </si>
  <si>
    <t>LED  10 - 15 Watt Lamp Replacing CFL Lamp</t>
  </si>
  <si>
    <t>LED ≥ 16 Watt Lamp Replacing CFL Lamp</t>
  </si>
  <si>
    <t>LED replacing CFL Lamp</t>
  </si>
  <si>
    <t>13W CFL Lamp</t>
  </si>
  <si>
    <t>21W CFL Lamp</t>
  </si>
  <si>
    <t>26W CFL Lamp</t>
  </si>
  <si>
    <t>Ext Lighting w/ Peak</t>
  </si>
  <si>
    <t>Halogen</t>
  </si>
  <si>
    <t>Laura Sagan</t>
  </si>
  <si>
    <t>Evergy</t>
  </si>
  <si>
    <t>Rated Tons</t>
  </si>
  <si>
    <t>Equipment Manufacturer</t>
  </si>
  <si>
    <t>Equipment Model</t>
  </si>
  <si>
    <r>
      <t>Annual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</si>
  <si>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Load Shift</t>
  </si>
  <si>
    <t>Transformers</t>
  </si>
  <si>
    <t>Base incentive</t>
  </si>
  <si>
    <t>IECC 2021</t>
  </si>
  <si>
    <r>
      <t>ASHP &lt;65kbtu (&lt;5.42 tons)</t>
    </r>
    <r>
      <rPr>
        <sz val="11"/>
        <color rgb="FFFF0000"/>
        <rFont val="Calibri"/>
        <family val="2"/>
      </rPr>
      <t xml:space="preserve"> - Split System</t>
    </r>
  </si>
  <si>
    <r>
      <t>ASHP &lt;65kbtu (&lt;5.42 tons)</t>
    </r>
    <r>
      <rPr>
        <sz val="11"/>
        <color rgb="FFFF0000"/>
        <rFont val="Calibri"/>
        <family val="2"/>
      </rPr>
      <t xml:space="preserve"> - Single Package System</t>
    </r>
  </si>
  <si>
    <t>No code reference, copied from 2012</t>
  </si>
  <si>
    <t>Part Load Cooling Efficiency</t>
  </si>
  <si>
    <t>Other Efficiency</t>
  </si>
  <si>
    <t>Table C403.3.2(9)</t>
  </si>
  <si>
    <t>ASHRAE 90.1-2016 Table 6.8.1-10</t>
  </si>
  <si>
    <t>ASHRAE 90.1-2013 Table 6.8.1-10</t>
  </si>
  <si>
    <t>ASHRAE 90.1-2010 Table 6.8.1J</t>
  </si>
  <si>
    <t>Pre-Approval Incentive Threshold</t>
  </si>
  <si>
    <t>OR(AND(MEASTOTALCUSE = 0, INCENTOTAL &lt; INCPREAPPROVAL), ACTIVECOMPL = "Yes")</t>
  </si>
  <si>
    <t>Reighan Barajas</t>
  </si>
  <si>
    <t>Angela Blaize</t>
  </si>
  <si>
    <t>816-216-2786</t>
  </si>
  <si>
    <t>ablaize@trccompanies.com</t>
  </si>
  <si>
    <t>Josh Leffert</t>
  </si>
  <si>
    <t>Mackenzie Grosko</t>
  </si>
  <si>
    <t>Elias Wirz</t>
  </si>
  <si>
    <t>Perry Boone</t>
  </si>
  <si>
    <t>Brett Bauma</t>
  </si>
  <si>
    <t>bbauma@trccompanies.com</t>
  </si>
  <si>
    <t>District of Columbia</t>
  </si>
  <si>
    <t>DC</t>
  </si>
  <si>
    <t>Puerto Rico</t>
  </si>
  <si>
    <t>PR</t>
  </si>
  <si>
    <t>U.S. Virgin Islands</t>
  </si>
  <si>
    <t>VI</t>
  </si>
  <si>
    <t>Unit Definition</t>
  </si>
  <si>
    <t>Measure Definition</t>
  </si>
  <si>
    <t>TRM Column:</t>
  </si>
  <si>
    <t>per sensor</t>
  </si>
  <si>
    <t>per unit</t>
  </si>
  <si>
    <t>per door</t>
  </si>
  <si>
    <t>per motor</t>
  </si>
  <si>
    <t>per sq. ft.</t>
  </si>
  <si>
    <t>per ton per SEER</t>
  </si>
  <si>
    <t>per ton per IEER</t>
  </si>
  <si>
    <t>per ton per IPLV (EER)</t>
  </si>
  <si>
    <t>per ton per IPLV (kW/ton)</t>
  </si>
  <si>
    <t>per hp</t>
  </si>
  <si>
    <t>Per hp</t>
  </si>
  <si>
    <t>EERee</t>
  </si>
  <si>
    <t>High-efficiency VRF system meeting or exceeding CEE Tier 1 efficiency levels</t>
  </si>
  <si>
    <t>IPLVee (EER)</t>
  </si>
  <si>
    <t>IPLVee (kW/ton)</t>
  </si>
  <si>
    <t>EERbase</t>
  </si>
  <si>
    <t>Minimally compliant VRF system determined by the local energy code or federal efficiency standrds, whichever is higher</t>
  </si>
  <si>
    <t>IPLVbase (EER)</t>
  </si>
  <si>
    <t>IPLVbase (kW/ton)</t>
  </si>
  <si>
    <t>Base Efficiency 1</t>
  </si>
  <si>
    <t>Eff Unit 1</t>
  </si>
  <si>
    <t>Eff Unit 2</t>
  </si>
  <si>
    <t>Base Efficiency 2</t>
  </si>
  <si>
    <t>Eff Unit 3</t>
  </si>
  <si>
    <t>Base Efficiency 3</t>
  </si>
  <si>
    <t>EER (IPLV)</t>
  </si>
  <si>
    <t>kW/ton (IPLV)</t>
  </si>
  <si>
    <t>Guidehouse Analysis '2023 Updated kW Factors DRAFT_01.29.2024.xlsx'</t>
  </si>
  <si>
    <t>Units Installed</t>
  </si>
  <si>
    <t>Quantity per Unit</t>
  </si>
  <si>
    <t>Min Unit</t>
  </si>
  <si>
    <t>Max Unit</t>
  </si>
  <si>
    <t>per lamp</t>
  </si>
  <si>
    <t>Retrofit Kit</t>
  </si>
  <si>
    <t>316-789-4109</t>
  </si>
  <si>
    <t>LED Lamps Replacing CFL</t>
  </si>
  <si>
    <t>Removed 4' T8 30W/36W options</t>
  </si>
  <si>
    <t>Evaporator Fan Controls for ECM Motors - Refrigeration Coolers &amp; Freezers - 1/20 - 1/15HP</t>
  </si>
  <si>
    <t>Evaporator Fan Controls for ECM Motors - Refrigeration Coolers &amp; Freezers - 1/5 - 1/4HP</t>
  </si>
  <si>
    <r>
      <t xml:space="preserve">Only the </t>
    </r>
    <r>
      <rPr>
        <b/>
        <sz val="11"/>
        <color theme="1"/>
        <rFont val="Calibri"/>
        <family val="2"/>
      </rPr>
      <t>Microsoft Excel desktop program</t>
    </r>
    <r>
      <rPr>
        <sz val="11"/>
        <color theme="1"/>
        <rFont val="Calibri"/>
        <family val="2"/>
      </rPr>
      <t xml:space="preserve"> should be used to open and modify this application.</t>
    </r>
  </si>
  <si>
    <t>Acknowledge</t>
  </si>
  <si>
    <t>Field1</t>
  </si>
  <si>
    <t>Field2</t>
  </si>
  <si>
    <t>Field3</t>
  </si>
  <si>
    <t>Field4</t>
  </si>
  <si>
    <t>PLC</t>
  </si>
  <si>
    <t>FLC</t>
  </si>
  <si>
    <t>PLH</t>
  </si>
  <si>
    <t>Tons-Heat</t>
  </si>
  <si>
    <t>FLH</t>
  </si>
  <si>
    <t>PLC, FLC, PLH, FLH</t>
  </si>
  <si>
    <t>PLC, FLC, PLH, FLH, Tons-Heat</t>
  </si>
  <si>
    <t>High efficiency heat pump that meets efficiency requirement as tested under AHRI 340/360</t>
  </si>
  <si>
    <t>High efficiency heat pump that meets efficiency requirement as tested under AHRI 210/240</t>
  </si>
  <si>
    <t>Air-cooled heat pump 65-135 kbtu as defined in IECC 2012 v5, Table C403.2.3(2)</t>
  </si>
  <si>
    <t>Air-cooled heat pump 135-240 kbtu as defined in IECC 2012 v5, Table C403.2.3(2)</t>
  </si>
  <si>
    <t>Air-cooled heat pump &gt;240 kbtu as defined in IECC 2012 v5, Table C403.2.3(2)</t>
  </si>
  <si>
    <t>Air-cooled heat pump &lt;65 kbtu as defined in IECC 2012 v5, Table C403.2.3(2)</t>
  </si>
  <si>
    <t>per ton per SEER2</t>
  </si>
  <si>
    <t>EER (FL)</t>
  </si>
  <si>
    <t>kW/ton (FL)</t>
  </si>
  <si>
    <t>Offer</t>
  </si>
  <si>
    <t>Completion</t>
  </si>
  <si>
    <t>DOE</t>
  </si>
  <si>
    <t>Detail</t>
  </si>
  <si>
    <t>v1.1.0</t>
  </si>
  <si>
    <t>Evergy KS</t>
  </si>
  <si>
    <t>Activate Incentive</t>
  </si>
  <si>
    <t>Does the Company hold 501(c)(3) status?</t>
  </si>
  <si>
    <t>Is the Company responsible for the energy bill payments?</t>
  </si>
  <si>
    <t>---Evergy Kansas Metro---</t>
  </si>
  <si>
    <t>---Evergy Kansas Central---</t>
  </si>
  <si>
    <t>Small General Service (2SGSE)</t>
  </si>
  <si>
    <t>Medium General Service (2MGSE)</t>
  </si>
  <si>
    <t>Large General Service (2LGSE)</t>
  </si>
  <si>
    <t>Large Power Service (2LPSE)</t>
  </si>
  <si>
    <t>Ind./Large Power Service (WCILP)</t>
  </si>
  <si>
    <t>Large General Service (WCLGS)</t>
  </si>
  <si>
    <t>Medium General Service (WCMGS)</t>
  </si>
  <si>
    <t>Small General Service (WCSGS)</t>
  </si>
  <si>
    <t>Select the appropriate measure type below to apply for incentives.</t>
  </si>
  <si>
    <t>Custom lite</t>
  </si>
  <si>
    <t>Deemed incentive and savings per unit installed. 
No Pre-Approval if total project incentive is less than $15,000.00</t>
  </si>
  <si>
    <t>Simplified Custom measures with nominal incentives that don't require unique calculations. 
Pre-Approval may be required.</t>
  </si>
  <si>
    <t>Unique measures with calculated savings and incentives per kWh saved. Pre-Approval is required.</t>
  </si>
  <si>
    <t>Simplicity</t>
  </si>
  <si>
    <t>Opportunity</t>
  </si>
  <si>
    <t>Standard Categories</t>
  </si>
  <si>
    <t>Custom Lite Categories</t>
  </si>
  <si>
    <t>Custom Categories</t>
  </si>
  <si>
    <t>EKC</t>
  </si>
  <si>
    <t>Input Data for Program Years 2024-2027</t>
  </si>
  <si>
    <t>EKM</t>
  </si>
  <si>
    <t>Eff Notes 2</t>
  </si>
  <si>
    <t>Company Address 1 (as seen on W9)</t>
  </si>
  <si>
    <t>Company Address 2 (as seen on W9)</t>
  </si>
  <si>
    <t>Company City (as seen on W9)</t>
  </si>
  <si>
    <t>Company Legal Name (as seen on W9)</t>
  </si>
  <si>
    <t>Company State (as seen on W9)</t>
  </si>
  <si>
    <t>Company Zip (as seen on W9)</t>
  </si>
  <si>
    <r>
      <rPr>
        <sz val="6"/>
        <color theme="1"/>
        <rFont val="Calibri"/>
        <family val="2"/>
      </rPr>
      <t xml:space="preserve">(https://www.unitedstateszipcodes.org/ks  5/22/2024)
</t>
    </r>
    <r>
      <rPr>
        <sz val="11"/>
        <color theme="1"/>
        <rFont val="Calibri"/>
        <family val="2"/>
      </rPr>
      <t xml:space="preserve">Codes by City/County </t>
    </r>
    <r>
      <rPr>
        <i/>
        <sz val="11"/>
        <color theme="1"/>
        <rFont val="Calibri"/>
        <family val="2"/>
      </rPr>
      <t>*Sort by City</t>
    </r>
  </si>
  <si>
    <t>Abbyville</t>
  </si>
  <si>
    <t>Reno County</t>
  </si>
  <si>
    <t>Abilene</t>
  </si>
  <si>
    <t>Dickinson County</t>
  </si>
  <si>
    <t>Ada</t>
  </si>
  <si>
    <t>Ottawa County</t>
  </si>
  <si>
    <t>Admire</t>
  </si>
  <si>
    <t>Lyon County</t>
  </si>
  <si>
    <t>Allen</t>
  </si>
  <si>
    <t>Wabaunsee County</t>
  </si>
  <si>
    <t>Alta Vista</t>
  </si>
  <si>
    <t>Labette County</t>
  </si>
  <si>
    <t>Altoona</t>
  </si>
  <si>
    <t>Wilson County</t>
  </si>
  <si>
    <t>Americus</t>
  </si>
  <si>
    <t>Andale</t>
  </si>
  <si>
    <t>Sedgwick County</t>
  </si>
  <si>
    <t>Andover</t>
  </si>
  <si>
    <t>Butler County</t>
  </si>
  <si>
    <t>Antelope</t>
  </si>
  <si>
    <t>Marion County</t>
  </si>
  <si>
    <t>Arcadia</t>
  </si>
  <si>
    <t>Crawford County</t>
  </si>
  <si>
    <t>Bourbon County</t>
  </si>
  <si>
    <t>Arkansas City</t>
  </si>
  <si>
    <t>Cowley County</t>
  </si>
  <si>
    <t>Arlington</t>
  </si>
  <si>
    <t>Arma</t>
  </si>
  <si>
    <t>Assaria</t>
  </si>
  <si>
    <t>Saline County</t>
  </si>
  <si>
    <t>Atchison County</t>
  </si>
  <si>
    <t>Atlanta</t>
  </si>
  <si>
    <t>Augusta</t>
  </si>
  <si>
    <t>Axtell</t>
  </si>
  <si>
    <t>Marshall County</t>
  </si>
  <si>
    <t>Baileyville</t>
  </si>
  <si>
    <t>Nemaha County</t>
  </si>
  <si>
    <t>Baldwin City</t>
  </si>
  <si>
    <t>Douglas County</t>
  </si>
  <si>
    <t>Lincoln County</t>
  </si>
  <si>
    <t>Bartlett</t>
  </si>
  <si>
    <t>Basehor</t>
  </si>
  <si>
    <t>Leavenworth County</t>
  </si>
  <si>
    <t>Bavaria</t>
  </si>
  <si>
    <t>Beattie</t>
  </si>
  <si>
    <t>Beaumont</t>
  </si>
  <si>
    <t>Bel Aire</t>
  </si>
  <si>
    <t>Belle Plaine</t>
  </si>
  <si>
    <t>Sumner County</t>
  </si>
  <si>
    <t>Belmont</t>
  </si>
  <si>
    <t>Kingman County</t>
  </si>
  <si>
    <t>Belvue</t>
  </si>
  <si>
    <t>Pottawatomie County</t>
  </si>
  <si>
    <t>Bendena</t>
  </si>
  <si>
    <t>Doniphan County</t>
  </si>
  <si>
    <t>Benedict</t>
  </si>
  <si>
    <t>Bennington</t>
  </si>
  <si>
    <t>Bentley</t>
  </si>
  <si>
    <t>Bern</t>
  </si>
  <si>
    <t>Berryton</t>
  </si>
  <si>
    <t>Shawnee County</t>
  </si>
  <si>
    <t>Beverly</t>
  </si>
  <si>
    <t>Blaine</t>
  </si>
  <si>
    <t>Blue Mound</t>
  </si>
  <si>
    <t>Linn County</t>
  </si>
  <si>
    <t>Blue Rapids</t>
  </si>
  <si>
    <t>Bonner Springs</t>
  </si>
  <si>
    <t>Wyandotte County</t>
  </si>
  <si>
    <t>Bremen</t>
  </si>
  <si>
    <t>Bronson</t>
  </si>
  <si>
    <t>Brookville</t>
  </si>
  <si>
    <t>Bucyrus</t>
  </si>
  <si>
    <t>Johnson County</t>
  </si>
  <si>
    <t>Buffalo</t>
  </si>
  <si>
    <t>Buhler</t>
  </si>
  <si>
    <t>Burden</t>
  </si>
  <si>
    <t>Burdick</t>
  </si>
  <si>
    <t>Morris County</t>
  </si>
  <si>
    <t>Burlingame</t>
  </si>
  <si>
    <t>Osage County</t>
  </si>
  <si>
    <t>Burlington</t>
  </si>
  <si>
    <t>Coffey County</t>
  </si>
  <si>
    <t>Burns</t>
  </si>
  <si>
    <t>Burrton</t>
  </si>
  <si>
    <t>Harvey County</t>
  </si>
  <si>
    <t>Bushong</t>
  </si>
  <si>
    <t>Cambridge</t>
  </si>
  <si>
    <t>Caney</t>
  </si>
  <si>
    <t>Montgomery County</t>
  </si>
  <si>
    <t>Canton</t>
  </si>
  <si>
    <t>McPherson County</t>
  </si>
  <si>
    <t>Carbondale</t>
  </si>
  <si>
    <t>Carlton</t>
  </si>
  <si>
    <t>Carlyle</t>
  </si>
  <si>
    <t>Allen County</t>
  </si>
  <si>
    <t>Cassoday</t>
  </si>
  <si>
    <t>Cedar Point</t>
  </si>
  <si>
    <t>Chase County</t>
  </si>
  <si>
    <t>Centerville</t>
  </si>
  <si>
    <t>Centralia</t>
  </si>
  <si>
    <t>Centropolis</t>
  </si>
  <si>
    <t>Franklin County</t>
  </si>
  <si>
    <t>Chanute</t>
  </si>
  <si>
    <t>Neosho County</t>
  </si>
  <si>
    <t>Chapman</t>
  </si>
  <si>
    <t>Cheney</t>
  </si>
  <si>
    <t>Cherokee</t>
  </si>
  <si>
    <t>Cherryvale</t>
  </si>
  <si>
    <t>Circleville</t>
  </si>
  <si>
    <t>Jackson County</t>
  </si>
  <si>
    <t>Clay Center</t>
  </si>
  <si>
    <t>Clay County</t>
  </si>
  <si>
    <t>Clearwater</t>
  </si>
  <si>
    <t>Clements</t>
  </si>
  <si>
    <t>Climax</t>
  </si>
  <si>
    <t>Greenwood County</t>
  </si>
  <si>
    <t>Coffeyville</t>
  </si>
  <si>
    <t>Colony</t>
  </si>
  <si>
    <t>Anderson County</t>
  </si>
  <si>
    <t>Colwich</t>
  </si>
  <si>
    <t>Conway</t>
  </si>
  <si>
    <t>Cottonwood Falls</t>
  </si>
  <si>
    <t>Council Grove</t>
  </si>
  <si>
    <t>Countryside</t>
  </si>
  <si>
    <t>Coyville</t>
  </si>
  <si>
    <t>Culver</t>
  </si>
  <si>
    <t>Cummings</t>
  </si>
  <si>
    <t>De Soto</t>
  </si>
  <si>
    <t>Dearing</t>
  </si>
  <si>
    <t>Delavan</t>
  </si>
  <si>
    <t>Delia</t>
  </si>
  <si>
    <t>Delphos</t>
  </si>
  <si>
    <t>Denison</t>
  </si>
  <si>
    <t>Dennis</t>
  </si>
  <si>
    <t>Denton</t>
  </si>
  <si>
    <t>Derby</t>
  </si>
  <si>
    <t>Douglass</t>
  </si>
  <si>
    <t>Duluth</t>
  </si>
  <si>
    <t>Dunlap</t>
  </si>
  <si>
    <t>Durham</t>
  </si>
  <si>
    <t>Dwight</t>
  </si>
  <si>
    <t>Eastborough</t>
  </si>
  <si>
    <t>Edna</t>
  </si>
  <si>
    <t>Edwardsville</t>
  </si>
  <si>
    <t>Effingham</t>
  </si>
  <si>
    <t>El Dorado</t>
  </si>
  <si>
    <t>Elbing</t>
  </si>
  <si>
    <t>Elk City</t>
  </si>
  <si>
    <t>Elk Falls</t>
  </si>
  <si>
    <t>Elk County</t>
  </si>
  <si>
    <t>Elmdale</t>
  </si>
  <si>
    <t>Elsmore</t>
  </si>
  <si>
    <t>Elwood</t>
  </si>
  <si>
    <t>Emmett</t>
  </si>
  <si>
    <t>Emporia</t>
  </si>
  <si>
    <t>Enterprise</t>
  </si>
  <si>
    <t>Erie</t>
  </si>
  <si>
    <t>Eskridge</t>
  </si>
  <si>
    <t>Eudora</t>
  </si>
  <si>
    <t>Eureka</t>
  </si>
  <si>
    <t>Everest</t>
  </si>
  <si>
    <t>Brown County</t>
  </si>
  <si>
    <t>Fairview</t>
  </si>
  <si>
    <t>Fairway</t>
  </si>
  <si>
    <t>Fall River</t>
  </si>
  <si>
    <t>Falun</t>
  </si>
  <si>
    <t>Farlington</t>
  </si>
  <si>
    <t>Florence</t>
  </si>
  <si>
    <t>Fontana</t>
  </si>
  <si>
    <t>Miami County</t>
  </si>
  <si>
    <t>Fort Scott</t>
  </si>
  <si>
    <t>Fostoria</t>
  </si>
  <si>
    <t>Frankfort</t>
  </si>
  <si>
    <t>Fredonia</t>
  </si>
  <si>
    <t>Frontenac</t>
  </si>
  <si>
    <t>Fulton</t>
  </si>
  <si>
    <t>Galesburg</t>
  </si>
  <si>
    <t>Galva</t>
  </si>
  <si>
    <t>Garden Plain</t>
  </si>
  <si>
    <t>Gardner</t>
  </si>
  <si>
    <t>Garland</t>
  </si>
  <si>
    <t>Garnett</t>
  </si>
  <si>
    <t>Geuda Springs</t>
  </si>
  <si>
    <t>Girard</t>
  </si>
  <si>
    <t>Goddard</t>
  </si>
  <si>
    <t>Goessel</t>
  </si>
  <si>
    <t>Goff</t>
  </si>
  <si>
    <t>Grantville</t>
  </si>
  <si>
    <t>Jefferson County</t>
  </si>
  <si>
    <t>Greeley</t>
  </si>
  <si>
    <t>Greenwich</t>
  </si>
  <si>
    <t>Grenola</t>
  </si>
  <si>
    <t>Gridley</t>
  </si>
  <si>
    <t>Gypsum</t>
  </si>
  <si>
    <t>Halstead</t>
  </si>
  <si>
    <t>Hamilton</t>
  </si>
  <si>
    <t>Hanover</t>
  </si>
  <si>
    <t>Washington County</t>
  </si>
  <si>
    <t>Hartford</t>
  </si>
  <si>
    <t>Harveyville</t>
  </si>
  <si>
    <t>Haven</t>
  </si>
  <si>
    <t>Havensville</t>
  </si>
  <si>
    <t>Haysville</t>
  </si>
  <si>
    <t>Hepler</t>
  </si>
  <si>
    <t>Herington</t>
  </si>
  <si>
    <t>Herkimer</t>
  </si>
  <si>
    <t>Hesston</t>
  </si>
  <si>
    <t>Hiattville</t>
  </si>
  <si>
    <t>Hiawatha</t>
  </si>
  <si>
    <t>Highland</t>
  </si>
  <si>
    <t>Hillsboro</t>
  </si>
  <si>
    <t>Hillsdale</t>
  </si>
  <si>
    <t>Holton</t>
  </si>
  <si>
    <t>Home</t>
  </si>
  <si>
    <t>Hope</t>
  </si>
  <si>
    <t>Hoyt</t>
  </si>
  <si>
    <t>Humboldt</t>
  </si>
  <si>
    <t>Huron</t>
  </si>
  <si>
    <t>Hutchinson</t>
  </si>
  <si>
    <t>Industry</t>
  </si>
  <si>
    <t>Inman</t>
  </si>
  <si>
    <t>Iola</t>
  </si>
  <si>
    <t>Junction City</t>
  </si>
  <si>
    <t>Geary County</t>
  </si>
  <si>
    <t>Kechi</t>
  </si>
  <si>
    <t>Kelly</t>
  </si>
  <si>
    <t>Kincaid</t>
  </si>
  <si>
    <t>Kingman</t>
  </si>
  <si>
    <t>La Cygne</t>
  </si>
  <si>
    <t>La Harpe</t>
  </si>
  <si>
    <t>Lacygne</t>
  </si>
  <si>
    <t>Lafontaine</t>
  </si>
  <si>
    <t>Lake Of The Forest</t>
  </si>
  <si>
    <t>Lake Quivira</t>
  </si>
  <si>
    <t>Lamont</t>
  </si>
  <si>
    <t>Lancaster</t>
  </si>
  <si>
    <t>Lane</t>
  </si>
  <si>
    <t>Lansing</t>
  </si>
  <si>
    <t>Latham</t>
  </si>
  <si>
    <t>Latimer</t>
  </si>
  <si>
    <t>Lawon</t>
  </si>
  <si>
    <t>Cherokee County</t>
  </si>
  <si>
    <t>Lawrence</t>
  </si>
  <si>
    <t>Le Roy</t>
  </si>
  <si>
    <t>Leavenworth</t>
  </si>
  <si>
    <t>Leawood</t>
  </si>
  <si>
    <t>Lebo</t>
  </si>
  <si>
    <t>Lecompton</t>
  </si>
  <si>
    <t>Lehigh</t>
  </si>
  <si>
    <t>Lenexa</t>
  </si>
  <si>
    <t>Leon</t>
  </si>
  <si>
    <t>Leona</t>
  </si>
  <si>
    <t>Leonardville</t>
  </si>
  <si>
    <t>Riley County</t>
  </si>
  <si>
    <t>Lincolnville</t>
  </si>
  <si>
    <t>Lindsborg</t>
  </si>
  <si>
    <t>Linn Valley</t>
  </si>
  <si>
    <t>Linwood</t>
  </si>
  <si>
    <t>Longford</t>
  </si>
  <si>
    <t>Longton</t>
  </si>
  <si>
    <t>Lost Springs</t>
  </si>
  <si>
    <t>Louisburg</t>
  </si>
  <si>
    <t>Louisville</t>
  </si>
  <si>
    <t>Lyndon</t>
  </si>
  <si>
    <t>Madison</t>
  </si>
  <si>
    <t>Maize</t>
  </si>
  <si>
    <t>Manchester</t>
  </si>
  <si>
    <t>Manhattan</t>
  </si>
  <si>
    <t>Maple Hill</t>
  </si>
  <si>
    <t>Mapleton</t>
  </si>
  <si>
    <t>Marion</t>
  </si>
  <si>
    <t>Marquette</t>
  </si>
  <si>
    <t>Marysville</t>
  </si>
  <si>
    <t>Mayetta</t>
  </si>
  <si>
    <t>Mc Cune</t>
  </si>
  <si>
    <t>Mc Farland</t>
  </si>
  <si>
    <t>Mc Louth</t>
  </si>
  <si>
    <t>Mcpherson</t>
  </si>
  <si>
    <t>McPherson</t>
  </si>
  <si>
    <t>Medora</t>
  </si>
  <si>
    <t>Melvern</t>
  </si>
  <si>
    <t>Mentor</t>
  </si>
  <si>
    <t>Meriden</t>
  </si>
  <si>
    <t>Merriam</t>
  </si>
  <si>
    <t>Miltonvale</t>
  </si>
  <si>
    <t>Cloud County</t>
  </si>
  <si>
    <t>Minneapolis</t>
  </si>
  <si>
    <t>Mission</t>
  </si>
  <si>
    <t>Mission Hills</t>
  </si>
  <si>
    <t>Mission Woods</t>
  </si>
  <si>
    <t>Moline</t>
  </si>
  <si>
    <t>Moran</t>
  </si>
  <si>
    <t>Morganville</t>
  </si>
  <si>
    <t>Morrill</t>
  </si>
  <si>
    <t>Mound Valley</t>
  </si>
  <si>
    <t>Moundridge</t>
  </si>
  <si>
    <t>Mount Hope</t>
  </si>
  <si>
    <t>Mulberry</t>
  </si>
  <si>
    <t>Mulvane</t>
  </si>
  <si>
    <t>Murdock</t>
  </si>
  <si>
    <t>Muscotah</t>
  </si>
  <si>
    <t>Navarre</t>
  </si>
  <si>
    <t>Neal</t>
  </si>
  <si>
    <t>Neodesha</t>
  </si>
  <si>
    <t>Neosho Falls</t>
  </si>
  <si>
    <t>Woodson County</t>
  </si>
  <si>
    <t>Neosho Rapids</t>
  </si>
  <si>
    <t>Netawaka</t>
  </si>
  <si>
    <t>New Albany</t>
  </si>
  <si>
    <t>New Cambria</t>
  </si>
  <si>
    <t>New Century</t>
  </si>
  <si>
    <t>New Strawn</t>
  </si>
  <si>
    <t>Newton</t>
  </si>
  <si>
    <t>Nickerson</t>
  </si>
  <si>
    <t>North Newton</t>
  </si>
  <si>
    <t>Nortonville</t>
  </si>
  <si>
    <t>Oakhill</t>
  </si>
  <si>
    <t>Ogden</t>
  </si>
  <si>
    <t>Oketo</t>
  </si>
  <si>
    <t>Olathe</t>
  </si>
  <si>
    <t>Olivet</t>
  </si>
  <si>
    <t>Olpe</t>
  </si>
  <si>
    <t>Olsburg</t>
  </si>
  <si>
    <t>Onaga</t>
  </si>
  <si>
    <t>Oneida</t>
  </si>
  <si>
    <t>Opolis</t>
  </si>
  <si>
    <t>Osage City</t>
  </si>
  <si>
    <t>Osawatomie</t>
  </si>
  <si>
    <t>Oskaloosa</t>
  </si>
  <si>
    <t>Oswego</t>
  </si>
  <si>
    <t>Ottawa</t>
  </si>
  <si>
    <t>Overbrook</t>
  </si>
  <si>
    <t>Overland Park</t>
  </si>
  <si>
    <t>Oxford</t>
  </si>
  <si>
    <t>Ozawkie</t>
  </si>
  <si>
    <t>Paola</t>
  </si>
  <si>
    <t>Park City</t>
  </si>
  <si>
    <t>Parker</t>
  </si>
  <si>
    <t>Parkerfield</t>
  </si>
  <si>
    <t>Parsons</t>
  </si>
  <si>
    <t>Partridge</t>
  </si>
  <si>
    <t>Paxico</t>
  </si>
  <si>
    <t>Peabody</t>
  </si>
  <si>
    <t>Peck</t>
  </si>
  <si>
    <t>Perry</t>
  </si>
  <si>
    <t>Petrolia</t>
  </si>
  <si>
    <t>Piedmont</t>
  </si>
  <si>
    <t>Piqua</t>
  </si>
  <si>
    <t>Pittsburg</t>
  </si>
  <si>
    <t>Pleasanton</t>
  </si>
  <si>
    <t>Pomona</t>
  </si>
  <si>
    <t>Potter</t>
  </si>
  <si>
    <t>Potwin</t>
  </si>
  <si>
    <t>Powhattan</t>
  </si>
  <si>
    <t>Prairie Village</t>
  </si>
  <si>
    <t>Prescott</t>
  </si>
  <si>
    <t>Pretty Prairie</t>
  </si>
  <si>
    <t>Quenemo</t>
  </si>
  <si>
    <t>Radley</t>
  </si>
  <si>
    <t>Rago</t>
  </si>
  <si>
    <t>Ramona</t>
  </si>
  <si>
    <t>Rantoul</t>
  </si>
  <si>
    <t>Reading</t>
  </si>
  <si>
    <t>Redfield</t>
  </si>
  <si>
    <t>Reserve</t>
  </si>
  <si>
    <t>Riley</t>
  </si>
  <si>
    <t>Robinson</t>
  </si>
  <si>
    <t>Rock</t>
  </si>
  <si>
    <t>Roeland Park</t>
  </si>
  <si>
    <t>Rosalia</t>
  </si>
  <si>
    <t>Rose Hill</t>
  </si>
  <si>
    <t>Rossville</t>
  </si>
  <si>
    <t>Roxbury</t>
  </si>
  <si>
    <t>Sabetha</t>
  </si>
  <si>
    <t>Saint George</t>
  </si>
  <si>
    <t>Saint Marys</t>
  </si>
  <si>
    <t>Saint Paul</t>
  </si>
  <si>
    <t>Salina</t>
  </si>
  <si>
    <t>Savonburg</t>
  </si>
  <si>
    <t>Scranton</t>
  </si>
  <si>
    <t>Sedgwick</t>
  </si>
  <si>
    <t>Seneca</t>
  </si>
  <si>
    <t>Severance</t>
  </si>
  <si>
    <t>Severy</t>
  </si>
  <si>
    <t>Shawnee</t>
  </si>
  <si>
    <t>Shawnee Mission</t>
  </si>
  <si>
    <t>Silver Lake</t>
  </si>
  <si>
    <t>Smolan</t>
  </si>
  <si>
    <t>Soldier</t>
  </si>
  <si>
    <t>Solomon</t>
  </si>
  <si>
    <t>South Hutchinson</t>
  </si>
  <si>
    <t>Spivey</t>
  </si>
  <si>
    <t>Spring Hill</t>
  </si>
  <si>
    <t>St Benedict</t>
  </si>
  <si>
    <t>Stanley</t>
  </si>
  <si>
    <t>Stark</t>
  </si>
  <si>
    <t>Sterling</t>
  </si>
  <si>
    <t>Rice County</t>
  </si>
  <si>
    <t>Stilwell</t>
  </si>
  <si>
    <t>Strong City</t>
  </si>
  <si>
    <t>Summerfield</t>
  </si>
  <si>
    <t>Sycamore</t>
  </si>
  <si>
    <t>Talmage</t>
  </si>
  <si>
    <t>Tampa</t>
  </si>
  <si>
    <t>Tecumseh</t>
  </si>
  <si>
    <t>Tescott</t>
  </si>
  <si>
    <t>Thayer</t>
  </si>
  <si>
    <t>Tonganoxie</t>
  </si>
  <si>
    <t>Topeka</t>
  </si>
  <si>
    <t>Toronto</t>
  </si>
  <si>
    <t>Towanda</t>
  </si>
  <si>
    <t>Troy</t>
  </si>
  <si>
    <t>Tyro</t>
  </si>
  <si>
    <t>Udall</t>
  </si>
  <si>
    <t>Uniontown</t>
  </si>
  <si>
    <t>Valley Center</t>
  </si>
  <si>
    <t>Valley Falls</t>
  </si>
  <si>
    <t>Vassar</t>
  </si>
  <si>
    <t>Vermillion</t>
  </si>
  <si>
    <t>Virgil</t>
  </si>
  <si>
    <t>Vliets</t>
  </si>
  <si>
    <t>Wakarusa</t>
  </si>
  <si>
    <t>Wakefield</t>
  </si>
  <si>
    <t>Walnut</t>
  </si>
  <si>
    <t>Walton</t>
  </si>
  <si>
    <t>Wamego</t>
  </si>
  <si>
    <t>Waterville</t>
  </si>
  <si>
    <t>Wathena</t>
  </si>
  <si>
    <t>Weir</t>
  </si>
  <si>
    <t>Welda</t>
  </si>
  <si>
    <t>Wells</t>
  </si>
  <si>
    <t>Wellsville</t>
  </si>
  <si>
    <t>Westfall</t>
  </si>
  <si>
    <t>Westmoreland</t>
  </si>
  <si>
    <t>Westphalia</t>
  </si>
  <si>
    <t>Westwood</t>
  </si>
  <si>
    <t>Westwood Hills</t>
  </si>
  <si>
    <t>Wetmore</t>
  </si>
  <si>
    <t>Wheaton</t>
  </si>
  <si>
    <t>White City</t>
  </si>
  <si>
    <t>Whitewater</t>
  </si>
  <si>
    <t>Whiting</t>
  </si>
  <si>
    <t>Wichita</t>
  </si>
  <si>
    <t>Williamsburg</t>
  </si>
  <si>
    <t>Willis</t>
  </si>
  <si>
    <t>Willowbrook</t>
  </si>
  <si>
    <t>Wilsey</t>
  </si>
  <si>
    <t>Winchester</t>
  </si>
  <si>
    <t>Windom</t>
  </si>
  <si>
    <t>Winfield</t>
  </si>
  <si>
    <t>Woodbine</t>
  </si>
  <si>
    <t>Yates Center</t>
  </si>
  <si>
    <t>Yoder</t>
  </si>
  <si>
    <t>PTAC</t>
  </si>
  <si>
    <t>PTHP</t>
  </si>
  <si>
    <t>per ton per EER</t>
  </si>
  <si>
    <t>SBNP Incentive</t>
  </si>
  <si>
    <t>BESP Incentive</t>
  </si>
  <si>
    <t>Compressed Air ‐ No Loss Condensate Drain/Valve</t>
  </si>
  <si>
    <t>LED Freezer Case Lights w/Doors 4ft, 5ft, or 6ft replacing Fluorsecent Freezer Case Lights w/Doors 4ft, 5ft, or 6ft</t>
  </si>
  <si>
    <t>LED Refrigerated Case Lights w/Doors 4ft, 5ft, or 6ft replacing Fluorsecent Refrigerated Case Lights w/Doors 4ft, 5ft, or 6ft</t>
  </si>
  <si>
    <t>BESP Rate ($/kWh)</t>
  </si>
  <si>
    <t>SBNP Rate ($/kWh)</t>
  </si>
  <si>
    <t>M4S10</t>
  </si>
  <si>
    <t>M4S13</t>
  </si>
  <si>
    <t>Custom Lite Category</t>
  </si>
  <si>
    <t>Compressed Air - Engineered Nozzle 1/2"</t>
  </si>
  <si>
    <t>Compressed Air - Engineered Nozzle 1/4"</t>
  </si>
  <si>
    <t>Compressed Air - Engineered Nozzle 1/8"</t>
  </si>
  <si>
    <t>Compressed Air - Engineered Nozzle 5/16"</t>
  </si>
  <si>
    <t>per nozzle</t>
  </si>
  <si>
    <t>Custom Lite</t>
  </si>
  <si>
    <t>•Initial Evergy KS EE Application.</t>
  </si>
  <si>
    <t>001</t>
  </si>
  <si>
    <t>002</t>
  </si>
  <si>
    <t>003</t>
  </si>
  <si>
    <t>004</t>
  </si>
  <si>
    <t>=INDEX('[Measure Number Development (1).xlsx]Measure Numbers (Dynamic)'!$H:$H, MATCH(STDLIGHT[@[TRM Measure Name]], '[Measure Number Development (1).xlsx]Measure Numbers (Dynamic)'!$I:$I, 0))</t>
  </si>
  <si>
    <t>11#115001</t>
  </si>
  <si>
    <t>11#115003</t>
  </si>
  <si>
    <t>11#115004</t>
  </si>
  <si>
    <t>11#115002</t>
  </si>
  <si>
    <t>11#116006</t>
  </si>
  <si>
    <t>11#116003</t>
  </si>
  <si>
    <t>11#116010</t>
  </si>
  <si>
    <t>11#116004</t>
  </si>
  <si>
    <t>11#116012</t>
  </si>
  <si>
    <t>11#116011</t>
  </si>
  <si>
    <t>11#116013</t>
  </si>
  <si>
    <t>11#116014</t>
  </si>
  <si>
    <t>11#116005</t>
  </si>
  <si>
    <t>11#116001</t>
  </si>
  <si>
    <t>11#116007</t>
  </si>
  <si>
    <t>11#116002</t>
  </si>
  <si>
    <t>11#116009</t>
  </si>
  <si>
    <t>11#116008</t>
  </si>
  <si>
    <t>11#116020</t>
  </si>
  <si>
    <t>11#116022</t>
  </si>
  <si>
    <t>11#116018</t>
  </si>
  <si>
    <t>11#116017</t>
  </si>
  <si>
    <t>11#116019</t>
  </si>
  <si>
    <t>11#116021</t>
  </si>
  <si>
    <t>11#116016</t>
  </si>
  <si>
    <t>11#116015</t>
  </si>
  <si>
    <t>11#117001</t>
  </si>
  <si>
    <t>11#117002</t>
  </si>
  <si>
    <t>11#117003</t>
  </si>
  <si>
    <t>11#116025</t>
  </si>
  <si>
    <t>11#116026</t>
  </si>
  <si>
    <t>11#316001</t>
  </si>
  <si>
    <t>11#316002</t>
  </si>
  <si>
    <t>11#316003</t>
  </si>
  <si>
    <t>11#317002</t>
  </si>
  <si>
    <t>11#317001</t>
  </si>
  <si>
    <t>11#317003</t>
  </si>
  <si>
    <t>11#316004</t>
  </si>
  <si>
    <t>11#316005</t>
  </si>
  <si>
    <t>11#118001</t>
  </si>
  <si>
    <t>11#118002</t>
  </si>
  <si>
    <t>11#121004</t>
  </si>
  <si>
    <t>11#121005</t>
  </si>
  <si>
    <t>11#121006</t>
  </si>
  <si>
    <t>11#121007</t>
  </si>
  <si>
    <t>11#121001</t>
  </si>
  <si>
    <t>11#121002</t>
  </si>
  <si>
    <t>11#121003</t>
  </si>
  <si>
    <t>11#101001</t>
  </si>
  <si>
    <t>11#101002</t>
  </si>
  <si>
    <t>11#101003</t>
  </si>
  <si>
    <t>11#101004</t>
  </si>
  <si>
    <t>11#101005</t>
  </si>
  <si>
    <t>11#116024</t>
  </si>
  <si>
    <t>11#116023</t>
  </si>
  <si>
    <t>11#129001</t>
  </si>
  <si>
    <t>11#129002</t>
  </si>
  <si>
    <t>11#129003</t>
  </si>
  <si>
    <t>11#129004</t>
  </si>
  <si>
    <t>11#129005</t>
  </si>
  <si>
    <t>11#129006</t>
  </si>
  <si>
    <t>11#129007</t>
  </si>
  <si>
    <t>11#132004</t>
  </si>
  <si>
    <t>11#132003</t>
  </si>
  <si>
    <t>11#132007</t>
  </si>
  <si>
    <t>11#132005</t>
  </si>
  <si>
    <t>11#132006</t>
  </si>
  <si>
    <t>11#129009</t>
  </si>
  <si>
    <t>11#129008</t>
  </si>
  <si>
    <t>11#132001</t>
  </si>
  <si>
    <t>11#132002</t>
  </si>
  <si>
    <t>11#312001</t>
  </si>
  <si>
    <t>11#312002</t>
  </si>
  <si>
    <t>11#312003</t>
  </si>
  <si>
    <t>11#312004</t>
  </si>
  <si>
    <t>11#312005</t>
  </si>
  <si>
    <t>11#309001</t>
  </si>
  <si>
    <t>11#309002</t>
  </si>
  <si>
    <t>11#309003</t>
  </si>
  <si>
    <t>11#309004</t>
  </si>
  <si>
    <t>11#309005</t>
  </si>
  <si>
    <t>11#312006</t>
  </si>
  <si>
    <t>11#312007</t>
  </si>
  <si>
    <t>11#306001</t>
  </si>
  <si>
    <t>11#306002</t>
  </si>
  <si>
    <t>11#306003</t>
  </si>
  <si>
    <t>11#306004</t>
  </si>
  <si>
    <t>11#306005</t>
  </si>
  <si>
    <t>11#306006</t>
  </si>
  <si>
    <t>11#306007</t>
  </si>
  <si>
    <t>11#306008</t>
  </si>
  <si>
    <t>11#306009</t>
  </si>
  <si>
    <t>11#306010</t>
  </si>
  <si>
    <t>11#306011</t>
  </si>
  <si>
    <t>11#306012</t>
  </si>
  <si>
    <t>11#312008</t>
  </si>
  <si>
    <t>11#312009</t>
  </si>
  <si>
    <t>11#312010</t>
  </si>
  <si>
    <t>11#312011</t>
  </si>
  <si>
    <t>11#125004</t>
  </si>
  <si>
    <t>11#125005</t>
  </si>
  <si>
    <t>11#125001</t>
  </si>
  <si>
    <t>11#125002</t>
  </si>
  <si>
    <t>11#125003</t>
  </si>
  <si>
    <t>11#214001</t>
  </si>
  <si>
    <t>11#206001</t>
  </si>
  <si>
    <t>11#208001</t>
  </si>
  <si>
    <t>11#212001</t>
  </si>
  <si>
    <t>11#214003</t>
  </si>
  <si>
    <t>11#210001</t>
  </si>
  <si>
    <t>11#213001</t>
  </si>
  <si>
    <t>11#204001</t>
  </si>
  <si>
    <t>11#204003</t>
  </si>
  <si>
    <t>11#204005</t>
  </si>
  <si>
    <t>11#209001</t>
  </si>
  <si>
    <t>11#209003</t>
  </si>
  <si>
    <t>11#214005</t>
  </si>
  <si>
    <t>11#214007</t>
  </si>
  <si>
    <t>11#204007</t>
  </si>
  <si>
    <t>11#214009</t>
  </si>
  <si>
    <t>11#214011</t>
  </si>
  <si>
    <t>11#206003</t>
  </si>
  <si>
    <t>11#224001</t>
  </si>
  <si>
    <t>11#212003</t>
  </si>
  <si>
    <t>11#206005</t>
  </si>
  <si>
    <t>11#214002</t>
  </si>
  <si>
    <t>11#206002</t>
  </si>
  <si>
    <t>11#208002</t>
  </si>
  <si>
    <t>11#212002</t>
  </si>
  <si>
    <t>11#214004</t>
  </si>
  <si>
    <t>11#210002</t>
  </si>
  <si>
    <t>11#213002</t>
  </si>
  <si>
    <t>11#204002</t>
  </si>
  <si>
    <t>11#204004</t>
  </si>
  <si>
    <t>11#204006</t>
  </si>
  <si>
    <t>11#209002</t>
  </si>
  <si>
    <t>11#209004</t>
  </si>
  <si>
    <t>11#214006</t>
  </si>
  <si>
    <t>11#214008</t>
  </si>
  <si>
    <t>11#204008</t>
  </si>
  <si>
    <t>11#214010</t>
  </si>
  <si>
    <t>11#214012</t>
  </si>
  <si>
    <t>11#206004</t>
  </si>
  <si>
    <t>11#224002</t>
  </si>
  <si>
    <t>11#212004</t>
  </si>
  <si>
    <t>11#206006</t>
  </si>
  <si>
    <t>11#218001</t>
  </si>
  <si>
    <t>11#218002</t>
  </si>
  <si>
    <t>11#218003</t>
  </si>
  <si>
    <t>11#218004</t>
  </si>
  <si>
    <t>11#218005</t>
  </si>
  <si>
    <t>11#218006</t>
  </si>
  <si>
    <t>11#218007</t>
  </si>
  <si>
    <t>11#218008</t>
  </si>
  <si>
    <t>11#218009</t>
  </si>
  <si>
    <t>11#203001</t>
  </si>
  <si>
    <t>11#203003</t>
  </si>
  <si>
    <t>11#203005</t>
  </si>
  <si>
    <t>11#203002</t>
  </si>
  <si>
    <t>11#203004</t>
  </si>
  <si>
    <t>11#203006</t>
  </si>
  <si>
    <t>11#202001</t>
  </si>
  <si>
    <t>11#201001</t>
  </si>
  <si>
    <t>11#201003</t>
  </si>
  <si>
    <t>11#202003</t>
  </si>
  <si>
    <t>11#228001</t>
  </si>
  <si>
    <t>11#228003</t>
  </si>
  <si>
    <t>11#228005</t>
  </si>
  <si>
    <t>11#201005</t>
  </si>
  <si>
    <t>11#202002</t>
  </si>
  <si>
    <t>11#201002</t>
  </si>
  <si>
    <t>11#201004</t>
  </si>
  <si>
    <t>11#202004</t>
  </si>
  <si>
    <t>11#228002</t>
  </si>
  <si>
    <t>11#228004</t>
  </si>
  <si>
    <t>11#228006</t>
  </si>
  <si>
    <t>11#201006</t>
  </si>
  <si>
    <t>11#231001</t>
  </si>
  <si>
    <t>11#225001</t>
  </si>
  <si>
    <t>11#226001</t>
  </si>
  <si>
    <t>11#204009</t>
  </si>
  <si>
    <t>11#228007</t>
  </si>
  <si>
    <t>11#226002</t>
  </si>
  <si>
    <t>11#231002</t>
  </si>
  <si>
    <t>11#225002</t>
  </si>
  <si>
    <t>11#226003</t>
  </si>
  <si>
    <t>11#204010</t>
  </si>
  <si>
    <t>11#228008</t>
  </si>
  <si>
    <t>11#226004</t>
  </si>
  <si>
    <t>11#231003</t>
  </si>
  <si>
    <t>11#231005</t>
  </si>
  <si>
    <t>11#231007</t>
  </si>
  <si>
    <t>11#231009</t>
  </si>
  <si>
    <t>11#231011</t>
  </si>
  <si>
    <t>11#231004</t>
  </si>
  <si>
    <t>11#231006</t>
  </si>
  <si>
    <t>11#231008</t>
  </si>
  <si>
    <t>11#231010</t>
  </si>
  <si>
    <t>11#231012</t>
  </si>
  <si>
    <t>11#205001</t>
  </si>
  <si>
    <t>11#205003</t>
  </si>
  <si>
    <t>11#205005</t>
  </si>
  <si>
    <t>11#205007</t>
  </si>
  <si>
    <t>11#205002</t>
  </si>
  <si>
    <t>11#205004</t>
  </si>
  <si>
    <t>11#205006</t>
  </si>
  <si>
    <t>11#205008</t>
  </si>
  <si>
    <t>11#223001</t>
  </si>
  <si>
    <t>11#223002</t>
  </si>
  <si>
    <t>11#223003</t>
  </si>
  <si>
    <t>11#222002</t>
  </si>
  <si>
    <t>11#222001</t>
  </si>
  <si>
    <t>11#233001</t>
  </si>
  <si>
    <t>11#233003</t>
  </si>
  <si>
    <t>11#233002</t>
  </si>
  <si>
    <t>11#233004</t>
  </si>
  <si>
    <t>Total Custom Pre-Approval</t>
  </si>
  <si>
    <t>•Updated Incentives and Measure Numbers.
•Fixed Cstm Ltg End Use Factor formula spelling.</t>
  </si>
  <si>
    <t>•Changed CL HVAC to calculate BC for individual measures.
•Fixed CL HVAC Status to include BC and PB alerts.</t>
  </si>
  <si>
    <t>•Removed pre-approval for CL Ltg &lt; $15,000.
•Clarified incremental cost for CL and Cstm measures.
•Corrected End Uses in Std measures to valid Custom end uses.</t>
  </si>
  <si>
    <t>v1.1.1</t>
  </si>
  <si>
    <t>Standard &amp; Custom Incentive Application</t>
  </si>
  <si>
    <t>Your savings start here.</t>
  </si>
  <si>
    <t>Evergy offers a wide range of incentives designed o help our Kansas Business customers achieve energy savings by reducing the upfront cost of installations. Not only do you save money by receiving an incentive, you save every day after by reducing the amount of energy your company uses. This application will help you navigate the available incentives and calculate the approximate amount you can expect to receive for completing energy efficiency upgrades.</t>
  </si>
  <si>
    <t>evergy.energyefficiency@trccompanies.com</t>
  </si>
  <si>
    <t>Once you're ready to submit, attach all required documents and your saved application to an email and send it to: evergy.energyefficiency@trccompanies.com</t>
  </si>
  <si>
    <t>Enter Space Cond. Type</t>
  </si>
  <si>
    <t>Enter Utility Rate</t>
  </si>
  <si>
    <t>v1.1.2</t>
  </si>
  <si>
    <t>•Fixed EXPORT fields {Program, Sub-Program, Cost Basis, Spillover fields, Spillover Reason}.</t>
  </si>
  <si>
    <t>•Updated CL HVAC Status to clarify missing Utility Rate or Space Conditioning Type.</t>
  </si>
  <si>
    <t>•Corrected PC Summary Project Description totals.</t>
  </si>
  <si>
    <r>
      <rPr>
        <b/>
        <sz val="8"/>
        <color rgb="FF29536E"/>
        <rFont val="Arial"/>
        <family val="2"/>
      </rPr>
      <t xml:space="preserve">
</t>
    </r>
    <r>
      <rPr>
        <b/>
        <sz val="13"/>
        <color rgb="FF29536E"/>
        <rFont val="Arial"/>
        <family val="2"/>
      </rPr>
      <t>Standard Incentives</t>
    </r>
  </si>
  <si>
    <r>
      <rPr>
        <b/>
        <sz val="8"/>
        <color rgb="FF29536E"/>
        <rFont val="Arial"/>
        <family val="2"/>
      </rPr>
      <t xml:space="preserve">
</t>
    </r>
    <r>
      <rPr>
        <b/>
        <sz val="13"/>
        <color rgb="FF29536E"/>
        <rFont val="Arial"/>
        <family val="2"/>
      </rPr>
      <t>Custom Incentives</t>
    </r>
  </si>
  <si>
    <r>
      <rPr>
        <b/>
        <sz val="8"/>
        <color rgb="FF29536E"/>
        <rFont val="Arial"/>
        <family val="2"/>
      </rPr>
      <t xml:space="preserve">
</t>
    </r>
    <r>
      <rPr>
        <b/>
        <sz val="13"/>
        <color rgb="FF29536E"/>
        <rFont val="Arial"/>
        <family val="2"/>
      </rPr>
      <t>Custom Lite Incentives</t>
    </r>
  </si>
  <si>
    <t>Evergy Standard Incentives are for energy-efficient equipment upgrades on a one-for-one basis, making it quick and easy to save big.</t>
  </si>
  <si>
    <t>Evergy Custom Incentives are paid based on the amount of your project's energy savings. Pre-approval is required, so apply prior to purchasing or installing any measures.</t>
  </si>
  <si>
    <t>Evergy Custom Lite Incentives have nominal incentive rates like Standard. You also get estimated savings with calculations built-in to this application - No need to submit stand-alone calculations like with Custom.</t>
  </si>
  <si>
    <t>Read more about Standard Incentives</t>
  </si>
  <si>
    <t>Read more about Custom Incentives</t>
  </si>
  <si>
    <t>Read more about Custom Lite Incentives</t>
  </si>
  <si>
    <t>Browse the Standard Incentives list</t>
  </si>
  <si>
    <t>Browse the Custom Incentives list</t>
  </si>
  <si>
    <t>Browse the Custom Lite Incentives list</t>
  </si>
  <si>
    <r>
      <rPr>
        <b/>
        <sz val="11"/>
        <color rgb="FF29536E"/>
        <rFont val="Arial"/>
        <family val="2"/>
      </rPr>
      <t>Please Note:</t>
    </r>
    <r>
      <rPr>
        <sz val="11"/>
        <color rgb="FF29536E"/>
        <rFont val="Arial"/>
        <family val="2"/>
      </rPr>
      <t xml:space="preserve"> Standard Incentive projects must be submitted within 90 days of installation. Pre-approval is required for any incentive greater than $15,000.00.</t>
    </r>
  </si>
  <si>
    <t xml:space="preserve">    Additional Resources on the Web</t>
  </si>
  <si>
    <t>Additional Ways to Save</t>
  </si>
  <si>
    <t>Manage Your Account</t>
  </si>
  <si>
    <t>Trade Ally Resources</t>
  </si>
  <si>
    <t>ENERGY STAR for Small Businesses</t>
  </si>
  <si>
    <t>PACE Financing</t>
  </si>
  <si>
    <t>CEE Qualifying Products List</t>
  </si>
  <si>
    <t>DLC Qualified Products List</t>
  </si>
  <si>
    <t xml:space="preserve">      </t>
  </si>
  <si>
    <r>
      <t>SEER/</t>
    </r>
    <r>
      <rPr>
        <b/>
        <i/>
        <sz val="11"/>
        <color theme="1"/>
        <rFont val="Calibri"/>
        <family val="2"/>
      </rPr>
      <t>SEER2</t>
    </r>
  </si>
  <si>
    <r>
      <t>EER/</t>
    </r>
    <r>
      <rPr>
        <b/>
        <i/>
        <sz val="11"/>
        <rFont val="Calibri"/>
        <family val="2"/>
      </rPr>
      <t>EER2</t>
    </r>
  </si>
  <si>
    <r>
      <t>HSPF/</t>
    </r>
    <r>
      <rPr>
        <b/>
        <i/>
        <sz val="11"/>
        <rFont val="Calibri"/>
        <family val="2"/>
      </rPr>
      <t>HSPF2</t>
    </r>
  </si>
  <si>
    <t xml:space="preserve">•Cstm WHFS details: Copied corrected formulas from row 1.
•Corrected Measure Code formulas in EXPORT. </t>
  </si>
  <si>
    <t>•Updated Measure Code formulas in Std, CL to have spillover # if Status&lt;&gt;"".
•Corrected CLHVAC_Ref table.
•Corrected Custom Base/Eff Units errors in EXPORT.
•Corrected formulas for Incentive Total in EXPORT.</t>
  </si>
  <si>
    <t>•Std CAP - Added missing Reporting Methodology.
•Corrected table reference in NCHVACCODE…[Efficiency Type].</t>
  </si>
  <si>
    <t>•Updated Welcome sheet.</t>
  </si>
  <si>
    <t>v1.1.4</t>
  </si>
  <si>
    <t>Updated</t>
  </si>
  <si>
    <t>Does the Company serve 65% low-income individuals and families?</t>
  </si>
  <si>
    <t>•Updated Details arrangement in all sheets and add missing fields.</t>
  </si>
  <si>
    <t>•Populated new Details fields (Primary Key, Calculated kWh, Reporting Methodology).</t>
  </si>
  <si>
    <t>•Updated question M02S05F05.
•Populated new or updated several measure details fields.</t>
  </si>
  <si>
    <t>v1.1.3</t>
  </si>
  <si>
    <t>Shannon Walker</t>
  </si>
  <si>
    <t>Berthonise Charles</t>
  </si>
  <si>
    <t>•Moved Non-Profit eligibility questions to Customer Information.
•Added eligibility info to Project Notifications.</t>
  </si>
  <si>
    <t>•Allowed and displayed decimals for lighting wattage.
•Limited Project Name/ID to 100 characters.•Added SW, BC, CT to contact lists.</t>
  </si>
  <si>
    <t>•Fixed Incentive Per Unit, $/kWh.  Bad reference - not updating with ACTIVEINC.
•Fixed Strip Curtains measures.</t>
  </si>
  <si>
    <t>Corey Moore</t>
  </si>
  <si>
    <t>Trevor Scott</t>
  </si>
  <si>
    <t>corey.moore@trccompanies.com</t>
  </si>
  <si>
    <t>tscott@trcompanies.com</t>
  </si>
  <si>
    <t>785-940-0775</t>
  </si>
  <si>
    <t>Brandon Hines</t>
  </si>
  <si>
    <t>Travis Jones</t>
  </si>
  <si>
    <t>620-687-5315</t>
  </si>
  <si>
    <t>Jaime Jimenez</t>
  </si>
  <si>
    <t>v1.1.5</t>
  </si>
  <si>
    <t>Updated PCs, Engineers and BD's drop-down list</t>
  </si>
  <si>
    <t>Updated Expiration date to 2025</t>
  </si>
  <si>
    <t>v1.1.6</t>
  </si>
  <si>
    <t>Fixed issue with next tab arrow on Building Information Tab</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</si>
  <si>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2027, whichever occurs earlier. Projects that are not completed within 9 months or by December 31, 2027 shall forfeit their position in the queue for program funds unless otherwise agreed by Evergy in its sole reasonable discretion based upon consideration of Customer’s completion of project milestones and/or construction activity to begin the project. </t>
  </si>
  <si>
    <t>A Customer shall complete a project no later than 9 months from project approval by Program Administrator, or by December 31, 2027, whichever occurs earlier. Projects that are not completed within 9 months or by December 31, 2027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</si>
  <si>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v1.1.7</t>
  </si>
  <si>
    <t>Updated dates in terms on Offer and Completion Forms to 12/31/2027
Changed Inremental Cost header on Custom tabs to Measure Cost</t>
  </si>
  <si>
    <t>Primary Key WBE</t>
  </si>
  <si>
    <t>Primary Key HTRB</t>
  </si>
  <si>
    <t>Electric Energy Savings WBE (Annual kWh/unit)</t>
  </si>
  <si>
    <t>Coincident Peak Demand Savings HTRB (kW/unit)</t>
  </si>
  <si>
    <t>Coincident Peak Demand Savings WBE (kW/unit)</t>
  </si>
  <si>
    <t>Electric Energy Savings HTRB (Annual kWh/unit)</t>
  </si>
  <si>
    <t>1-5 HP</t>
  </si>
  <si>
    <t>6-15 HP</t>
  </si>
  <si>
    <t>16+ HP</t>
  </si>
  <si>
    <t>Light</t>
  </si>
  <si>
    <t>Medium</t>
  </si>
  <si>
    <t>Heavy</t>
  </si>
  <si>
    <t>112116022</t>
  </si>
  <si>
    <t>v1.1.8</t>
  </si>
  <si>
    <t>SEER/SEER2</t>
  </si>
  <si>
    <t>Updated to distinguish between WBE and HTRB deemed values and Primary Keys when HTRB rates are active
Updated csv to show Attn To name when Bill Credit selected as Payment
Confirmed 4-place rouding in csv
Distinguish between SEER and SEER2 baselines for &lt;65kbtu Custom lite HVAC equipment
Fixed display of italics for cost-capped custom compressed air measures</t>
  </si>
  <si>
    <t>1.1.9</t>
  </si>
  <si>
    <t>Corrected issue where measure number wasn't updating when HTRV rates and primary keys activated</t>
  </si>
  <si>
    <t>1.1.10</t>
  </si>
  <si>
    <t>Corrected issue where Program Type on Export/ csv wouldn't update when HTRB/ SBS status overidden</t>
  </si>
  <si>
    <t>Interior LED Linear Lamp Replacing 4ft T8, T12</t>
  </si>
  <si>
    <t>4ft LED Linear Lamp replacing 4ft T12, T8 or T5/T5HO Lamp</t>
  </si>
  <si>
    <t>1.2.0</t>
  </si>
  <si>
    <t>Updated Primary Keys and deemed values for July 2025 KEEIA TRM Update
Ensured all deemed values used for calculations rounded to 4 digits
Placed summed costs for all measures in Total Cost column AE of Export tab. Also have Total Costs populate when spillover</t>
  </si>
  <si>
    <t>1.2.1</t>
  </si>
  <si>
    <t>Corrected issue with first entry line of Custom HVAC not working</t>
  </si>
  <si>
    <t>v1.2.1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</si>
</sst>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0.0000%"/>
    <numFmt numFmtId="184" formatCode="#,###\ &quot;W&quot;"/>
    <numFmt numFmtId="185" formatCode="#,##0.0"/>
    <numFmt numFmtId="186" formatCode="#,##0.000"/>
    <numFmt numFmtId="187" formatCode="&quot;$&quot;#,##0.00000"/>
    <numFmt numFmtId="188" formatCode="#,##0.0_);\(#,##0.0\)"/>
    <numFmt numFmtId="189" formatCode="_(* #,##0.0000_);_(* \(#,##0.0000\);_(* &quot;-&quot;??_);_(@_)"/>
    <numFmt numFmtId="190" formatCode="#,###.0\ &quot;W&quot;"/>
    <numFmt numFmtId="191" formatCode="0.00000"/>
    <numFmt numFmtId="192" formatCode="0.000000000"/>
  </numFmts>
  <fonts count="220">
    <font>
      <sz val="11"/>
      <color theme="1"/>
      <name val="Calibri"/>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b/>
      <sz val="12"/>
      <color theme="1"/>
      <name val="Arial"/>
      <family val="2"/>
    </font>
    <font>
      <sz val="1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11"/>
      <color theme="0" tint="-0.499984740745262"/>
      <name val="Wingdings"/>
      <charset val="2"/>
    </font>
    <font>
      <b/>
      <sz val="20"/>
      <color rgb="FF1B6CB5"/>
      <name val="Arial"/>
      <family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0"/>
      <color theme="1" tint="0.249977111117893"/>
      <name val="Arial"/>
      <family val="2"/>
    </font>
    <font>
      <b/>
      <sz val="18.5"/>
      <color theme="0"/>
      <name val="Arial"/>
      <family val="2"/>
    </font>
    <font>
      <sz val="8"/>
      <name val="Calibri"/>
      <family val="2"/>
    </font>
    <font>
      <sz val="11"/>
      <color rgb="FFFF0000"/>
      <name val="Calibri"/>
      <family val="2"/>
      <scheme val="minor"/>
    </font>
    <font>
      <sz val="9"/>
      <color indexed="81"/>
      <name val="Tahoma"/>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8"/>
      <color rgb="FF000000"/>
      <name val="Segoe UI"/>
      <family val="2"/>
    </font>
    <font>
      <sz val="11"/>
      <name val="Calibri"/>
      <family val="2"/>
      <scheme val="minor"/>
    </font>
    <font>
      <b/>
      <sz val="15"/>
      <color rgb="FFFF0000"/>
      <name val="Arial"/>
      <family val="2"/>
    </font>
    <font>
      <b/>
      <sz val="26"/>
      <color rgb="FFFF0000"/>
      <name val="Arial"/>
      <family val="2"/>
    </font>
    <font>
      <sz val="11"/>
      <color theme="1"/>
      <name val="Calibri"/>
      <family val="2"/>
    </font>
    <font>
      <sz val="11"/>
      <color theme="9"/>
      <name val="Calibri"/>
      <family val="2"/>
    </font>
    <font>
      <b/>
      <sz val="11"/>
      <name val="Calibri"/>
      <family val="2"/>
      <scheme val="minor"/>
    </font>
    <font>
      <b/>
      <sz val="11"/>
      <color theme="0"/>
      <name val="Wingdings"/>
      <charset val="2"/>
    </font>
    <font>
      <vertAlign val="superscript"/>
      <sz val="11"/>
      <name val="Calibri"/>
      <family val="2"/>
    </font>
    <font>
      <b/>
      <sz val="12"/>
      <color theme="0"/>
      <name val="Arial"/>
      <family val="2"/>
    </font>
    <font>
      <sz val="12"/>
      <color theme="1"/>
      <name val="Calibri"/>
      <family val="2"/>
    </font>
    <font>
      <b/>
      <sz val="12"/>
      <color theme="1"/>
      <name val="Calibri"/>
      <family val="2"/>
    </font>
    <font>
      <b/>
      <sz val="12"/>
      <color theme="1"/>
      <name val="Wingdings 3"/>
      <family val="1"/>
      <charset val="2"/>
    </font>
    <font>
      <b/>
      <sz val="11.5"/>
      <color rgb="FFFF0000"/>
      <name val="Arial"/>
      <family val="2"/>
    </font>
    <font>
      <sz val="11"/>
      <color theme="1" tint="0.24994659260841701"/>
      <name val="Calibri"/>
      <family val="2"/>
      <scheme val="minor"/>
    </font>
    <font>
      <sz val="11"/>
      <color theme="1" tint="0.249977111117893"/>
      <name val="Calibri"/>
      <family val="2"/>
      <scheme val="minor"/>
    </font>
    <font>
      <sz val="6"/>
      <color theme="1"/>
      <name val="Calibri"/>
      <family val="2"/>
    </font>
    <font>
      <sz val="11"/>
      <name val="Calibri"/>
      <family val="2"/>
      <scheme val="minor"/>
    </font>
    <font>
      <u/>
      <sz val="11"/>
      <color theme="10"/>
      <name val="Calibri"/>
      <family val="2"/>
      <scheme val="minor"/>
    </font>
    <font>
      <sz val="10"/>
      <color rgb="FF000000"/>
      <name val="Times New Roman"/>
      <family val="1"/>
    </font>
    <font>
      <b/>
      <u/>
      <sz val="11"/>
      <color theme="1"/>
      <name val="Calibri"/>
      <family val="2"/>
    </font>
    <font>
      <sz val="11"/>
      <color theme="0"/>
      <name val="Calibri"/>
      <family val="2"/>
    </font>
    <font>
      <b/>
      <i/>
      <sz val="11"/>
      <name val="Calibri"/>
      <family val="2"/>
    </font>
    <font>
      <i/>
      <sz val="11"/>
      <color rgb="FF5137FF"/>
      <name val="Calibri"/>
      <family val="2"/>
    </font>
    <font>
      <sz val="14"/>
      <color theme="1"/>
      <name val="Arial"/>
      <family val="2"/>
    </font>
    <font>
      <sz val="13"/>
      <color theme="8" tint="-0.249977111117893"/>
      <name val="Arial"/>
      <family val="2"/>
    </font>
    <font>
      <b/>
      <sz val="11.5"/>
      <color theme="0"/>
      <name val="Arial"/>
      <family val="2"/>
    </font>
    <font>
      <b/>
      <sz val="11"/>
      <color theme="0"/>
      <name val="Calibri Light"/>
      <family val="2"/>
    </font>
    <font>
      <i/>
      <sz val="11"/>
      <color rgb="FF5137FF"/>
      <name val="Calibri"/>
      <family val="2"/>
      <scheme val="minor"/>
    </font>
    <font>
      <strike/>
      <sz val="11"/>
      <color theme="1"/>
      <name val="Calibri"/>
      <family val="2"/>
    </font>
    <font>
      <strike/>
      <u/>
      <sz val="11"/>
      <color theme="10"/>
      <name val="Calibri"/>
      <family val="2"/>
    </font>
    <font>
      <u/>
      <sz val="11"/>
      <color rgb="FF384A5D"/>
      <name val="Calibri"/>
      <family val="2"/>
    </font>
    <font>
      <i/>
      <sz val="11"/>
      <color theme="0" tint="-0.34998626667073579"/>
      <name val="Calibri"/>
      <family val="2"/>
    </font>
    <font>
      <sz val="11"/>
      <color rgb="FF5137FF"/>
      <name val="Calibri"/>
      <family val="2"/>
    </font>
    <font>
      <b/>
      <sz val="22"/>
      <color rgb="FF76BB40"/>
      <name val="Arial"/>
      <family val="2"/>
    </font>
    <font>
      <sz val="12"/>
      <color theme="1" tint="0.34998626667073579"/>
      <name val="Arial"/>
      <family val="2"/>
    </font>
    <font>
      <b/>
      <sz val="14"/>
      <color rgb="FF0B4E9C"/>
      <name val="Arial"/>
      <family val="2"/>
    </font>
    <font>
      <b/>
      <sz val="12"/>
      <color rgb="FF29536E"/>
      <name val="Arial"/>
      <family val="2"/>
    </font>
    <font>
      <b/>
      <sz val="8"/>
      <color rgb="FF29536E"/>
      <name val="Arial"/>
      <family val="2"/>
    </font>
    <font>
      <b/>
      <sz val="13"/>
      <color rgb="FF29536E"/>
      <name val="Arial"/>
      <family val="2"/>
    </font>
    <font>
      <b/>
      <sz val="11"/>
      <color rgb="FF29536E"/>
      <name val="Arial"/>
      <family val="2"/>
    </font>
    <font>
      <b/>
      <u/>
      <sz val="10"/>
      <color rgb="FF3573AF"/>
      <name val="Arial"/>
      <family val="2"/>
    </font>
    <font>
      <sz val="11"/>
      <color rgb="FF29536E"/>
      <name val="Arial"/>
      <family val="2"/>
    </font>
    <font>
      <sz val="10"/>
      <color theme="1" tint="0.34998626667073579"/>
      <name val="Arial"/>
      <family val="2"/>
    </font>
    <font>
      <i/>
      <sz val="11"/>
      <name val="Calibri"/>
      <family val="2"/>
    </font>
    <font>
      <i/>
      <sz val="11"/>
      <color rgb="FF7030A0"/>
      <name val="Arial"/>
      <family val="2"/>
    </font>
    <font>
      <i/>
      <sz val="10"/>
      <color rgb="FF7030A0"/>
      <name val="Arial"/>
      <family val="2"/>
    </font>
    <font>
      <sz val="9"/>
      <color indexed="81"/>
      <name val="Tahoma"/>
      <charset val="1"/>
    </font>
    <font>
      <b/>
      <sz val="9"/>
      <color indexed="81"/>
      <name val="Tahoma"/>
      <charset val="1"/>
    </font>
  </fonts>
  <fills count="83">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0"/>
        <bgColor auto="1"/>
      </patternFill>
    </fill>
    <fill>
      <patternFill patternType="solid">
        <fgColor theme="7" tint="0.79998168889431442"/>
        <bgColor indexed="64"/>
      </patternFill>
    </fill>
    <fill>
      <patternFill patternType="solid">
        <fgColor theme="8" tint="0.39997558519241921"/>
        <bgColor indexed="64"/>
      </patternFill>
    </fill>
    <fill>
      <patternFill patternType="solid">
        <fgColor rgb="FF70AD47"/>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DCEFF6"/>
        <bgColor indexed="64"/>
      </patternFill>
    </fill>
    <fill>
      <patternFill patternType="solid">
        <fgColor rgb="FFE7E8EB"/>
        <bgColor indexed="64"/>
      </patternFill>
    </fill>
    <fill>
      <patternFill patternType="lightUp">
        <fgColor theme="0" tint="-0.499984740745262"/>
        <bgColor indexed="65"/>
      </patternFill>
    </fill>
    <fill>
      <patternFill patternType="lightUp">
        <fgColor theme="0" tint="-0.499984740745262"/>
        <bgColor auto="1"/>
      </patternFill>
    </fill>
    <fill>
      <patternFill patternType="solid">
        <fgColor rgb="FFFFC000"/>
        <bgColor indexed="64"/>
      </patternFill>
    </fill>
    <fill>
      <patternFill patternType="lightUp">
        <fgColor theme="0" tint="-0.499984740745262"/>
        <bgColor theme="0"/>
      </patternFill>
    </fill>
    <fill>
      <patternFill patternType="solid">
        <fgColor rgb="FF00B050"/>
        <bgColor indexed="64"/>
      </patternFill>
    </fill>
    <fill>
      <patternFill patternType="solid">
        <fgColor rgb="FFC00000"/>
        <bgColor indexed="64"/>
      </patternFill>
    </fill>
  </fills>
  <borders count="2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thin">
        <color indexed="64"/>
      </top>
      <bottom style="thin">
        <color indexed="64"/>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right style="thin">
        <color theme="0" tint="-0.34998626667073579"/>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style="thin">
        <color theme="0" tint="-0.34998626667073579"/>
      </right>
      <top/>
      <bottom style="thin">
        <color theme="0" tint="-0.499984740745262"/>
      </bottom>
      <diagonal/>
    </border>
    <border>
      <left style="thin">
        <color theme="0" tint="-0.34998626667073579"/>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right/>
      <top/>
      <bottom style="medium">
        <color theme="0" tint="-0.34998626667073579"/>
      </bottom>
      <diagonal/>
    </border>
    <border>
      <left style="medium">
        <color theme="0" tint="-0.14996795556505021"/>
      </left>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499984740745262"/>
      </left>
      <right/>
      <top style="medium">
        <color indexed="64"/>
      </top>
      <bottom/>
      <diagonal/>
    </border>
    <border>
      <left style="thin">
        <color theme="0" tint="-0.34998626667073579"/>
      </left>
      <right style="medium">
        <color theme="0" tint="-0.499984740745262"/>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
      <left style="medium">
        <color theme="0" tint="-0.499984740745262"/>
      </left>
      <right style="thin">
        <color theme="0" tint="-0.34998626667073579"/>
      </right>
      <top style="thin">
        <color theme="0" tint="-0.34998626667073579"/>
      </top>
      <bottom/>
      <diagonal/>
    </border>
    <border>
      <left/>
      <right style="medium">
        <color theme="0" tint="-0.499984740745262"/>
      </right>
      <top style="medium">
        <color indexed="64"/>
      </top>
      <bottom/>
      <diagonal/>
    </border>
    <border>
      <left style="thin">
        <color rgb="FF76BB40"/>
      </left>
      <right/>
      <top/>
      <bottom/>
      <diagonal/>
    </border>
    <border>
      <left/>
      <right style="thin">
        <color rgb="FF76BB40"/>
      </right>
      <top/>
      <bottom/>
      <diagonal/>
    </border>
    <border>
      <left style="thin">
        <color theme="0" tint="-0.499984740745262"/>
      </left>
      <right style="medium">
        <color theme="0" tint="-0.499984740745262"/>
      </right>
      <top style="medium">
        <color indexed="64"/>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thin">
        <color theme="0" tint="-0.499984740745262"/>
      </right>
      <top style="medium">
        <color indexed="64"/>
      </top>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diagonal/>
    </border>
    <border>
      <left/>
      <right style="thin">
        <color theme="4" tint="0.39997558519241921"/>
      </right>
      <top/>
      <bottom style="thin">
        <color theme="4" tint="0.39997558519241921"/>
      </bottom>
      <diagonal/>
    </border>
    <border>
      <left style="medium">
        <color theme="0" tint="-0.499984740745262"/>
      </left>
      <right style="medium">
        <color theme="0" tint="-0.499984740745262"/>
      </right>
      <top style="medium">
        <color indexed="64"/>
      </top>
      <bottom style="thin">
        <color theme="0" tint="-0.34998626667073579"/>
      </bottom>
      <diagonal/>
    </border>
    <border>
      <left style="medium">
        <color theme="0" tint="-0.499984740745262"/>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style="medium">
        <color theme="0" tint="-0.499984740745262"/>
      </left>
      <right/>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theme="0" tint="-0.499984740745262"/>
      </right>
      <top style="medium">
        <color indexed="64"/>
      </top>
      <bottom style="thin">
        <color theme="0" tint="-0.499984740745262"/>
      </bottom>
      <diagonal/>
    </border>
    <border>
      <left style="medium">
        <color theme="0" tint="-0.499984740745262"/>
      </left>
      <right style="thin">
        <color theme="0" tint="-0.34998626667073579"/>
      </right>
      <top style="medium">
        <color indexed="64"/>
      </top>
      <bottom/>
      <diagonal/>
    </border>
    <border>
      <left style="thin">
        <color theme="0" tint="-0.34998626667073579"/>
      </left>
      <right style="medium">
        <color theme="0" tint="-0.499984740745262"/>
      </right>
      <top style="thin">
        <color theme="0" tint="-0.34998626667073579"/>
      </top>
      <bottom/>
      <diagonal/>
    </border>
    <border>
      <left/>
      <right/>
      <top/>
      <bottom style="medium">
        <color theme="0" tint="-0.1499069185460982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theme="0" tint="-0.14996795556505021"/>
      </left>
      <right/>
      <top style="medium">
        <color theme="0" tint="-0.14996795556505021"/>
      </top>
      <bottom/>
      <diagonal/>
    </border>
    <border>
      <left style="medium">
        <color theme="0" tint="-0.14993743705557422"/>
      </left>
      <right/>
      <top style="medium">
        <color theme="0" tint="-0.14993743705557422"/>
      </top>
      <bottom/>
      <diagonal/>
    </border>
    <border>
      <left style="medium">
        <color theme="0" tint="-0.14993743705557422"/>
      </left>
      <right/>
      <top/>
      <bottom/>
      <diagonal/>
    </border>
  </borders>
  <cellStyleXfs count="99">
    <xf numFmtId="0" fontId="0" fillId="0" borderId="0"/>
    <xf numFmtId="0" fontId="22" fillId="0" borderId="0" applyNumberFormat="0" applyFill="0" applyBorder="0" applyAlignment="0" applyProtection="0"/>
    <xf numFmtId="0" fontId="23" fillId="0" borderId="0" applyNumberFormat="0" applyAlignment="0" applyProtection="0"/>
    <xf numFmtId="9" fontId="26" fillId="0" borderId="0" applyFont="0" applyFill="0" applyBorder="0" applyAlignment="0" applyProtection="0"/>
    <xf numFmtId="0" fontId="23" fillId="0" borderId="0" applyNumberFormat="0" applyAlignment="0" applyProtection="0"/>
    <xf numFmtId="0" fontId="29" fillId="0" borderId="0"/>
    <xf numFmtId="9" fontId="23" fillId="0" borderId="0" applyFont="0" applyFill="0" applyBorder="0" applyAlignment="0" applyProtection="0"/>
    <xf numFmtId="0" fontId="49" fillId="0" borderId="0"/>
    <xf numFmtId="0" fontId="23" fillId="0" borderId="0"/>
    <xf numFmtId="0" fontId="53" fillId="0" borderId="0"/>
    <xf numFmtId="0" fontId="54" fillId="0" borderId="0" applyNumberFormat="0" applyFill="0" applyBorder="0" applyAlignment="0" applyProtection="0"/>
    <xf numFmtId="44" fontId="49" fillId="0" borderId="0" applyFont="0" applyFill="0" applyBorder="0" applyAlignment="0" applyProtection="0"/>
    <xf numFmtId="43" fontId="49" fillId="0" borderId="0" applyFont="0" applyFill="0" applyBorder="0" applyAlignment="0" applyProtection="0"/>
    <xf numFmtId="44" fontId="23" fillId="0" borderId="0" applyFont="0" applyFill="0" applyBorder="0" applyAlignment="0" applyProtection="0"/>
    <xf numFmtId="0" fontId="49" fillId="0" borderId="0"/>
    <xf numFmtId="43" fontId="23" fillId="0" borderId="0" applyFont="0" applyFill="0" applyBorder="0" applyAlignment="0" applyProtection="0"/>
    <xf numFmtId="0" fontId="150" fillId="0" borderId="172" applyNumberFormat="0" applyFill="0" applyAlignment="0" applyProtection="0"/>
    <xf numFmtId="0" fontId="151" fillId="0" borderId="173" applyNumberFormat="0" applyFill="0" applyAlignment="0" applyProtection="0"/>
    <xf numFmtId="0" fontId="152" fillId="0" borderId="174" applyNumberFormat="0" applyFill="0" applyAlignment="0" applyProtection="0"/>
    <xf numFmtId="0" fontId="152" fillId="0" borderId="0" applyNumberFormat="0" applyFill="0" applyBorder="0" applyAlignment="0" applyProtection="0"/>
    <xf numFmtId="0" fontId="153" fillId="38" borderId="0" applyNumberFormat="0" applyBorder="0" applyAlignment="0" applyProtection="0"/>
    <xf numFmtId="0" fontId="154" fillId="39" borderId="0" applyNumberFormat="0" applyBorder="0" applyAlignment="0" applyProtection="0"/>
    <xf numFmtId="0" fontId="155" fillId="41" borderId="175" applyNumberFormat="0" applyAlignment="0" applyProtection="0"/>
    <xf numFmtId="0" fontId="156" fillId="42" borderId="176" applyNumberFormat="0" applyAlignment="0" applyProtection="0"/>
    <xf numFmtId="0" fontId="157" fillId="42" borderId="175" applyNumberFormat="0" applyAlignment="0" applyProtection="0"/>
    <xf numFmtId="0" fontId="158" fillId="0" borderId="177" applyNumberFormat="0" applyFill="0" applyAlignment="0" applyProtection="0"/>
    <xf numFmtId="0" fontId="159" fillId="43" borderId="178" applyNumberFormat="0" applyAlignment="0" applyProtection="0"/>
    <xf numFmtId="0" fontId="147" fillId="0" borderId="0" applyNumberFormat="0" applyFill="0" applyBorder="0" applyAlignment="0" applyProtection="0"/>
    <xf numFmtId="0" fontId="160" fillId="0" borderId="0" applyNumberFormat="0" applyFill="0" applyBorder="0" applyAlignment="0" applyProtection="0"/>
    <xf numFmtId="0" fontId="161" fillId="0" borderId="180" applyNumberFormat="0" applyFill="0" applyAlignment="0" applyProtection="0"/>
    <xf numFmtId="0" fontId="162"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162" fillId="49" borderId="0" applyNumberFormat="0" applyBorder="0" applyAlignment="0" applyProtection="0"/>
    <xf numFmtId="0" fontId="21" fillId="50" borderId="0" applyNumberFormat="0" applyBorder="0" applyAlignment="0" applyProtection="0"/>
    <xf numFmtId="0" fontId="21" fillId="51" borderId="0" applyNumberFormat="0" applyBorder="0" applyAlignment="0" applyProtection="0"/>
    <xf numFmtId="0" fontId="162" fillId="53" borderId="0" applyNumberFormat="0" applyBorder="0" applyAlignment="0" applyProtection="0"/>
    <xf numFmtId="0" fontId="21" fillId="54" borderId="0" applyNumberFormat="0" applyBorder="0" applyAlignment="0" applyProtection="0"/>
    <xf numFmtId="0" fontId="162" fillId="56"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162" fillId="60" borderId="0" applyNumberFormat="0" applyBorder="0" applyAlignment="0" applyProtection="0"/>
    <xf numFmtId="0" fontId="21" fillId="61" borderId="0" applyNumberFormat="0" applyBorder="0" applyAlignment="0" applyProtection="0"/>
    <xf numFmtId="0" fontId="21" fillId="62" borderId="0" applyNumberFormat="0" applyBorder="0" applyAlignment="0" applyProtection="0"/>
    <xf numFmtId="0" fontId="162" fillId="64" borderId="0" applyNumberFormat="0" applyBorder="0" applyAlignment="0" applyProtection="0"/>
    <xf numFmtId="0" fontId="21" fillId="65" borderId="0" applyNumberFormat="0" applyBorder="0" applyAlignment="0" applyProtection="0"/>
    <xf numFmtId="0" fontId="21" fillId="66" borderId="0" applyNumberFormat="0" applyBorder="0" applyAlignment="0" applyProtection="0"/>
    <xf numFmtId="0" fontId="21" fillId="0" borderId="0"/>
    <xf numFmtId="0" fontId="21" fillId="36" borderId="0" applyNumberFormat="0" applyBorder="0" applyAlignment="0" applyProtection="0"/>
    <xf numFmtId="0" fontId="162" fillId="48" borderId="0" applyNumberFormat="0" applyBorder="0" applyAlignment="0" applyProtection="0"/>
    <xf numFmtId="0" fontId="162" fillId="52" borderId="0" applyNumberFormat="0" applyBorder="0" applyAlignment="0" applyProtection="0"/>
    <xf numFmtId="0" fontId="162" fillId="55" borderId="0" applyNumberFormat="0" applyBorder="0" applyAlignment="0" applyProtection="0"/>
    <xf numFmtId="0" fontId="162" fillId="59" borderId="0" applyNumberFormat="0" applyBorder="0" applyAlignment="0" applyProtection="0"/>
    <xf numFmtId="0" fontId="162" fillId="63" borderId="0" applyNumberFormat="0" applyBorder="0" applyAlignment="0" applyProtection="0"/>
    <xf numFmtId="0" fontId="162" fillId="67" borderId="0" applyNumberFormat="0" applyBorder="0" applyAlignment="0" applyProtection="0"/>
    <xf numFmtId="0" fontId="163" fillId="0" borderId="181" applyNumberFormat="0" applyFont="0" applyProtection="0">
      <alignment wrapText="1"/>
    </xf>
    <xf numFmtId="0" fontId="164" fillId="0" borderId="0" applyNumberFormat="0" applyFill="0" applyBorder="0" applyAlignment="0" applyProtection="0">
      <alignment vertical="top"/>
      <protection locked="0"/>
    </xf>
    <xf numFmtId="0" fontId="163" fillId="0" borderId="0" applyNumberFormat="0" applyFill="0" applyBorder="0" applyAlignment="0" applyProtection="0"/>
    <xf numFmtId="0" fontId="163" fillId="0" borderId="0" applyNumberFormat="0" applyProtection="0">
      <alignment vertical="top" wrapText="1"/>
    </xf>
    <xf numFmtId="0" fontId="163" fillId="0" borderId="182" applyNumberFormat="0" applyProtection="0">
      <alignment vertical="top" wrapText="1"/>
    </xf>
    <xf numFmtId="0" fontId="165" fillId="0" borderId="172" applyNumberFormat="0" applyProtection="0">
      <alignment wrapText="1"/>
    </xf>
    <xf numFmtId="0" fontId="165" fillId="0" borderId="183" applyNumberFormat="0" applyProtection="0">
      <alignment horizontal="left" wrapText="1"/>
    </xf>
    <xf numFmtId="0" fontId="166" fillId="0" borderId="0" applyNumberFormat="0" applyFill="0" applyBorder="0" applyAlignment="0" applyProtection="0">
      <alignment vertical="top"/>
      <protection locked="0"/>
    </xf>
    <xf numFmtId="0" fontId="167" fillId="40" borderId="0" applyNumberFormat="0" applyBorder="0" applyAlignment="0" applyProtection="0"/>
    <xf numFmtId="0" fontId="49" fillId="0" borderId="0"/>
    <xf numFmtId="0" fontId="21" fillId="44" borderId="179" applyNumberFormat="0" applyFont="0" applyAlignment="0" applyProtection="0"/>
    <xf numFmtId="0" fontId="165" fillId="0" borderId="184" applyNumberFormat="0" applyProtection="0">
      <alignment wrapText="1"/>
    </xf>
    <xf numFmtId="0" fontId="163" fillId="0" borderId="185" applyNumberFormat="0" applyFont="0" applyFill="0" applyProtection="0">
      <alignment wrapText="1"/>
    </xf>
    <xf numFmtId="0" fontId="165" fillId="0" borderId="186" applyNumberFormat="0" applyFill="0" applyProtection="0">
      <alignment wrapText="1"/>
    </xf>
    <xf numFmtId="0" fontId="168" fillId="0" borderId="0" applyNumberFormat="0" applyProtection="0">
      <alignment horizontal="left"/>
    </xf>
    <xf numFmtId="0" fontId="169" fillId="0" borderId="0" applyNumberFormat="0" applyFill="0" applyBorder="0" applyAlignment="0" applyProtection="0"/>
    <xf numFmtId="0" fontId="11" fillId="0" borderId="0"/>
    <xf numFmtId="0" fontId="49" fillId="0" borderId="0"/>
    <xf numFmtId="0" fontId="8" fillId="36"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0" borderId="0"/>
    <xf numFmtId="0" fontId="8" fillId="36" borderId="0" applyNumberFormat="0" applyBorder="0" applyAlignment="0" applyProtection="0"/>
    <xf numFmtId="0" fontId="8" fillId="44" borderId="179" applyNumberFormat="0" applyFont="0" applyAlignment="0" applyProtection="0"/>
    <xf numFmtId="0" fontId="8" fillId="0" borderId="0"/>
    <xf numFmtId="0" fontId="7" fillId="0" borderId="0"/>
    <xf numFmtId="44" fontId="7" fillId="0" borderId="0" applyFont="0" applyFill="0" applyBorder="0" applyAlignment="0" applyProtection="0"/>
    <xf numFmtId="0" fontId="189" fillId="0" borderId="0" applyNumberForma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90" fillId="0" borderId="0"/>
    <xf numFmtId="0" fontId="45" fillId="0" borderId="0"/>
    <xf numFmtId="0" fontId="7" fillId="0" borderId="0"/>
    <xf numFmtId="0" fontId="3" fillId="0" borderId="0"/>
  </cellStyleXfs>
  <cellXfs count="1589">
    <xf numFmtId="0" fontId="0" fillId="0" borderId="0" xfId="0"/>
    <xf numFmtId="0" fontId="0" fillId="0" borderId="0" xfId="0" applyAlignment="1">
      <alignment wrapText="1"/>
    </xf>
    <xf numFmtId="0" fontId="31" fillId="0" borderId="0" xfId="0" applyFont="1"/>
    <xf numFmtId="0" fontId="32" fillId="0" borderId="0" xfId="0" applyFont="1"/>
    <xf numFmtId="10" fontId="0" fillId="0" borderId="0" xfId="6" applyNumberFormat="1" applyFont="1"/>
    <xf numFmtId="169" fontId="0" fillId="0" borderId="0" xfId="0" applyNumberFormat="1"/>
    <xf numFmtId="0" fontId="34" fillId="0" borderId="0" xfId="0" applyFon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35" fillId="0" borderId="0" xfId="0" applyFont="1" applyAlignment="1">
      <alignment horizontal="left"/>
    </xf>
    <xf numFmtId="0" fontId="0" fillId="0" borderId="0" xfId="0" applyAlignment="1">
      <alignment horizontal="left"/>
    </xf>
    <xf numFmtId="49" fontId="0" fillId="0" borderId="0" xfId="0" applyNumberFormat="1"/>
    <xf numFmtId="0" fontId="38" fillId="0" borderId="0" xfId="0" applyFont="1"/>
    <xf numFmtId="169" fontId="38" fillId="0" borderId="0" xfId="0" applyNumberFormat="1" applyFont="1"/>
    <xf numFmtId="0" fontId="25" fillId="0" borderId="0" xfId="0" applyFont="1"/>
    <xf numFmtId="0" fontId="44" fillId="0" borderId="0" xfId="5" applyFont="1" applyAlignment="1">
      <alignment wrapText="1"/>
    </xf>
    <xf numFmtId="0" fontId="23" fillId="0" borderId="0" xfId="0" applyFont="1"/>
    <xf numFmtId="49" fontId="23" fillId="0" borderId="0" xfId="0" applyNumberFormat="1" applyFont="1"/>
    <xf numFmtId="0" fontId="45" fillId="0" borderId="0" xfId="5" applyFont="1" applyAlignment="1">
      <alignment wrapText="1"/>
    </xf>
    <xf numFmtId="0" fontId="33" fillId="0" borderId="0" xfId="0" applyFont="1"/>
    <xf numFmtId="49" fontId="33" fillId="0" borderId="0" xfId="5" applyNumberFormat="1" applyFont="1" applyAlignment="1">
      <alignment wrapText="1"/>
    </xf>
    <xf numFmtId="0" fontId="33" fillId="0" borderId="0" xfId="5" applyFont="1" applyAlignment="1">
      <alignment wrapText="1"/>
    </xf>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5" borderId="0" xfId="0" applyFill="1"/>
    <xf numFmtId="172" fontId="0" fillId="0" borderId="0" xfId="0" applyNumberFormat="1"/>
    <xf numFmtId="0" fontId="0" fillId="0" borderId="0" xfId="0" quotePrefix="1"/>
    <xf numFmtId="49" fontId="34" fillId="0" borderId="0" xfId="0" applyNumberFormat="1" applyFont="1"/>
    <xf numFmtId="0" fontId="35" fillId="0" borderId="0" xfId="0" applyFont="1"/>
    <xf numFmtId="49" fontId="36" fillId="0" borderId="0" xfId="0" applyNumberFormat="1" applyFont="1"/>
    <xf numFmtId="0" fontId="36" fillId="0" borderId="0" xfId="0" applyFont="1"/>
    <xf numFmtId="49" fontId="36" fillId="0" borderId="0" xfId="0" applyNumberFormat="1" applyFont="1" applyAlignment="1">
      <alignment wrapText="1"/>
    </xf>
    <xf numFmtId="0" fontId="0" fillId="0" borderId="10" xfId="0" applyBorder="1"/>
    <xf numFmtId="0" fontId="42" fillId="0" borderId="0" xfId="0" applyFont="1"/>
    <xf numFmtId="0" fontId="42"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25" fillId="0" borderId="0" xfId="0" applyFont="1" applyAlignment="1">
      <alignment horizontal="center"/>
    </xf>
    <xf numFmtId="0" fontId="57" fillId="0" borderId="0" xfId="1" applyFont="1" applyBorder="1" applyAlignment="1">
      <alignment horizontal="center"/>
    </xf>
    <xf numFmtId="0" fontId="24" fillId="0" borderId="0" xfId="0" applyFont="1"/>
    <xf numFmtId="0" fontId="25" fillId="0" borderId="4" xfId="0" applyFont="1" applyBorder="1"/>
    <xf numFmtId="0" fontId="42" fillId="0" borderId="0" xfId="0" applyFont="1" applyAlignment="1">
      <alignment horizontal="center" vertical="center" wrapText="1"/>
    </xf>
    <xf numFmtId="0" fontId="59" fillId="0" borderId="0" xfId="0" applyFont="1"/>
    <xf numFmtId="0" fontId="0" fillId="13" borderId="0" xfId="0" applyFill="1"/>
    <xf numFmtId="0" fontId="56" fillId="0" borderId="0" xfId="0" applyFont="1" applyAlignment="1">
      <alignment vertical="center"/>
    </xf>
    <xf numFmtId="0" fontId="58" fillId="0" borderId="0" xfId="0" applyFont="1" applyAlignment="1">
      <alignment vertical="center" wrapText="1"/>
    </xf>
    <xf numFmtId="0" fontId="56" fillId="0" borderId="4" xfId="0" applyFont="1" applyBorder="1" applyAlignment="1">
      <alignment vertical="center"/>
    </xf>
    <xf numFmtId="0" fontId="48" fillId="0" borderId="0" xfId="0" applyFont="1" applyAlignment="1">
      <alignment horizontal="left"/>
    </xf>
    <xf numFmtId="0" fontId="48" fillId="0" borderId="0" xfId="0" applyFont="1"/>
    <xf numFmtId="0" fontId="50" fillId="0" borderId="0" xfId="0" applyFont="1" applyAlignment="1">
      <alignment horizontal="left"/>
    </xf>
    <xf numFmtId="0" fontId="52" fillId="0" borderId="0" xfId="0" applyFont="1" applyAlignment="1">
      <alignment horizontal="left" indent="1"/>
    </xf>
    <xf numFmtId="0" fontId="27" fillId="0" borderId="0" xfId="0" applyFont="1"/>
    <xf numFmtId="0" fontId="52" fillId="0" borderId="0" xfId="0" applyFont="1"/>
    <xf numFmtId="0" fontId="0" fillId="9" borderId="0" xfId="0" applyFill="1"/>
    <xf numFmtId="0" fontId="67" fillId="0" borderId="0" xfId="0" applyFont="1"/>
    <xf numFmtId="9" fontId="0" fillId="0" borderId="0" xfId="6" applyFont="1"/>
    <xf numFmtId="2" fontId="64" fillId="0" borderId="0" xfId="0" applyNumberFormat="1" applyFont="1" applyAlignment="1">
      <alignment vertical="center" wrapText="1"/>
    </xf>
    <xf numFmtId="2" fontId="64" fillId="0" borderId="0" xfId="0" applyNumberFormat="1" applyFont="1" applyAlignment="1">
      <alignment vertical="center"/>
    </xf>
    <xf numFmtId="0" fontId="70" fillId="0" borderId="0" xfId="0" applyFont="1"/>
    <xf numFmtId="0" fontId="70" fillId="0" borderId="23" xfId="0" applyFont="1" applyBorder="1"/>
    <xf numFmtId="0" fontId="73" fillId="0" borderId="0" xfId="0" applyFont="1" applyAlignment="1">
      <alignment vertical="center"/>
    </xf>
    <xf numFmtId="0" fontId="74" fillId="0" borderId="0" xfId="0" applyFont="1" applyAlignment="1">
      <alignment vertical="center"/>
    </xf>
    <xf numFmtId="0" fontId="0" fillId="14" borderId="0" xfId="0" applyFill="1"/>
    <xf numFmtId="0" fontId="0" fillId="4" borderId="0" xfId="0" applyFill="1"/>
    <xf numFmtId="0" fontId="0" fillId="0" borderId="34" xfId="0" applyBorder="1"/>
    <xf numFmtId="0" fontId="76" fillId="0" borderId="0" xfId="0" applyFont="1" applyAlignment="1">
      <alignment vertical="center"/>
    </xf>
    <xf numFmtId="0" fontId="77" fillId="0" borderId="0" xfId="0" applyFont="1"/>
    <xf numFmtId="0" fontId="78" fillId="0" borderId="0" xfId="0" applyFont="1" applyAlignment="1">
      <alignment vertical="top"/>
    </xf>
    <xf numFmtId="0" fontId="78" fillId="0" borderId="0" xfId="0" applyFont="1" applyAlignment="1">
      <alignment horizontal="center" vertical="top" wrapText="1"/>
    </xf>
    <xf numFmtId="0" fontId="81" fillId="0" borderId="0" xfId="0" applyFont="1" applyAlignment="1">
      <alignment horizontal="center"/>
    </xf>
    <xf numFmtId="0" fontId="84" fillId="0" borderId="0" xfId="0" applyFont="1"/>
    <xf numFmtId="0" fontId="83" fillId="0" borderId="0" xfId="0" applyFont="1" applyAlignment="1">
      <alignment vertical="center"/>
    </xf>
    <xf numFmtId="0" fontId="79" fillId="0" borderId="0" xfId="0" applyFont="1" applyAlignment="1">
      <alignment vertical="center"/>
    </xf>
    <xf numFmtId="0" fontId="85" fillId="0" borderId="0" xfId="1" applyFont="1" applyAlignment="1">
      <alignment horizontal="center" vertical="center" wrapText="1"/>
    </xf>
    <xf numFmtId="0" fontId="86" fillId="0" borderId="0" xfId="0" applyFont="1"/>
    <xf numFmtId="0" fontId="80" fillId="0" borderId="0" xfId="0" applyFont="1"/>
    <xf numFmtId="0" fontId="80" fillId="0" borderId="0" xfId="0" applyFont="1" applyAlignment="1">
      <alignment horizontal="left"/>
    </xf>
    <xf numFmtId="0" fontId="80" fillId="0" borderId="0" xfId="0" applyFont="1" applyAlignment="1">
      <alignment horizontal="left" vertical="top" wrapText="1"/>
    </xf>
    <xf numFmtId="1" fontId="25" fillId="0" borderId="0" xfId="0" applyNumberFormat="1" applyFont="1" applyAlignment="1">
      <alignment horizontal="center"/>
    </xf>
    <xf numFmtId="49" fontId="25" fillId="0" borderId="54" xfId="0" applyNumberFormat="1" applyFont="1" applyBorder="1" applyAlignment="1" applyProtection="1">
      <alignment horizontal="center"/>
      <protection locked="0"/>
    </xf>
    <xf numFmtId="0" fontId="86" fillId="0" borderId="0" xfId="0" applyFont="1" applyAlignment="1">
      <alignment horizontal="left"/>
    </xf>
    <xf numFmtId="0" fontId="80" fillId="0" borderId="58" xfId="0" applyFont="1" applyBorder="1"/>
    <xf numFmtId="0" fontId="80" fillId="0" borderId="9" xfId="0" applyFont="1" applyBorder="1"/>
    <xf numFmtId="0" fontId="0" fillId="0" borderId="9" xfId="0" applyBorder="1"/>
    <xf numFmtId="0" fontId="0" fillId="0" borderId="58" xfId="0" applyBorder="1"/>
    <xf numFmtId="0" fontId="80" fillId="0" borderId="59" xfId="0" applyFont="1" applyBorder="1"/>
    <xf numFmtId="0" fontId="80" fillId="0" borderId="60" xfId="0" applyFont="1" applyBorder="1"/>
    <xf numFmtId="0" fontId="80" fillId="0" borderId="61" xfId="0" applyFont="1" applyBorder="1"/>
    <xf numFmtId="0" fontId="83" fillId="0" borderId="0" xfId="0" applyFont="1" applyAlignment="1">
      <alignment horizontal="center" vertical="center"/>
    </xf>
    <xf numFmtId="0" fontId="25" fillId="0" borderId="71" xfId="0" applyFont="1" applyBorder="1" applyAlignment="1">
      <alignment horizontal="center"/>
    </xf>
    <xf numFmtId="0" fontId="0" fillId="15" borderId="0" xfId="0" quotePrefix="1" applyFill="1"/>
    <xf numFmtId="0" fontId="83" fillId="0" borderId="35" xfId="0" applyFont="1" applyBorder="1" applyAlignment="1">
      <alignment vertical="center"/>
    </xf>
    <xf numFmtId="0" fontId="84" fillId="0" borderId="35" xfId="0" applyFont="1" applyBorder="1"/>
    <xf numFmtId="0" fontId="0" fillId="0" borderId="35" xfId="0" applyBorder="1"/>
    <xf numFmtId="0" fontId="88" fillId="0" borderId="0" xfId="0" applyFont="1"/>
    <xf numFmtId="1" fontId="25" fillId="0" borderId="0" xfId="0" applyNumberFormat="1" applyFont="1"/>
    <xf numFmtId="172" fontId="25" fillId="0" borderId="0" xfId="0" applyNumberFormat="1" applyFont="1"/>
    <xf numFmtId="0" fontId="25" fillId="0" borderId="0" xfId="0" applyFont="1" applyAlignment="1">
      <alignment horizontal="right"/>
    </xf>
    <xf numFmtId="0" fontId="25" fillId="0" borderId="1" xfId="0" applyFont="1" applyBorder="1" applyAlignment="1">
      <alignment horizontal="center"/>
    </xf>
    <xf numFmtId="0" fontId="25" fillId="0" borderId="4" xfId="0" applyFont="1" applyBorder="1" applyAlignment="1">
      <alignment horizontal="right"/>
    </xf>
    <xf numFmtId="0" fontId="25" fillId="0" borderId="11" xfId="0" applyFont="1" applyBorder="1" applyAlignment="1">
      <alignment horizontal="center"/>
    </xf>
    <xf numFmtId="170" fontId="94" fillId="0" borderId="0" xfId="0" applyNumberFormat="1" applyFont="1"/>
    <xf numFmtId="0" fontId="25" fillId="0" borderId="0" xfId="0" applyFont="1" applyProtection="1">
      <protection hidden="1"/>
    </xf>
    <xf numFmtId="0" fontId="25" fillId="0" borderId="13" xfId="0" applyFont="1" applyBorder="1"/>
    <xf numFmtId="0" fontId="25" fillId="0" borderId="10" xfId="0" applyFont="1" applyBorder="1"/>
    <xf numFmtId="0" fontId="25" fillId="0" borderId="3" xfId="0" applyFont="1" applyBorder="1"/>
    <xf numFmtId="0" fontId="25" fillId="0" borderId="12" xfId="0" applyFont="1" applyBorder="1"/>
    <xf numFmtId="0" fontId="61" fillId="20" borderId="0" xfId="0" applyFont="1" applyFill="1" applyAlignment="1">
      <alignment vertical="center" wrapText="1"/>
    </xf>
    <xf numFmtId="0" fontId="93" fillId="20" borderId="0" xfId="0" applyFont="1" applyFill="1" applyAlignment="1">
      <alignment vertical="top" wrapText="1"/>
    </xf>
    <xf numFmtId="0" fontId="27" fillId="20" borderId="0" xfId="0" applyFont="1" applyFill="1" applyAlignment="1">
      <alignment horizontal="left" vertical="top" wrapText="1"/>
    </xf>
    <xf numFmtId="0" fontId="27" fillId="20" borderId="0" xfId="0" applyFont="1" applyFill="1" applyAlignment="1">
      <alignment vertical="top" wrapText="1"/>
    </xf>
    <xf numFmtId="171" fontId="27" fillId="20" borderId="0" xfId="0" applyNumberFormat="1" applyFont="1" applyFill="1" applyAlignment="1">
      <alignment horizontal="left" vertical="top" wrapText="1"/>
    </xf>
    <xf numFmtId="171" fontId="27" fillId="20" borderId="0" xfId="0" applyNumberFormat="1" applyFont="1" applyFill="1" applyAlignment="1">
      <alignment vertical="top" wrapText="1"/>
    </xf>
    <xf numFmtId="0" fontId="25" fillId="0" borderId="0" xfId="0" applyFont="1" applyAlignment="1">
      <alignment horizontal="left" vertical="top"/>
    </xf>
    <xf numFmtId="0" fontId="99" fillId="20" borderId="0" xfId="0" applyFont="1" applyFill="1" applyAlignment="1">
      <alignment vertical="center" wrapText="1"/>
    </xf>
    <xf numFmtId="0" fontId="24" fillId="20" borderId="0" xfId="0" applyFont="1" applyFill="1" applyAlignment="1">
      <alignment vertical="top"/>
    </xf>
    <xf numFmtId="0" fontId="25" fillId="20" borderId="0" xfId="0" applyFont="1" applyFill="1" applyAlignment="1">
      <alignment horizontal="left" vertical="top"/>
    </xf>
    <xf numFmtId="0" fontId="24" fillId="20" borderId="0" xfId="0" applyFont="1" applyFill="1" applyAlignment="1">
      <alignment horizontal="left" vertical="top"/>
    </xf>
    <xf numFmtId="0" fontId="27" fillId="20" borderId="0" xfId="0" applyFont="1" applyFill="1" applyAlignment="1">
      <alignment vertical="top"/>
    </xf>
    <xf numFmtId="171" fontId="25" fillId="20" borderId="0" xfId="0" applyNumberFormat="1" applyFont="1" applyFill="1" applyAlignment="1">
      <alignment horizontal="left" vertical="top"/>
    </xf>
    <xf numFmtId="171" fontId="25" fillId="20" borderId="0" xfId="0" applyNumberFormat="1" applyFont="1" applyFill="1" applyAlignment="1">
      <alignment vertical="top"/>
    </xf>
    <xf numFmtId="0" fontId="25" fillId="20" borderId="0" xfId="0" applyFont="1" applyFill="1" applyAlignment="1">
      <alignment vertical="top"/>
    </xf>
    <xf numFmtId="0" fontId="93" fillId="20" borderId="0" xfId="0" applyFont="1" applyFill="1" applyAlignment="1">
      <alignment vertical="top"/>
    </xf>
    <xf numFmtId="0" fontId="93" fillId="20" borderId="0" xfId="0" applyFont="1" applyFill="1" applyAlignment="1">
      <alignment horizontal="left" vertical="top"/>
    </xf>
    <xf numFmtId="0" fontId="99" fillId="20" borderId="0" xfId="0" applyFont="1" applyFill="1" applyAlignment="1">
      <alignment vertical="top"/>
    </xf>
    <xf numFmtId="0" fontId="101" fillId="20" borderId="0" xfId="2" applyFont="1" applyFill="1" applyAlignment="1" applyProtection="1">
      <alignment vertical="center" wrapText="1"/>
    </xf>
    <xf numFmtId="14" fontId="25" fillId="20" borderId="0" xfId="2" applyNumberFormat="1" applyFont="1" applyFill="1" applyAlignment="1" applyProtection="1">
      <alignment vertical="top"/>
    </xf>
    <xf numFmtId="0" fontId="0" fillId="20" borderId="0" xfId="0" applyFill="1"/>
    <xf numFmtId="0" fontId="25" fillId="20" borderId="0" xfId="0" applyFont="1" applyFill="1" applyAlignment="1">
      <alignment vertical="top" wrapText="1"/>
    </xf>
    <xf numFmtId="0" fontId="70" fillId="20" borderId="0" xfId="0" applyFont="1" applyFill="1" applyAlignment="1">
      <alignment vertical="center"/>
    </xf>
    <xf numFmtId="0" fontId="99" fillId="20" borderId="0" xfId="0" applyFont="1" applyFill="1"/>
    <xf numFmtId="0" fontId="104" fillId="0" borderId="0" xfId="0" applyFont="1" applyAlignment="1">
      <alignment vertical="top" wrapText="1"/>
    </xf>
    <xf numFmtId="0" fontId="25" fillId="0" borderId="14" xfId="0" applyFont="1" applyBorder="1"/>
    <xf numFmtId="0" fontId="25" fillId="0" borderId="11" xfId="0" applyFont="1" applyBorder="1"/>
    <xf numFmtId="0" fontId="25" fillId="0" borderId="5" xfId="0" applyFont="1" applyBorder="1"/>
    <xf numFmtId="0" fontId="25" fillId="20" borderId="0" xfId="0" applyFont="1" applyFill="1" applyAlignment="1">
      <alignment horizontal="left" vertical="top" wrapText="1"/>
    </xf>
    <xf numFmtId="0" fontId="0" fillId="0" borderId="4" xfId="0" applyBorder="1"/>
    <xf numFmtId="0" fontId="70" fillId="0" borderId="0" xfId="0" applyFont="1" applyAlignment="1">
      <alignment vertical="center"/>
    </xf>
    <xf numFmtId="0" fontId="100" fillId="20" borderId="0" xfId="0" applyFont="1" applyFill="1" applyAlignment="1">
      <alignment vertical="center" wrapText="1"/>
    </xf>
    <xf numFmtId="0" fontId="25" fillId="20" borderId="0" xfId="0" applyFont="1" applyFill="1"/>
    <xf numFmtId="0" fontId="27" fillId="20" borderId="0" xfId="0" applyFont="1" applyFill="1"/>
    <xf numFmtId="0" fontId="25" fillId="0" borderId="0" xfId="0" applyFont="1" applyAlignment="1">
      <alignment vertical="top" wrapText="1"/>
    </xf>
    <xf numFmtId="0" fontId="70" fillId="0" borderId="0" xfId="0" applyFont="1" applyAlignment="1">
      <alignment wrapText="1"/>
    </xf>
    <xf numFmtId="0" fontId="25" fillId="20" borderId="0" xfId="4" applyFont="1" applyFill="1" applyProtection="1"/>
    <xf numFmtId="0" fontId="25" fillId="20" borderId="0" xfId="4" applyFont="1" applyFill="1" applyAlignment="1" applyProtection="1">
      <alignment vertical="top" wrapText="1"/>
    </xf>
    <xf numFmtId="0" fontId="105" fillId="0" borderId="11" xfId="2" applyFont="1" applyBorder="1" applyAlignment="1" applyProtection="1">
      <alignment horizontal="left"/>
    </xf>
    <xf numFmtId="0" fontId="106" fillId="0" borderId="11" xfId="2" applyFont="1" applyBorder="1" applyProtection="1"/>
    <xf numFmtId="0" fontId="25" fillId="0" borderId="83" xfId="0" applyFont="1" applyBorder="1"/>
    <xf numFmtId="0" fontId="25" fillId="0" borderId="84" xfId="0" applyFont="1" applyBorder="1"/>
    <xf numFmtId="0" fontId="25" fillId="0" borderId="83" xfId="0" applyFont="1" applyBorder="1" applyAlignment="1">
      <alignment horizontal="right"/>
    </xf>
    <xf numFmtId="0" fontId="0" fillId="0" borderId="83" xfId="0" applyBorder="1"/>
    <xf numFmtId="0" fontId="25" fillId="0" borderId="85" xfId="0" applyFont="1" applyBorder="1"/>
    <xf numFmtId="0" fontId="25" fillId="0" borderId="87" xfId="0" applyFont="1" applyBorder="1"/>
    <xf numFmtId="0" fontId="0" fillId="0" borderId="84" xfId="0" applyBorder="1"/>
    <xf numFmtId="0" fontId="25" fillId="0" borderId="85" xfId="0" applyFont="1" applyBorder="1" applyAlignment="1">
      <alignment horizontal="right"/>
    </xf>
    <xf numFmtId="0" fontId="0" fillId="0" borderId="94" xfId="0" applyBorder="1"/>
    <xf numFmtId="0" fontId="0" fillId="21" borderId="0" xfId="0" applyFill="1"/>
    <xf numFmtId="2" fontId="25" fillId="0" borderId="1" xfId="0" applyNumberFormat="1" applyFont="1" applyBorder="1" applyAlignment="1">
      <alignment horizontal="center"/>
    </xf>
    <xf numFmtId="0" fontId="57" fillId="0" borderId="0" xfId="1" applyFont="1" applyBorder="1" applyAlignment="1">
      <alignment horizontal="left"/>
    </xf>
    <xf numFmtId="0" fontId="42" fillId="0" borderId="0" xfId="0" applyFont="1" applyAlignment="1">
      <alignment vertical="center" wrapText="1"/>
    </xf>
    <xf numFmtId="0" fontId="112" fillId="0" borderId="0" xfId="0" applyFont="1" applyAlignment="1">
      <alignment vertical="top" wrapText="1"/>
    </xf>
    <xf numFmtId="0" fontId="66" fillId="0" borderId="0" xfId="0" applyFont="1" applyAlignment="1">
      <alignment vertical="center"/>
    </xf>
    <xf numFmtId="0" fontId="22" fillId="0" borderId="0" xfId="1"/>
    <xf numFmtId="0" fontId="0" fillId="27" borderId="0" xfId="0" applyFill="1"/>
    <xf numFmtId="0" fontId="36" fillId="28" borderId="0" xfId="0" applyFont="1" applyFill="1"/>
    <xf numFmtId="0" fontId="36" fillId="28" borderId="0" xfId="0" quotePrefix="1" applyFont="1" applyFill="1"/>
    <xf numFmtId="183" fontId="0" fillId="0" borderId="0" xfId="6" applyNumberFormat="1" applyFont="1"/>
    <xf numFmtId="0" fontId="86" fillId="4" borderId="0" xfId="0" applyFont="1" applyFill="1"/>
    <xf numFmtId="0" fontId="80" fillId="4" borderId="0" xfId="0" applyFont="1" applyFill="1" applyAlignment="1">
      <alignment horizontal="left"/>
    </xf>
    <xf numFmtId="0" fontId="25" fillId="0" borderId="0" xfId="0" applyFont="1" applyAlignment="1">
      <alignment horizontal="left" vertical="top" wrapText="1"/>
    </xf>
    <xf numFmtId="0" fontId="0" fillId="0" borderId="0" xfId="0" applyProtection="1">
      <protection locked="0"/>
    </xf>
    <xf numFmtId="167" fontId="82" fillId="0" borderId="35" xfId="0" applyNumberFormat="1" applyFont="1" applyBorder="1"/>
    <xf numFmtId="2" fontId="36" fillId="28" borderId="0" xfId="0" applyNumberFormat="1" applyFont="1" applyFill="1"/>
    <xf numFmtId="2" fontId="0" fillId="15" borderId="0" xfId="0" applyNumberFormat="1" applyFill="1"/>
    <xf numFmtId="2" fontId="0" fillId="27" borderId="0" xfId="0" applyNumberFormat="1" applyFill="1"/>
    <xf numFmtId="1" fontId="36" fillId="28" borderId="0" xfId="0" applyNumberFormat="1" applyFont="1" applyFill="1"/>
    <xf numFmtId="1" fontId="0" fillId="27" borderId="0" xfId="0" applyNumberFormat="1" applyFill="1"/>
    <xf numFmtId="1" fontId="0" fillId="15" borderId="0" xfId="0" applyNumberFormat="1" applyFill="1"/>
    <xf numFmtId="169" fontId="36" fillId="28" borderId="0" xfId="0" applyNumberFormat="1" applyFont="1" applyFill="1"/>
    <xf numFmtId="169" fontId="0" fillId="15" borderId="0" xfId="0" applyNumberFormat="1" applyFill="1"/>
    <xf numFmtId="172" fontId="36" fillId="28" borderId="0" xfId="0" applyNumberFormat="1" applyFont="1" applyFill="1"/>
    <xf numFmtId="172" fontId="0" fillId="15" borderId="0" xfId="0" applyNumberFormat="1" applyFill="1"/>
    <xf numFmtId="169" fontId="0" fillId="27" borderId="0" xfId="0" applyNumberFormat="1" applyFill="1"/>
    <xf numFmtId="172" fontId="0" fillId="27" borderId="0" xfId="0" applyNumberFormat="1" applyFill="1"/>
    <xf numFmtId="49" fontId="73" fillId="0" borderId="0" xfId="0" applyNumberFormat="1" applyFont="1" applyAlignment="1">
      <alignment horizontal="right" vertical="center"/>
    </xf>
    <xf numFmtId="0" fontId="80" fillId="0" borderId="0" xfId="0" applyFont="1" applyAlignment="1">
      <alignment vertical="top" wrapText="1"/>
    </xf>
    <xf numFmtId="0" fontId="0" fillId="0" borderId="0" xfId="0" applyAlignment="1">
      <alignment shrinkToFit="1"/>
    </xf>
    <xf numFmtId="0" fontId="25" fillId="0" borderId="0" xfId="0" applyFont="1" applyAlignment="1">
      <alignment shrinkToFit="1"/>
    </xf>
    <xf numFmtId="0" fontId="0" fillId="0" borderId="111" xfId="0" applyBorder="1"/>
    <xf numFmtId="14" fontId="0" fillId="0" borderId="0" xfId="0" applyNumberFormat="1"/>
    <xf numFmtId="0" fontId="0" fillId="0" borderId="115" xfId="0" applyBorder="1"/>
    <xf numFmtId="0" fontId="0" fillId="29" borderId="0" xfId="0" applyFill="1"/>
    <xf numFmtId="0" fontId="40" fillId="29" borderId="0" xfId="0" applyFont="1" applyFill="1"/>
    <xf numFmtId="0" fontId="46" fillId="29" borderId="0" xfId="0" applyFont="1" applyFill="1" applyAlignment="1">
      <alignment horizontal="right" vertical="top"/>
    </xf>
    <xf numFmtId="0" fontId="40" fillId="29" borderId="0" xfId="0" applyFont="1" applyFill="1" applyAlignment="1">
      <alignment wrapText="1"/>
    </xf>
    <xf numFmtId="0" fontId="40" fillId="29" borderId="0" xfId="0" applyFont="1" applyFill="1" applyAlignment="1">
      <alignment horizontal="center"/>
    </xf>
    <xf numFmtId="0" fontId="123" fillId="29" borderId="0" xfId="0" applyFont="1" applyFill="1" applyAlignment="1">
      <alignment horizontal="right"/>
    </xf>
    <xf numFmtId="0" fontId="72" fillId="30" borderId="26" xfId="0" applyFont="1" applyFill="1" applyBorder="1" applyAlignment="1">
      <alignment vertical="center"/>
    </xf>
    <xf numFmtId="0" fontId="55" fillId="30" borderId="27" xfId="0" applyFont="1" applyFill="1" applyBorder="1" applyAlignment="1">
      <alignment vertical="center"/>
    </xf>
    <xf numFmtId="0" fontId="56" fillId="30" borderId="27" xfId="0" applyFont="1" applyFill="1" applyBorder="1" applyAlignment="1">
      <alignment vertical="center"/>
    </xf>
    <xf numFmtId="0" fontId="56" fillId="30" borderId="28" xfId="0" applyFont="1" applyFill="1" applyBorder="1" applyAlignment="1">
      <alignment vertical="center"/>
    </xf>
    <xf numFmtId="0" fontId="72" fillId="30" borderId="29" xfId="0" applyFont="1" applyFill="1" applyBorder="1" applyAlignment="1">
      <alignment vertical="center"/>
    </xf>
    <xf numFmtId="0" fontId="56" fillId="30" borderId="30" xfId="0" applyFont="1" applyFill="1" applyBorder="1" applyAlignment="1">
      <alignment vertical="center"/>
    </xf>
    <xf numFmtId="0" fontId="72" fillId="30" borderId="31" xfId="0" applyFont="1" applyFill="1" applyBorder="1" applyAlignment="1">
      <alignment vertical="center"/>
    </xf>
    <xf numFmtId="0" fontId="55" fillId="30" borderId="32" xfId="0" applyFont="1" applyFill="1" applyBorder="1" applyAlignment="1">
      <alignment vertical="center"/>
    </xf>
    <xf numFmtId="0" fontId="56" fillId="30" borderId="32" xfId="0" applyFont="1" applyFill="1" applyBorder="1" applyAlignment="1">
      <alignment vertical="center"/>
    </xf>
    <xf numFmtId="0" fontId="56" fillId="30" borderId="33" xfId="0" applyFont="1" applyFill="1" applyBorder="1" applyAlignment="1">
      <alignment vertical="center"/>
    </xf>
    <xf numFmtId="0" fontId="28" fillId="31" borderId="21" xfId="0" applyFont="1" applyFill="1" applyBorder="1"/>
    <xf numFmtId="0" fontId="28" fillId="31" borderId="22" xfId="0" applyFont="1" applyFill="1" applyBorder="1"/>
    <xf numFmtId="0" fontId="40" fillId="29" borderId="0" xfId="0" applyFont="1" applyFill="1" applyAlignment="1">
      <alignment horizontal="right" vertical="top"/>
    </xf>
    <xf numFmtId="0" fontId="40" fillId="29" borderId="0" xfId="0" applyFont="1" applyFill="1" applyAlignment="1">
      <alignment horizontal="right"/>
    </xf>
    <xf numFmtId="0" fontId="122" fillId="29" borderId="0" xfId="0" applyFont="1" applyFill="1" applyAlignment="1">
      <alignment horizontal="right"/>
    </xf>
    <xf numFmtId="0" fontId="25" fillId="29" borderId="0" xfId="0" applyFont="1" applyFill="1"/>
    <xf numFmtId="0" fontId="97" fillId="29" borderId="0" xfId="0" applyFont="1" applyFill="1" applyAlignment="1">
      <alignment vertical="center"/>
    </xf>
    <xf numFmtId="0" fontId="22" fillId="0" borderId="0" xfId="1" applyBorder="1" applyAlignment="1">
      <alignment horizontal="left"/>
    </xf>
    <xf numFmtId="0" fontId="0" fillId="0" borderId="60" xfId="0" applyBorder="1"/>
    <xf numFmtId="0" fontId="109" fillId="0" borderId="0" xfId="0" applyFont="1" applyAlignment="1">
      <alignment vertical="top" wrapText="1"/>
    </xf>
    <xf numFmtId="0" fontId="27" fillId="20" borderId="0" xfId="0" applyFont="1" applyFill="1" applyAlignment="1">
      <alignment wrapText="1"/>
    </xf>
    <xf numFmtId="0" fontId="25" fillId="20" borderId="0" xfId="4" applyFont="1" applyFill="1" applyAlignment="1" applyProtection="1">
      <alignment vertical="center" wrapText="1"/>
    </xf>
    <xf numFmtId="0" fontId="25" fillId="20" borderId="0" xfId="4" applyFont="1" applyFill="1" applyAlignment="1" applyProtection="1">
      <alignment vertical="center"/>
    </xf>
    <xf numFmtId="0" fontId="25" fillId="20" borderId="0" xfId="0" applyFont="1" applyFill="1" applyAlignment="1">
      <alignment horizontal="right" vertical="top" wrapText="1"/>
    </xf>
    <xf numFmtId="0" fontId="0" fillId="20" borderId="0" xfId="0" applyFill="1" applyAlignment="1">
      <alignment horizontal="right"/>
    </xf>
    <xf numFmtId="0" fontId="36" fillId="0" borderId="0" xfId="0" applyFont="1" applyAlignment="1">
      <alignment horizontal="left"/>
    </xf>
    <xf numFmtId="0" fontId="36" fillId="0" borderId="0" xfId="0" quotePrefix="1" applyFont="1"/>
    <xf numFmtId="0" fontId="36" fillId="0" borderId="0" xfId="0" applyFont="1" applyAlignment="1">
      <alignment horizontal="center"/>
    </xf>
    <xf numFmtId="14" fontId="36" fillId="0" borderId="0" xfId="0" applyNumberFormat="1" applyFont="1" applyAlignment="1">
      <alignment horizontal="center"/>
    </xf>
    <xf numFmtId="0" fontId="90" fillId="0" borderId="0" xfId="0" applyFont="1" applyAlignment="1">
      <alignment horizontal="center" vertical="center"/>
    </xf>
    <xf numFmtId="167" fontId="90" fillId="0" borderId="0" xfId="0" applyNumberFormat="1" applyFont="1" applyAlignment="1">
      <alignment horizontal="center" vertical="center"/>
    </xf>
    <xf numFmtId="167" fontId="36" fillId="0" borderId="0" xfId="0" applyNumberFormat="1" applyFont="1"/>
    <xf numFmtId="3" fontId="36" fillId="0" borderId="0" xfId="13" applyNumberFormat="1" applyFont="1" applyFill="1" applyBorder="1" applyAlignment="1">
      <alignment horizontal="left"/>
    </xf>
    <xf numFmtId="3" fontId="36" fillId="0" borderId="0" xfId="13" applyNumberFormat="1" applyFont="1" applyFill="1" applyBorder="1" applyAlignment="1">
      <alignment horizontal="center"/>
    </xf>
    <xf numFmtId="0" fontId="36" fillId="0" borderId="0" xfId="0" applyFont="1" applyAlignment="1">
      <alignment horizontal="left" wrapText="1"/>
    </xf>
    <xf numFmtId="167" fontId="36" fillId="0" borderId="0" xfId="0" applyNumberFormat="1" applyFont="1" applyAlignment="1">
      <alignment horizontal="right"/>
    </xf>
    <xf numFmtId="0" fontId="73" fillId="0" borderId="0" xfId="0" applyFont="1"/>
    <xf numFmtId="0" fontId="140" fillId="0" borderId="0" xfId="0" applyFont="1" applyAlignment="1">
      <alignment horizontal="left" vertical="top"/>
    </xf>
    <xf numFmtId="0" fontId="0" fillId="0" borderId="0" xfId="0" applyAlignment="1">
      <alignment horizontal="left" vertical="top"/>
    </xf>
    <xf numFmtId="0" fontId="0" fillId="0" borderId="0" xfId="0" quotePrefix="1" applyAlignment="1">
      <alignment horizontal="left" vertical="top"/>
    </xf>
    <xf numFmtId="0" fontId="0" fillId="0" borderId="144" xfId="0" applyBorder="1" applyAlignment="1">
      <alignment horizontal="left" vertical="top"/>
    </xf>
    <xf numFmtId="0" fontId="0" fillId="0" borderId="0" xfId="0" applyAlignment="1">
      <alignment horizontal="center"/>
    </xf>
    <xf numFmtId="0" fontId="0" fillId="0" borderId="111" xfId="0" applyBorder="1" applyAlignment="1">
      <alignment horizontal="left" vertical="top"/>
    </xf>
    <xf numFmtId="1" fontId="0" fillId="0" borderId="111" xfId="0" applyNumberFormat="1" applyBorder="1"/>
    <xf numFmtId="0" fontId="0" fillId="0" borderId="114" xfId="0" applyBorder="1" applyAlignment="1">
      <alignment horizontal="left" vertical="top"/>
    </xf>
    <xf numFmtId="0" fontId="0" fillId="0" borderId="115" xfId="0" applyBorder="1" applyAlignment="1">
      <alignment horizontal="left" vertical="top"/>
    </xf>
    <xf numFmtId="0" fontId="0" fillId="0" borderId="111" xfId="0" quotePrefix="1" applyBorder="1" applyAlignment="1">
      <alignment horizontal="left" vertical="top"/>
    </xf>
    <xf numFmtId="0" fontId="140" fillId="0" borderId="111" xfId="0" applyFont="1" applyBorder="1" applyAlignment="1">
      <alignment horizontal="left" vertical="top"/>
    </xf>
    <xf numFmtId="0" fontId="140" fillId="35" borderId="111" xfId="0" applyFont="1" applyFill="1" applyBorder="1" applyAlignment="1">
      <alignment horizontal="left" vertical="top"/>
    </xf>
    <xf numFmtId="0" fontId="36" fillId="0" borderId="111" xfId="0" applyFont="1" applyBorder="1" applyAlignment="1">
      <alignment horizontal="left" vertical="top"/>
    </xf>
    <xf numFmtId="0" fontId="0" fillId="0" borderId="144" xfId="0" quotePrefix="1" applyBorder="1" applyAlignment="1">
      <alignment horizontal="left" vertical="top"/>
    </xf>
    <xf numFmtId="167" fontId="73" fillId="0" borderId="0" xfId="0" applyNumberFormat="1" applyFont="1" applyAlignment="1">
      <alignment horizontal="right" vertical="center"/>
    </xf>
    <xf numFmtId="167" fontId="34" fillId="0" borderId="0" xfId="0" applyNumberFormat="1" applyFont="1" applyAlignment="1">
      <alignment horizontal="right" vertical="center"/>
    </xf>
    <xf numFmtId="0" fontId="90" fillId="0" borderId="8" xfId="0" applyFont="1" applyBorder="1" applyAlignment="1">
      <alignment horizontal="center" vertical="center"/>
    </xf>
    <xf numFmtId="1" fontId="0" fillId="0" borderId="0" xfId="0" applyNumberFormat="1" applyAlignment="1">
      <alignment horizontal="center"/>
    </xf>
    <xf numFmtId="0" fontId="80" fillId="0" borderId="0" xfId="0" applyFont="1" applyAlignment="1">
      <alignment horizontal="center" vertical="top" wrapText="1"/>
    </xf>
    <xf numFmtId="0" fontId="143" fillId="0" borderId="0" xfId="0" applyFont="1" applyAlignment="1">
      <alignment vertical="top" wrapText="1"/>
    </xf>
    <xf numFmtId="0" fontId="143" fillId="0" borderId="0" xfId="0" applyFont="1" applyAlignment="1">
      <alignment wrapText="1"/>
    </xf>
    <xf numFmtId="0" fontId="143" fillId="0" borderId="0" xfId="0" applyFont="1" applyAlignment="1">
      <alignment vertical="center" wrapText="1"/>
    </xf>
    <xf numFmtId="0" fontId="80" fillId="0" borderId="0" xfId="0" applyFont="1" applyAlignment="1">
      <alignment wrapText="1"/>
    </xf>
    <xf numFmtId="0" fontId="0" fillId="0" borderId="86" xfId="0" applyBorder="1"/>
    <xf numFmtId="0" fontId="124" fillId="0" borderId="0" xfId="0" applyFont="1" applyAlignment="1">
      <alignment vertical="center" wrapText="1"/>
    </xf>
    <xf numFmtId="0" fontId="140" fillId="0" borderId="115" xfId="0" applyFont="1" applyBorder="1" applyAlignment="1">
      <alignment horizontal="left" vertical="top"/>
    </xf>
    <xf numFmtId="49" fontId="127" fillId="34" borderId="114" xfId="0" applyNumberFormat="1" applyFont="1" applyFill="1" applyBorder="1"/>
    <xf numFmtId="0" fontId="127" fillId="34" borderId="114" xfId="0" applyFont="1" applyFill="1" applyBorder="1"/>
    <xf numFmtId="49" fontId="0" fillId="35" borderId="115" xfId="0" applyNumberFormat="1" applyFill="1" applyBorder="1"/>
    <xf numFmtId="0" fontId="0" fillId="35" borderId="115" xfId="0" applyFill="1" applyBorder="1"/>
    <xf numFmtId="0" fontId="139" fillId="0" borderId="0" xfId="0" applyFont="1"/>
    <xf numFmtId="172" fontId="25" fillId="0" borderId="0" xfId="0" applyNumberFormat="1" applyFont="1" applyAlignment="1">
      <alignment shrinkToFit="1"/>
    </xf>
    <xf numFmtId="0" fontId="130" fillId="0" borderId="0" xfId="0" applyFont="1" applyAlignment="1">
      <alignment vertical="center"/>
    </xf>
    <xf numFmtId="0" fontId="55" fillId="30" borderId="0" xfId="0" applyFont="1" applyFill="1" applyAlignment="1">
      <alignment vertical="center"/>
    </xf>
    <xf numFmtId="0" fontId="56" fillId="30" borderId="0" xfId="0" applyFont="1" applyFill="1" applyAlignment="1">
      <alignment vertical="center"/>
    </xf>
    <xf numFmtId="180" fontId="64" fillId="0" borderId="0" xfId="0" applyNumberFormat="1" applyFont="1" applyAlignment="1">
      <alignment vertical="center" wrapText="1"/>
    </xf>
    <xf numFmtId="0" fontId="64" fillId="0" borderId="0" xfId="0" applyFont="1" applyAlignment="1">
      <alignment vertical="center" wrapText="1"/>
    </xf>
    <xf numFmtId="0" fontId="64" fillId="0" borderId="0" xfId="0" applyFont="1" applyAlignment="1">
      <alignment vertical="center"/>
    </xf>
    <xf numFmtId="167" fontId="0" fillId="0" borderId="0" xfId="0" applyNumberFormat="1" applyAlignment="1">
      <alignment horizontal="left"/>
    </xf>
    <xf numFmtId="9" fontId="0" fillId="0" borderId="0" xfId="6" applyFont="1" applyAlignment="1">
      <alignment horizontal="left"/>
    </xf>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170" fillId="0" borderId="184" xfId="66" applyFont="1">
      <alignment wrapText="1"/>
    </xf>
    <xf numFmtId="0" fontId="36" fillId="0" borderId="0" xfId="0" applyFont="1" applyAlignment="1">
      <alignment horizontal="left" vertical="top"/>
    </xf>
    <xf numFmtId="0" fontId="0" fillId="3" borderId="1" xfId="0" applyFill="1" applyBorder="1" applyAlignment="1" applyProtection="1">
      <alignment horizontal="center"/>
      <protection locked="0"/>
    </xf>
    <xf numFmtId="0" fontId="19" fillId="0" borderId="111" xfId="0" quotePrefix="1" applyFont="1" applyBorder="1" applyAlignment="1">
      <alignment horizontal="left" vertical="top"/>
    </xf>
    <xf numFmtId="0" fontId="173" fillId="0" borderId="0" xfId="0" applyFont="1"/>
    <xf numFmtId="164" fontId="25" fillId="0" borderId="0" xfId="0" applyNumberFormat="1" applyFont="1" applyAlignment="1">
      <alignment horizontal="right" vertical="center"/>
    </xf>
    <xf numFmtId="0" fontId="117" fillId="0" borderId="0" xfId="0" applyFont="1" applyAlignment="1" applyProtection="1">
      <alignment horizontal="center" wrapText="1"/>
      <protection locked="0"/>
    </xf>
    <xf numFmtId="0" fontId="25" fillId="0" borderId="0" xfId="0" applyFont="1" applyAlignment="1">
      <alignment horizontal="center" shrinkToFit="1"/>
    </xf>
    <xf numFmtId="0" fontId="0" fillId="0" borderId="0" xfId="0" applyAlignment="1">
      <alignment horizontal="center" shrinkToFit="1"/>
    </xf>
    <xf numFmtId="1" fontId="27" fillId="0" borderId="0" xfId="0" applyNumberFormat="1" applyFont="1" applyAlignment="1">
      <alignment horizontal="center" shrinkToFit="1"/>
    </xf>
    <xf numFmtId="167" fontId="27" fillId="0" borderId="0" xfId="0" applyNumberFormat="1" applyFont="1" applyAlignment="1">
      <alignment horizontal="center" shrinkToFit="1"/>
    </xf>
    <xf numFmtId="0" fontId="0" fillId="0" borderId="0" xfId="0" applyAlignment="1" applyProtection="1">
      <alignment horizontal="center"/>
      <protection locked="0"/>
    </xf>
    <xf numFmtId="3" fontId="172" fillId="0" borderId="0" xfId="13" applyNumberFormat="1" applyFont="1" applyFill="1" applyBorder="1" applyAlignment="1">
      <alignment horizontal="center"/>
    </xf>
    <xf numFmtId="0" fontId="17" fillId="0" borderId="111" xfId="0" applyFont="1" applyBorder="1" applyAlignment="1">
      <alignment horizontal="left" vertical="top"/>
    </xf>
    <xf numFmtId="0" fontId="16" fillId="0" borderId="111" xfId="0" applyFont="1" applyBorder="1"/>
    <xf numFmtId="0" fontId="16" fillId="0" borderId="115" xfId="0" applyFont="1" applyBorder="1"/>
    <xf numFmtId="0" fontId="177" fillId="0" borderId="8" xfId="0" applyFont="1" applyBorder="1" applyAlignment="1">
      <alignment horizontal="center" vertical="center"/>
    </xf>
    <xf numFmtId="0" fontId="15" fillId="0" borderId="111" xfId="0" applyFont="1" applyBorder="1" applyAlignment="1">
      <alignment horizontal="left" vertical="top"/>
    </xf>
    <xf numFmtId="0" fontId="0" fillId="0" borderId="115" xfId="0" quotePrefix="1" applyBorder="1" applyAlignment="1">
      <alignment horizontal="left" vertical="top"/>
    </xf>
    <xf numFmtId="0" fontId="36" fillId="35" borderId="111" xfId="0" applyFont="1" applyFill="1" applyBorder="1" applyAlignment="1">
      <alignment horizontal="left" vertical="top"/>
    </xf>
    <xf numFmtId="0" fontId="15" fillId="0" borderId="111" xfId="0" quotePrefix="1" applyFont="1" applyBorder="1" applyAlignment="1">
      <alignment horizontal="left" vertical="top"/>
    </xf>
    <xf numFmtId="0" fontId="18" fillId="0" borderId="111" xfId="0" applyFont="1" applyBorder="1"/>
    <xf numFmtId="0" fontId="14" fillId="0" borderId="111" xfId="0" applyFont="1" applyBorder="1" applyAlignment="1">
      <alignment horizontal="left" vertical="top"/>
    </xf>
    <xf numFmtId="0" fontId="140" fillId="35" borderId="115" xfId="0" applyFont="1" applyFill="1" applyBorder="1" applyAlignment="1">
      <alignment horizontal="left" vertical="top"/>
    </xf>
    <xf numFmtId="0" fontId="130" fillId="0" borderId="35" xfId="0" applyFont="1" applyBorder="1" applyAlignment="1">
      <alignment vertical="center"/>
    </xf>
    <xf numFmtId="0" fontId="89" fillId="0" borderId="0" xfId="1" applyFont="1" applyFill="1" applyAlignment="1" applyProtection="1">
      <alignment vertical="center"/>
      <protection locked="0" hidden="1"/>
    </xf>
    <xf numFmtId="0" fontId="181" fillId="0" borderId="0" xfId="0" applyFont="1" applyAlignment="1">
      <alignment wrapText="1"/>
    </xf>
    <xf numFmtId="0" fontId="13" fillId="0" borderId="111" xfId="0" applyFont="1" applyBorder="1"/>
    <xf numFmtId="0" fontId="80" fillId="0" borderId="0" xfId="0" applyFont="1" applyAlignment="1">
      <alignment vertical="top"/>
    </xf>
    <xf numFmtId="0" fontId="25" fillId="20" borderId="0" xfId="2" applyFont="1" applyFill="1" applyAlignment="1" applyProtection="1">
      <alignment vertical="top"/>
      <protection hidden="1"/>
    </xf>
    <xf numFmtId="0" fontId="102" fillId="20" borderId="0" xfId="2" applyFont="1" applyFill="1" applyAlignment="1" applyProtection="1">
      <alignment vertical="top"/>
      <protection hidden="1"/>
    </xf>
    <xf numFmtId="0" fontId="12" fillId="0" borderId="111" xfId="0" applyFont="1" applyBorder="1" applyAlignment="1">
      <alignment horizontal="left" vertical="top"/>
    </xf>
    <xf numFmtId="0" fontId="12" fillId="0" borderId="111" xfId="0" quotePrefix="1" applyFont="1" applyBorder="1" applyAlignment="1">
      <alignment horizontal="left" vertical="top"/>
    </xf>
    <xf numFmtId="172" fontId="0" fillId="0" borderId="0" xfId="0" applyNumberFormat="1" applyAlignment="1">
      <alignment horizontal="center" shrinkToFit="1"/>
    </xf>
    <xf numFmtId="0" fontId="75" fillId="0" borderId="0" xfId="0" applyFont="1" applyAlignment="1">
      <alignment horizontal="center" vertical="center" wrapText="1"/>
    </xf>
    <xf numFmtId="0" fontId="39" fillId="0" borderId="0" xfId="0" applyFont="1" applyAlignment="1">
      <alignment wrapText="1"/>
    </xf>
    <xf numFmtId="49" fontId="127" fillId="34" borderId="113" xfId="0" applyNumberFormat="1" applyFont="1" applyFill="1" applyBorder="1"/>
    <xf numFmtId="0" fontId="127" fillId="34" borderId="201" xfId="0" applyFont="1" applyFill="1" applyBorder="1"/>
    <xf numFmtId="0" fontId="0" fillId="0" borderId="0" xfId="0" applyAlignment="1">
      <alignment horizontal="center" wrapText="1"/>
    </xf>
    <xf numFmtId="10" fontId="161" fillId="0" borderId="0" xfId="0" applyNumberFormat="1" applyFont="1"/>
    <xf numFmtId="10" fontId="10" fillId="0" borderId="0" xfId="6" applyNumberFormat="1" applyFont="1"/>
    <xf numFmtId="10" fontId="0" fillId="0" borderId="0" xfId="0" applyNumberFormat="1"/>
    <xf numFmtId="10" fontId="10" fillId="0" borderId="0" xfId="0" applyNumberFormat="1" applyFont="1"/>
    <xf numFmtId="49" fontId="0" fillId="37" borderId="1" xfId="0" applyNumberFormat="1" applyFill="1" applyBorder="1"/>
    <xf numFmtId="0" fontId="127" fillId="71" borderId="1" xfId="0" applyFont="1" applyFill="1" applyBorder="1"/>
    <xf numFmtId="0" fontId="9" fillId="0" borderId="0" xfId="0" applyFont="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22"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0" fontId="0" fillId="7" borderId="1" xfId="0" applyFill="1" applyBorder="1"/>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0" fontId="51" fillId="0" borderId="0" xfId="0" applyFont="1" applyAlignment="1">
      <alignment horizontal="right"/>
    </xf>
    <xf numFmtId="0" fontId="33" fillId="0" borderId="11" xfId="0" applyFont="1" applyBorder="1"/>
    <xf numFmtId="9" fontId="33" fillId="0" borderId="0" xfId="6" applyFont="1" applyFill="1" applyProtection="1"/>
    <xf numFmtId="0" fontId="0" fillId="2" borderId="0" xfId="0" applyFill="1"/>
    <xf numFmtId="0" fontId="51" fillId="0" borderId="0" xfId="0" applyFont="1"/>
    <xf numFmtId="0" fontId="0" fillId="2" borderId="8" xfId="0" applyFill="1" applyBorder="1" applyAlignment="1">
      <alignment horizontal="right"/>
    </xf>
    <xf numFmtId="0" fontId="0" fillId="2" borderId="4" xfId="0" applyFill="1" applyBorder="1" applyAlignment="1">
      <alignment wrapText="1"/>
    </xf>
    <xf numFmtId="0" fontId="0" fillId="2" borderId="6" xfId="0" applyFill="1" applyBorder="1"/>
    <xf numFmtId="0" fontId="0" fillId="2" borderId="7" xfId="0" applyFill="1" applyBorder="1"/>
    <xf numFmtId="0" fontId="0" fillId="10" borderId="1" xfId="0" applyFill="1" applyBorder="1"/>
    <xf numFmtId="0" fontId="0" fillId="2" borderId="7" xfId="0" applyFill="1" applyBorder="1" applyAlignment="1">
      <alignment wrapText="1"/>
    </xf>
    <xf numFmtId="0" fontId="0" fillId="2" borderId="8" xfId="0" applyFill="1" applyBorder="1" applyAlignment="1">
      <alignment wrapText="1"/>
    </xf>
    <xf numFmtId="0" fontId="90" fillId="0" borderId="0" xfId="0" applyFont="1"/>
    <xf numFmtId="0" fontId="0" fillId="2" borderId="0" xfId="0" applyFill="1" applyProtection="1">
      <protection locked="0"/>
    </xf>
    <xf numFmtId="189" fontId="0" fillId="0" borderId="0" xfId="15" applyNumberFormat="1" applyFont="1" applyFill="1" applyBorder="1" applyAlignment="1"/>
    <xf numFmtId="0" fontId="90" fillId="70" borderId="0" xfId="0" applyFont="1" applyFill="1" applyAlignment="1">
      <alignment horizontal="center" vertical="center"/>
    </xf>
    <xf numFmtId="0" fontId="177" fillId="70" borderId="8" xfId="0" applyFont="1" applyFill="1" applyBorder="1" applyAlignment="1">
      <alignment horizontal="center" vertical="center"/>
    </xf>
    <xf numFmtId="167" fontId="129" fillId="0" borderId="0" xfId="0" applyNumberFormat="1" applyFont="1"/>
    <xf numFmtId="0" fontId="78" fillId="0" borderId="34" xfId="0" applyFont="1" applyBorder="1" applyAlignment="1">
      <alignment vertical="top"/>
    </xf>
    <xf numFmtId="167" fontId="82" fillId="0" borderId="0" xfId="0" applyNumberFormat="1" applyFont="1"/>
    <xf numFmtId="0" fontId="191" fillId="0" borderId="0" xfId="0" applyFont="1"/>
    <xf numFmtId="0" fontId="174" fillId="0" borderId="0" xfId="0" applyFont="1" applyAlignment="1">
      <alignment horizontal="center" vertical="center"/>
    </xf>
    <xf numFmtId="167" fontId="129" fillId="0" borderId="35" xfId="0" applyNumberFormat="1" applyFont="1" applyBorder="1"/>
    <xf numFmtId="0" fontId="50" fillId="0" borderId="0" xfId="0" applyFont="1" applyAlignment="1">
      <alignment vertical="top" wrapText="1"/>
    </xf>
    <xf numFmtId="189" fontId="23" fillId="0" borderId="0" xfId="15" applyNumberFormat="1" applyFont="1" applyFill="1" applyBorder="1" applyAlignment="1"/>
    <xf numFmtId="0" fontId="172" fillId="0" borderId="0" xfId="0" applyFont="1"/>
    <xf numFmtId="0" fontId="7" fillId="0" borderId="111" xfId="0" applyFont="1" applyBorder="1" applyAlignment="1">
      <alignment horizontal="left" vertical="top"/>
    </xf>
    <xf numFmtId="49" fontId="188" fillId="0" borderId="0" xfId="0" applyNumberFormat="1" applyFont="1"/>
    <xf numFmtId="0" fontId="188" fillId="0" borderId="0" xfId="0" applyFont="1"/>
    <xf numFmtId="0" fontId="47" fillId="0" borderId="0" xfId="0" applyFont="1"/>
    <xf numFmtId="49" fontId="47" fillId="0" borderId="0" xfId="0" applyNumberFormat="1" applyFont="1"/>
    <xf numFmtId="0" fontId="20" fillId="0" borderId="0" xfId="0" applyFont="1"/>
    <xf numFmtId="0" fontId="175" fillId="0" borderId="0" xfId="0" applyFont="1"/>
    <xf numFmtId="49" fontId="175" fillId="0" borderId="0" xfId="0" applyNumberFormat="1" applyFont="1"/>
    <xf numFmtId="49" fontId="139" fillId="0" borderId="0" xfId="0" applyNumberFormat="1" applyFont="1" applyAlignment="1">
      <alignment horizontal="left"/>
    </xf>
    <xf numFmtId="0" fontId="6" fillId="0" borderId="0" xfId="0" applyFont="1"/>
    <xf numFmtId="9" fontId="23" fillId="0" borderId="0" xfId="6" applyFont="1" applyFill="1"/>
    <xf numFmtId="0" fontId="0" fillId="0" borderId="0" xfId="0" applyAlignment="1">
      <alignment vertical="center"/>
    </xf>
    <xf numFmtId="49" fontId="36" fillId="35" borderId="115" xfId="0" applyNumberFormat="1" applyFont="1" applyFill="1" applyBorder="1"/>
    <xf numFmtId="0" fontId="36" fillId="0" borderId="111" xfId="0" applyFont="1" applyBorder="1" applyAlignment="1">
      <alignment horizontal="left"/>
    </xf>
    <xf numFmtId="0" fontId="193" fillId="0" borderId="0" xfId="0" applyFont="1"/>
    <xf numFmtId="0" fontId="22" fillId="0" borderId="0" xfId="1" applyFill="1"/>
    <xf numFmtId="0" fontId="67" fillId="0" borderId="0" xfId="0" applyFont="1" applyAlignment="1">
      <alignment horizontal="center"/>
    </xf>
    <xf numFmtId="0" fontId="0" fillId="72" borderId="0" xfId="0" applyFill="1"/>
    <xf numFmtId="0" fontId="90" fillId="32" borderId="0" xfId="0" applyFont="1" applyFill="1" applyAlignment="1">
      <alignment horizontal="center" vertical="center"/>
    </xf>
    <xf numFmtId="167" fontId="90" fillId="32" borderId="0" xfId="0" applyNumberFormat="1" applyFont="1" applyFill="1" applyAlignment="1">
      <alignment horizontal="center" vertical="center"/>
    </xf>
    <xf numFmtId="0" fontId="0" fillId="0" borderId="0" xfId="0" applyAlignment="1">
      <alignment vertical="top" wrapText="1"/>
    </xf>
    <xf numFmtId="0" fontId="0" fillId="73" borderId="0" xfId="0" applyFill="1"/>
    <xf numFmtId="174" fontId="73" fillId="0" borderId="0" xfId="0" quotePrefix="1" applyNumberFormat="1" applyFont="1" applyAlignment="1">
      <alignment horizontal="right" vertical="center"/>
    </xf>
    <xf numFmtId="167" fontId="73" fillId="0" borderId="0" xfId="0" quotePrefix="1" applyNumberFormat="1" applyFont="1" applyAlignment="1">
      <alignment horizontal="right" vertical="center"/>
    </xf>
    <xf numFmtId="167" fontId="0" fillId="0" borderId="0" xfId="0" quotePrefix="1" applyNumberFormat="1"/>
    <xf numFmtId="1" fontId="36" fillId="0" borderId="0" xfId="0" applyNumberFormat="1" applyFont="1"/>
    <xf numFmtId="14" fontId="36" fillId="0" borderId="0" xfId="0" applyNumberFormat="1" applyFont="1"/>
    <xf numFmtId="0" fontId="172" fillId="0" borderId="0" xfId="0" applyFont="1" applyAlignment="1">
      <alignment horizontal="left"/>
    </xf>
    <xf numFmtId="0" fontId="36" fillId="0" borderId="0" xfId="0" applyFont="1" applyAlignment="1">
      <alignment vertical="center"/>
    </xf>
    <xf numFmtId="0" fontId="176" fillId="0" borderId="0" xfId="0" applyFont="1"/>
    <xf numFmtId="176" fontId="36" fillId="0" borderId="0" xfId="0" quotePrefix="1" applyNumberFormat="1" applyFont="1"/>
    <xf numFmtId="167" fontId="36" fillId="0" borderId="0" xfId="0" applyNumberFormat="1" applyFont="1" applyAlignment="1">
      <alignment horizontal="left"/>
    </xf>
    <xf numFmtId="0" fontId="172" fillId="0" borderId="0" xfId="0" quotePrefix="1" applyFont="1"/>
    <xf numFmtId="167" fontId="172" fillId="0" borderId="0" xfId="0" applyNumberFormat="1" applyFont="1"/>
    <xf numFmtId="14" fontId="172" fillId="0" borderId="0" xfId="0" applyNumberFormat="1" applyFont="1" applyAlignment="1">
      <alignment horizontal="center"/>
    </xf>
    <xf numFmtId="176" fontId="36" fillId="0" borderId="0" xfId="0" applyNumberFormat="1" applyFont="1"/>
    <xf numFmtId="169" fontId="36" fillId="0" borderId="0" xfId="0" applyNumberFormat="1" applyFont="1" applyAlignment="1">
      <alignment horizontal="center"/>
    </xf>
    <xf numFmtId="2" fontId="36" fillId="0" borderId="0" xfId="0" applyNumberFormat="1" applyFont="1" applyAlignment="1">
      <alignment horizontal="left"/>
    </xf>
    <xf numFmtId="169" fontId="0" fillId="0" borderId="0" xfId="0" applyNumberFormat="1" applyAlignment="1">
      <alignment horizontal="center"/>
    </xf>
    <xf numFmtId="176" fontId="172" fillId="0" borderId="0" xfId="0" applyNumberFormat="1" applyFont="1"/>
    <xf numFmtId="2" fontId="172" fillId="0" borderId="0" xfId="0" applyNumberFormat="1" applyFont="1" applyAlignment="1">
      <alignment horizontal="left"/>
    </xf>
    <xf numFmtId="0" fontId="172" fillId="0" borderId="0" xfId="0" applyFont="1" applyAlignment="1">
      <alignment horizontal="center"/>
    </xf>
    <xf numFmtId="176" fontId="172" fillId="0" borderId="0" xfId="0" applyNumberFormat="1" applyFont="1" applyAlignment="1">
      <alignment horizontal="center"/>
    </xf>
    <xf numFmtId="0" fontId="5" fillId="0" borderId="111" xfId="0" applyFont="1" applyBorder="1"/>
    <xf numFmtId="0" fontId="7" fillId="0" borderId="111" xfId="0" applyFont="1" applyBorder="1"/>
    <xf numFmtId="0" fontId="15" fillId="0" borderId="111" xfId="0" applyFont="1" applyBorder="1"/>
    <xf numFmtId="1" fontId="0" fillId="0" borderId="115" xfId="0" applyNumberFormat="1" applyBorder="1"/>
    <xf numFmtId="0" fontId="0" fillId="0" borderId="110" xfId="0" applyBorder="1"/>
    <xf numFmtId="0" fontId="16" fillId="0" borderId="111" xfId="0" applyFont="1" applyBorder="1" applyAlignment="1">
      <alignment horizontal="left" vertical="top"/>
    </xf>
    <xf numFmtId="3" fontId="36" fillId="13" borderId="0" xfId="13" applyNumberFormat="1" applyFont="1" applyFill="1" applyBorder="1" applyAlignment="1">
      <alignment horizontal="center"/>
    </xf>
    <xf numFmtId="0" fontId="36" fillId="13" borderId="0" xfId="0" applyFont="1" applyFill="1" applyAlignment="1">
      <alignment horizontal="left"/>
    </xf>
    <xf numFmtId="0" fontId="0" fillId="0" borderId="211" xfId="0" applyBorder="1"/>
    <xf numFmtId="0" fontId="0" fillId="4" borderId="211" xfId="0" applyFill="1" applyBorder="1"/>
    <xf numFmtId="0" fontId="79" fillId="2" borderId="0" xfId="0" applyFont="1" applyFill="1" applyAlignment="1">
      <alignment vertical="center"/>
    </xf>
    <xf numFmtId="0" fontId="83" fillId="2" borderId="0" xfId="0" applyFont="1" applyFill="1" applyAlignment="1">
      <alignment vertical="center"/>
    </xf>
    <xf numFmtId="0" fontId="4" fillId="0" borderId="0" xfId="0" applyFont="1" applyAlignment="1">
      <alignment horizontal="left" wrapText="1"/>
    </xf>
    <xf numFmtId="0" fontId="4" fillId="18" borderId="0" xfId="0" applyFont="1" applyFill="1" applyAlignment="1">
      <alignment wrapText="1"/>
    </xf>
    <xf numFmtId="0" fontId="4" fillId="22" borderId="0" xfId="0" applyFont="1" applyFill="1" applyAlignment="1">
      <alignment wrapText="1"/>
    </xf>
    <xf numFmtId="2" fontId="4" fillId="18" borderId="0" xfId="0" applyNumberFormat="1" applyFont="1" applyFill="1" applyAlignment="1">
      <alignment wrapText="1"/>
    </xf>
    <xf numFmtId="169" fontId="4" fillId="18" borderId="0" xfId="0" applyNumberFormat="1" applyFont="1" applyFill="1" applyAlignment="1">
      <alignment wrapText="1"/>
    </xf>
    <xf numFmtId="1" fontId="4" fillId="18" borderId="0" xfId="0" applyNumberFormat="1" applyFont="1" applyFill="1" applyAlignment="1">
      <alignment wrapText="1"/>
    </xf>
    <xf numFmtId="0" fontId="4" fillId="68" borderId="0" xfId="0" applyFont="1" applyFill="1" applyAlignment="1">
      <alignment wrapText="1"/>
    </xf>
    <xf numFmtId="172" fontId="4" fillId="18" borderId="0" xfId="0" applyNumberFormat="1" applyFont="1" applyFill="1" applyAlignment="1">
      <alignment wrapText="1"/>
    </xf>
    <xf numFmtId="3" fontId="4" fillId="18" borderId="0" xfId="0" applyNumberFormat="1" applyFont="1" applyFill="1" applyAlignment="1">
      <alignment wrapText="1"/>
    </xf>
    <xf numFmtId="0" fontId="4" fillId="74" borderId="0" xfId="0" applyFont="1" applyFill="1" applyAlignment="1">
      <alignment wrapText="1"/>
    </xf>
    <xf numFmtId="172" fontId="4" fillId="22" borderId="0" xfId="0" applyNumberFormat="1" applyFont="1" applyFill="1" applyAlignment="1">
      <alignment wrapText="1"/>
    </xf>
    <xf numFmtId="166" fontId="0" fillId="0" borderId="0" xfId="0" applyNumberFormat="1"/>
    <xf numFmtId="0" fontId="23" fillId="0" borderId="0" xfId="8"/>
    <xf numFmtId="166" fontId="0" fillId="70" borderId="0" xfId="0" applyNumberFormat="1" applyFill="1"/>
    <xf numFmtId="0" fontId="23" fillId="70" borderId="0" xfId="8" applyFill="1"/>
    <xf numFmtId="0" fontId="90" fillId="22" borderId="0" xfId="0" applyFont="1" applyFill="1" applyAlignment="1">
      <alignment horizontal="center" vertical="center"/>
    </xf>
    <xf numFmtId="0" fontId="90" fillId="22" borderId="8" xfId="0" applyFont="1" applyFill="1" applyBorder="1" applyAlignment="1">
      <alignment horizontal="center" vertical="center"/>
    </xf>
    <xf numFmtId="0" fontId="177" fillId="22" borderId="8" xfId="0" applyFont="1" applyFill="1" applyBorder="1" applyAlignment="1">
      <alignment horizontal="center" vertical="center"/>
    </xf>
    <xf numFmtId="0" fontId="199" fillId="0" borderId="0" xfId="0" applyFont="1" applyAlignment="1">
      <alignment horizontal="left"/>
    </xf>
    <xf numFmtId="167" fontId="200" fillId="0" borderId="0" xfId="0" applyNumberFormat="1" applyFont="1"/>
    <xf numFmtId="189" fontId="200" fillId="0" borderId="0" xfId="15" applyNumberFormat="1" applyFont="1" applyFill="1" applyBorder="1" applyAlignment="1"/>
    <xf numFmtId="0" fontId="201" fillId="9" borderId="1" xfId="1" applyFont="1" applyFill="1" applyBorder="1" applyProtection="1"/>
    <xf numFmtId="1" fontId="200" fillId="0" borderId="1" xfId="0" applyNumberFormat="1" applyFont="1" applyBorder="1"/>
    <xf numFmtId="172" fontId="200" fillId="0" borderId="1" xfId="0" applyNumberFormat="1" applyFont="1" applyBorder="1"/>
    <xf numFmtId="167" fontId="200" fillId="0" borderId="1" xfId="0" applyNumberFormat="1" applyFont="1" applyBorder="1"/>
    <xf numFmtId="3" fontId="172" fillId="0" borderId="0" xfId="13" applyNumberFormat="1" applyFont="1" applyFill="1" applyAlignment="1">
      <alignment horizontal="left"/>
    </xf>
    <xf numFmtId="167" fontId="172" fillId="0" borderId="0" xfId="0" applyNumberFormat="1" applyFont="1" applyAlignment="1">
      <alignment horizontal="left"/>
    </xf>
    <xf numFmtId="167" fontId="172" fillId="0" borderId="0" xfId="0" applyNumberFormat="1" applyFont="1" applyAlignment="1">
      <alignment horizontal="right"/>
    </xf>
    <xf numFmtId="167" fontId="172" fillId="0" borderId="0" xfId="13" applyNumberFormat="1" applyFont="1" applyFill="1" applyAlignment="1">
      <alignment horizontal="right"/>
    </xf>
    <xf numFmtId="189" fontId="172" fillId="0" borderId="0" xfId="15" applyNumberFormat="1" applyFont="1" applyFill="1" applyAlignment="1"/>
    <xf numFmtId="3" fontId="172" fillId="0" borderId="0" xfId="13" applyNumberFormat="1" applyFont="1" applyFill="1" applyAlignment="1"/>
    <xf numFmtId="3" fontId="172" fillId="0" borderId="0" xfId="13" applyNumberFormat="1" applyFont="1" applyFill="1" applyAlignment="1">
      <alignment horizontal="center"/>
    </xf>
    <xf numFmtId="0" fontId="177" fillId="0" borderId="0" xfId="0" applyFont="1" applyAlignment="1">
      <alignment horizontal="center" vertical="center"/>
    </xf>
    <xf numFmtId="3" fontId="0" fillId="0" borderId="0" xfId="0" applyNumberFormat="1"/>
    <xf numFmtId="0" fontId="36" fillId="32" borderId="0" xfId="0" applyFont="1" applyFill="1"/>
    <xf numFmtId="2" fontId="36" fillId="32" borderId="0" xfId="0" applyNumberFormat="1" applyFont="1" applyFill="1"/>
    <xf numFmtId="0" fontId="36" fillId="32" borderId="0" xfId="0" quotePrefix="1" applyFont="1" applyFill="1"/>
    <xf numFmtId="169" fontId="36" fillId="32" borderId="0" xfId="0" applyNumberFormat="1" applyFont="1" applyFill="1"/>
    <xf numFmtId="1" fontId="36" fillId="32" borderId="0" xfId="0" applyNumberFormat="1" applyFont="1" applyFill="1"/>
    <xf numFmtId="172" fontId="36" fillId="32" borderId="0" xfId="0" applyNumberFormat="1" applyFont="1" applyFill="1"/>
    <xf numFmtId="0" fontId="202" fillId="32" borderId="0" xfId="1" applyNumberFormat="1" applyFont="1" applyFill="1"/>
    <xf numFmtId="0" fontId="202" fillId="15" borderId="0" xfId="1" applyNumberFormat="1" applyFont="1" applyFill="1"/>
    <xf numFmtId="0" fontId="202" fillId="28" borderId="0" xfId="1" applyNumberFormat="1" applyFont="1" applyFill="1"/>
    <xf numFmtId="0" fontId="202" fillId="28" borderId="0" xfId="1" applyNumberFormat="1" applyFont="1" applyFill="1" applyAlignment="1">
      <alignment horizontal="left" vertical="top"/>
    </xf>
    <xf numFmtId="0" fontId="36" fillId="0" borderId="0" xfId="0" quotePrefix="1" applyFont="1" applyAlignment="1">
      <alignment horizontal="left"/>
    </xf>
    <xf numFmtId="0" fontId="203" fillId="0" borderId="0" xfId="0" quotePrefix="1" applyFont="1"/>
    <xf numFmtId="0" fontId="204" fillId="0" borderId="0" xfId="0" applyFont="1" applyAlignment="1">
      <alignment horizontal="left"/>
    </xf>
    <xf numFmtId="0" fontId="23" fillId="0" borderId="0" xfId="0" quotePrefix="1" applyFont="1"/>
    <xf numFmtId="14" fontId="32" fillId="0" borderId="0" xfId="0" applyNumberFormat="1" applyFont="1" applyAlignment="1">
      <alignment horizontal="center"/>
    </xf>
    <xf numFmtId="0" fontId="32" fillId="0" borderId="0" xfId="0" applyFont="1" applyAlignment="1">
      <alignment horizontal="center" wrapText="1"/>
    </xf>
    <xf numFmtId="49" fontId="32" fillId="0" borderId="0" xfId="0" applyNumberFormat="1" applyFont="1" applyAlignment="1">
      <alignment horizontal="left" wrapText="1"/>
    </xf>
    <xf numFmtId="0" fontId="32" fillId="0" borderId="0" xfId="0" applyFont="1" applyAlignment="1">
      <alignment horizontal="left" vertical="center" wrapText="1"/>
    </xf>
    <xf numFmtId="0" fontId="31" fillId="0" borderId="71" xfId="0" applyFont="1" applyBorder="1"/>
    <xf numFmtId="0" fontId="31" fillId="0" borderId="71" xfId="0" applyFont="1" applyBorder="1" applyAlignment="1">
      <alignment horizontal="center"/>
    </xf>
    <xf numFmtId="49" fontId="36" fillId="0" borderId="0" xfId="0" quotePrefix="1" applyNumberFormat="1" applyFont="1" applyAlignment="1">
      <alignment horizontal="left"/>
    </xf>
    <xf numFmtId="0" fontId="32" fillId="0" borderId="1" xfId="0" applyFont="1" applyBorder="1" applyAlignment="1">
      <alignment horizontal="left" vertical="center" wrapText="1"/>
    </xf>
    <xf numFmtId="49" fontId="32" fillId="0" borderId="7" xfId="0" applyNumberFormat="1" applyFont="1" applyBorder="1" applyAlignment="1">
      <alignment horizontal="left" vertical="top" wrapText="1"/>
    </xf>
    <xf numFmtId="14" fontId="32" fillId="0" borderId="7" xfId="0" applyNumberFormat="1" applyFont="1" applyBorder="1" applyAlignment="1">
      <alignment horizontal="left" vertical="top"/>
    </xf>
    <xf numFmtId="0" fontId="32" fillId="0" borderId="7" xfId="0" applyFont="1" applyBorder="1" applyAlignment="1">
      <alignment horizontal="left" vertical="top" wrapText="1"/>
    </xf>
    <xf numFmtId="0" fontId="32" fillId="0" borderId="7" xfId="0" applyFont="1" applyBorder="1" applyAlignment="1">
      <alignment horizontal="left" vertical="center" wrapText="1"/>
    </xf>
    <xf numFmtId="0" fontId="32" fillId="0" borderId="212" xfId="0" applyFont="1" applyBorder="1" applyAlignment="1">
      <alignment horizontal="left" vertical="center" wrapText="1"/>
    </xf>
    <xf numFmtId="0" fontId="205" fillId="0" borderId="0" xfId="0" applyFont="1"/>
    <xf numFmtId="0" fontId="32" fillId="0" borderId="6" xfId="0" applyFont="1" applyBorder="1" applyAlignment="1">
      <alignment horizontal="left" vertical="center" wrapText="1"/>
    </xf>
    <xf numFmtId="0" fontId="192" fillId="0" borderId="0" xfId="0" applyFont="1"/>
    <xf numFmtId="169" fontId="36" fillId="0" borderId="0" xfId="0" applyNumberFormat="1" applyFont="1"/>
    <xf numFmtId="169" fontId="193" fillId="0" borderId="0" xfId="0" applyNumberFormat="1" applyFont="1"/>
    <xf numFmtId="175" fontId="0" fillId="0" borderId="0" xfId="0" applyNumberFormat="1"/>
    <xf numFmtId="0" fontId="37" fillId="0" borderId="0" xfId="14" applyFont="1"/>
    <xf numFmtId="0" fontId="49" fillId="0" borderId="0" xfId="14"/>
    <xf numFmtId="10" fontId="0" fillId="0" borderId="0" xfId="6" applyNumberFormat="1" applyFont="1" applyFill="1" applyAlignment="1">
      <alignment horizontal="center"/>
    </xf>
    <xf numFmtId="0" fontId="115" fillId="0" borderId="0" xfId="14" applyFont="1"/>
    <xf numFmtId="0" fontId="49" fillId="0" borderId="1" xfId="14" applyBorder="1" applyAlignment="1">
      <alignment wrapText="1"/>
    </xf>
    <xf numFmtId="0" fontId="49" fillId="0" borderId="1" xfId="14" applyBorder="1" applyAlignment="1">
      <alignment horizontal="right"/>
    </xf>
    <xf numFmtId="178" fontId="49" fillId="0" borderId="1" xfId="14" applyNumberFormat="1" applyBorder="1"/>
    <xf numFmtId="172" fontId="49" fillId="0" borderId="1" xfId="14" applyNumberFormat="1" applyBorder="1"/>
    <xf numFmtId="0" fontId="49" fillId="0" borderId="0" xfId="14" applyAlignment="1">
      <alignment horizontal="left"/>
    </xf>
    <xf numFmtId="179" fontId="49" fillId="0" borderId="1" xfId="14" applyNumberFormat="1" applyBorder="1"/>
    <xf numFmtId="0" fontId="37" fillId="0" borderId="1" xfId="14" applyFont="1" applyBorder="1" applyAlignment="1">
      <alignment horizontal="center"/>
    </xf>
    <xf numFmtId="0" fontId="49" fillId="0" borderId="0" xfId="14" applyAlignment="1">
      <alignment wrapText="1"/>
    </xf>
    <xf numFmtId="179" fontId="68" fillId="0" borderId="0" xfId="14" applyNumberFormat="1" applyFont="1"/>
    <xf numFmtId="0" fontId="37" fillId="0" borderId="1" xfId="14" applyFont="1" applyBorder="1"/>
    <xf numFmtId="172" fontId="68" fillId="0" borderId="0" xfId="14" applyNumberFormat="1" applyFont="1"/>
    <xf numFmtId="0" fontId="37" fillId="0" borderId="5" xfId="14" applyFont="1" applyBorder="1" applyAlignment="1">
      <alignment horizontal="center"/>
    </xf>
    <xf numFmtId="0" fontId="37" fillId="0" borderId="8" xfId="14" applyFont="1" applyBorder="1" applyAlignment="1">
      <alignment horizontal="center"/>
    </xf>
    <xf numFmtId="0" fontId="37" fillId="0" borderId="14" xfId="14" applyFont="1" applyBorder="1" applyAlignment="1">
      <alignment horizontal="center"/>
    </xf>
    <xf numFmtId="0" fontId="49" fillId="0" borderId="2" xfId="14" applyBorder="1" applyAlignment="1">
      <alignment horizontal="center"/>
    </xf>
    <xf numFmtId="175" fontId="49" fillId="0" borderId="1" xfId="14" applyNumberFormat="1" applyBorder="1" applyAlignment="1">
      <alignment horizontal="center"/>
    </xf>
    <xf numFmtId="167" fontId="49" fillId="0" borderId="1" xfId="14" applyNumberFormat="1" applyBorder="1" applyAlignment="1">
      <alignment horizontal="center"/>
    </xf>
    <xf numFmtId="167" fontId="49" fillId="0" borderId="15" xfId="14" applyNumberFormat="1" applyBorder="1" applyAlignment="1">
      <alignment horizontal="center"/>
    </xf>
    <xf numFmtId="10" fontId="0" fillId="0" borderId="1" xfId="6" applyNumberFormat="1" applyFont="1" applyFill="1" applyBorder="1"/>
    <xf numFmtId="0" fontId="37" fillId="0" borderId="1" xfId="14" applyFont="1" applyBorder="1" applyAlignment="1">
      <alignment horizontal="center" wrapText="1"/>
    </xf>
    <xf numFmtId="1" fontId="49" fillId="0" borderId="1" xfId="14" applyNumberFormat="1" applyBorder="1" applyAlignment="1">
      <alignment horizontal="center"/>
    </xf>
    <xf numFmtId="187" fontId="49" fillId="0" borderId="1" xfId="14" applyNumberFormat="1" applyBorder="1" applyAlignment="1">
      <alignment horizontal="center"/>
    </xf>
    <xf numFmtId="187" fontId="49" fillId="0" borderId="1" xfId="14" applyNumberFormat="1" applyBorder="1"/>
    <xf numFmtId="175" fontId="49" fillId="0" borderId="1" xfId="14" applyNumberFormat="1" applyBorder="1"/>
    <xf numFmtId="181" fontId="49" fillId="0" borderId="0" xfId="13" applyNumberFormat="1" applyFont="1" applyFill="1" applyBorder="1"/>
    <xf numFmtId="177" fontId="0" fillId="0" borderId="0" xfId="0" applyNumberFormat="1"/>
    <xf numFmtId="177" fontId="49" fillId="0" borderId="1" xfId="14" applyNumberFormat="1" applyBorder="1"/>
    <xf numFmtId="177" fontId="37" fillId="0" borderId="1" xfId="14" applyNumberFormat="1" applyFont="1" applyBorder="1"/>
    <xf numFmtId="169" fontId="36" fillId="0" borderId="0" xfId="0" applyNumberFormat="1" applyFont="1" applyAlignment="1">
      <alignment horizontal="left"/>
    </xf>
    <xf numFmtId="2" fontId="0" fillId="0" borderId="0" xfId="15" applyNumberFormat="1" applyFont="1" applyFill="1"/>
    <xf numFmtId="0" fontId="0" fillId="76" borderId="0" xfId="0" applyFill="1"/>
    <xf numFmtId="0" fontId="215" fillId="0" borderId="0" xfId="0" applyFont="1"/>
    <xf numFmtId="0" fontId="194" fillId="0" borderId="0" xfId="0" applyFont="1" applyAlignment="1">
      <alignment horizontal="left"/>
    </xf>
    <xf numFmtId="0" fontId="25" fillId="0" borderId="71" xfId="0" applyFont="1" applyBorder="1" applyAlignment="1">
      <alignment horizontal="center" wrapText="1"/>
    </xf>
    <xf numFmtId="0" fontId="27" fillId="0" borderId="71" xfId="0" applyFont="1" applyBorder="1" applyAlignment="1">
      <alignment horizontal="center" wrapText="1"/>
    </xf>
    <xf numFmtId="0" fontId="33" fillId="13" borderId="0" xfId="0" applyFont="1" applyFill="1"/>
    <xf numFmtId="0" fontId="27" fillId="4" borderId="71" xfId="0" applyFont="1" applyFill="1" applyBorder="1" applyAlignment="1">
      <alignment horizontal="center" wrapText="1"/>
    </xf>
    <xf numFmtId="0" fontId="25" fillId="4" borderId="71" xfId="0" applyFont="1" applyFill="1" applyBorder="1" applyAlignment="1">
      <alignment horizontal="center" wrapText="1"/>
    </xf>
    <xf numFmtId="169" fontId="0" fillId="13" borderId="0" xfId="0" applyNumberFormat="1" applyFill="1"/>
    <xf numFmtId="167" fontId="0" fillId="13" borderId="0" xfId="0" applyNumberFormat="1" applyFill="1"/>
    <xf numFmtId="0" fontId="0" fillId="13" borderId="0" xfId="0" applyFill="1" applyAlignment="1">
      <alignment horizontal="center"/>
    </xf>
    <xf numFmtId="49" fontId="32" fillId="0" borderId="1" xfId="0" applyNumberFormat="1" applyFont="1" applyBorder="1" applyAlignment="1">
      <alignment horizontal="left" vertical="top" wrapText="1"/>
    </xf>
    <xf numFmtId="0" fontId="42" fillId="0" borderId="0" xfId="0" applyFont="1" applyAlignment="1">
      <alignment vertical="top" wrapText="1"/>
    </xf>
    <xf numFmtId="0" fontId="22" fillId="13" borderId="0" xfId="1" applyFill="1"/>
    <xf numFmtId="14" fontId="32" fillId="0" borderId="1" xfId="0" applyNumberFormat="1" applyFont="1" applyBorder="1" applyAlignment="1">
      <alignment vertical="top"/>
    </xf>
    <xf numFmtId="0" fontId="32" fillId="0" borderId="1" xfId="0" applyFont="1" applyBorder="1" applyAlignment="1">
      <alignment vertical="top" wrapText="1"/>
    </xf>
    <xf numFmtId="49" fontId="32" fillId="0" borderId="1" xfId="0" applyNumberFormat="1" applyFont="1" applyBorder="1" applyAlignment="1">
      <alignment vertical="top" wrapText="1"/>
    </xf>
    <xf numFmtId="191" fontId="0" fillId="0" borderId="0" xfId="0" applyNumberFormat="1"/>
    <xf numFmtId="192" fontId="0" fillId="0" borderId="0" xfId="0" applyNumberFormat="1"/>
    <xf numFmtId="169" fontId="90" fillId="0" borderId="0" xfId="0" applyNumberFormat="1" applyFont="1"/>
    <xf numFmtId="189" fontId="139" fillId="0" borderId="0" xfId="15" applyNumberFormat="1" applyFont="1" applyFill="1" applyBorder="1" applyAlignment="1"/>
    <xf numFmtId="189" fontId="147" fillId="0" borderId="0" xfId="15" applyNumberFormat="1" applyFont="1" applyFill="1" applyAlignment="1"/>
    <xf numFmtId="2" fontId="36" fillId="0" borderId="0" xfId="0" applyNumberFormat="1" applyFont="1"/>
    <xf numFmtId="2" fontId="36" fillId="0" borderId="0" xfId="0" quotePrefix="1" applyNumberFormat="1" applyFont="1"/>
    <xf numFmtId="2" fontId="172" fillId="0" borderId="0" xfId="0" applyNumberFormat="1" applyFont="1"/>
    <xf numFmtId="0" fontId="0" fillId="81" borderId="0" xfId="0" applyFill="1"/>
    <xf numFmtId="185" fontId="172" fillId="0" borderId="0" xfId="13" applyNumberFormat="1" applyFont="1" applyFill="1" applyAlignment="1">
      <alignment horizontal="left"/>
    </xf>
    <xf numFmtId="0" fontId="0" fillId="82" borderId="0" xfId="0" applyFill="1"/>
    <xf numFmtId="0" fontId="172" fillId="13" borderId="0" xfId="0" applyFont="1" applyFill="1" applyAlignment="1">
      <alignment horizontal="left"/>
    </xf>
    <xf numFmtId="169" fontId="36" fillId="13" borderId="0" xfId="0" applyNumberFormat="1" applyFont="1" applyFill="1" applyAlignment="1">
      <alignment horizontal="center"/>
    </xf>
    <xf numFmtId="14" fontId="172" fillId="13" borderId="0" xfId="0" applyNumberFormat="1" applyFont="1" applyFill="1" applyAlignment="1">
      <alignment horizontal="center"/>
    </xf>
    <xf numFmtId="0" fontId="36" fillId="13" borderId="0" xfId="0" applyFont="1" applyFill="1" applyAlignment="1">
      <alignment horizontal="center"/>
    </xf>
    <xf numFmtId="169" fontId="36" fillId="13" borderId="0" xfId="0" applyNumberFormat="1" applyFont="1" applyFill="1" applyAlignment="1">
      <alignment horizontal="left"/>
    </xf>
    <xf numFmtId="2" fontId="172" fillId="13" borderId="0" xfId="0" applyNumberFormat="1" applyFont="1" applyFill="1" applyAlignment="1">
      <alignment horizontal="left"/>
    </xf>
    <xf numFmtId="0" fontId="36" fillId="13" borderId="0" xfId="0" applyFont="1" applyFill="1"/>
    <xf numFmtId="2" fontId="172" fillId="13" borderId="0" xfId="0" applyNumberFormat="1" applyFont="1" applyFill="1"/>
    <xf numFmtId="2" fontId="36" fillId="13" borderId="0" xfId="0" applyNumberFormat="1" applyFont="1" applyFill="1"/>
    <xf numFmtId="167" fontId="172" fillId="13" borderId="0" xfId="0" applyNumberFormat="1" applyFont="1" applyFill="1"/>
    <xf numFmtId="167" fontId="36" fillId="13" borderId="0" xfId="0" applyNumberFormat="1" applyFont="1" applyFill="1" applyAlignment="1">
      <alignment horizontal="right"/>
    </xf>
    <xf numFmtId="167" fontId="200" fillId="13" borderId="0" xfId="0" applyNumberFormat="1" applyFont="1" applyFill="1"/>
    <xf numFmtId="189" fontId="200" fillId="13" borderId="0" xfId="15" applyNumberFormat="1" applyFont="1" applyFill="1" applyBorder="1" applyAlignment="1"/>
    <xf numFmtId="169" fontId="0" fillId="13" borderId="0" xfId="0" applyNumberFormat="1" applyFill="1" applyAlignment="1">
      <alignment horizontal="center"/>
    </xf>
    <xf numFmtId="2" fontId="36" fillId="13" borderId="0" xfId="0" quotePrefix="1" applyNumberFormat="1" applyFont="1" applyFill="1"/>
    <xf numFmtId="0" fontId="30" fillId="0" borderId="0" xfId="0" applyFont="1" applyAlignment="1">
      <alignment horizontal="center" vertical="center"/>
    </xf>
    <xf numFmtId="14" fontId="32" fillId="0" borderId="213" xfId="0" applyNumberFormat="1" applyFont="1" applyBorder="1" applyAlignment="1">
      <alignment horizontal="left" vertical="top"/>
    </xf>
    <xf numFmtId="14" fontId="32" fillId="0" borderId="7" xfId="0" applyNumberFormat="1" applyFont="1" applyBorder="1" applyAlignment="1">
      <alignment horizontal="left" vertical="top"/>
    </xf>
    <xf numFmtId="0" fontId="32" fillId="0" borderId="213" xfId="0" applyFont="1" applyBorder="1" applyAlignment="1">
      <alignment horizontal="left" vertical="top" wrapText="1"/>
    </xf>
    <xf numFmtId="0" fontId="32" fillId="0" borderId="7" xfId="0" applyFont="1" applyBorder="1" applyAlignment="1">
      <alignment horizontal="left" vertical="top" wrapText="1"/>
    </xf>
    <xf numFmtId="49" fontId="32" fillId="0" borderId="213" xfId="0" applyNumberFormat="1" applyFont="1" applyBorder="1" applyAlignment="1">
      <alignment horizontal="left" vertical="top" wrapText="1"/>
    </xf>
    <xf numFmtId="49" fontId="32" fillId="0" borderId="7" xfId="0" applyNumberFormat="1" applyFont="1" applyBorder="1" applyAlignment="1">
      <alignment horizontal="left" vertical="top" wrapText="1"/>
    </xf>
    <xf numFmtId="49" fontId="32" fillId="0" borderId="1" xfId="0" applyNumberFormat="1" applyFont="1" applyBorder="1" applyAlignment="1">
      <alignment horizontal="left" vertical="top" wrapText="1"/>
    </xf>
    <xf numFmtId="14" fontId="32" fillId="0" borderId="1" xfId="0" applyNumberFormat="1" applyFont="1" applyBorder="1" applyAlignment="1">
      <alignment horizontal="left" vertical="top"/>
    </xf>
    <xf numFmtId="0" fontId="32" fillId="0" borderId="1" xfId="0" applyFont="1" applyBorder="1" applyAlignment="1">
      <alignment horizontal="left" vertical="top" wrapText="1"/>
    </xf>
    <xf numFmtId="14" fontId="32" fillId="0" borderId="8" xfId="0" applyNumberFormat="1" applyFont="1" applyBorder="1" applyAlignment="1">
      <alignment horizontal="left" vertical="top"/>
    </xf>
    <xf numFmtId="0" fontId="32" fillId="0" borderId="8" xfId="0" applyFont="1" applyBorder="1" applyAlignment="1">
      <alignment horizontal="left" vertical="top" wrapText="1"/>
    </xf>
    <xf numFmtId="49" fontId="32" fillId="0" borderId="8" xfId="0" applyNumberFormat="1" applyFont="1" applyBorder="1" applyAlignment="1">
      <alignment horizontal="left" vertical="top" wrapText="1"/>
    </xf>
    <xf numFmtId="49" fontId="32" fillId="0" borderId="212" xfId="0" applyNumberFormat="1" applyFont="1" applyBorder="1" applyAlignment="1">
      <alignment horizontal="left" vertical="top" wrapText="1"/>
    </xf>
    <xf numFmtId="49" fontId="32" fillId="0" borderId="6" xfId="0" applyNumberFormat="1" applyFont="1" applyBorder="1" applyAlignment="1">
      <alignment horizontal="left" vertical="top" wrapText="1"/>
    </xf>
    <xf numFmtId="14" fontId="32" fillId="0" borderId="212" xfId="0" applyNumberFormat="1" applyFont="1" applyBorder="1" applyAlignment="1">
      <alignment horizontal="left" vertical="top"/>
    </xf>
    <xf numFmtId="0" fontId="32" fillId="0" borderId="212" xfId="0" applyFont="1" applyBorder="1" applyAlignment="1">
      <alignment horizontal="left" vertical="top" wrapText="1"/>
    </xf>
    <xf numFmtId="14" fontId="32" fillId="0" borderId="6" xfId="0" applyNumberFormat="1" applyFont="1" applyBorder="1" applyAlignment="1">
      <alignment horizontal="left" vertical="top"/>
    </xf>
    <xf numFmtId="0" fontId="32" fillId="0" borderId="6" xfId="0" applyFont="1" applyBorder="1" applyAlignment="1">
      <alignment horizontal="left" vertical="top" wrapText="1"/>
    </xf>
    <xf numFmtId="0" fontId="33" fillId="0" borderId="0" xfId="0" applyFont="1" applyAlignment="1">
      <alignment horizontal="center" wrapText="1"/>
    </xf>
    <xf numFmtId="0" fontId="0" fillId="0" borderId="0" xfId="0" applyAlignment="1">
      <alignment horizontal="center"/>
    </xf>
    <xf numFmtId="0" fontId="23" fillId="0" borderId="0" xfId="8" applyAlignment="1">
      <alignment horizontal="center" wrapText="1"/>
    </xf>
    <xf numFmtId="0" fontId="23" fillId="0" borderId="0" xfId="8" applyAlignment="1">
      <alignment horizontal="center"/>
    </xf>
    <xf numFmtId="0" fontId="37" fillId="0" borderId="1" xfId="14" applyFont="1" applyBorder="1" applyAlignment="1">
      <alignment horizontal="center"/>
    </xf>
    <xf numFmtId="0" fontId="37" fillId="0" borderId="15" xfId="14" applyFont="1" applyBorder="1" applyAlignment="1">
      <alignment horizontal="center"/>
    </xf>
    <xf numFmtId="0" fontId="37" fillId="0" borderId="20" xfId="14" applyFont="1" applyBorder="1" applyAlignment="1">
      <alignment horizontal="center"/>
    </xf>
    <xf numFmtId="0" fontId="37" fillId="0" borderId="2" xfId="14" applyFont="1" applyBorder="1" applyAlignment="1">
      <alignment horizontal="center"/>
    </xf>
    <xf numFmtId="172" fontId="37" fillId="0" borderId="15" xfId="14" applyNumberFormat="1" applyFont="1" applyBorder="1" applyAlignment="1">
      <alignment horizontal="center"/>
    </xf>
    <xf numFmtId="172" fontId="37" fillId="0" borderId="20" xfId="14" applyNumberFormat="1" applyFont="1" applyBorder="1" applyAlignment="1">
      <alignment horizontal="center"/>
    </xf>
    <xf numFmtId="172" fontId="37" fillId="0" borderId="2" xfId="14" applyNumberFormat="1" applyFont="1" applyBorder="1" applyAlignment="1">
      <alignment horizontal="center"/>
    </xf>
    <xf numFmtId="0" fontId="25" fillId="0" borderId="0" xfId="0" applyFont="1" applyAlignment="1">
      <alignment horizontal="left"/>
    </xf>
    <xf numFmtId="165" fontId="25" fillId="0" borderId="0" xfId="0" applyNumberFormat="1" applyFont="1" applyAlignment="1">
      <alignment horizontal="left"/>
    </xf>
    <xf numFmtId="0" fontId="96" fillId="0" borderId="0" xfId="0" applyFont="1" applyAlignment="1">
      <alignment horizontal="left"/>
    </xf>
    <xf numFmtId="0" fontId="212" fillId="76" borderId="0" xfId="1" applyFont="1" applyFill="1" applyAlignment="1">
      <alignment horizontal="center" vertical="top" wrapText="1"/>
    </xf>
    <xf numFmtId="0" fontId="212" fillId="0" borderId="0" xfId="1" applyFont="1" applyAlignment="1">
      <alignment horizontal="center"/>
    </xf>
    <xf numFmtId="0" fontId="213" fillId="75" borderId="0" xfId="0" applyFont="1" applyFill="1" applyAlignment="1">
      <alignment horizontal="left" vertical="center"/>
    </xf>
    <xf numFmtId="0" fontId="48" fillId="76" borderId="0" xfId="0" applyFont="1" applyFill="1" applyAlignment="1">
      <alignment horizontal="left"/>
    </xf>
    <xf numFmtId="0" fontId="116" fillId="4" borderId="0" xfId="91" applyFont="1" applyFill="1" applyBorder="1" applyAlignment="1" applyProtection="1">
      <alignment horizontal="center" vertical="center" wrapText="1"/>
      <protection hidden="1"/>
    </xf>
    <xf numFmtId="0" fontId="116" fillId="4" borderId="211" xfId="91" applyFont="1" applyFill="1" applyBorder="1" applyAlignment="1" applyProtection="1">
      <alignment horizontal="center" vertical="center" wrapText="1"/>
      <protection hidden="1"/>
    </xf>
    <xf numFmtId="0" fontId="134" fillId="0" borderId="0" xfId="91" applyFont="1" applyFill="1" applyBorder="1" applyAlignment="1" applyProtection="1">
      <alignment horizontal="center" vertical="center" wrapText="1"/>
      <protection hidden="1"/>
    </xf>
    <xf numFmtId="0" fontId="134" fillId="0" borderId="211" xfId="91" applyFont="1" applyFill="1" applyBorder="1" applyAlignment="1" applyProtection="1">
      <alignment horizontal="center" vertical="center" wrapText="1"/>
      <protection hidden="1"/>
    </xf>
    <xf numFmtId="0" fontId="134" fillId="17" borderId="35" xfId="1" applyFont="1" applyFill="1" applyBorder="1" applyAlignment="1" applyProtection="1">
      <alignment horizontal="center" vertical="center" wrapText="1"/>
      <protection hidden="1"/>
    </xf>
    <xf numFmtId="0" fontId="134" fillId="17" borderId="0" xfId="1" applyFont="1" applyFill="1" applyBorder="1" applyAlignment="1" applyProtection="1">
      <alignment horizontal="center" vertical="center" wrapText="1"/>
      <protection hidden="1"/>
    </xf>
    <xf numFmtId="0" fontId="134" fillId="17" borderId="34" xfId="1" applyFont="1" applyFill="1" applyBorder="1" applyAlignment="1" applyProtection="1">
      <alignment horizontal="center" vertical="center" wrapText="1"/>
      <protection hidden="1"/>
    </xf>
    <xf numFmtId="0" fontId="120" fillId="4" borderId="0" xfId="91" applyFont="1" applyFill="1" applyBorder="1" applyAlignment="1" applyProtection="1">
      <alignment horizontal="center" vertical="center" wrapText="1"/>
      <protection hidden="1"/>
    </xf>
    <xf numFmtId="0" fontId="121" fillId="4" borderId="0" xfId="91" applyFont="1" applyFill="1" applyBorder="1" applyAlignment="1" applyProtection="1">
      <alignment horizontal="center" vertical="center" wrapText="1"/>
      <protection hidden="1"/>
    </xf>
    <xf numFmtId="0" fontId="121" fillId="4" borderId="211" xfId="91" applyFont="1" applyFill="1" applyBorder="1" applyAlignment="1" applyProtection="1">
      <alignment horizontal="center" vertical="center" wrapText="1"/>
      <protection hidden="1"/>
    </xf>
    <xf numFmtId="0" fontId="48" fillId="17" borderId="0" xfId="0" applyFont="1" applyFill="1" applyAlignment="1">
      <alignment horizontal="center" shrinkToFit="1"/>
    </xf>
    <xf numFmtId="0" fontId="48" fillId="17" borderId="211" xfId="0" applyFont="1" applyFill="1" applyBorder="1" applyAlignment="1">
      <alignment horizontal="center" shrinkToFit="1"/>
    </xf>
    <xf numFmtId="0" fontId="39" fillId="0" borderId="0" xfId="0" applyFont="1" applyAlignment="1">
      <alignment horizontal="center" vertical="center" wrapText="1"/>
    </xf>
    <xf numFmtId="0" fontId="39" fillId="0" borderId="211" xfId="0" applyFont="1" applyBorder="1" applyAlignment="1">
      <alignment horizontal="center" vertical="center" wrapText="1"/>
    </xf>
    <xf numFmtId="0" fontId="132" fillId="0" borderId="0" xfId="0" applyFont="1" applyAlignment="1">
      <alignment horizontal="right" wrapText="1"/>
    </xf>
    <xf numFmtId="0" fontId="43" fillId="29" borderId="0" xfId="0" applyFont="1" applyFill="1" applyAlignment="1">
      <alignment horizontal="center" vertical="top" wrapText="1"/>
    </xf>
    <xf numFmtId="0" fontId="205" fillId="0" borderId="0" xfId="0" applyFont="1" applyAlignment="1">
      <alignment horizontal="left" vertical="top"/>
    </xf>
    <xf numFmtId="0" fontId="207" fillId="0" borderId="0" xfId="0" applyFont="1" applyAlignment="1">
      <alignment horizontal="center" vertical="center"/>
    </xf>
    <xf numFmtId="0" fontId="206" fillId="0" borderId="0" xfId="0" applyFont="1" applyAlignment="1">
      <alignment horizontal="left" vertical="top" wrapText="1"/>
    </xf>
    <xf numFmtId="0" fontId="208" fillId="0" borderId="0" xfId="0" applyFont="1" applyAlignment="1">
      <alignment horizontal="center" vertical="top" wrapText="1"/>
    </xf>
    <xf numFmtId="0" fontId="208" fillId="0" borderId="0" xfId="0" applyFont="1" applyAlignment="1">
      <alignment horizontal="center" vertical="top"/>
    </xf>
    <xf numFmtId="0" fontId="211" fillId="0" borderId="0" xfId="0" applyFont="1" applyAlignment="1">
      <alignment horizontal="center" vertical="top" wrapText="1"/>
    </xf>
    <xf numFmtId="0" fontId="210" fillId="0" borderId="0" xfId="0" applyFont="1" applyAlignment="1">
      <alignment horizontal="center" vertical="top" wrapText="1"/>
    </xf>
    <xf numFmtId="0" fontId="210" fillId="0" borderId="0" xfId="0" applyFont="1" applyAlignment="1">
      <alignment horizontal="center" vertical="top"/>
    </xf>
    <xf numFmtId="0" fontId="214" fillId="0" borderId="0" xfId="0" applyFont="1" applyAlignment="1">
      <alignment horizontal="justify" vertical="top" wrapText="1"/>
    </xf>
    <xf numFmtId="0" fontId="0" fillId="0" borderId="0" xfId="0" applyAlignment="1">
      <alignment horizontal="left" vertical="top" wrapText="1"/>
    </xf>
    <xf numFmtId="0" fontId="130" fillId="0" borderId="0" xfId="0" applyFont="1" applyAlignment="1">
      <alignment horizontal="center" vertical="center"/>
    </xf>
    <xf numFmtId="0" fontId="111" fillId="0" borderId="0" xfId="0" applyFont="1" applyAlignment="1">
      <alignment horizontal="center"/>
    </xf>
    <xf numFmtId="0" fontId="50" fillId="0" borderId="0" xfId="0" applyFont="1" applyAlignment="1">
      <alignment horizontal="center" vertical="center" wrapText="1"/>
    </xf>
    <xf numFmtId="167" fontId="129" fillId="0" borderId="35" xfId="0" applyNumberFormat="1" applyFont="1" applyBorder="1" applyAlignment="1">
      <alignment horizontal="center"/>
    </xf>
    <xf numFmtId="167" fontId="129" fillId="0" borderId="0" xfId="0" applyNumberFormat="1" applyFont="1" applyAlignment="1">
      <alignment horizontal="center"/>
    </xf>
    <xf numFmtId="0" fontId="80" fillId="0" borderId="0" xfId="0" applyFont="1" applyAlignment="1">
      <alignment horizontal="left"/>
    </xf>
    <xf numFmtId="0" fontId="80" fillId="0" borderId="36" xfId="0" applyFont="1" applyBorder="1" applyAlignment="1" applyProtection="1">
      <alignment horizontal="left"/>
      <protection locked="0"/>
    </xf>
    <xf numFmtId="0" fontId="80" fillId="0" borderId="37" xfId="0" applyFont="1" applyBorder="1" applyAlignment="1" applyProtection="1">
      <alignment horizontal="left"/>
      <protection locked="0"/>
    </xf>
    <xf numFmtId="0" fontId="80" fillId="0" borderId="38" xfId="0" applyFont="1" applyBorder="1" applyAlignment="1" applyProtection="1">
      <alignment horizontal="left"/>
      <protection locked="0"/>
    </xf>
    <xf numFmtId="0" fontId="80" fillId="2" borderId="46" xfId="0" applyFont="1" applyFill="1" applyBorder="1" applyAlignment="1">
      <alignment horizontal="left" vertical="center" wrapText="1"/>
    </xf>
    <xf numFmtId="0" fontId="80" fillId="2" borderId="47" xfId="0" applyFont="1" applyFill="1" applyBorder="1" applyAlignment="1">
      <alignment horizontal="left" vertical="center" wrapText="1"/>
    </xf>
    <xf numFmtId="0" fontId="80" fillId="2" borderId="48" xfId="0" applyFont="1" applyFill="1" applyBorder="1" applyAlignment="1">
      <alignment horizontal="left" vertical="center" wrapText="1"/>
    </xf>
    <xf numFmtId="0" fontId="80" fillId="2" borderId="51" xfId="0" applyFont="1" applyFill="1" applyBorder="1" applyAlignment="1">
      <alignment horizontal="left" vertical="center" wrapText="1"/>
    </xf>
    <xf numFmtId="0" fontId="80" fillId="2" borderId="52" xfId="0" applyFont="1" applyFill="1" applyBorder="1" applyAlignment="1">
      <alignment horizontal="left" vertical="center" wrapText="1"/>
    </xf>
    <xf numFmtId="0" fontId="80" fillId="2" borderId="53" xfId="0" applyFont="1" applyFill="1" applyBorder="1" applyAlignment="1">
      <alignment horizontal="left" vertical="center" wrapText="1"/>
    </xf>
    <xf numFmtId="14" fontId="80" fillId="0" borderId="36" xfId="0" applyNumberFormat="1" applyFont="1" applyBorder="1" applyAlignment="1" applyProtection="1">
      <alignment horizontal="left"/>
      <protection locked="0"/>
    </xf>
    <xf numFmtId="14" fontId="80" fillId="0" borderId="37" xfId="0" applyNumberFormat="1" applyFont="1" applyBorder="1" applyAlignment="1" applyProtection="1">
      <alignment horizontal="left"/>
      <protection locked="0"/>
    </xf>
    <xf numFmtId="14" fontId="80" fillId="0" borderId="38" xfId="0" applyNumberFormat="1" applyFont="1" applyBorder="1" applyAlignment="1" applyProtection="1">
      <alignment horizontal="left"/>
      <protection locked="0"/>
    </xf>
    <xf numFmtId="0" fontId="78" fillId="0" borderId="34" xfId="0" applyFont="1" applyBorder="1" applyAlignment="1">
      <alignment horizontal="center" vertical="center"/>
    </xf>
    <xf numFmtId="0" fontId="78" fillId="0" borderId="0" xfId="0" applyFont="1" applyAlignment="1">
      <alignment horizontal="center" vertical="top"/>
    </xf>
    <xf numFmtId="9" fontId="129" fillId="0" borderId="0" xfId="0" applyNumberFormat="1" applyFont="1" applyAlignment="1">
      <alignment horizontal="center" vertical="center"/>
    </xf>
    <xf numFmtId="0" fontId="130" fillId="0" borderId="35" xfId="0" applyFont="1" applyBorder="1" applyAlignment="1">
      <alignment horizontal="center" vertical="center"/>
    </xf>
    <xf numFmtId="0" fontId="78" fillId="0" borderId="34" xfId="0" applyFont="1" applyBorder="1" applyAlignment="1">
      <alignment horizontal="center" vertical="top"/>
    </xf>
    <xf numFmtId="0" fontId="80" fillId="2" borderId="49" xfId="0" applyFont="1" applyFill="1" applyBorder="1" applyAlignment="1">
      <alignment horizontal="left" vertical="center" wrapText="1"/>
    </xf>
    <xf numFmtId="0" fontId="80" fillId="2" borderId="0" xfId="0" applyFont="1" applyFill="1" applyAlignment="1">
      <alignment horizontal="left" vertical="center" wrapText="1"/>
    </xf>
    <xf numFmtId="0" fontId="80" fillId="2" borderId="50" xfId="0" applyFont="1" applyFill="1" applyBorder="1" applyAlignment="1">
      <alignment horizontal="left" vertical="center" wrapText="1"/>
    </xf>
    <xf numFmtId="0" fontId="87" fillId="0" borderId="0" xfId="0" applyFont="1" applyAlignment="1">
      <alignment horizontal="left" vertical="center"/>
    </xf>
    <xf numFmtId="0" fontId="80" fillId="2" borderId="46" xfId="0" applyFont="1" applyFill="1" applyBorder="1" applyAlignment="1">
      <alignment horizontal="left" wrapText="1"/>
    </xf>
    <xf numFmtId="0" fontId="80" fillId="2" borderId="47" xfId="0" applyFont="1" applyFill="1" applyBorder="1" applyAlignment="1">
      <alignment horizontal="left" wrapText="1"/>
    </xf>
    <xf numFmtId="0" fontId="80" fillId="2" borderId="48" xfId="0" applyFont="1" applyFill="1" applyBorder="1" applyAlignment="1">
      <alignment horizontal="left" wrapText="1"/>
    </xf>
    <xf numFmtId="0" fontId="80" fillId="2" borderId="49" xfId="0" applyFont="1" applyFill="1" applyBorder="1" applyAlignment="1">
      <alignment horizontal="left" wrapText="1"/>
    </xf>
    <xf numFmtId="0" fontId="80" fillId="2" borderId="0" xfId="0" applyFont="1" applyFill="1" applyAlignment="1">
      <alignment horizontal="left" wrapText="1"/>
    </xf>
    <xf numFmtId="0" fontId="80" fillId="2" borderId="50" xfId="0" applyFont="1" applyFill="1" applyBorder="1" applyAlignment="1">
      <alignment horizontal="left" wrapText="1"/>
    </xf>
    <xf numFmtId="0" fontId="80" fillId="2" borderId="51" xfId="0" applyFont="1" applyFill="1" applyBorder="1" applyAlignment="1">
      <alignment horizontal="left" wrapText="1"/>
    </xf>
    <xf numFmtId="0" fontId="80" fillId="2" borderId="52" xfId="0" applyFont="1" applyFill="1" applyBorder="1" applyAlignment="1">
      <alignment horizontal="left" wrapText="1"/>
    </xf>
    <xf numFmtId="0" fontId="80" fillId="2" borderId="53" xfId="0" applyFont="1" applyFill="1" applyBorder="1" applyAlignment="1">
      <alignment horizontal="left" wrapText="1"/>
    </xf>
    <xf numFmtId="0" fontId="80" fillId="0" borderId="0" xfId="0" applyFont="1" applyAlignment="1">
      <alignment horizontal="center" vertical="top"/>
    </xf>
    <xf numFmtId="0" fontId="80" fillId="0" borderId="0" xfId="0" applyFont="1" applyAlignment="1">
      <alignment horizontal="right"/>
    </xf>
    <xf numFmtId="0" fontId="80" fillId="0" borderId="36" xfId="0" applyFont="1" applyBorder="1" applyAlignment="1" applyProtection="1">
      <alignment horizontal="center"/>
      <protection locked="0"/>
    </xf>
    <xf numFmtId="0" fontId="80" fillId="0" borderId="37" xfId="0" applyFont="1" applyBorder="1" applyAlignment="1" applyProtection="1">
      <alignment horizontal="center"/>
      <protection locked="0"/>
    </xf>
    <xf numFmtId="0" fontId="80" fillId="0" borderId="38" xfId="0" applyFont="1" applyBorder="1" applyAlignment="1" applyProtection="1">
      <alignment horizontal="center"/>
      <protection locked="0"/>
    </xf>
    <xf numFmtId="0" fontId="80" fillId="0" borderId="36" xfId="0" applyFont="1" applyBorder="1" applyAlignment="1" applyProtection="1">
      <alignment horizontal="center"/>
      <protection locked="0" hidden="1"/>
    </xf>
    <xf numFmtId="0" fontId="80" fillId="0" borderId="37" xfId="0" applyFont="1" applyBorder="1" applyAlignment="1" applyProtection="1">
      <alignment horizontal="center"/>
      <protection locked="0" hidden="1"/>
    </xf>
    <xf numFmtId="0" fontId="80" fillId="0" borderId="38" xfId="0" applyFont="1" applyBorder="1" applyAlignment="1" applyProtection="1">
      <alignment horizontal="center"/>
      <protection locked="0" hidden="1"/>
    </xf>
    <xf numFmtId="171" fontId="80" fillId="0" borderId="36" xfId="0" applyNumberFormat="1" applyFont="1" applyBorder="1" applyAlignment="1" applyProtection="1">
      <alignment horizontal="left"/>
      <protection locked="0"/>
    </xf>
    <xf numFmtId="171" fontId="80" fillId="0" borderId="37" xfId="0" applyNumberFormat="1" applyFont="1" applyBorder="1" applyAlignment="1" applyProtection="1">
      <alignment horizontal="left"/>
      <protection locked="0"/>
    </xf>
    <xf numFmtId="171" fontId="80" fillId="0" borderId="38" xfId="0" applyNumberFormat="1" applyFont="1" applyBorder="1" applyAlignment="1" applyProtection="1">
      <alignment horizontal="left"/>
      <protection locked="0"/>
    </xf>
    <xf numFmtId="0" fontId="22" fillId="0" borderId="36" xfId="1" applyBorder="1" applyAlignment="1" applyProtection="1">
      <alignment horizontal="left"/>
      <protection locked="0"/>
    </xf>
    <xf numFmtId="167" fontId="82" fillId="0" borderId="35" xfId="0" applyNumberFormat="1" applyFont="1" applyBorder="1" applyAlignment="1">
      <alignment horizontal="center"/>
    </xf>
    <xf numFmtId="167" fontId="82" fillId="0" borderId="0" xfId="0" applyNumberFormat="1" applyFont="1" applyAlignment="1">
      <alignment horizontal="center"/>
    </xf>
    <xf numFmtId="0" fontId="80" fillId="0" borderId="0" xfId="0" applyFont="1" applyAlignment="1">
      <alignment horizontal="left" vertical="center"/>
    </xf>
    <xf numFmtId="0" fontId="25" fillId="0" borderId="0" xfId="0" applyFont="1"/>
    <xf numFmtId="0" fontId="0" fillId="0" borderId="36" xfId="0" applyBorder="1" applyAlignment="1" applyProtection="1">
      <alignment horizontal="center"/>
      <protection locked="0"/>
    </xf>
    <xf numFmtId="0" fontId="0" fillId="0" borderId="38" xfId="0" applyBorder="1" applyAlignment="1" applyProtection="1">
      <alignment horizontal="center"/>
      <protection locked="0"/>
    </xf>
    <xf numFmtId="0" fontId="27" fillId="0" borderId="0" xfId="0" applyFont="1"/>
    <xf numFmtId="0" fontId="36" fillId="0" borderId="36" xfId="0" applyFont="1" applyBorder="1" applyAlignment="1" applyProtection="1">
      <alignment horizontal="center"/>
      <protection locked="0"/>
    </xf>
    <xf numFmtId="0" fontId="36" fillId="0" borderId="38" xfId="0" applyFont="1" applyBorder="1" applyAlignment="1" applyProtection="1">
      <alignment horizontal="center"/>
      <protection locked="0"/>
    </xf>
    <xf numFmtId="0" fontId="80" fillId="0" borderId="0" xfId="0" applyFont="1" applyAlignment="1">
      <alignment horizontal="center" wrapText="1"/>
    </xf>
    <xf numFmtId="166" fontId="80" fillId="0" borderId="36" xfId="0" applyNumberFormat="1" applyFont="1" applyBorder="1" applyAlignment="1" applyProtection="1">
      <alignment horizontal="left"/>
      <protection locked="0"/>
    </xf>
    <xf numFmtId="166" fontId="80" fillId="0" borderId="37" xfId="0" applyNumberFormat="1" applyFont="1" applyBorder="1" applyAlignment="1" applyProtection="1">
      <alignment horizontal="left"/>
      <protection locked="0"/>
    </xf>
    <xf numFmtId="166" fontId="80" fillId="0" borderId="38" xfId="0" applyNumberFormat="1" applyFont="1" applyBorder="1" applyAlignment="1" applyProtection="1">
      <alignment horizontal="left"/>
      <protection locked="0"/>
    </xf>
    <xf numFmtId="0" fontId="195" fillId="2" borderId="215" xfId="0" applyFont="1" applyFill="1" applyBorder="1" applyAlignment="1">
      <alignment horizontal="center" vertical="top" wrapText="1"/>
    </xf>
    <xf numFmtId="0" fontId="195" fillId="2" borderId="72" xfId="0" applyFont="1" applyFill="1" applyBorder="1" applyAlignment="1">
      <alignment horizontal="center" vertical="top" wrapText="1"/>
    </xf>
    <xf numFmtId="0" fontId="195" fillId="2" borderId="216" xfId="0" applyFont="1" applyFill="1" applyBorder="1" applyAlignment="1">
      <alignment horizontal="center" vertical="top" wrapText="1"/>
    </xf>
    <xf numFmtId="0" fontId="195" fillId="2" borderId="0" xfId="0" applyFont="1" applyFill="1" applyAlignment="1">
      <alignment horizontal="center" vertical="top" wrapText="1"/>
    </xf>
    <xf numFmtId="0" fontId="80" fillId="0" borderId="0" xfId="0" applyFont="1" applyAlignment="1">
      <alignment horizontal="center"/>
    </xf>
    <xf numFmtId="175" fontId="80" fillId="5" borderId="36" xfId="0" applyNumberFormat="1" applyFont="1" applyFill="1" applyBorder="1" applyProtection="1">
      <protection locked="0" hidden="1"/>
    </xf>
    <xf numFmtId="175" fontId="80" fillId="5" borderId="37" xfId="0" applyNumberFormat="1" applyFont="1" applyFill="1" applyBorder="1" applyProtection="1">
      <protection locked="0" hidden="1"/>
    </xf>
    <xf numFmtId="175" fontId="80" fillId="5" borderId="38" xfId="0" applyNumberFormat="1" applyFont="1" applyFill="1" applyBorder="1" applyProtection="1">
      <protection locked="0" hidden="1"/>
    </xf>
    <xf numFmtId="0" fontId="195" fillId="2" borderId="214" xfId="0" applyFont="1" applyFill="1" applyBorder="1" applyAlignment="1">
      <alignment horizontal="center" vertical="top" wrapText="1"/>
    </xf>
    <xf numFmtId="0" fontId="195" fillId="2" borderId="35" xfId="0" applyFont="1" applyFill="1" applyBorder="1" applyAlignment="1">
      <alignment horizontal="center" vertical="top" wrapText="1"/>
    </xf>
    <xf numFmtId="0" fontId="195" fillId="2" borderId="166" xfId="0" applyFont="1" applyFill="1" applyBorder="1" applyAlignment="1">
      <alignment horizontal="center" vertical="top" wrapText="1"/>
    </xf>
    <xf numFmtId="0" fontId="80" fillId="5" borderId="36" xfId="0" applyFont="1" applyFill="1" applyBorder="1" applyAlignment="1" applyProtection="1">
      <alignment horizontal="left"/>
      <protection hidden="1"/>
    </xf>
    <xf numFmtId="0" fontId="80" fillId="5" borderId="37" xfId="0" applyFont="1" applyFill="1" applyBorder="1" applyAlignment="1" applyProtection="1">
      <alignment horizontal="left"/>
      <protection hidden="1"/>
    </xf>
    <xf numFmtId="0" fontId="80" fillId="5" borderId="38" xfId="0" applyFont="1" applyFill="1" applyBorder="1" applyAlignment="1" applyProtection="1">
      <alignment horizontal="left"/>
      <protection hidden="1"/>
    </xf>
    <xf numFmtId="0" fontId="80" fillId="4" borderId="36" xfId="0" applyFont="1" applyFill="1" applyBorder="1" applyAlignment="1" applyProtection="1">
      <alignment horizontal="left"/>
      <protection locked="0"/>
    </xf>
    <xf numFmtId="0" fontId="80" fillId="4" borderId="37" xfId="0" applyFont="1" applyFill="1" applyBorder="1" applyAlignment="1" applyProtection="1">
      <alignment horizontal="left"/>
      <protection locked="0"/>
    </xf>
    <xf numFmtId="0" fontId="80" fillId="4" borderId="38" xfId="0" applyFont="1" applyFill="1" applyBorder="1" applyAlignment="1" applyProtection="1">
      <alignment horizontal="left"/>
      <protection locked="0"/>
    </xf>
    <xf numFmtId="0" fontId="80" fillId="4" borderId="0" xfId="0" applyFont="1" applyFill="1" applyAlignment="1">
      <alignment horizontal="left"/>
    </xf>
    <xf numFmtId="0" fontId="80" fillId="0" borderId="165" xfId="0" applyFont="1" applyBorder="1"/>
    <xf numFmtId="171" fontId="80" fillId="0" borderId="36" xfId="0" applyNumberFormat="1" applyFont="1" applyBorder="1" applyAlignment="1" applyProtection="1">
      <alignment horizontal="left"/>
      <protection locked="0" hidden="1"/>
    </xf>
    <xf numFmtId="171" fontId="80" fillId="0" borderId="37" xfId="0" applyNumberFormat="1" applyFont="1" applyBorder="1" applyAlignment="1" applyProtection="1">
      <alignment horizontal="left"/>
      <protection locked="0" hidden="1"/>
    </xf>
    <xf numFmtId="171" fontId="80" fillId="0" borderId="38" xfId="0" applyNumberFormat="1" applyFont="1" applyBorder="1" applyAlignment="1" applyProtection="1">
      <alignment horizontal="left"/>
      <protection locked="0" hidden="1"/>
    </xf>
    <xf numFmtId="0" fontId="22" fillId="0" borderId="36" xfId="1" applyFill="1" applyBorder="1" applyAlignment="1" applyProtection="1">
      <alignment horizontal="left"/>
      <protection locked="0" hidden="1"/>
    </xf>
    <xf numFmtId="0" fontId="80" fillId="0" borderId="37" xfId="0" applyFont="1" applyBorder="1" applyAlignment="1" applyProtection="1">
      <alignment horizontal="left"/>
      <protection locked="0" hidden="1"/>
    </xf>
    <xf numFmtId="0" fontId="80" fillId="0" borderId="38" xfId="0" applyFont="1" applyBorder="1" applyAlignment="1" applyProtection="1">
      <alignment horizontal="left"/>
      <protection locked="0" hidden="1"/>
    </xf>
    <xf numFmtId="0" fontId="80" fillId="0" borderId="36" xfId="0" applyFont="1" applyBorder="1" applyAlignment="1" applyProtection="1">
      <alignment horizontal="left"/>
      <protection locked="0" hidden="1"/>
    </xf>
    <xf numFmtId="0" fontId="80" fillId="0" borderId="36" xfId="0" applyFont="1" applyBorder="1" applyAlignment="1">
      <alignment horizontal="left"/>
    </xf>
    <xf numFmtId="0" fontId="80" fillId="0" borderId="37" xfId="0" applyFont="1" applyBorder="1" applyAlignment="1">
      <alignment horizontal="left"/>
    </xf>
    <xf numFmtId="0" fontId="80" fillId="0" borderId="38" xfId="0" applyFont="1" applyBorder="1" applyAlignment="1">
      <alignment horizontal="left"/>
    </xf>
    <xf numFmtId="0" fontId="80" fillId="0" borderId="36" xfId="0" applyFont="1" applyBorder="1" applyProtection="1">
      <protection locked="0"/>
    </xf>
    <xf numFmtId="0" fontId="80" fillId="0" borderId="37" xfId="0" applyFont="1" applyBorder="1" applyProtection="1">
      <protection locked="0"/>
    </xf>
    <xf numFmtId="0" fontId="80" fillId="0" borderId="38" xfId="0" applyFont="1" applyBorder="1" applyProtection="1">
      <protection locked="0"/>
    </xf>
    <xf numFmtId="0" fontId="80" fillId="0" borderId="39" xfId="0" applyFont="1" applyBorder="1" applyAlignment="1" applyProtection="1">
      <alignment horizontal="left" vertical="top" wrapText="1"/>
      <protection locked="0"/>
    </xf>
    <xf numFmtId="0" fontId="80" fillId="0" borderId="40" xfId="0" applyFont="1" applyBorder="1" applyAlignment="1" applyProtection="1">
      <alignment horizontal="left" vertical="top" wrapText="1"/>
      <protection locked="0"/>
    </xf>
    <xf numFmtId="0" fontId="80" fillId="0" borderId="41" xfId="0" applyFont="1" applyBorder="1" applyAlignment="1" applyProtection="1">
      <alignment horizontal="left" vertical="top" wrapText="1"/>
      <protection locked="0"/>
    </xf>
    <xf numFmtId="0" fontId="80" fillId="0" borderId="42" xfId="0" applyFont="1" applyBorder="1" applyAlignment="1" applyProtection="1">
      <alignment horizontal="left" vertical="top" wrapText="1"/>
      <protection locked="0"/>
    </xf>
    <xf numFmtId="0" fontId="80" fillId="0" borderId="0" xfId="0" applyFont="1" applyAlignment="1" applyProtection="1">
      <alignment horizontal="left" vertical="top" wrapText="1"/>
      <protection locked="0"/>
    </xf>
    <xf numFmtId="0" fontId="80" fillId="0" borderId="43" xfId="0" applyFont="1" applyBorder="1" applyAlignment="1" applyProtection="1">
      <alignment horizontal="left" vertical="top" wrapText="1"/>
      <protection locked="0"/>
    </xf>
    <xf numFmtId="0" fontId="80" fillId="0" borderId="44" xfId="0" applyFont="1" applyBorder="1" applyAlignment="1" applyProtection="1">
      <alignment horizontal="left" vertical="top" wrapText="1"/>
      <protection locked="0"/>
    </xf>
    <xf numFmtId="0" fontId="80" fillId="0" borderId="34" xfId="0" applyFont="1" applyBorder="1" applyAlignment="1" applyProtection="1">
      <alignment horizontal="left" vertical="top" wrapText="1"/>
      <protection locked="0"/>
    </xf>
    <xf numFmtId="0" fontId="80" fillId="0" borderId="45" xfId="0" applyFont="1" applyBorder="1" applyAlignment="1" applyProtection="1">
      <alignment horizontal="left" vertical="top" wrapText="1"/>
      <protection locked="0"/>
    </xf>
    <xf numFmtId="3" fontId="80" fillId="0" borderId="36" xfId="0" applyNumberFormat="1" applyFont="1" applyBorder="1" applyAlignment="1" applyProtection="1">
      <alignment horizontal="left"/>
      <protection locked="0"/>
    </xf>
    <xf numFmtId="3" fontId="80" fillId="0" borderId="37" xfId="0" applyNumberFormat="1" applyFont="1" applyBorder="1" applyAlignment="1" applyProtection="1">
      <alignment horizontal="left"/>
      <protection locked="0"/>
    </xf>
    <xf numFmtId="3" fontId="80" fillId="0" borderId="38" xfId="0" applyNumberFormat="1" applyFont="1" applyBorder="1" applyAlignment="1" applyProtection="1">
      <alignment horizontal="left"/>
      <protection locked="0"/>
    </xf>
    <xf numFmtId="0" fontId="195" fillId="2" borderId="0" xfId="0" applyFont="1" applyFill="1" applyAlignment="1">
      <alignment horizontal="center" vertical="top"/>
    </xf>
    <xf numFmtId="0" fontId="79" fillId="2" borderId="0" xfId="1" applyFont="1" applyFill="1" applyAlignment="1">
      <alignment horizontal="center" vertical="center" wrapText="1"/>
    </xf>
    <xf numFmtId="0" fontId="196" fillId="2" borderId="0" xfId="0" applyFont="1" applyFill="1" applyAlignment="1">
      <alignment horizontal="justify" vertical="top" wrapText="1"/>
    </xf>
    <xf numFmtId="0" fontId="91" fillId="0" borderId="0" xfId="1" applyFont="1" applyAlignment="1">
      <alignment horizontal="center" vertical="center" wrapText="1"/>
    </xf>
    <xf numFmtId="0" fontId="197" fillId="0" borderId="0" xfId="1" applyFont="1" applyAlignment="1">
      <alignment horizontal="center" vertical="center" wrapText="1"/>
    </xf>
    <xf numFmtId="0" fontId="27" fillId="77" borderId="73" xfId="0" applyFont="1" applyFill="1" applyBorder="1" applyAlignment="1">
      <alignment horizontal="center"/>
    </xf>
    <xf numFmtId="0" fontId="27" fillId="77" borderId="74" xfId="0" applyFont="1" applyFill="1" applyBorder="1" applyAlignment="1">
      <alignment horizontal="center"/>
    </xf>
    <xf numFmtId="0" fontId="216" fillId="0" borderId="0" xfId="0" applyFont="1" applyAlignment="1">
      <alignment horizontal="center" wrapText="1"/>
    </xf>
    <xf numFmtId="0" fontId="216" fillId="0" borderId="71" xfId="0" applyFont="1" applyBorder="1" applyAlignment="1">
      <alignment horizontal="center" wrapText="1"/>
    </xf>
    <xf numFmtId="0" fontId="25" fillId="5" borderId="73" xfId="0" applyFont="1" applyFill="1" applyBorder="1" applyAlignment="1">
      <alignment horizontal="center" wrapText="1"/>
    </xf>
    <xf numFmtId="0" fontId="25" fillId="5" borderId="74" xfId="0" applyFont="1" applyFill="1" applyBorder="1" applyAlignment="1">
      <alignment horizontal="center" wrapText="1"/>
    </xf>
    <xf numFmtId="186" fontId="0" fillId="0" borderId="73" xfId="0" applyNumberFormat="1" applyBorder="1" applyAlignment="1" applyProtection="1">
      <alignment horizontal="center"/>
      <protection locked="0"/>
    </xf>
    <xf numFmtId="186" fontId="0" fillId="0" borderId="74" xfId="0" applyNumberFormat="1" applyBorder="1" applyAlignment="1" applyProtection="1">
      <alignment horizontal="center"/>
      <protection locked="0"/>
    </xf>
    <xf numFmtId="173" fontId="25" fillId="78" borderId="73" xfId="0" applyNumberFormat="1" applyFont="1" applyFill="1" applyBorder="1" applyAlignment="1">
      <alignment horizontal="center"/>
    </xf>
    <xf numFmtId="173" fontId="25" fillId="78" borderId="74" xfId="0" applyNumberFormat="1" applyFont="1" applyFill="1" applyBorder="1" applyAlignment="1">
      <alignment horizontal="center"/>
    </xf>
    <xf numFmtId="4" fontId="25" fillId="5" borderId="73" xfId="0" applyNumberFormat="1" applyFont="1" applyFill="1" applyBorder="1" applyAlignment="1">
      <alignment horizontal="center"/>
    </xf>
    <xf numFmtId="4" fontId="25" fillId="5" borderId="74" xfId="0" applyNumberFormat="1" applyFont="1" applyFill="1" applyBorder="1" applyAlignment="1">
      <alignment horizontal="center"/>
    </xf>
    <xf numFmtId="44" fontId="25" fillId="78" borderId="73" xfId="13" applyFont="1" applyFill="1" applyBorder="1" applyAlignment="1">
      <alignment horizontal="center"/>
    </xf>
    <xf numFmtId="44" fontId="25" fillId="78" borderId="74" xfId="13" applyFont="1" applyFill="1" applyBorder="1" applyAlignment="1">
      <alignment horizontal="center"/>
    </xf>
    <xf numFmtId="44" fontId="25" fillId="5" borderId="73" xfId="13" applyFont="1" applyFill="1" applyBorder="1" applyAlignment="1">
      <alignment horizontal="center"/>
    </xf>
    <xf numFmtId="44" fontId="25" fillId="5" borderId="74" xfId="13" applyFont="1" applyFill="1" applyBorder="1" applyAlignment="1">
      <alignment horizontal="center"/>
    </xf>
    <xf numFmtId="44" fontId="0" fillId="0" borderId="164" xfId="13" applyFont="1" applyBorder="1" applyAlignment="1" applyProtection="1">
      <alignment horizontal="center"/>
      <protection locked="0"/>
    </xf>
    <xf numFmtId="44" fontId="0" fillId="0" borderId="73" xfId="13" applyFont="1" applyBorder="1" applyAlignment="1" applyProtection="1">
      <alignment horizontal="center"/>
      <protection locked="0"/>
    </xf>
    <xf numFmtId="3" fontId="25" fillId="5" borderId="73" xfId="0" applyNumberFormat="1" applyFont="1" applyFill="1" applyBorder="1" applyAlignment="1">
      <alignment horizontal="center"/>
    </xf>
    <xf numFmtId="3" fontId="25" fillId="5" borderId="74" xfId="0" applyNumberFormat="1" applyFont="1" applyFill="1" applyBorder="1" applyAlignment="1">
      <alignment horizontal="center"/>
    </xf>
    <xf numFmtId="0" fontId="0" fillId="0" borderId="73" xfId="0" applyBorder="1" applyAlignment="1" applyProtection="1">
      <alignment horizontal="center" wrapText="1"/>
      <protection locked="0"/>
    </xf>
    <xf numFmtId="0" fontId="0" fillId="0" borderId="74" xfId="0" applyBorder="1" applyAlignment="1" applyProtection="1">
      <alignment horizontal="center" wrapText="1"/>
      <protection locked="0"/>
    </xf>
    <xf numFmtId="173" fontId="25" fillId="5" borderId="73" xfId="0" applyNumberFormat="1" applyFont="1" applyFill="1" applyBorder="1" applyAlignment="1">
      <alignment horizontal="center"/>
    </xf>
    <xf numFmtId="173" fontId="25" fillId="5" borderId="74" xfId="0" applyNumberFormat="1" applyFont="1" applyFill="1" applyBorder="1" applyAlignment="1">
      <alignment horizontal="center"/>
    </xf>
    <xf numFmtId="1" fontId="0" fillId="0" borderId="73" xfId="0" applyNumberFormat="1" applyBorder="1" applyAlignment="1" applyProtection="1">
      <alignment horizontal="center"/>
      <protection locked="0"/>
    </xf>
    <xf numFmtId="1" fontId="0" fillId="0" borderId="74" xfId="0" applyNumberFormat="1" applyBorder="1" applyAlignment="1" applyProtection="1">
      <alignment horizontal="center"/>
      <protection locked="0"/>
    </xf>
    <xf numFmtId="0" fontId="27" fillId="0" borderId="0" xfId="0" applyFont="1" applyAlignment="1">
      <alignment horizontal="center" wrapText="1"/>
    </xf>
    <xf numFmtId="0" fontId="27" fillId="0" borderId="71" xfId="0" applyFont="1" applyBorder="1" applyAlignment="1">
      <alignment horizontal="center" wrapText="1"/>
    </xf>
    <xf numFmtId="0" fontId="27" fillId="0" borderId="60" xfId="0" applyFont="1" applyBorder="1" applyAlignment="1">
      <alignment horizontal="center" wrapText="1"/>
    </xf>
    <xf numFmtId="0" fontId="27" fillId="0" borderId="100" xfId="0" applyFont="1" applyBorder="1" applyAlignment="1">
      <alignment horizontal="center" wrapText="1"/>
    </xf>
    <xf numFmtId="0" fontId="25" fillId="0" borderId="0" xfId="0" applyFont="1" applyAlignment="1">
      <alignment horizontal="center" wrapText="1"/>
    </xf>
    <xf numFmtId="0" fontId="25" fillId="0" borderId="71" xfId="0" applyFont="1" applyBorder="1" applyAlignment="1">
      <alignment horizontal="center" wrapText="1"/>
    </xf>
    <xf numFmtId="164" fontId="25" fillId="0" borderId="0" xfId="0" applyNumberFormat="1" applyFont="1" applyAlignment="1">
      <alignment horizontal="right" vertical="center"/>
    </xf>
    <xf numFmtId="0" fontId="117" fillId="0" borderId="108" xfId="0" applyFont="1" applyBorder="1" applyAlignment="1" applyProtection="1">
      <alignment horizontal="center" wrapText="1"/>
      <protection locked="0"/>
    </xf>
    <xf numFmtId="0" fontId="117" fillId="0" borderId="112" xfId="0" applyFont="1" applyBorder="1" applyAlignment="1" applyProtection="1">
      <alignment horizontal="center" wrapText="1"/>
      <protection locked="0"/>
    </xf>
    <xf numFmtId="0" fontId="117" fillId="0" borderId="109" xfId="0" applyFont="1" applyBorder="1" applyAlignment="1" applyProtection="1">
      <alignment horizontal="center" wrapText="1"/>
      <protection locked="0"/>
    </xf>
    <xf numFmtId="0" fontId="142" fillId="0" borderId="102" xfId="0" applyFont="1" applyBorder="1" applyAlignment="1" applyProtection="1">
      <alignment horizontal="center" wrapText="1"/>
      <protection locked="0"/>
    </xf>
    <xf numFmtId="0" fontId="142" fillId="0" borderId="103" xfId="0" applyFont="1" applyBorder="1" applyAlignment="1" applyProtection="1">
      <alignment horizontal="center" wrapText="1"/>
      <protection locked="0"/>
    </xf>
    <xf numFmtId="0" fontId="142" fillId="0" borderId="108" xfId="0" applyFont="1" applyBorder="1" applyAlignment="1" applyProtection="1">
      <alignment horizontal="center" wrapText="1"/>
      <protection locked="0"/>
    </xf>
    <xf numFmtId="0" fontId="142" fillId="0" borderId="112" xfId="0" applyFont="1" applyBorder="1" applyAlignment="1" applyProtection="1">
      <alignment horizontal="center" wrapText="1"/>
      <protection locked="0"/>
    </xf>
    <xf numFmtId="0" fontId="117" fillId="0" borderId="102" xfId="0" applyFont="1" applyBorder="1" applyAlignment="1" applyProtection="1">
      <alignment horizontal="center" wrapText="1"/>
      <protection locked="0"/>
    </xf>
    <xf numFmtId="0" fontId="117" fillId="0" borderId="104" xfId="0" applyFont="1" applyBorder="1" applyAlignment="1" applyProtection="1">
      <alignment horizontal="center" wrapText="1"/>
      <protection locked="0"/>
    </xf>
    <xf numFmtId="0" fontId="117" fillId="0" borderId="103" xfId="0" applyFont="1" applyBorder="1" applyAlignment="1" applyProtection="1">
      <alignment horizontal="center" wrapText="1"/>
      <protection locked="0"/>
    </xf>
    <xf numFmtId="190" fontId="117" fillId="0" borderId="148" xfId="0" applyNumberFormat="1" applyFont="1" applyBorder="1" applyAlignment="1" applyProtection="1">
      <alignment horizontal="center" shrinkToFit="1"/>
      <protection locked="0" hidden="1"/>
    </xf>
    <xf numFmtId="190" fontId="117" fillId="0" borderId="196" xfId="0" applyNumberFormat="1" applyFont="1" applyBorder="1" applyAlignment="1" applyProtection="1">
      <alignment horizontal="center" shrinkToFit="1"/>
      <protection locked="0" hidden="1"/>
    </xf>
    <xf numFmtId="190" fontId="117" fillId="0" borderId="133" xfId="0" applyNumberFormat="1" applyFont="1" applyBorder="1" applyAlignment="1" applyProtection="1">
      <alignment horizontal="center" shrinkToFit="1"/>
      <protection locked="0" hidden="1"/>
    </xf>
    <xf numFmtId="190" fontId="117" fillId="0" borderId="197" xfId="0" applyNumberFormat="1" applyFont="1" applyBorder="1" applyAlignment="1" applyProtection="1">
      <alignment horizontal="center" shrinkToFit="1"/>
      <protection locked="0" hidden="1"/>
    </xf>
    <xf numFmtId="190" fontId="117" fillId="0" borderId="130" xfId="0" applyNumberFormat="1" applyFont="1" applyBorder="1" applyAlignment="1" applyProtection="1">
      <alignment horizontal="center" shrinkToFit="1"/>
      <protection locked="0" hidden="1"/>
    </xf>
    <xf numFmtId="0" fontId="117" fillId="0" borderId="70" xfId="0" applyFont="1" applyBorder="1" applyAlignment="1" applyProtection="1">
      <alignment horizontal="center" shrinkToFit="1"/>
      <protection locked="0"/>
    </xf>
    <xf numFmtId="0" fontId="117" fillId="0" borderId="69" xfId="0" applyFont="1" applyBorder="1" applyAlignment="1" applyProtection="1">
      <alignment horizontal="center" shrinkToFit="1"/>
      <protection locked="0"/>
    </xf>
    <xf numFmtId="0" fontId="117" fillId="0" borderId="70" xfId="0" applyFont="1" applyBorder="1" applyAlignment="1" applyProtection="1">
      <alignment horizontal="center"/>
      <protection locked="0"/>
    </xf>
    <xf numFmtId="0" fontId="117" fillId="0" borderId="69" xfId="0" applyFont="1" applyBorder="1" applyAlignment="1" applyProtection="1">
      <alignment horizontal="center"/>
      <protection locked="0"/>
    </xf>
    <xf numFmtId="0" fontId="117" fillId="0" borderId="70" xfId="0" applyFont="1" applyBorder="1" applyAlignment="1" applyProtection="1">
      <alignment horizontal="center" wrapText="1"/>
      <protection locked="0"/>
    </xf>
    <xf numFmtId="0" fontId="117" fillId="0" borderId="69" xfId="0" applyFont="1" applyBorder="1" applyAlignment="1" applyProtection="1">
      <alignment horizontal="center" wrapText="1"/>
      <protection locked="0"/>
    </xf>
    <xf numFmtId="167" fontId="117" fillId="0" borderId="147" xfId="0" applyNumberFormat="1" applyFont="1" applyBorder="1" applyAlignment="1" applyProtection="1">
      <alignment horizontal="center" shrinkToFit="1"/>
      <protection locked="0"/>
    </xf>
    <xf numFmtId="167" fontId="117" fillId="0" borderId="70" xfId="0" applyNumberFormat="1" applyFont="1" applyBorder="1" applyAlignment="1" applyProtection="1">
      <alignment horizontal="center" shrinkToFit="1"/>
      <protection locked="0"/>
    </xf>
    <xf numFmtId="167" fontId="117" fillId="0" borderId="130" xfId="0" applyNumberFormat="1" applyFont="1" applyBorder="1" applyAlignment="1" applyProtection="1">
      <alignment horizontal="center" shrinkToFit="1"/>
      <protection locked="0"/>
    </xf>
    <xf numFmtId="167" fontId="117" fillId="0" borderId="69" xfId="0" applyNumberFormat="1" applyFont="1" applyBorder="1" applyAlignment="1" applyProtection="1">
      <alignment horizontal="center" shrinkToFit="1"/>
      <protection locked="0"/>
    </xf>
    <xf numFmtId="167" fontId="117" fillId="0" borderId="148" xfId="0" applyNumberFormat="1" applyFont="1" applyBorder="1" applyAlignment="1" applyProtection="1">
      <alignment horizontal="center" shrinkToFit="1"/>
      <protection locked="0"/>
    </xf>
    <xf numFmtId="167" fontId="117" fillId="0" borderId="133" xfId="0" applyNumberFormat="1" applyFont="1" applyBorder="1" applyAlignment="1" applyProtection="1">
      <alignment horizontal="center" shrinkToFit="1"/>
      <protection locked="0"/>
    </xf>
    <xf numFmtId="167" fontId="118" fillId="11" borderId="147" xfId="0" applyNumberFormat="1" applyFont="1" applyFill="1" applyBorder="1" applyAlignment="1">
      <alignment horizontal="center" shrinkToFit="1"/>
    </xf>
    <xf numFmtId="167" fontId="118" fillId="11" borderId="70" xfId="0" applyNumberFormat="1" applyFont="1" applyFill="1" applyBorder="1" applyAlignment="1">
      <alignment horizontal="center" shrinkToFit="1"/>
    </xf>
    <xf numFmtId="167" fontId="118" fillId="11" borderId="130" xfId="0" applyNumberFormat="1" applyFont="1" applyFill="1" applyBorder="1" applyAlignment="1">
      <alignment horizontal="center" shrinkToFit="1"/>
    </xf>
    <xf numFmtId="167" fontId="118" fillId="11" borderId="69" xfId="0" applyNumberFormat="1" applyFont="1" applyFill="1" applyBorder="1" applyAlignment="1">
      <alignment horizontal="center" shrinkToFit="1"/>
    </xf>
    <xf numFmtId="170" fontId="118" fillId="11" borderId="70" xfId="0" applyNumberFormat="1" applyFont="1" applyFill="1" applyBorder="1" applyAlignment="1">
      <alignment horizontal="center" shrinkToFit="1"/>
    </xf>
    <xf numFmtId="170" fontId="118" fillId="11" borderId="69" xfId="0" applyNumberFormat="1" applyFont="1" applyFill="1" applyBorder="1" applyAlignment="1">
      <alignment horizontal="center" shrinkToFit="1"/>
    </xf>
    <xf numFmtId="167" fontId="118" fillId="11" borderId="105" xfId="0" applyNumberFormat="1" applyFont="1" applyFill="1" applyBorder="1" applyAlignment="1">
      <alignment horizontal="center" wrapText="1"/>
    </xf>
    <xf numFmtId="167" fontId="118" fillId="11" borderId="106" xfId="0" applyNumberFormat="1" applyFont="1" applyFill="1" applyBorder="1" applyAlignment="1">
      <alignment horizontal="center" wrapText="1"/>
    </xf>
    <xf numFmtId="167" fontId="118" fillId="11" borderId="107" xfId="0" applyNumberFormat="1" applyFont="1" applyFill="1" applyBorder="1" applyAlignment="1">
      <alignment horizontal="center" wrapText="1"/>
    </xf>
    <xf numFmtId="167" fontId="118" fillId="11" borderId="102" xfId="0" applyNumberFormat="1" applyFont="1" applyFill="1" applyBorder="1" applyAlignment="1">
      <alignment horizontal="center" wrapText="1"/>
    </xf>
    <xf numFmtId="167" fontId="118" fillId="11" borderId="103" xfId="0" applyNumberFormat="1" applyFont="1" applyFill="1" applyBorder="1" applyAlignment="1">
      <alignment horizontal="center" wrapText="1"/>
    </xf>
    <xf numFmtId="167" fontId="118" fillId="11" borderId="104" xfId="0" applyNumberFormat="1" applyFont="1" applyFill="1" applyBorder="1" applyAlignment="1">
      <alignment horizontal="center" wrapText="1"/>
    </xf>
    <xf numFmtId="0" fontId="117" fillId="0" borderId="105" xfId="0" applyFont="1" applyBorder="1" applyAlignment="1" applyProtection="1">
      <alignment horizontal="center" wrapText="1"/>
      <protection locked="0"/>
    </xf>
    <xf numFmtId="0" fontId="117" fillId="0" borderId="106" xfId="0" applyFont="1" applyBorder="1" applyAlignment="1" applyProtection="1">
      <alignment horizontal="center" wrapText="1"/>
      <protection locked="0"/>
    </xf>
    <xf numFmtId="0" fontId="117" fillId="0" borderId="107" xfId="0" applyFont="1" applyBorder="1" applyAlignment="1" applyProtection="1">
      <alignment horizontal="center" wrapText="1"/>
      <protection locked="0"/>
    </xf>
    <xf numFmtId="0" fontId="25" fillId="0" borderId="0" xfId="0" applyFont="1" applyAlignment="1">
      <alignment horizontal="center"/>
    </xf>
    <xf numFmtId="0" fontId="132" fillId="17" borderId="35" xfId="0" applyFont="1" applyFill="1" applyBorder="1" applyAlignment="1" applyProtection="1">
      <alignment horizontal="center" vertical="center" wrapText="1"/>
      <protection hidden="1"/>
    </xf>
    <xf numFmtId="0" fontId="133" fillId="17" borderId="35" xfId="0" applyFont="1" applyFill="1" applyBorder="1" applyAlignment="1" applyProtection="1">
      <alignment horizontal="center" vertical="center" wrapText="1"/>
      <protection hidden="1"/>
    </xf>
    <xf numFmtId="0" fontId="133" fillId="17" borderId="0" xfId="0" applyFont="1" applyFill="1" applyAlignment="1" applyProtection="1">
      <alignment horizontal="center" vertical="center" wrapText="1"/>
      <protection hidden="1"/>
    </xf>
    <xf numFmtId="0" fontId="117" fillId="0" borderId="0" xfId="0" applyFont="1" applyAlignment="1">
      <alignment horizontal="center" wrapText="1"/>
    </xf>
    <xf numFmtId="0" fontId="117" fillId="0" borderId="71" xfId="0" applyFont="1" applyBorder="1" applyAlignment="1">
      <alignment horizontal="center" wrapText="1"/>
    </xf>
    <xf numFmtId="0" fontId="198" fillId="69" borderId="35" xfId="0" applyFont="1" applyFill="1" applyBorder="1" applyAlignment="1" applyProtection="1">
      <alignment horizontal="center" vertical="center" wrapText="1"/>
      <protection hidden="1"/>
    </xf>
    <xf numFmtId="0" fontId="198" fillId="69" borderId="0" xfId="0" applyFont="1" applyFill="1" applyAlignment="1" applyProtection="1">
      <alignment horizontal="center" vertical="center" wrapText="1"/>
      <protection hidden="1"/>
    </xf>
    <xf numFmtId="170" fontId="136" fillId="0" borderId="0" xfId="0" applyNumberFormat="1" applyFont="1" applyAlignment="1">
      <alignment horizontal="center"/>
    </xf>
    <xf numFmtId="167" fontId="136" fillId="0" borderId="0" xfId="0" applyNumberFormat="1" applyFont="1" applyAlignment="1">
      <alignment horizontal="center"/>
    </xf>
    <xf numFmtId="0" fontId="78" fillId="0" borderId="0" xfId="0" applyFont="1" applyAlignment="1">
      <alignment horizontal="center" vertical="top" wrapText="1"/>
    </xf>
    <xf numFmtId="0" fontId="39" fillId="0" borderId="0" xfId="0" applyFont="1" applyAlignment="1">
      <alignment horizontal="center" wrapText="1"/>
    </xf>
    <xf numFmtId="167" fontId="118" fillId="11" borderId="70" xfId="0" applyNumberFormat="1" applyFont="1" applyFill="1" applyBorder="1" applyAlignment="1">
      <alignment horizontal="center" wrapText="1"/>
    </xf>
    <xf numFmtId="167" fontId="118" fillId="11" borderId="69" xfId="0" applyNumberFormat="1" applyFont="1" applyFill="1" applyBorder="1" applyAlignment="1">
      <alignment horizontal="center" wrapText="1"/>
    </xf>
    <xf numFmtId="0" fontId="95" fillId="33" borderId="35" xfId="1" applyFont="1" applyFill="1" applyBorder="1" applyAlignment="1" applyProtection="1">
      <alignment horizontal="center" vertical="center" wrapText="1"/>
      <protection hidden="1"/>
    </xf>
    <xf numFmtId="0" fontId="95" fillId="33" borderId="0" xfId="1" applyFont="1" applyFill="1" applyBorder="1" applyAlignment="1" applyProtection="1">
      <alignment horizontal="center" vertical="center" wrapText="1"/>
      <protection hidden="1"/>
    </xf>
    <xf numFmtId="0" fontId="117" fillId="0" borderId="155" xfId="0" applyFont="1" applyBorder="1" applyAlignment="1" applyProtection="1">
      <alignment horizontal="center" wrapText="1"/>
      <protection locked="0"/>
    </xf>
    <xf numFmtId="0" fontId="117" fillId="0" borderId="156" xfId="0" applyFont="1" applyBorder="1" applyAlignment="1" applyProtection="1">
      <alignment horizontal="center" wrapText="1"/>
      <protection locked="0"/>
    </xf>
    <xf numFmtId="0" fontId="117" fillId="0" borderId="105" xfId="0" applyFont="1" applyBorder="1" applyAlignment="1" applyProtection="1">
      <alignment horizontal="center"/>
      <protection locked="0"/>
    </xf>
    <xf numFmtId="0" fontId="117" fillId="0" borderId="107" xfId="0" applyFont="1" applyBorder="1" applyAlignment="1" applyProtection="1">
      <alignment horizontal="center"/>
      <protection locked="0"/>
    </xf>
    <xf numFmtId="0" fontId="117" fillId="0" borderId="102" xfId="0" applyFont="1" applyBorder="1" applyAlignment="1" applyProtection="1">
      <alignment horizontal="center"/>
      <protection locked="0"/>
    </xf>
    <xf numFmtId="0" fontId="117" fillId="0" borderId="104" xfId="0" applyFont="1" applyBorder="1" applyAlignment="1" applyProtection="1">
      <alignment horizontal="center"/>
      <protection locked="0"/>
    </xf>
    <xf numFmtId="167" fontId="117" fillId="0" borderId="157" xfId="0" applyNumberFormat="1" applyFont="1" applyBorder="1" applyAlignment="1" applyProtection="1">
      <alignment horizontal="center" shrinkToFit="1"/>
      <protection locked="0"/>
    </xf>
    <xf numFmtId="167" fontId="117" fillId="0" borderId="107" xfId="0" applyNumberFormat="1" applyFont="1" applyBorder="1" applyAlignment="1" applyProtection="1">
      <alignment horizontal="center" shrinkToFit="1"/>
      <protection locked="0"/>
    </xf>
    <xf numFmtId="167" fontId="117" fillId="0" borderId="158" xfId="0" applyNumberFormat="1" applyFont="1" applyBorder="1" applyAlignment="1" applyProtection="1">
      <alignment horizontal="center" shrinkToFit="1"/>
      <protection locked="0"/>
    </xf>
    <xf numFmtId="167" fontId="117" fillId="0" borderId="104" xfId="0" applyNumberFormat="1" applyFont="1" applyBorder="1" applyAlignment="1" applyProtection="1">
      <alignment horizontal="center" shrinkToFit="1"/>
      <protection locked="0"/>
    </xf>
    <xf numFmtId="167" fontId="117" fillId="0" borderId="105" xfId="0" applyNumberFormat="1" applyFont="1" applyBorder="1" applyAlignment="1" applyProtection="1">
      <alignment horizontal="center" shrinkToFit="1"/>
      <protection locked="0"/>
    </xf>
    <xf numFmtId="167" fontId="117" fillId="0" borderId="155" xfId="0" applyNumberFormat="1" applyFont="1" applyBorder="1" applyAlignment="1" applyProtection="1">
      <alignment horizontal="center" shrinkToFit="1"/>
      <protection locked="0"/>
    </xf>
    <xf numFmtId="167" fontId="117" fillId="0" borderId="102" xfId="0" applyNumberFormat="1" applyFont="1" applyBorder="1" applyAlignment="1" applyProtection="1">
      <alignment horizontal="center" shrinkToFit="1"/>
      <protection locked="0"/>
    </xf>
    <xf numFmtId="167" fontId="117" fillId="0" borderId="156" xfId="0" applyNumberFormat="1" applyFont="1" applyBorder="1" applyAlignment="1" applyProtection="1">
      <alignment horizontal="center" shrinkToFit="1"/>
      <protection locked="0"/>
    </xf>
    <xf numFmtId="190" fontId="117" fillId="0" borderId="193" xfId="0" applyNumberFormat="1" applyFont="1" applyBorder="1" applyAlignment="1" applyProtection="1">
      <alignment horizontal="center" shrinkToFit="1"/>
      <protection locked="0" hidden="1"/>
    </xf>
    <xf numFmtId="190" fontId="117" fillId="0" borderId="194" xfId="0" applyNumberFormat="1" applyFont="1" applyBorder="1" applyAlignment="1" applyProtection="1">
      <alignment horizontal="center" shrinkToFit="1"/>
      <protection locked="0" hidden="1"/>
    </xf>
    <xf numFmtId="0" fontId="185" fillId="0" borderId="0" xfId="0" applyFont="1" applyAlignment="1">
      <alignment horizontal="center" vertical="center" wrapText="1"/>
    </xf>
    <xf numFmtId="172" fontId="0" fillId="0" borderId="69" xfId="0" applyNumberFormat="1" applyBorder="1" applyAlignment="1">
      <alignment horizontal="center" shrinkToFit="1"/>
    </xf>
    <xf numFmtId="167" fontId="0" fillId="0" borderId="69" xfId="0" applyNumberFormat="1" applyBorder="1" applyAlignment="1">
      <alignment horizontal="center" shrinkToFit="1"/>
    </xf>
    <xf numFmtId="1" fontId="0" fillId="0" borderId="69" xfId="0" applyNumberFormat="1" applyBorder="1" applyAlignment="1">
      <alignment horizontal="center" shrinkToFit="1"/>
    </xf>
    <xf numFmtId="0" fontId="142" fillId="0" borderId="105" xfId="0" applyFont="1" applyBorder="1" applyAlignment="1" applyProtection="1">
      <alignment horizontal="center" wrapText="1"/>
      <protection locked="0"/>
    </xf>
    <xf numFmtId="0" fontId="142" fillId="0" borderId="106" xfId="0" applyFont="1" applyBorder="1" applyAlignment="1" applyProtection="1">
      <alignment horizontal="center" wrapText="1"/>
      <protection locked="0"/>
    </xf>
    <xf numFmtId="0" fontId="142" fillId="0" borderId="107" xfId="0" applyFont="1" applyBorder="1" applyAlignment="1" applyProtection="1">
      <alignment horizontal="center" wrapText="1"/>
      <protection locked="0"/>
    </xf>
    <xf numFmtId="0" fontId="142" fillId="0" borderId="104" xfId="0" applyFont="1" applyBorder="1" applyAlignment="1" applyProtection="1">
      <alignment horizontal="center" wrapText="1"/>
      <protection locked="0"/>
    </xf>
    <xf numFmtId="0" fontId="117" fillId="0" borderId="105" xfId="0" applyFont="1" applyBorder="1" applyAlignment="1" applyProtection="1">
      <alignment horizontal="center" shrinkToFit="1"/>
      <protection locked="0"/>
    </xf>
    <xf numFmtId="0" fontId="117" fillId="0" borderId="107" xfId="0" applyFont="1" applyBorder="1" applyAlignment="1" applyProtection="1">
      <alignment horizontal="center" shrinkToFit="1"/>
      <protection locked="0"/>
    </xf>
    <xf numFmtId="0" fontId="117" fillId="0" borderId="102" xfId="0" applyFont="1" applyBorder="1" applyAlignment="1" applyProtection="1">
      <alignment horizontal="center" shrinkToFit="1"/>
      <protection locked="0"/>
    </xf>
    <xf numFmtId="0" fontId="117" fillId="0" borderId="104" xfId="0" applyFont="1" applyBorder="1" applyAlignment="1" applyProtection="1">
      <alignment horizontal="center" shrinkToFit="1"/>
      <protection locked="0"/>
    </xf>
    <xf numFmtId="167" fontId="82" fillId="0" borderId="72" xfId="0" applyNumberFormat="1" applyFont="1" applyBorder="1" applyAlignment="1">
      <alignment horizontal="center"/>
    </xf>
    <xf numFmtId="0" fontId="117" fillId="0" borderId="153" xfId="0" applyFont="1" applyBorder="1" applyAlignment="1" applyProtection="1">
      <alignment horizontal="center" wrapText="1"/>
      <protection locked="0"/>
    </xf>
    <xf numFmtId="0" fontId="117" fillId="0" borderId="0" xfId="0" applyFont="1" applyAlignment="1" applyProtection="1">
      <alignment horizontal="center" wrapText="1"/>
      <protection locked="0"/>
    </xf>
    <xf numFmtId="0" fontId="117" fillId="0" borderId="154" xfId="0" applyFont="1" applyBorder="1" applyAlignment="1" applyProtection="1">
      <alignment horizontal="center" wrapText="1"/>
      <protection locked="0"/>
    </xf>
    <xf numFmtId="0" fontId="117" fillId="0" borderId="187" xfId="0" applyFont="1" applyBorder="1" applyAlignment="1" applyProtection="1">
      <alignment horizontal="center" wrapText="1"/>
      <protection locked="0"/>
    </xf>
    <xf numFmtId="0" fontId="117" fillId="0" borderId="101" xfId="0" applyFont="1" applyBorder="1" applyAlignment="1" applyProtection="1">
      <alignment horizontal="center" wrapText="1"/>
      <protection locked="0"/>
    </xf>
    <xf numFmtId="0" fontId="117" fillId="0" borderId="188" xfId="0" applyFont="1" applyBorder="1" applyAlignment="1" applyProtection="1">
      <alignment horizontal="center" wrapText="1"/>
      <protection locked="0"/>
    </xf>
    <xf numFmtId="44" fontId="0" fillId="0" borderId="74" xfId="13" applyFont="1" applyBorder="1" applyAlignment="1" applyProtection="1">
      <alignment horizontal="center"/>
      <protection locked="0"/>
    </xf>
    <xf numFmtId="37" fontId="27" fillId="77" borderId="74" xfId="15" applyNumberFormat="1" applyFont="1" applyFill="1" applyBorder="1" applyAlignment="1">
      <alignment horizontal="center"/>
    </xf>
    <xf numFmtId="184" fontId="117" fillId="0" borderId="69" xfId="0" applyNumberFormat="1" applyFont="1" applyBorder="1" applyAlignment="1" applyProtection="1">
      <alignment horizontal="center" shrinkToFit="1"/>
      <protection locked="0"/>
    </xf>
    <xf numFmtId="184" fontId="117" fillId="0" borderId="70" xfId="0" applyNumberFormat="1" applyFont="1" applyBorder="1" applyAlignment="1" applyProtection="1">
      <alignment horizontal="center" shrinkToFit="1"/>
      <protection locked="0"/>
    </xf>
    <xf numFmtId="3" fontId="117" fillId="11" borderId="145" xfId="0" applyNumberFormat="1" applyFont="1" applyFill="1" applyBorder="1" applyAlignment="1" applyProtection="1">
      <alignment horizontal="center" shrinkToFit="1"/>
      <protection hidden="1"/>
    </xf>
    <xf numFmtId="3" fontId="117" fillId="11" borderId="146" xfId="0" applyNumberFormat="1" applyFont="1" applyFill="1" applyBorder="1" applyAlignment="1" applyProtection="1">
      <alignment horizontal="center" shrinkToFit="1"/>
      <protection hidden="1"/>
    </xf>
    <xf numFmtId="3" fontId="117" fillId="0" borderId="69" xfId="0" applyNumberFormat="1" applyFont="1" applyBorder="1" applyAlignment="1" applyProtection="1">
      <alignment horizontal="center" shrinkToFit="1"/>
      <protection locked="0"/>
    </xf>
    <xf numFmtId="3" fontId="117" fillId="0" borderId="70" xfId="0" applyNumberFormat="1" applyFont="1" applyBorder="1" applyAlignment="1" applyProtection="1">
      <alignment horizontal="center" shrinkToFit="1"/>
      <protection locked="0"/>
    </xf>
    <xf numFmtId="184" fontId="117" fillId="0" borderId="105" xfId="0" applyNumberFormat="1" applyFont="1" applyBorder="1" applyAlignment="1" applyProtection="1">
      <alignment horizontal="center" shrinkToFit="1"/>
      <protection locked="0"/>
    </xf>
    <xf numFmtId="184" fontId="117" fillId="0" borderId="106" xfId="0" applyNumberFormat="1" applyFont="1" applyBorder="1" applyAlignment="1" applyProtection="1">
      <alignment horizontal="center" shrinkToFit="1"/>
      <protection locked="0"/>
    </xf>
    <xf numFmtId="184" fontId="117" fillId="0" borderId="107" xfId="0" applyNumberFormat="1" applyFont="1" applyBorder="1" applyAlignment="1" applyProtection="1">
      <alignment horizontal="center" shrinkToFit="1"/>
      <protection locked="0"/>
    </xf>
    <xf numFmtId="184" fontId="117" fillId="0" borderId="102" xfId="0" applyNumberFormat="1" applyFont="1" applyBorder="1" applyAlignment="1" applyProtection="1">
      <alignment horizontal="center" shrinkToFit="1"/>
      <protection locked="0"/>
    </xf>
    <xf numFmtId="184" fontId="117" fillId="0" borderId="103" xfId="0" applyNumberFormat="1" applyFont="1" applyBorder="1" applyAlignment="1" applyProtection="1">
      <alignment horizontal="center" shrinkToFit="1"/>
      <protection locked="0"/>
    </xf>
    <xf numFmtId="184" fontId="117" fillId="0" borderId="104" xfId="0" applyNumberFormat="1" applyFont="1" applyBorder="1" applyAlignment="1" applyProtection="1">
      <alignment horizontal="center" shrinkToFit="1"/>
      <protection locked="0"/>
    </xf>
    <xf numFmtId="37" fontId="27" fillId="77" borderId="73" xfId="15" applyNumberFormat="1" applyFont="1" applyFill="1" applyBorder="1" applyAlignment="1">
      <alignment horizontal="center"/>
    </xf>
    <xf numFmtId="0" fontId="217" fillId="0" borderId="0" xfId="0" applyFont="1" applyAlignment="1">
      <alignment horizontal="center" wrapText="1"/>
    </xf>
    <xf numFmtId="0" fontId="217" fillId="0" borderId="71" xfId="0" applyFont="1" applyBorder="1" applyAlignment="1">
      <alignment horizontal="center" wrapText="1"/>
    </xf>
    <xf numFmtId="3" fontId="117" fillId="11" borderId="151" xfId="0" applyNumberFormat="1" applyFont="1" applyFill="1" applyBorder="1" applyAlignment="1" applyProtection="1">
      <alignment horizontal="center" shrinkToFit="1"/>
      <protection hidden="1"/>
    </xf>
    <xf numFmtId="3" fontId="117" fillId="11" borderId="152" xfId="0" applyNumberFormat="1" applyFont="1" applyFill="1" applyBorder="1" applyAlignment="1" applyProtection="1">
      <alignment horizontal="center" shrinkToFit="1"/>
      <protection hidden="1"/>
    </xf>
    <xf numFmtId="3" fontId="25" fillId="78" borderId="74" xfId="0" applyNumberFormat="1" applyFont="1" applyFill="1" applyBorder="1" applyAlignment="1">
      <alignment horizontal="center"/>
    </xf>
    <xf numFmtId="0" fontId="117" fillId="11" borderId="69" xfId="0" applyFont="1" applyFill="1" applyBorder="1" applyAlignment="1">
      <alignment horizontal="center"/>
    </xf>
    <xf numFmtId="167" fontId="118" fillId="11" borderId="104" xfId="0" applyNumberFormat="1" applyFont="1" applyFill="1" applyBorder="1" applyAlignment="1">
      <alignment horizontal="center" shrinkToFit="1"/>
    </xf>
    <xf numFmtId="167" fontId="118" fillId="11" borderId="109" xfId="0" applyNumberFormat="1" applyFont="1" applyFill="1" applyBorder="1" applyAlignment="1">
      <alignment horizontal="center" shrinkToFit="1"/>
    </xf>
    <xf numFmtId="0" fontId="117" fillId="11" borderId="70" xfId="0" applyFont="1" applyFill="1" applyBorder="1" applyAlignment="1">
      <alignment horizontal="center"/>
    </xf>
    <xf numFmtId="3" fontId="25" fillId="78" borderId="73" xfId="0" applyNumberFormat="1" applyFont="1" applyFill="1" applyBorder="1" applyAlignment="1">
      <alignment horizontal="center"/>
    </xf>
    <xf numFmtId="0" fontId="25" fillId="0" borderId="108" xfId="0" applyFont="1" applyBorder="1" applyAlignment="1" applyProtection="1">
      <alignment horizontal="center"/>
      <protection locked="0"/>
    </xf>
    <xf numFmtId="0" fontId="25" fillId="0" borderId="112" xfId="0" applyFont="1" applyBorder="1" applyAlignment="1" applyProtection="1">
      <alignment horizontal="center"/>
      <protection locked="0"/>
    </xf>
    <xf numFmtId="0" fontId="25" fillId="0" borderId="199" xfId="0" applyFont="1" applyBorder="1" applyAlignment="1" applyProtection="1">
      <alignment horizontal="center"/>
      <protection locked="0"/>
    </xf>
    <xf numFmtId="0" fontId="25" fillId="5" borderId="59" xfId="0" applyFont="1" applyFill="1" applyBorder="1" applyAlignment="1">
      <alignment horizontal="center" wrapText="1"/>
    </xf>
    <xf numFmtId="0" fontId="25" fillId="5" borderId="122" xfId="0" applyFont="1" applyFill="1" applyBorder="1" applyAlignment="1">
      <alignment horizontal="center" wrapText="1"/>
    </xf>
    <xf numFmtId="2" fontId="25" fillId="0" borderId="73" xfId="0" applyNumberFormat="1" applyFont="1" applyBorder="1" applyAlignment="1" applyProtection="1">
      <alignment horizontal="center" shrinkToFit="1"/>
      <protection locked="0"/>
    </xf>
    <xf numFmtId="2" fontId="25" fillId="0" borderId="74" xfId="0" applyNumberFormat="1" applyFont="1" applyBorder="1" applyAlignment="1" applyProtection="1">
      <alignment horizontal="center" shrinkToFit="1"/>
      <protection locked="0"/>
    </xf>
    <xf numFmtId="0" fontId="27" fillId="0" borderId="73" xfId="0" applyFont="1" applyBorder="1" applyAlignment="1" applyProtection="1">
      <alignment horizontal="center" wrapText="1" shrinkToFit="1"/>
      <protection hidden="1"/>
    </xf>
    <xf numFmtId="0" fontId="27" fillId="0" borderId="74" xfId="0" applyFont="1" applyBorder="1" applyAlignment="1" applyProtection="1">
      <alignment horizontal="center" wrapText="1" shrinkToFit="1"/>
      <protection hidden="1"/>
    </xf>
    <xf numFmtId="169" fontId="25" fillId="0" borderId="73" xfId="0" applyNumberFormat="1" applyFont="1" applyBorder="1" applyAlignment="1" applyProtection="1">
      <alignment horizontal="center"/>
      <protection locked="0" hidden="1"/>
    </xf>
    <xf numFmtId="169" fontId="25" fillId="0" borderId="74" xfId="0" applyNumberFormat="1" applyFont="1" applyBorder="1" applyAlignment="1" applyProtection="1">
      <alignment horizontal="center"/>
      <protection locked="0" hidden="1"/>
    </xf>
    <xf numFmtId="169" fontId="117" fillId="0" borderId="108" xfId="0" applyNumberFormat="1" applyFont="1" applyBorder="1" applyAlignment="1" applyProtection="1">
      <alignment horizontal="center" shrinkToFit="1"/>
      <protection locked="0"/>
    </xf>
    <xf numFmtId="169" fontId="117" fillId="0" borderId="199" xfId="0" applyNumberFormat="1" applyFont="1" applyBorder="1" applyAlignment="1" applyProtection="1">
      <alignment horizontal="center" shrinkToFit="1"/>
      <protection locked="0"/>
    </xf>
    <xf numFmtId="169" fontId="117" fillId="0" borderId="108" xfId="0" applyNumberFormat="1" applyFont="1" applyBorder="1" applyAlignment="1" applyProtection="1">
      <alignment horizontal="center" shrinkToFit="1"/>
      <protection locked="0" hidden="1"/>
    </xf>
    <xf numFmtId="169" fontId="117" fillId="0" borderId="199" xfId="0" applyNumberFormat="1" applyFont="1" applyBorder="1" applyAlignment="1" applyProtection="1">
      <alignment horizontal="center" shrinkToFit="1"/>
      <protection locked="0" hidden="1"/>
    </xf>
    <xf numFmtId="3" fontId="25" fillId="0" borderId="73" xfId="0" applyNumberFormat="1" applyFont="1" applyBorder="1" applyAlignment="1">
      <alignment horizontal="center"/>
    </xf>
    <xf numFmtId="3" fontId="25" fillId="0" borderId="74" xfId="0" applyNumberFormat="1" applyFont="1" applyBorder="1" applyAlignment="1">
      <alignment horizontal="center"/>
    </xf>
    <xf numFmtId="0" fontId="117" fillId="11" borderId="112" xfId="0" applyFont="1" applyFill="1" applyBorder="1" applyAlignment="1">
      <alignment horizontal="center" wrapText="1" shrinkToFit="1"/>
    </xf>
    <xf numFmtId="0" fontId="117" fillId="11" borderId="109" xfId="0" applyFont="1" applyFill="1" applyBorder="1" applyAlignment="1">
      <alignment horizontal="center" wrapText="1" shrinkToFit="1"/>
    </xf>
    <xf numFmtId="167" fontId="118" fillId="11" borderId="105" xfId="0" applyNumberFormat="1" applyFont="1" applyFill="1" applyBorder="1" applyAlignment="1">
      <alignment horizontal="center" shrinkToFit="1"/>
    </xf>
    <xf numFmtId="167" fontId="118" fillId="11" borderId="107" xfId="0" applyNumberFormat="1" applyFont="1" applyFill="1" applyBorder="1" applyAlignment="1">
      <alignment horizontal="center" shrinkToFit="1"/>
    </xf>
    <xf numFmtId="167" fontId="118" fillId="11" borderId="102" xfId="0" applyNumberFormat="1" applyFont="1" applyFill="1" applyBorder="1" applyAlignment="1">
      <alignment horizontal="center" shrinkToFit="1"/>
    </xf>
    <xf numFmtId="185" fontId="117" fillId="0" borderId="109" xfId="0" applyNumberFormat="1" applyFont="1" applyBorder="1" applyAlignment="1" applyProtection="1">
      <alignment horizontal="center" shrinkToFit="1"/>
      <protection locked="0"/>
    </xf>
    <xf numFmtId="185" fontId="117" fillId="0" borderId="69" xfId="0" applyNumberFormat="1" applyFont="1" applyBorder="1" applyAlignment="1" applyProtection="1">
      <alignment horizontal="center" shrinkToFit="1"/>
      <protection locked="0"/>
    </xf>
    <xf numFmtId="169" fontId="117" fillId="11" borderId="102" xfId="0" applyNumberFormat="1" applyFont="1" applyFill="1" applyBorder="1" applyAlignment="1" applyProtection="1">
      <alignment horizontal="center" shrinkToFit="1"/>
      <protection hidden="1"/>
    </xf>
    <xf numFmtId="169" fontId="117" fillId="11" borderId="104" xfId="0" applyNumberFormat="1" applyFont="1" applyFill="1" applyBorder="1" applyAlignment="1" applyProtection="1">
      <alignment horizontal="center" shrinkToFit="1"/>
      <protection hidden="1"/>
    </xf>
    <xf numFmtId="169" fontId="117" fillId="11" borderId="108" xfId="0" applyNumberFormat="1" applyFont="1" applyFill="1" applyBorder="1" applyAlignment="1" applyProtection="1">
      <alignment horizontal="center" shrinkToFit="1"/>
      <protection hidden="1"/>
    </xf>
    <xf numFmtId="169" fontId="117" fillId="11" borderId="109" xfId="0" applyNumberFormat="1" applyFont="1" applyFill="1" applyBorder="1" applyAlignment="1" applyProtection="1">
      <alignment horizontal="center" shrinkToFit="1"/>
      <protection hidden="1"/>
    </xf>
    <xf numFmtId="0" fontId="117" fillId="11" borderId="158" xfId="0" applyFont="1" applyFill="1" applyBorder="1" applyAlignment="1" applyProtection="1">
      <alignment horizontal="center" wrapText="1"/>
      <protection hidden="1"/>
    </xf>
    <xf numFmtId="0" fontId="117" fillId="11" borderId="104" xfId="0" applyFont="1" applyFill="1" applyBorder="1" applyAlignment="1" applyProtection="1">
      <alignment horizontal="center" wrapText="1"/>
      <protection hidden="1"/>
    </xf>
    <xf numFmtId="0" fontId="117" fillId="11" borderId="198" xfId="0" applyFont="1" applyFill="1" applyBorder="1" applyAlignment="1" applyProtection="1">
      <alignment horizontal="center" wrapText="1"/>
      <protection hidden="1"/>
    </xf>
    <xf numFmtId="0" fontId="117" fillId="11" borderId="109" xfId="0" applyFont="1" applyFill="1" applyBorder="1" applyAlignment="1" applyProtection="1">
      <alignment horizontal="center" wrapText="1"/>
      <protection hidden="1"/>
    </xf>
    <xf numFmtId="0" fontId="117" fillId="11" borderId="157" xfId="0" applyFont="1" applyFill="1" applyBorder="1" applyAlignment="1" applyProtection="1">
      <alignment horizontal="center" wrapText="1"/>
      <protection hidden="1"/>
    </xf>
    <xf numFmtId="0" fontId="117" fillId="11" borderId="107" xfId="0" applyFont="1" applyFill="1" applyBorder="1" applyAlignment="1" applyProtection="1">
      <alignment horizontal="center" wrapText="1"/>
      <protection hidden="1"/>
    </xf>
    <xf numFmtId="169" fontId="117" fillId="11" borderId="105" xfId="0" applyNumberFormat="1" applyFont="1" applyFill="1" applyBorder="1" applyAlignment="1" applyProtection="1">
      <alignment horizontal="center" shrinkToFit="1"/>
      <protection hidden="1"/>
    </xf>
    <xf numFmtId="169" fontId="117" fillId="11" borderId="107" xfId="0" applyNumberFormat="1" applyFont="1" applyFill="1" applyBorder="1" applyAlignment="1" applyProtection="1">
      <alignment horizontal="center" shrinkToFit="1"/>
      <protection hidden="1"/>
    </xf>
    <xf numFmtId="0" fontId="25" fillId="0" borderId="206" xfId="0" applyFont="1" applyBorder="1" applyAlignment="1" applyProtection="1">
      <alignment horizontal="center"/>
      <protection locked="0"/>
    </xf>
    <xf numFmtId="0" fontId="25" fillId="0" borderId="207" xfId="0" applyFont="1" applyBorder="1" applyAlignment="1" applyProtection="1">
      <alignment horizontal="center"/>
      <protection locked="0"/>
    </xf>
    <xf numFmtId="0" fontId="25" fillId="0" borderId="208" xfId="0" applyFont="1" applyBorder="1" applyAlignment="1" applyProtection="1">
      <alignment horizontal="center"/>
      <protection locked="0"/>
    </xf>
    <xf numFmtId="0" fontId="128" fillId="0" borderId="71" xfId="0" applyFont="1" applyBorder="1" applyAlignment="1">
      <alignment horizontal="center" shrinkToFit="1"/>
    </xf>
    <xf numFmtId="0" fontId="128" fillId="0" borderId="71" xfId="0" applyFont="1" applyBorder="1" applyAlignment="1">
      <alignment horizontal="center"/>
    </xf>
    <xf numFmtId="169" fontId="117" fillId="0" borderId="102" xfId="0" applyNumberFormat="1" applyFont="1" applyBorder="1" applyAlignment="1" applyProtection="1">
      <alignment horizontal="center" shrinkToFit="1"/>
      <protection locked="0"/>
    </xf>
    <xf numFmtId="169" fontId="117" fillId="0" borderId="156" xfId="0" applyNumberFormat="1" applyFont="1" applyBorder="1" applyAlignment="1" applyProtection="1">
      <alignment horizontal="center" shrinkToFit="1"/>
      <protection locked="0"/>
    </xf>
    <xf numFmtId="0" fontId="185" fillId="0" borderId="0" xfId="0" applyFont="1" applyAlignment="1">
      <alignment horizontal="center"/>
    </xf>
    <xf numFmtId="0" fontId="117" fillId="11" borderId="103" xfId="0" applyFont="1" applyFill="1" applyBorder="1" applyAlignment="1">
      <alignment horizontal="center" wrapText="1" shrinkToFit="1"/>
    </xf>
    <xf numFmtId="0" fontId="117" fillId="11" borderId="104" xfId="0" applyFont="1" applyFill="1" applyBorder="1" applyAlignment="1">
      <alignment horizontal="center" wrapText="1" shrinkToFit="1"/>
    </xf>
    <xf numFmtId="169" fontId="117" fillId="0" borderId="105" xfId="0" applyNumberFormat="1" applyFont="1" applyBorder="1" applyAlignment="1" applyProtection="1">
      <alignment horizontal="center" shrinkToFit="1"/>
      <protection locked="0" hidden="1"/>
    </xf>
    <xf numFmtId="169" fontId="117" fillId="0" borderId="155" xfId="0" applyNumberFormat="1" applyFont="1" applyBorder="1" applyAlignment="1" applyProtection="1">
      <alignment horizontal="center" shrinkToFit="1"/>
      <protection locked="0" hidden="1"/>
    </xf>
    <xf numFmtId="169" fontId="117" fillId="0" borderId="102" xfId="0" applyNumberFormat="1" applyFont="1" applyBorder="1" applyAlignment="1" applyProtection="1">
      <alignment horizontal="center" shrinkToFit="1"/>
      <protection locked="0" hidden="1"/>
    </xf>
    <xf numFmtId="169" fontId="117" fillId="0" borderId="156" xfId="0" applyNumberFormat="1" applyFont="1" applyBorder="1" applyAlignment="1" applyProtection="1">
      <alignment horizontal="center" shrinkToFit="1"/>
      <protection locked="0" hidden="1"/>
    </xf>
    <xf numFmtId="185" fontId="117" fillId="0" borderId="104" xfId="0" applyNumberFormat="1" applyFont="1" applyBorder="1" applyAlignment="1" applyProtection="1">
      <alignment horizontal="center" shrinkToFit="1"/>
      <protection locked="0"/>
    </xf>
    <xf numFmtId="185" fontId="117" fillId="0" borderId="70" xfId="0" applyNumberFormat="1" applyFont="1" applyBorder="1" applyAlignment="1" applyProtection="1">
      <alignment horizontal="center" shrinkToFit="1"/>
      <protection locked="0"/>
    </xf>
    <xf numFmtId="169" fontId="27" fillId="0" borderId="73" xfId="0" applyNumberFormat="1" applyFont="1" applyBorder="1" applyAlignment="1" applyProtection="1">
      <alignment horizontal="center" shrinkToFit="1"/>
      <protection hidden="1"/>
    </xf>
    <xf numFmtId="169" fontId="27" fillId="0" borderId="74" xfId="0" applyNumberFormat="1" applyFont="1" applyBorder="1" applyAlignment="1" applyProtection="1">
      <alignment horizontal="center" shrinkToFit="1"/>
      <protection hidden="1"/>
    </xf>
    <xf numFmtId="186" fontId="0" fillId="0" borderId="168" xfId="0" applyNumberFormat="1" applyBorder="1" applyAlignment="1" applyProtection="1">
      <alignment horizontal="center"/>
      <protection locked="0"/>
    </xf>
    <xf numFmtId="0" fontId="117" fillId="11" borderId="105" xfId="0" applyFont="1" applyFill="1" applyBorder="1" applyAlignment="1">
      <alignment horizontal="center"/>
    </xf>
    <xf numFmtId="0" fontId="117" fillId="11" borderId="106" xfId="0" applyFont="1" applyFill="1" applyBorder="1" applyAlignment="1">
      <alignment horizontal="center"/>
    </xf>
    <xf numFmtId="0" fontId="117" fillId="11" borderId="107" xfId="0" applyFont="1" applyFill="1" applyBorder="1" applyAlignment="1">
      <alignment horizontal="center"/>
    </xf>
    <xf numFmtId="0" fontId="117" fillId="11" borderId="102" xfId="0" applyFont="1" applyFill="1" applyBorder="1" applyAlignment="1">
      <alignment horizontal="center"/>
    </xf>
    <xf numFmtId="0" fontId="117" fillId="11" borderId="103" xfId="0" applyFont="1" applyFill="1" applyBorder="1" applyAlignment="1">
      <alignment horizontal="center"/>
    </xf>
    <xf numFmtId="0" fontId="117" fillId="11" borderId="104" xfId="0" applyFont="1" applyFill="1" applyBorder="1" applyAlignment="1">
      <alignment horizontal="center"/>
    </xf>
    <xf numFmtId="0" fontId="117" fillId="11" borderId="187" xfId="0" applyFont="1" applyFill="1" applyBorder="1" applyAlignment="1">
      <alignment horizontal="center"/>
    </xf>
    <xf numFmtId="0" fontId="117" fillId="11" borderId="101" xfId="0" applyFont="1" applyFill="1" applyBorder="1" applyAlignment="1">
      <alignment horizontal="center"/>
    </xf>
    <xf numFmtId="0" fontId="117" fillId="11" borderId="188" xfId="0" applyFont="1" applyFill="1" applyBorder="1" applyAlignment="1">
      <alignment horizontal="center"/>
    </xf>
    <xf numFmtId="0" fontId="117" fillId="0" borderId="187" xfId="0" applyFont="1" applyBorder="1" applyAlignment="1" applyProtection="1">
      <alignment horizontal="center" shrinkToFit="1"/>
      <protection locked="0"/>
    </xf>
    <xf numFmtId="0" fontId="117" fillId="0" borderId="188" xfId="0" applyFont="1" applyBorder="1" applyAlignment="1" applyProtection="1">
      <alignment horizontal="center" shrinkToFit="1"/>
      <protection locked="0"/>
    </xf>
    <xf numFmtId="167" fontId="117" fillId="0" borderId="75" xfId="0" applyNumberFormat="1" applyFont="1" applyBorder="1" applyAlignment="1" applyProtection="1">
      <alignment horizontal="center" shrinkToFit="1"/>
      <protection locked="0"/>
    </xf>
    <xf numFmtId="167" fontId="117" fillId="0" borderId="132" xfId="0" applyNumberFormat="1" applyFont="1" applyBorder="1" applyAlignment="1" applyProtection="1">
      <alignment horizontal="center" shrinkToFit="1"/>
      <protection locked="0"/>
    </xf>
    <xf numFmtId="167" fontId="117" fillId="0" borderId="129" xfId="0" applyNumberFormat="1" applyFont="1" applyBorder="1" applyAlignment="1" applyProtection="1">
      <alignment horizontal="center" shrinkToFit="1"/>
      <protection locked="0"/>
    </xf>
    <xf numFmtId="167" fontId="118" fillId="11" borderId="131" xfId="0" applyNumberFormat="1" applyFont="1" applyFill="1" applyBorder="1" applyAlignment="1">
      <alignment horizontal="center" shrinkToFit="1"/>
    </xf>
    <xf numFmtId="167" fontId="118" fillId="11" borderId="75" xfId="0" applyNumberFormat="1" applyFont="1" applyFill="1" applyBorder="1" applyAlignment="1">
      <alignment horizontal="center" shrinkToFit="1"/>
    </xf>
    <xf numFmtId="170" fontId="118" fillId="11" borderId="75" xfId="0" applyNumberFormat="1" applyFont="1" applyFill="1" applyBorder="1" applyAlignment="1">
      <alignment horizontal="center" shrinkToFit="1"/>
    </xf>
    <xf numFmtId="167" fontId="118" fillId="11" borderId="187" xfId="0" applyNumberFormat="1" applyFont="1" applyFill="1" applyBorder="1" applyAlignment="1">
      <alignment horizontal="center" wrapText="1"/>
    </xf>
    <xf numFmtId="167" fontId="118" fillId="11" borderId="101" xfId="0" applyNumberFormat="1" applyFont="1" applyFill="1" applyBorder="1" applyAlignment="1">
      <alignment horizontal="center" wrapText="1"/>
    </xf>
    <xf numFmtId="167" fontId="118" fillId="11" borderId="188" xfId="0" applyNumberFormat="1" applyFont="1" applyFill="1" applyBorder="1" applyAlignment="1">
      <alignment horizontal="center" wrapText="1"/>
    </xf>
    <xf numFmtId="167" fontId="118" fillId="11" borderId="157" xfId="0" applyNumberFormat="1" applyFont="1" applyFill="1" applyBorder="1" applyAlignment="1">
      <alignment horizontal="center" shrinkToFit="1"/>
    </xf>
    <xf numFmtId="167" fontId="118" fillId="11" borderId="158" xfId="0" applyNumberFormat="1" applyFont="1" applyFill="1" applyBorder="1" applyAlignment="1">
      <alignment horizontal="center" shrinkToFit="1"/>
    </xf>
    <xf numFmtId="0" fontId="25" fillId="5" borderId="99" xfId="0" applyFont="1" applyFill="1" applyBorder="1" applyAlignment="1">
      <alignment horizontal="center" wrapText="1"/>
    </xf>
    <xf numFmtId="44" fontId="25" fillId="5" borderId="99" xfId="13" applyFont="1" applyFill="1" applyBorder="1" applyAlignment="1">
      <alignment horizontal="center"/>
    </xf>
    <xf numFmtId="44" fontId="0" fillId="0" borderId="99" xfId="13" applyFont="1" applyBorder="1" applyAlignment="1" applyProtection="1">
      <alignment horizontal="center"/>
      <protection locked="0"/>
    </xf>
    <xf numFmtId="1" fontId="0" fillId="0" borderId="99" xfId="0" applyNumberFormat="1" applyBorder="1" applyAlignment="1" applyProtection="1">
      <alignment horizontal="center"/>
      <protection locked="0"/>
    </xf>
    <xf numFmtId="173" fontId="25" fillId="78" borderId="99" xfId="0" applyNumberFormat="1" applyFont="1" applyFill="1" applyBorder="1" applyAlignment="1">
      <alignment horizontal="center"/>
    </xf>
    <xf numFmtId="3" fontId="25" fillId="78" borderId="99" xfId="0" applyNumberFormat="1" applyFont="1" applyFill="1" applyBorder="1" applyAlignment="1">
      <alignment horizontal="center"/>
    </xf>
    <xf numFmtId="0" fontId="0" fillId="0" borderId="99" xfId="0" applyBorder="1" applyAlignment="1" applyProtection="1">
      <alignment horizontal="center" wrapText="1"/>
      <protection locked="0"/>
    </xf>
    <xf numFmtId="9" fontId="82" fillId="0" borderId="0" xfId="0" applyNumberFormat="1" applyFont="1" applyAlignment="1">
      <alignment horizontal="center" vertical="center"/>
    </xf>
    <xf numFmtId="3" fontId="117" fillId="0" borderId="74" xfId="0" applyNumberFormat="1" applyFont="1" applyBorder="1" applyAlignment="1" applyProtection="1">
      <alignment horizontal="center" shrinkToFit="1"/>
      <protection locked="0"/>
    </xf>
    <xf numFmtId="190" fontId="117" fillId="0" borderId="74" xfId="0" applyNumberFormat="1" applyFont="1" applyBorder="1" applyAlignment="1" applyProtection="1">
      <alignment horizontal="center" shrinkToFit="1"/>
      <protection locked="0"/>
    </xf>
    <xf numFmtId="190" fontId="117" fillId="0" borderId="122" xfId="0" applyNumberFormat="1" applyFont="1" applyBorder="1" applyAlignment="1" applyProtection="1">
      <alignment horizontal="center" shrinkToFit="1"/>
      <protection locked="0"/>
    </xf>
    <xf numFmtId="167" fontId="117" fillId="0" borderId="127" xfId="0" applyNumberFormat="1" applyFont="1" applyBorder="1" applyAlignment="1" applyProtection="1">
      <alignment horizontal="center" shrinkToFit="1"/>
      <protection locked="0"/>
    </xf>
    <xf numFmtId="167" fontId="117" fillId="0" borderId="74" xfId="0" applyNumberFormat="1" applyFont="1" applyBorder="1" applyAlignment="1" applyProtection="1">
      <alignment horizontal="center" shrinkToFit="1"/>
      <protection locked="0"/>
    </xf>
    <xf numFmtId="170" fontId="118" fillId="11" borderId="55" xfId="0" applyNumberFormat="1" applyFont="1" applyFill="1" applyBorder="1" applyAlignment="1">
      <alignment horizontal="center" shrinkToFit="1"/>
    </xf>
    <xf numFmtId="170" fontId="118" fillId="11" borderId="56" xfId="0" applyNumberFormat="1" applyFont="1" applyFill="1" applyBorder="1" applyAlignment="1">
      <alignment horizontal="center" shrinkToFit="1"/>
    </xf>
    <xf numFmtId="170" fontId="118" fillId="11" borderId="57" xfId="0" applyNumberFormat="1" applyFont="1" applyFill="1" applyBorder="1" applyAlignment="1">
      <alignment horizontal="center" shrinkToFit="1"/>
    </xf>
    <xf numFmtId="170" fontId="118" fillId="11" borderId="59" xfId="0" applyNumberFormat="1" applyFont="1" applyFill="1" applyBorder="1" applyAlignment="1">
      <alignment horizontal="center" shrinkToFit="1"/>
    </xf>
    <xf numFmtId="170" fontId="118" fillId="11" borderId="60" xfId="0" applyNumberFormat="1" applyFont="1" applyFill="1" applyBorder="1" applyAlignment="1">
      <alignment horizontal="center" shrinkToFit="1"/>
    </xf>
    <xf numFmtId="170" fontId="118" fillId="11" borderId="61" xfId="0" applyNumberFormat="1" applyFont="1" applyFill="1" applyBorder="1" applyAlignment="1">
      <alignment horizontal="center" shrinkToFit="1"/>
    </xf>
    <xf numFmtId="167" fontId="118" fillId="11" borderId="73" xfId="0" applyNumberFormat="1" applyFont="1" applyFill="1" applyBorder="1" applyAlignment="1">
      <alignment horizontal="center" wrapText="1"/>
    </xf>
    <xf numFmtId="167" fontId="118" fillId="11" borderId="74" xfId="0" applyNumberFormat="1" applyFont="1" applyFill="1" applyBorder="1" applyAlignment="1">
      <alignment horizontal="center" wrapText="1"/>
    </xf>
    <xf numFmtId="0" fontId="117" fillId="0" borderId="74" xfId="0" applyFont="1" applyBorder="1" applyAlignment="1" applyProtection="1">
      <alignment horizontal="center" wrapText="1"/>
      <protection locked="0"/>
    </xf>
    <xf numFmtId="0" fontId="117" fillId="0" borderId="122" xfId="0" applyFont="1" applyBorder="1" applyAlignment="1" applyProtection="1">
      <alignment horizontal="center" wrapText="1"/>
      <protection locked="0"/>
    </xf>
    <xf numFmtId="0" fontId="117" fillId="0" borderId="127" xfId="0" applyFont="1" applyBorder="1" applyAlignment="1" applyProtection="1">
      <alignment horizontal="center" wrapText="1"/>
      <protection locked="0"/>
    </xf>
    <xf numFmtId="167" fontId="117" fillId="0" borderId="128" xfId="0" applyNumberFormat="1" applyFont="1" applyBorder="1" applyAlignment="1" applyProtection="1">
      <alignment horizontal="center" shrinkToFit="1"/>
      <protection locked="0"/>
    </xf>
    <xf numFmtId="167" fontId="118" fillId="11" borderId="123" xfId="0" applyNumberFormat="1" applyFont="1" applyFill="1" applyBorder="1" applyAlignment="1">
      <alignment horizontal="center" shrinkToFit="1"/>
    </xf>
    <xf numFmtId="167" fontId="118" fillId="11" borderId="74" xfId="0" applyNumberFormat="1" applyFont="1" applyFill="1" applyBorder="1" applyAlignment="1">
      <alignment horizontal="center" shrinkToFit="1"/>
    </xf>
    <xf numFmtId="190" fontId="117" fillId="0" borderId="74" xfId="0" applyNumberFormat="1" applyFont="1" applyBorder="1" applyAlignment="1" applyProtection="1">
      <alignment horizontal="center" shrinkToFit="1"/>
      <protection locked="0" hidden="1"/>
    </xf>
    <xf numFmtId="0" fontId="117" fillId="0" borderId="55" xfId="0" applyFont="1" applyBorder="1" applyAlignment="1" applyProtection="1">
      <alignment horizontal="center" wrapText="1"/>
      <protection locked="0"/>
    </xf>
    <xf numFmtId="0" fontId="117" fillId="0" borderId="56" xfId="0" applyFont="1" applyBorder="1" applyAlignment="1" applyProtection="1">
      <alignment horizontal="center" wrapText="1"/>
      <protection locked="0"/>
    </xf>
    <xf numFmtId="0" fontId="117" fillId="0" borderId="57" xfId="0" applyFont="1" applyBorder="1" applyAlignment="1" applyProtection="1">
      <alignment horizontal="center" wrapText="1"/>
      <protection locked="0"/>
    </xf>
    <xf numFmtId="0" fontId="117" fillId="0" borderId="59" xfId="0" applyFont="1" applyBorder="1" applyAlignment="1" applyProtection="1">
      <alignment horizontal="center" wrapText="1"/>
      <protection locked="0"/>
    </xf>
    <xf numFmtId="0" fontId="117" fillId="0" borderId="60" xfId="0" applyFont="1" applyBorder="1" applyAlignment="1" applyProtection="1">
      <alignment horizontal="center" wrapText="1"/>
      <protection locked="0"/>
    </xf>
    <xf numFmtId="0" fontId="117" fillId="0" borderId="61" xfId="0" applyFont="1" applyBorder="1" applyAlignment="1" applyProtection="1">
      <alignment horizontal="center" wrapText="1"/>
      <protection locked="0"/>
    </xf>
    <xf numFmtId="3" fontId="117" fillId="0" borderId="74" xfId="0" applyNumberFormat="1" applyFont="1" applyBorder="1" applyAlignment="1" applyProtection="1">
      <alignment horizontal="center" wrapText="1"/>
      <protection locked="0"/>
    </xf>
    <xf numFmtId="3" fontId="117" fillId="0" borderId="128" xfId="0" applyNumberFormat="1" applyFont="1" applyBorder="1" applyAlignment="1" applyProtection="1">
      <alignment horizontal="center" wrapText="1"/>
      <protection locked="0"/>
    </xf>
    <xf numFmtId="0" fontId="117" fillId="0" borderId="123" xfId="0" applyFont="1" applyBorder="1" applyAlignment="1" applyProtection="1">
      <alignment horizontal="center" wrapText="1"/>
      <protection locked="0"/>
    </xf>
    <xf numFmtId="167" fontId="117" fillId="0" borderId="161" xfId="0" applyNumberFormat="1" applyFont="1" applyBorder="1" applyAlignment="1" applyProtection="1">
      <alignment horizontal="center" shrinkToFit="1"/>
      <protection locked="0"/>
    </xf>
    <xf numFmtId="167" fontId="117" fillId="0" borderId="57" xfId="0" applyNumberFormat="1" applyFont="1" applyBorder="1" applyAlignment="1" applyProtection="1">
      <alignment horizontal="center" shrinkToFit="1"/>
      <protection locked="0"/>
    </xf>
    <xf numFmtId="167" fontId="117" fillId="0" borderId="162" xfId="0" applyNumberFormat="1" applyFont="1" applyBorder="1" applyAlignment="1" applyProtection="1">
      <alignment horizontal="center" shrinkToFit="1"/>
      <protection locked="0"/>
    </xf>
    <xf numFmtId="167" fontId="117" fillId="0" borderId="61" xfId="0" applyNumberFormat="1" applyFont="1" applyBorder="1" applyAlignment="1" applyProtection="1">
      <alignment horizontal="center" shrinkToFit="1"/>
      <protection locked="0"/>
    </xf>
    <xf numFmtId="167" fontId="117" fillId="0" borderId="55" xfId="0" applyNumberFormat="1" applyFont="1" applyBorder="1" applyAlignment="1" applyProtection="1">
      <alignment horizontal="center" shrinkToFit="1"/>
      <protection locked="0"/>
    </xf>
    <xf numFmtId="167" fontId="117" fillId="0" borderId="159" xfId="0" applyNumberFormat="1" applyFont="1" applyBorder="1" applyAlignment="1" applyProtection="1">
      <alignment horizontal="center" shrinkToFit="1"/>
      <protection locked="0"/>
    </xf>
    <xf numFmtId="167" fontId="117" fillId="0" borderId="59" xfId="0" applyNumberFormat="1" applyFont="1" applyBorder="1" applyAlignment="1" applyProtection="1">
      <alignment horizontal="center" shrinkToFit="1"/>
      <protection locked="0"/>
    </xf>
    <xf numFmtId="167" fontId="117" fillId="0" borderId="160" xfId="0" applyNumberFormat="1" applyFont="1" applyBorder="1" applyAlignment="1" applyProtection="1">
      <alignment horizontal="center" shrinkToFit="1"/>
      <protection locked="0"/>
    </xf>
    <xf numFmtId="3" fontId="117" fillId="0" borderId="55" xfId="0" applyNumberFormat="1" applyFont="1" applyBorder="1" applyAlignment="1" applyProtection="1">
      <alignment horizontal="center" wrapText="1"/>
      <protection locked="0"/>
    </xf>
    <xf numFmtId="3" fontId="117" fillId="0" borderId="159" xfId="0" applyNumberFormat="1" applyFont="1" applyBorder="1" applyAlignment="1" applyProtection="1">
      <alignment horizontal="center" wrapText="1"/>
      <protection locked="0"/>
    </xf>
    <xf numFmtId="3" fontId="117" fillId="0" borderId="59" xfId="0" applyNumberFormat="1" applyFont="1" applyBorder="1" applyAlignment="1" applyProtection="1">
      <alignment horizontal="center" wrapText="1"/>
      <protection locked="0"/>
    </xf>
    <xf numFmtId="3" fontId="117" fillId="0" borderId="160" xfId="0" applyNumberFormat="1" applyFont="1" applyBorder="1" applyAlignment="1" applyProtection="1">
      <alignment horizontal="center" wrapText="1"/>
      <protection locked="0"/>
    </xf>
    <xf numFmtId="167" fontId="118" fillId="11" borderId="61" xfId="0" applyNumberFormat="1" applyFont="1" applyFill="1" applyBorder="1" applyAlignment="1">
      <alignment horizontal="center" shrinkToFit="1"/>
    </xf>
    <xf numFmtId="167" fontId="118" fillId="11" borderId="73" xfId="0" applyNumberFormat="1" applyFont="1" applyFill="1" applyBorder="1" applyAlignment="1">
      <alignment horizontal="center" shrinkToFit="1"/>
    </xf>
    <xf numFmtId="3" fontId="117" fillId="0" borderId="55" xfId="0" applyNumberFormat="1" applyFont="1" applyBorder="1" applyAlignment="1" applyProtection="1">
      <alignment horizontal="center" shrinkToFit="1"/>
      <protection locked="0"/>
    </xf>
    <xf numFmtId="3" fontId="117" fillId="0" borderId="57" xfId="0" applyNumberFormat="1" applyFont="1" applyBorder="1" applyAlignment="1" applyProtection="1">
      <alignment horizontal="center" shrinkToFit="1"/>
      <protection locked="0"/>
    </xf>
    <xf numFmtId="3" fontId="117" fillId="0" borderId="59" xfId="0" applyNumberFormat="1" applyFont="1" applyBorder="1" applyAlignment="1" applyProtection="1">
      <alignment horizontal="center" shrinkToFit="1"/>
      <protection locked="0"/>
    </xf>
    <xf numFmtId="3" fontId="117" fillId="0" borderId="61" xfId="0" applyNumberFormat="1" applyFont="1" applyBorder="1" applyAlignment="1" applyProtection="1">
      <alignment horizontal="center" shrinkToFit="1"/>
      <protection locked="0"/>
    </xf>
    <xf numFmtId="170" fontId="118" fillId="11" borderId="73" xfId="0" applyNumberFormat="1" applyFont="1" applyFill="1" applyBorder="1" applyAlignment="1">
      <alignment horizontal="center" shrinkToFit="1"/>
    </xf>
    <xf numFmtId="170" fontId="118" fillId="11" borderId="74" xfId="0" applyNumberFormat="1" applyFont="1" applyFill="1" applyBorder="1" applyAlignment="1">
      <alignment horizontal="center" shrinkToFit="1"/>
    </xf>
    <xf numFmtId="167" fontId="117" fillId="0" borderId="73" xfId="0" applyNumberFormat="1" applyFont="1" applyBorder="1" applyAlignment="1" applyProtection="1">
      <alignment horizontal="center" shrinkToFit="1"/>
      <protection locked="0"/>
    </xf>
    <xf numFmtId="167" fontId="117" fillId="0" borderId="135" xfId="0" applyNumberFormat="1" applyFont="1" applyBorder="1" applyAlignment="1" applyProtection="1">
      <alignment horizontal="center" shrinkToFit="1"/>
      <protection locked="0"/>
    </xf>
    <xf numFmtId="0" fontId="117" fillId="0" borderId="161" xfId="0" applyFont="1" applyBorder="1" applyAlignment="1" applyProtection="1">
      <alignment horizontal="center" wrapText="1"/>
      <protection locked="0"/>
    </xf>
    <xf numFmtId="0" fontId="117" fillId="0" borderId="162" xfId="0" applyFont="1" applyBorder="1" applyAlignment="1" applyProtection="1">
      <alignment horizontal="center" wrapText="1"/>
      <protection locked="0"/>
    </xf>
    <xf numFmtId="190" fontId="117" fillId="0" borderId="55" xfId="0" applyNumberFormat="1" applyFont="1" applyBorder="1" applyAlignment="1" applyProtection="1">
      <alignment horizontal="center" shrinkToFit="1"/>
      <protection locked="0"/>
    </xf>
    <xf numFmtId="190" fontId="117" fillId="0" borderId="159" xfId="0" applyNumberFormat="1" applyFont="1" applyBorder="1" applyAlignment="1" applyProtection="1">
      <alignment horizontal="center" shrinkToFit="1"/>
      <protection locked="0"/>
    </xf>
    <xf numFmtId="190" fontId="117" fillId="0" borderId="59" xfId="0" applyNumberFormat="1" applyFont="1" applyBorder="1" applyAlignment="1" applyProtection="1">
      <alignment horizontal="center" shrinkToFit="1"/>
      <protection locked="0"/>
    </xf>
    <xf numFmtId="190" fontId="117" fillId="0" borderId="160" xfId="0" applyNumberFormat="1" applyFont="1" applyBorder="1" applyAlignment="1" applyProtection="1">
      <alignment horizontal="center" shrinkToFit="1"/>
      <protection locked="0"/>
    </xf>
    <xf numFmtId="0" fontId="117" fillId="0" borderId="60" xfId="0" applyFont="1" applyBorder="1" applyAlignment="1">
      <alignment horizontal="center" wrapText="1"/>
    </xf>
    <xf numFmtId="0" fontId="117" fillId="0" borderId="100" xfId="0" applyFont="1" applyBorder="1" applyAlignment="1">
      <alignment horizontal="center" wrapText="1"/>
    </xf>
    <xf numFmtId="3" fontId="117" fillId="0" borderId="73" xfId="0" applyNumberFormat="1" applyFont="1" applyBorder="1" applyAlignment="1" applyProtection="1">
      <alignment horizontal="center" wrapText="1"/>
      <protection locked="0"/>
    </xf>
    <xf numFmtId="3" fontId="117" fillId="0" borderId="135" xfId="0" applyNumberFormat="1" applyFont="1" applyBorder="1" applyAlignment="1" applyProtection="1">
      <alignment horizontal="center" wrapText="1"/>
      <protection locked="0"/>
    </xf>
    <xf numFmtId="0" fontId="117" fillId="0" borderId="73" xfId="0" applyFont="1" applyBorder="1" applyAlignment="1" applyProtection="1">
      <alignment horizontal="center" wrapText="1"/>
      <protection locked="0"/>
    </xf>
    <xf numFmtId="3" fontId="117" fillId="0" borderId="73" xfId="0" applyNumberFormat="1" applyFont="1" applyBorder="1" applyAlignment="1" applyProtection="1">
      <alignment horizontal="center" shrinkToFit="1"/>
      <protection locked="0"/>
    </xf>
    <xf numFmtId="190" fontId="117" fillId="0" borderId="73" xfId="0" applyNumberFormat="1" applyFont="1" applyBorder="1" applyAlignment="1" applyProtection="1">
      <alignment horizontal="center" shrinkToFit="1"/>
      <protection locked="0"/>
    </xf>
    <xf numFmtId="0" fontId="117" fillId="0" borderId="159" xfId="0" applyFont="1" applyBorder="1" applyAlignment="1" applyProtection="1">
      <alignment horizontal="center" wrapText="1"/>
      <protection locked="0"/>
    </xf>
    <xf numFmtId="0" fontId="117" fillId="0" borderId="160" xfId="0" applyFont="1" applyBorder="1" applyAlignment="1" applyProtection="1">
      <alignment horizontal="center" wrapText="1"/>
      <protection locked="0"/>
    </xf>
    <xf numFmtId="0" fontId="117" fillId="0" borderId="134" xfId="0" applyFont="1" applyBorder="1" applyAlignment="1" applyProtection="1">
      <alignment horizontal="center" wrapText="1"/>
      <protection locked="0"/>
    </xf>
    <xf numFmtId="0" fontId="117" fillId="0" borderId="149" xfId="0" applyFont="1" applyBorder="1" applyAlignment="1" applyProtection="1">
      <alignment horizontal="center" wrapText="1"/>
      <protection locked="0"/>
    </xf>
    <xf numFmtId="167" fontId="117" fillId="0" borderId="134" xfId="0" applyNumberFormat="1" applyFont="1" applyBorder="1" applyAlignment="1" applyProtection="1">
      <alignment horizontal="center" shrinkToFit="1"/>
      <protection locked="0"/>
    </xf>
    <xf numFmtId="0" fontId="117" fillId="0" borderId="150" xfId="0" applyFont="1" applyBorder="1" applyAlignment="1" applyProtection="1">
      <alignment horizontal="center" wrapText="1"/>
      <protection locked="0"/>
    </xf>
    <xf numFmtId="0" fontId="0" fillId="0" borderId="0" xfId="0" applyAlignment="1">
      <alignment horizontal="center" wrapText="1"/>
    </xf>
    <xf numFmtId="0" fontId="0" fillId="0" borderId="71" xfId="0" applyBorder="1" applyAlignment="1">
      <alignment horizontal="center" wrapText="1"/>
    </xf>
    <xf numFmtId="172" fontId="27" fillId="0" borderId="74" xfId="0" applyNumberFormat="1" applyFont="1" applyBorder="1" applyAlignment="1">
      <alignment horizontal="center" shrinkToFit="1"/>
    </xf>
    <xf numFmtId="172" fontId="27" fillId="0" borderId="99" xfId="0" applyNumberFormat="1" applyFont="1" applyBorder="1" applyAlignment="1">
      <alignment horizontal="center" shrinkToFit="1"/>
    </xf>
    <xf numFmtId="172" fontId="27" fillId="0" borderId="73" xfId="0" applyNumberFormat="1" applyFont="1" applyBorder="1" applyAlignment="1">
      <alignment horizontal="center" shrinkToFit="1"/>
    </xf>
    <xf numFmtId="0" fontId="0" fillId="4" borderId="0" xfId="0" applyFill="1" applyAlignment="1">
      <alignment horizontal="center"/>
    </xf>
    <xf numFmtId="0" fontId="0" fillId="4" borderId="71" xfId="0" applyFill="1" applyBorder="1" applyAlignment="1">
      <alignment horizontal="center"/>
    </xf>
    <xf numFmtId="0" fontId="27" fillId="4" borderId="0" xfId="0" applyFont="1" applyFill="1" applyAlignment="1">
      <alignment horizontal="center" wrapText="1"/>
    </xf>
    <xf numFmtId="0" fontId="27" fillId="4" borderId="71" xfId="0" applyFont="1" applyFill="1" applyBorder="1" applyAlignment="1">
      <alignment horizontal="center" wrapText="1"/>
    </xf>
    <xf numFmtId="0" fontId="27" fillId="4" borderId="60" xfId="0" applyFont="1" applyFill="1" applyBorder="1" applyAlignment="1">
      <alignment horizontal="center" wrapText="1"/>
    </xf>
    <xf numFmtId="0" fontId="27" fillId="4" borderId="100" xfId="0" applyFont="1" applyFill="1" applyBorder="1" applyAlignment="1">
      <alignment horizontal="center" wrapText="1"/>
    </xf>
    <xf numFmtId="0" fontId="25" fillId="4" borderId="0" xfId="0" applyFont="1" applyFill="1" applyAlignment="1">
      <alignment horizontal="center" wrapText="1"/>
    </xf>
    <xf numFmtId="0" fontId="25" fillId="4" borderId="71" xfId="0" applyFont="1" applyFill="1" applyBorder="1" applyAlignment="1">
      <alignment horizontal="center" wrapText="1"/>
    </xf>
    <xf numFmtId="167" fontId="118" fillId="11" borderId="55" xfId="0" applyNumberFormat="1" applyFont="1" applyFill="1" applyBorder="1" applyAlignment="1">
      <alignment horizontal="center" wrapText="1"/>
    </xf>
    <xf numFmtId="167" fontId="118" fillId="11" borderId="56" xfId="0" applyNumberFormat="1" applyFont="1" applyFill="1" applyBorder="1" applyAlignment="1">
      <alignment horizontal="center" wrapText="1"/>
    </xf>
    <xf numFmtId="167" fontId="118" fillId="11" borderId="57" xfId="0" applyNumberFormat="1" applyFont="1" applyFill="1" applyBorder="1" applyAlignment="1">
      <alignment horizontal="center" wrapText="1"/>
    </xf>
    <xf numFmtId="167" fontId="118" fillId="11" borderId="59" xfId="0" applyNumberFormat="1" applyFont="1" applyFill="1" applyBorder="1" applyAlignment="1">
      <alignment horizontal="center" wrapText="1"/>
    </xf>
    <xf numFmtId="167" fontId="118" fillId="11" borderId="60" xfId="0" applyNumberFormat="1" applyFont="1" applyFill="1" applyBorder="1" applyAlignment="1">
      <alignment horizontal="center" wrapText="1"/>
    </xf>
    <xf numFmtId="167" fontId="118" fillId="11" borderId="61" xfId="0" applyNumberFormat="1" applyFont="1" applyFill="1" applyBorder="1" applyAlignment="1">
      <alignment horizontal="center" wrapText="1"/>
    </xf>
    <xf numFmtId="49" fontId="0" fillId="0" borderId="73" xfId="0" applyNumberFormat="1" applyBorder="1" applyAlignment="1" applyProtection="1">
      <alignment horizontal="center" wrapText="1"/>
      <protection locked="0"/>
    </xf>
    <xf numFmtId="49" fontId="0" fillId="0" borderId="74" xfId="0" applyNumberFormat="1" applyBorder="1" applyAlignment="1" applyProtection="1">
      <alignment horizontal="center" wrapText="1"/>
      <protection locked="0"/>
    </xf>
    <xf numFmtId="0" fontId="117" fillId="0" borderId="128" xfId="0" applyFont="1" applyBorder="1" applyAlignment="1" applyProtection="1">
      <alignment horizontal="center" wrapText="1"/>
      <protection locked="0"/>
    </xf>
    <xf numFmtId="184" fontId="117" fillId="0" borderId="124" xfId="0" applyNumberFormat="1" applyFont="1" applyBorder="1" applyAlignment="1" applyProtection="1">
      <alignment horizontal="center" shrinkToFit="1"/>
      <protection locked="0"/>
    </xf>
    <xf numFmtId="184" fontId="117" fillId="0" borderId="74" xfId="0" applyNumberFormat="1" applyFont="1" applyBorder="1" applyAlignment="1" applyProtection="1">
      <alignment horizontal="center" shrinkToFit="1"/>
      <protection locked="0"/>
    </xf>
    <xf numFmtId="167" fontId="117" fillId="0" borderId="74" xfId="0" applyNumberFormat="1" applyFont="1" applyBorder="1" applyAlignment="1" applyProtection="1">
      <alignment horizontal="center" shrinkToFit="1"/>
      <protection locked="0" hidden="1"/>
    </xf>
    <xf numFmtId="167" fontId="117" fillId="0" borderId="128" xfId="0" applyNumberFormat="1" applyFont="1" applyBorder="1" applyAlignment="1" applyProtection="1">
      <alignment horizontal="center" shrinkToFit="1"/>
      <protection locked="0" hidden="1"/>
    </xf>
    <xf numFmtId="3" fontId="117" fillId="11" borderId="73" xfId="0" applyNumberFormat="1" applyFont="1" applyFill="1" applyBorder="1" applyAlignment="1" applyProtection="1">
      <alignment horizontal="center" shrinkToFit="1"/>
      <protection hidden="1"/>
    </xf>
    <xf numFmtId="3" fontId="117" fillId="11" borderId="74" xfId="0" applyNumberFormat="1" applyFont="1" applyFill="1" applyBorder="1" applyAlignment="1" applyProtection="1">
      <alignment horizontal="center" shrinkToFit="1"/>
      <protection hidden="1"/>
    </xf>
    <xf numFmtId="0" fontId="117" fillId="0" borderId="124" xfId="0" applyFont="1" applyBorder="1" applyAlignment="1" applyProtection="1">
      <alignment horizontal="center" wrapText="1"/>
      <protection locked="0"/>
    </xf>
    <xf numFmtId="0" fontId="117" fillId="0" borderId="126" xfId="0" applyFont="1" applyBorder="1" applyAlignment="1" applyProtection="1">
      <alignment horizontal="center" wrapText="1"/>
      <protection locked="0"/>
    </xf>
    <xf numFmtId="0" fontId="117" fillId="0" borderId="58" xfId="0" applyFont="1" applyBorder="1" applyAlignment="1" applyProtection="1">
      <alignment horizontal="center" wrapText="1"/>
      <protection locked="0"/>
    </xf>
    <xf numFmtId="167" fontId="117" fillId="0" borderId="125" xfId="0" applyNumberFormat="1" applyFont="1" applyBorder="1" applyAlignment="1" applyProtection="1">
      <alignment horizontal="center" shrinkToFit="1"/>
      <protection locked="0"/>
    </xf>
    <xf numFmtId="167" fontId="117" fillId="0" borderId="124" xfId="0" applyNumberFormat="1" applyFont="1" applyBorder="1" applyAlignment="1" applyProtection="1">
      <alignment horizontal="center" shrinkToFit="1"/>
      <protection locked="0"/>
    </xf>
    <xf numFmtId="167" fontId="117" fillId="0" borderId="124" xfId="0" applyNumberFormat="1" applyFont="1" applyBorder="1" applyAlignment="1" applyProtection="1">
      <alignment horizontal="center" shrinkToFit="1"/>
      <protection locked="0" hidden="1"/>
    </xf>
    <xf numFmtId="167" fontId="117" fillId="0" borderId="126" xfId="0" applyNumberFormat="1" applyFont="1" applyBorder="1" applyAlignment="1" applyProtection="1">
      <alignment horizontal="center" shrinkToFit="1"/>
      <protection locked="0" hidden="1"/>
    </xf>
    <xf numFmtId="3" fontId="117" fillId="0" borderId="124" xfId="0" applyNumberFormat="1" applyFont="1" applyBorder="1" applyAlignment="1" applyProtection="1">
      <alignment horizontal="center" shrinkToFit="1"/>
      <protection locked="0"/>
    </xf>
    <xf numFmtId="0" fontId="117" fillId="0" borderId="169" xfId="0" applyFont="1" applyBorder="1" applyAlignment="1" applyProtection="1">
      <alignment horizontal="center" wrapText="1"/>
      <protection locked="0"/>
    </xf>
    <xf numFmtId="0" fontId="117" fillId="0" borderId="125" xfId="0" applyFont="1" applyBorder="1" applyAlignment="1" applyProtection="1">
      <alignment horizontal="center" wrapText="1"/>
      <protection locked="0"/>
    </xf>
    <xf numFmtId="0" fontId="0" fillId="0" borderId="71" xfId="0" applyBorder="1" applyAlignment="1">
      <alignment horizontal="center"/>
    </xf>
    <xf numFmtId="173" fontId="25" fillId="0" borderId="73" xfId="0" applyNumberFormat="1" applyFont="1" applyBorder="1" applyAlignment="1" applyProtection="1">
      <alignment horizontal="center"/>
      <protection locked="0"/>
    </xf>
    <xf numFmtId="173" fontId="25" fillId="0" borderId="74" xfId="0" applyNumberFormat="1" applyFont="1" applyBorder="1" applyAlignment="1" applyProtection="1">
      <alignment horizontal="center"/>
      <protection locked="0"/>
    </xf>
    <xf numFmtId="167" fontId="117" fillId="0" borderId="55" xfId="0" applyNumberFormat="1" applyFont="1" applyBorder="1" applyAlignment="1" applyProtection="1">
      <alignment horizontal="center" shrinkToFit="1"/>
      <protection locked="0" hidden="1"/>
    </xf>
    <xf numFmtId="167" fontId="117" fillId="0" borderId="159" xfId="0" applyNumberFormat="1" applyFont="1" applyBorder="1" applyAlignment="1" applyProtection="1">
      <alignment horizontal="center" shrinkToFit="1"/>
      <protection locked="0" hidden="1"/>
    </xf>
    <xf numFmtId="167" fontId="117" fillId="0" borderId="59" xfId="0" applyNumberFormat="1" applyFont="1" applyBorder="1" applyAlignment="1" applyProtection="1">
      <alignment horizontal="center" shrinkToFit="1"/>
      <protection locked="0" hidden="1"/>
    </xf>
    <xf numFmtId="167" fontId="117" fillId="0" borderId="160" xfId="0" applyNumberFormat="1" applyFont="1" applyBorder="1" applyAlignment="1" applyProtection="1">
      <alignment horizontal="center" shrinkToFit="1"/>
      <protection locked="0" hidden="1"/>
    </xf>
    <xf numFmtId="0" fontId="117" fillId="11" borderId="161" xfId="0" applyFont="1" applyFill="1" applyBorder="1" applyAlignment="1" applyProtection="1">
      <alignment horizontal="center" shrinkToFit="1"/>
      <protection hidden="1"/>
    </xf>
    <xf numFmtId="0" fontId="117" fillId="11" borderId="57" xfId="0" applyFont="1" applyFill="1" applyBorder="1" applyAlignment="1" applyProtection="1">
      <alignment horizontal="center" shrinkToFit="1"/>
      <protection hidden="1"/>
    </xf>
    <xf numFmtId="0" fontId="117" fillId="11" borderId="162" xfId="0" applyFont="1" applyFill="1" applyBorder="1" applyAlignment="1" applyProtection="1">
      <alignment horizontal="center" shrinkToFit="1"/>
      <protection hidden="1"/>
    </xf>
    <xf numFmtId="0" fontId="117" fillId="11" borderId="61" xfId="0" applyFont="1" applyFill="1" applyBorder="1" applyAlignment="1" applyProtection="1">
      <alignment horizontal="center" shrinkToFit="1"/>
      <protection hidden="1"/>
    </xf>
    <xf numFmtId="182" fontId="117" fillId="0" borderId="99" xfId="15" applyNumberFormat="1" applyFont="1" applyBorder="1" applyAlignment="1" applyProtection="1">
      <alignment horizontal="center" wrapText="1"/>
      <protection locked="0"/>
    </xf>
    <xf numFmtId="182" fontId="117" fillId="0" borderId="210" xfId="15" applyNumberFormat="1" applyFont="1" applyBorder="1" applyAlignment="1" applyProtection="1">
      <alignment horizontal="center" wrapText="1"/>
      <protection locked="0"/>
    </xf>
    <xf numFmtId="182" fontId="117" fillId="0" borderId="73" xfId="15" applyNumberFormat="1" applyFont="1" applyBorder="1" applyAlignment="1" applyProtection="1">
      <alignment horizontal="center" wrapText="1"/>
      <protection locked="0"/>
    </xf>
    <xf numFmtId="182" fontId="117" fillId="0" borderId="135" xfId="15" applyNumberFormat="1" applyFont="1" applyBorder="1" applyAlignment="1" applyProtection="1">
      <alignment horizontal="center" wrapText="1"/>
      <protection locked="0"/>
    </xf>
    <xf numFmtId="182" fontId="117" fillId="0" borderId="55" xfId="15" applyNumberFormat="1" applyFont="1" applyBorder="1" applyAlignment="1" applyProtection="1">
      <alignment horizontal="center" wrapText="1"/>
      <protection locked="0"/>
    </xf>
    <xf numFmtId="182" fontId="117" fillId="0" borderId="56" xfId="15" applyNumberFormat="1" applyFont="1" applyBorder="1" applyAlignment="1" applyProtection="1">
      <alignment horizontal="center" wrapText="1"/>
      <protection locked="0"/>
    </xf>
    <xf numFmtId="182" fontId="117" fillId="0" borderId="159" xfId="15" applyNumberFormat="1" applyFont="1" applyBorder="1" applyAlignment="1" applyProtection="1">
      <alignment horizontal="center" wrapText="1"/>
      <protection locked="0"/>
    </xf>
    <xf numFmtId="182" fontId="117" fillId="0" borderId="59" xfId="15" applyNumberFormat="1" applyFont="1" applyBorder="1" applyAlignment="1" applyProtection="1">
      <alignment horizontal="center" wrapText="1"/>
      <protection locked="0"/>
    </xf>
    <xf numFmtId="182" fontId="117" fillId="0" borderId="60" xfId="15" applyNumberFormat="1" applyFont="1" applyBorder="1" applyAlignment="1" applyProtection="1">
      <alignment horizontal="center" wrapText="1"/>
      <protection locked="0"/>
    </xf>
    <xf numFmtId="182" fontId="117" fillId="0" borderId="160" xfId="15" applyNumberFormat="1" applyFont="1" applyBorder="1" applyAlignment="1" applyProtection="1">
      <alignment horizontal="center" wrapText="1"/>
      <protection locked="0"/>
    </xf>
    <xf numFmtId="182" fontId="117" fillId="0" borderId="168" xfId="15" applyNumberFormat="1" applyFont="1" applyBorder="1" applyAlignment="1" applyProtection="1">
      <alignment horizontal="center" wrapText="1"/>
      <protection locked="0"/>
    </xf>
    <xf numFmtId="182" fontId="117" fillId="0" borderId="171" xfId="15" applyNumberFormat="1" applyFont="1" applyBorder="1" applyAlignment="1" applyProtection="1">
      <alignment horizontal="center" wrapText="1"/>
      <protection locked="0"/>
    </xf>
    <xf numFmtId="182" fontId="117" fillId="0" borderId="58" xfId="15" applyNumberFormat="1" applyFont="1" applyBorder="1" applyAlignment="1" applyProtection="1">
      <alignment horizontal="center" wrapText="1"/>
      <protection locked="0"/>
    </xf>
    <xf numFmtId="182" fontId="117" fillId="0" borderId="0" xfId="15" applyNumberFormat="1" applyFont="1" applyBorder="1" applyAlignment="1" applyProtection="1">
      <alignment horizontal="center" wrapText="1"/>
      <protection locked="0"/>
    </xf>
    <xf numFmtId="182" fontId="117" fillId="0" borderId="204" xfId="15" applyNumberFormat="1" applyFont="1" applyBorder="1" applyAlignment="1" applyProtection="1">
      <alignment horizontal="center" wrapText="1"/>
      <protection locked="0"/>
    </xf>
    <xf numFmtId="0" fontId="117" fillId="0" borderId="167" xfId="0" applyFont="1" applyBorder="1" applyAlignment="1" applyProtection="1">
      <alignment horizontal="center" wrapText="1"/>
      <protection locked="0"/>
    </xf>
    <xf numFmtId="0" fontId="117" fillId="0" borderId="170" xfId="0" applyFont="1" applyBorder="1" applyAlignment="1" applyProtection="1">
      <alignment horizontal="center" wrapText="1"/>
      <protection locked="0"/>
    </xf>
    <xf numFmtId="0" fontId="117" fillId="11" borderId="205" xfId="0" applyFont="1" applyFill="1" applyBorder="1" applyAlignment="1" applyProtection="1">
      <alignment horizontal="center" shrinkToFit="1"/>
      <protection hidden="1"/>
    </xf>
    <xf numFmtId="0" fontId="117" fillId="11" borderId="9" xfId="0" applyFont="1" applyFill="1" applyBorder="1" applyAlignment="1" applyProtection="1">
      <alignment horizontal="center" shrinkToFit="1"/>
      <protection hidden="1"/>
    </xf>
    <xf numFmtId="167" fontId="117" fillId="0" borderId="73" xfId="0" applyNumberFormat="1" applyFont="1" applyBorder="1" applyAlignment="1" applyProtection="1">
      <alignment horizontal="center" shrinkToFit="1"/>
      <protection locked="0" hidden="1"/>
    </xf>
    <xf numFmtId="167" fontId="117" fillId="0" borderId="135" xfId="0" applyNumberFormat="1" applyFont="1" applyBorder="1" applyAlignment="1" applyProtection="1">
      <alignment horizontal="center" shrinkToFit="1"/>
      <protection locked="0" hidden="1"/>
    </xf>
    <xf numFmtId="2" fontId="27" fillId="0" borderId="99" xfId="0" applyNumberFormat="1" applyFont="1" applyBorder="1" applyAlignment="1">
      <alignment horizontal="center" wrapText="1" shrinkToFit="1"/>
    </xf>
    <xf numFmtId="2" fontId="27" fillId="0" borderId="73" xfId="0" applyNumberFormat="1" applyFont="1" applyBorder="1" applyAlignment="1">
      <alignment horizontal="center" wrapText="1" shrinkToFit="1"/>
    </xf>
    <xf numFmtId="0" fontId="117" fillId="0" borderId="209" xfId="0" applyFont="1" applyBorder="1" applyAlignment="1" applyProtection="1">
      <alignment horizontal="center" wrapText="1"/>
      <protection locked="0"/>
    </xf>
    <xf numFmtId="0" fontId="117" fillId="0" borderId="168" xfId="0" applyFont="1" applyBorder="1" applyAlignment="1" applyProtection="1">
      <alignment horizontal="center" wrapText="1"/>
      <protection locked="0"/>
    </xf>
    <xf numFmtId="0" fontId="117" fillId="0" borderId="189" xfId="0" applyFont="1" applyBorder="1" applyAlignment="1" applyProtection="1">
      <alignment horizontal="center" wrapText="1"/>
      <protection locked="0"/>
    </xf>
    <xf numFmtId="0" fontId="117" fillId="0" borderId="99" xfId="0" applyFont="1" applyBorder="1" applyAlignment="1" applyProtection="1">
      <alignment horizontal="center" wrapText="1"/>
      <protection locked="0"/>
    </xf>
    <xf numFmtId="0" fontId="117" fillId="11" borderId="127" xfId="0" applyFont="1" applyFill="1" applyBorder="1" applyAlignment="1" applyProtection="1">
      <alignment horizontal="center" shrinkToFit="1"/>
      <protection hidden="1"/>
    </xf>
    <xf numFmtId="0" fontId="117" fillId="11" borderId="74" xfId="0" applyFont="1" applyFill="1" applyBorder="1" applyAlignment="1" applyProtection="1">
      <alignment horizontal="center" shrinkToFit="1"/>
      <protection hidden="1"/>
    </xf>
    <xf numFmtId="3" fontId="117" fillId="0" borderId="56" xfId="0" applyNumberFormat="1" applyFont="1" applyBorder="1" applyAlignment="1" applyProtection="1">
      <alignment horizontal="center" shrinkToFit="1"/>
      <protection locked="0"/>
    </xf>
    <xf numFmtId="3" fontId="117" fillId="0" borderId="159" xfId="0" applyNumberFormat="1" applyFont="1" applyBorder="1" applyAlignment="1" applyProtection="1">
      <alignment horizontal="center" shrinkToFit="1"/>
      <protection locked="0"/>
    </xf>
    <xf numFmtId="3" fontId="117" fillId="0" borderId="60" xfId="0" applyNumberFormat="1" applyFont="1" applyBorder="1" applyAlignment="1" applyProtection="1">
      <alignment horizontal="center" shrinkToFit="1"/>
      <protection locked="0"/>
    </xf>
    <xf numFmtId="3" fontId="117" fillId="0" borderId="160" xfId="0" applyNumberFormat="1" applyFont="1" applyBorder="1" applyAlignment="1" applyProtection="1">
      <alignment horizontal="center" shrinkToFit="1"/>
      <protection locked="0"/>
    </xf>
    <xf numFmtId="3" fontId="117" fillId="0" borderId="149" xfId="0" applyNumberFormat="1" applyFont="1" applyBorder="1" applyAlignment="1" applyProtection="1">
      <alignment horizontal="center" shrinkToFit="1"/>
      <protection locked="0"/>
    </xf>
    <xf numFmtId="3" fontId="117" fillId="0" borderId="101" xfId="0" applyNumberFormat="1" applyFont="1" applyBorder="1" applyAlignment="1" applyProtection="1">
      <alignment horizontal="center" shrinkToFit="1"/>
      <protection locked="0"/>
    </xf>
    <xf numFmtId="3" fontId="117" fillId="0" borderId="190" xfId="0" applyNumberFormat="1" applyFont="1" applyBorder="1" applyAlignment="1" applyProtection="1">
      <alignment horizontal="center" shrinkToFit="1"/>
      <protection locked="0"/>
    </xf>
    <xf numFmtId="0" fontId="27" fillId="0" borderId="99" xfId="0" applyFont="1" applyBorder="1" applyAlignment="1">
      <alignment horizontal="center" wrapText="1" shrinkToFit="1"/>
    </xf>
    <xf numFmtId="0" fontId="27" fillId="0" borderId="73" xfId="0" applyFont="1" applyBorder="1" applyAlignment="1">
      <alignment horizontal="center" wrapText="1" shrinkToFit="1"/>
    </xf>
    <xf numFmtId="0" fontId="27" fillId="0" borderId="99" xfId="0" applyFont="1" applyBorder="1" applyAlignment="1">
      <alignment horizontal="center" wrapText="1"/>
    </xf>
    <xf numFmtId="0" fontId="27" fillId="0" borderId="73" xfId="0" applyFont="1" applyBorder="1" applyAlignment="1">
      <alignment horizontal="center" wrapText="1"/>
    </xf>
    <xf numFmtId="0" fontId="27" fillId="0" borderId="99" xfId="0" applyFont="1" applyBorder="1" applyAlignment="1">
      <alignment horizontal="center" shrinkToFit="1"/>
    </xf>
    <xf numFmtId="0" fontId="27" fillId="0" borderId="73" xfId="0" applyFont="1" applyBorder="1" applyAlignment="1">
      <alignment horizontal="center" shrinkToFit="1"/>
    </xf>
    <xf numFmtId="167" fontId="118" fillId="11" borderId="202" xfId="0" applyNumberFormat="1" applyFont="1" applyFill="1" applyBorder="1" applyAlignment="1">
      <alignment horizontal="center" shrinkToFit="1"/>
    </xf>
    <xf numFmtId="167" fontId="118" fillId="11" borderId="125" xfId="0" applyNumberFormat="1" applyFont="1" applyFill="1" applyBorder="1" applyAlignment="1">
      <alignment horizontal="center" shrinkToFit="1"/>
    </xf>
    <xf numFmtId="167" fontId="118" fillId="11" borderId="203" xfId="0" applyNumberFormat="1" applyFont="1" applyFill="1" applyBorder="1" applyAlignment="1">
      <alignment horizontal="center" shrinkToFit="1"/>
    </xf>
    <xf numFmtId="167" fontId="118" fillId="11" borderId="127" xfId="0" applyNumberFormat="1" applyFont="1" applyFill="1" applyBorder="1" applyAlignment="1">
      <alignment horizontal="center" shrinkToFit="1"/>
    </xf>
    <xf numFmtId="0" fontId="80" fillId="0" borderId="71" xfId="0" applyFont="1" applyBorder="1" applyAlignment="1">
      <alignment horizontal="center" wrapText="1"/>
    </xf>
    <xf numFmtId="4" fontId="117" fillId="0" borderId="163" xfId="0" applyNumberFormat="1" applyFont="1" applyBorder="1" applyAlignment="1" applyProtection="1">
      <alignment horizontal="center" shrinkToFit="1"/>
      <protection locked="0"/>
    </xf>
    <xf numFmtId="4" fontId="117" fillId="0" borderId="164" xfId="0" applyNumberFormat="1" applyFont="1" applyBorder="1" applyAlignment="1" applyProtection="1">
      <alignment horizontal="center" shrinkToFit="1"/>
      <protection locked="0"/>
    </xf>
    <xf numFmtId="4" fontId="117" fillId="0" borderId="134" xfId="0" applyNumberFormat="1" applyFont="1" applyBorder="1" applyAlignment="1" applyProtection="1">
      <alignment horizontal="center" shrinkToFit="1"/>
      <protection locked="0"/>
    </xf>
    <xf numFmtId="4" fontId="117" fillId="0" borderId="73" xfId="0" applyNumberFormat="1" applyFont="1" applyBorder="1" applyAlignment="1" applyProtection="1">
      <alignment horizontal="center" shrinkToFit="1"/>
      <protection locked="0"/>
    </xf>
    <xf numFmtId="170" fontId="118" fillId="19" borderId="73" xfId="0" applyNumberFormat="1" applyFont="1" applyFill="1" applyBorder="1" applyAlignment="1">
      <alignment horizontal="center" shrinkToFit="1"/>
    </xf>
    <xf numFmtId="170" fontId="118" fillId="19" borderId="74" xfId="0" applyNumberFormat="1" applyFont="1" applyFill="1" applyBorder="1" applyAlignment="1">
      <alignment horizontal="center" shrinkToFit="1"/>
    </xf>
    <xf numFmtId="167" fontId="118" fillId="5" borderId="73" xfId="0" applyNumberFormat="1" applyFont="1" applyFill="1" applyBorder="1" applyAlignment="1">
      <alignment horizontal="center" wrapText="1"/>
    </xf>
    <xf numFmtId="167" fontId="118" fillId="5" borderId="74" xfId="0" applyNumberFormat="1" applyFont="1" applyFill="1" applyBorder="1" applyAlignment="1">
      <alignment horizontal="center" wrapText="1"/>
    </xf>
    <xf numFmtId="0" fontId="27" fillId="0" borderId="60" xfId="0" applyFont="1" applyBorder="1" applyAlignment="1">
      <alignment horizontal="center" shrinkToFit="1"/>
    </xf>
    <xf numFmtId="0" fontId="27" fillId="0" borderId="100" xfId="0" applyFont="1" applyBorder="1" applyAlignment="1">
      <alignment horizontal="center" shrinkToFit="1"/>
    </xf>
    <xf numFmtId="0" fontId="0" fillId="77" borderId="73" xfId="0" applyFill="1" applyBorder="1" applyAlignment="1" applyProtection="1">
      <alignment horizontal="center" wrapText="1"/>
      <protection locked="0"/>
    </xf>
    <xf numFmtId="0" fontId="0" fillId="77" borderId="74" xfId="0" applyFill="1" applyBorder="1" applyAlignment="1" applyProtection="1">
      <alignment horizontal="center" wrapText="1"/>
      <protection locked="0"/>
    </xf>
    <xf numFmtId="173" fontId="25" fillId="79" borderId="73" xfId="0" applyNumberFormat="1" applyFont="1" applyFill="1" applyBorder="1" applyAlignment="1">
      <alignment horizontal="center"/>
    </xf>
    <xf numFmtId="173" fontId="25" fillId="79" borderId="74" xfId="0" applyNumberFormat="1" applyFont="1" applyFill="1" applyBorder="1" applyAlignment="1">
      <alignment horizontal="center"/>
    </xf>
    <xf numFmtId="0" fontId="27" fillId="0" borderId="0" xfId="0" applyFont="1" applyAlignment="1">
      <alignment horizontal="center" shrinkToFit="1"/>
    </xf>
    <xf numFmtId="0" fontId="27" fillId="0" borderId="71" xfId="0" applyFont="1" applyBorder="1" applyAlignment="1">
      <alignment horizontal="center" shrinkToFit="1"/>
    </xf>
    <xf numFmtId="0" fontId="186" fillId="0" borderId="0" xfId="0" applyFont="1" applyAlignment="1">
      <alignment horizontal="center" vertical="center" wrapText="1"/>
    </xf>
    <xf numFmtId="0" fontId="80" fillId="0" borderId="187" xfId="0" applyFont="1" applyBorder="1" applyAlignment="1" applyProtection="1">
      <alignment horizontal="center" wrapText="1" shrinkToFit="1"/>
      <protection locked="0"/>
    </xf>
    <xf numFmtId="0" fontId="80" fillId="0" borderId="101" xfId="0" applyFont="1" applyBorder="1" applyAlignment="1" applyProtection="1">
      <alignment horizontal="center" wrapText="1" shrinkToFit="1"/>
      <protection locked="0"/>
    </xf>
    <xf numFmtId="0" fontId="80" fillId="0" borderId="188" xfId="0" applyFont="1" applyBorder="1" applyAlignment="1" applyProtection="1">
      <alignment horizontal="center" wrapText="1" shrinkToFit="1"/>
      <protection locked="0"/>
    </xf>
    <xf numFmtId="0" fontId="80" fillId="0" borderId="102" xfId="0" applyFont="1" applyBorder="1" applyAlignment="1" applyProtection="1">
      <alignment horizontal="center" wrapText="1" shrinkToFit="1"/>
      <protection locked="0"/>
    </xf>
    <xf numFmtId="0" fontId="80" fillId="0" borderId="103" xfId="0" applyFont="1" applyBorder="1" applyAlignment="1" applyProtection="1">
      <alignment horizontal="center" wrapText="1" shrinkToFit="1"/>
      <protection locked="0"/>
    </xf>
    <xf numFmtId="0" fontId="80" fillId="0" borderId="104" xfId="0" applyFont="1" applyBorder="1" applyAlignment="1" applyProtection="1">
      <alignment horizontal="center" wrapText="1" shrinkToFit="1"/>
      <protection locked="0"/>
    </xf>
    <xf numFmtId="0" fontId="80" fillId="0" borderId="71" xfId="0" applyFont="1" applyBorder="1" applyAlignment="1">
      <alignment horizontal="center"/>
    </xf>
    <xf numFmtId="3" fontId="80" fillId="11" borderId="187" xfId="15" applyNumberFormat="1" applyFont="1" applyFill="1" applyBorder="1" applyAlignment="1">
      <alignment horizontal="center" shrinkToFit="1"/>
    </xf>
    <xf numFmtId="3" fontId="80" fillId="11" borderId="101" xfId="15" applyNumberFormat="1" applyFont="1" applyFill="1" applyBorder="1" applyAlignment="1">
      <alignment horizontal="center" shrinkToFit="1"/>
    </xf>
    <xf numFmtId="3" fontId="80" fillId="11" borderId="188" xfId="15" applyNumberFormat="1" applyFont="1" applyFill="1" applyBorder="1" applyAlignment="1">
      <alignment horizontal="center" shrinkToFit="1"/>
    </xf>
    <xf numFmtId="3" fontId="80" fillId="11" borderId="102" xfId="15" applyNumberFormat="1" applyFont="1" applyFill="1" applyBorder="1" applyAlignment="1">
      <alignment horizontal="center" shrinkToFit="1"/>
    </xf>
    <xf numFmtId="3" fontId="80" fillId="11" borderId="103" xfId="15" applyNumberFormat="1" applyFont="1" applyFill="1" applyBorder="1" applyAlignment="1">
      <alignment horizontal="center" shrinkToFit="1"/>
    </xf>
    <xf numFmtId="3" fontId="80" fillId="11" borderId="104" xfId="15" applyNumberFormat="1" applyFont="1" applyFill="1" applyBorder="1" applyAlignment="1">
      <alignment horizontal="center" shrinkToFit="1"/>
    </xf>
    <xf numFmtId="3" fontId="80" fillId="11" borderId="190" xfId="15" applyNumberFormat="1" applyFont="1" applyFill="1" applyBorder="1" applyAlignment="1">
      <alignment horizontal="center" shrinkToFit="1"/>
    </xf>
    <xf numFmtId="3" fontId="80" fillId="11" borderId="153" xfId="15" applyNumberFormat="1" applyFont="1" applyFill="1" applyBorder="1" applyAlignment="1">
      <alignment horizontal="center" shrinkToFit="1"/>
    </xf>
    <xf numFmtId="3" fontId="80" fillId="11" borderId="0" xfId="15" applyNumberFormat="1" applyFont="1" applyFill="1" applyBorder="1" applyAlignment="1">
      <alignment horizontal="center" shrinkToFit="1"/>
    </xf>
    <xf numFmtId="3" fontId="80" fillId="11" borderId="204" xfId="15" applyNumberFormat="1" applyFont="1" applyFill="1" applyBorder="1" applyAlignment="1">
      <alignment horizontal="center" shrinkToFit="1"/>
    </xf>
    <xf numFmtId="0" fontId="186" fillId="0" borderId="0" xfId="0" applyFont="1" applyAlignment="1">
      <alignment horizontal="center"/>
    </xf>
    <xf numFmtId="0" fontId="117" fillId="0" borderId="0" xfId="0" applyFont="1" applyAlignment="1">
      <alignment horizontal="center"/>
    </xf>
    <xf numFmtId="0" fontId="117" fillId="0" borderId="71" xfId="0" applyFont="1" applyBorder="1" applyAlignment="1">
      <alignment horizontal="center"/>
    </xf>
    <xf numFmtId="0" fontId="80" fillId="0" borderId="71" xfId="0" applyFont="1" applyBorder="1" applyAlignment="1">
      <alignment horizontal="center" vertical="center" wrapText="1"/>
    </xf>
    <xf numFmtId="167" fontId="118" fillId="5" borderId="61" xfId="0" applyNumberFormat="1" applyFont="1" applyFill="1" applyBorder="1" applyAlignment="1">
      <alignment horizontal="center" shrinkToFit="1"/>
    </xf>
    <xf numFmtId="167" fontId="118" fillId="5" borderId="73" xfId="0" applyNumberFormat="1" applyFont="1" applyFill="1" applyBorder="1" applyAlignment="1">
      <alignment horizontal="center" shrinkToFit="1"/>
    </xf>
    <xf numFmtId="167" fontId="118" fillId="5" borderId="123" xfId="0" applyNumberFormat="1" applyFont="1" applyFill="1" applyBorder="1" applyAlignment="1">
      <alignment horizontal="center" shrinkToFit="1"/>
    </xf>
    <xf numFmtId="167" fontId="118" fillId="5" borderId="74" xfId="0" applyNumberFormat="1" applyFont="1" applyFill="1" applyBorder="1" applyAlignment="1">
      <alignment horizontal="center" shrinkToFit="1"/>
    </xf>
    <xf numFmtId="0" fontId="117" fillId="0" borderId="134" xfId="0" applyFont="1" applyBorder="1" applyAlignment="1" applyProtection="1">
      <alignment horizontal="center" shrinkToFit="1"/>
      <protection locked="0" hidden="1"/>
    </xf>
    <xf numFmtId="0" fontId="117" fillId="0" borderId="73" xfId="0" applyFont="1" applyBorder="1" applyAlignment="1" applyProtection="1">
      <alignment horizontal="center" shrinkToFit="1"/>
      <protection locked="0" hidden="1"/>
    </xf>
    <xf numFmtId="0" fontId="117" fillId="0" borderId="127" xfId="0" applyFont="1" applyBorder="1" applyAlignment="1" applyProtection="1">
      <alignment horizontal="center" shrinkToFit="1"/>
      <protection locked="0" hidden="1"/>
    </xf>
    <xf numFmtId="0" fontId="117" fillId="0" borderId="74" xfId="0" applyFont="1" applyBorder="1" applyAlignment="1" applyProtection="1">
      <alignment horizontal="center" shrinkToFit="1"/>
      <protection locked="0" hidden="1"/>
    </xf>
    <xf numFmtId="0" fontId="80" fillId="0" borderId="71" xfId="0" applyFont="1" applyBorder="1" applyAlignment="1">
      <alignment horizontal="center" vertical="top" wrapText="1"/>
    </xf>
    <xf numFmtId="0" fontId="80" fillId="0" borderId="200" xfId="0" applyFont="1" applyBorder="1" applyAlignment="1" applyProtection="1">
      <alignment horizontal="center" wrapText="1" shrinkToFit="1"/>
      <protection locked="0"/>
    </xf>
    <xf numFmtId="0" fontId="80" fillId="0" borderId="70" xfId="0" applyFont="1" applyBorder="1" applyAlignment="1" applyProtection="1">
      <alignment horizontal="center" wrapText="1" shrinkToFit="1"/>
      <protection locked="0"/>
    </xf>
    <xf numFmtId="10" fontId="80" fillId="11" borderId="193" xfId="6" applyNumberFormat="1" applyFont="1" applyFill="1" applyBorder="1" applyAlignment="1" applyProtection="1">
      <alignment horizontal="center"/>
      <protection hidden="1"/>
    </xf>
    <xf numFmtId="10" fontId="80" fillId="11" borderId="194" xfId="6" applyNumberFormat="1" applyFont="1" applyFill="1" applyBorder="1" applyAlignment="1" applyProtection="1">
      <alignment horizontal="center"/>
      <protection hidden="1"/>
    </xf>
    <xf numFmtId="10" fontId="80" fillId="11" borderId="148" xfId="6" applyNumberFormat="1" applyFont="1" applyFill="1" applyBorder="1" applyAlignment="1" applyProtection="1">
      <alignment horizontal="center"/>
      <protection hidden="1"/>
    </xf>
    <xf numFmtId="10" fontId="80" fillId="11" borderId="196" xfId="6" applyNumberFormat="1" applyFont="1" applyFill="1" applyBorder="1" applyAlignment="1" applyProtection="1">
      <alignment horizontal="center"/>
      <protection hidden="1"/>
    </xf>
    <xf numFmtId="188" fontId="80" fillId="0" borderId="200" xfId="15" applyNumberFormat="1" applyFont="1" applyBorder="1" applyAlignment="1" applyProtection="1">
      <alignment horizontal="center"/>
      <protection locked="0"/>
    </xf>
    <xf numFmtId="188" fontId="80" fillId="0" borderId="70" xfId="15" applyNumberFormat="1" applyFont="1" applyBorder="1" applyAlignment="1" applyProtection="1">
      <alignment horizontal="center"/>
      <protection locked="0"/>
    </xf>
    <xf numFmtId="10" fontId="80" fillId="0" borderId="194" xfId="6" applyNumberFormat="1" applyFont="1" applyBorder="1" applyAlignment="1" applyProtection="1">
      <alignment horizontal="center"/>
      <protection locked="0"/>
    </xf>
    <xf numFmtId="10" fontId="80" fillId="0" borderId="195" xfId="6" applyNumberFormat="1" applyFont="1" applyBorder="1" applyAlignment="1" applyProtection="1">
      <alignment horizontal="center"/>
      <protection locked="0"/>
    </xf>
    <xf numFmtId="10" fontId="80" fillId="0" borderId="196" xfId="6" applyNumberFormat="1" applyFont="1" applyBorder="1" applyAlignment="1" applyProtection="1">
      <alignment horizontal="center"/>
      <protection locked="0"/>
    </xf>
    <xf numFmtId="10" fontId="80" fillId="0" borderId="147" xfId="6" applyNumberFormat="1" applyFont="1" applyBorder="1" applyAlignment="1" applyProtection="1">
      <alignment horizontal="center"/>
      <protection locked="0"/>
    </xf>
    <xf numFmtId="9" fontId="80" fillId="0" borderId="187" xfId="6" applyFont="1" applyBorder="1" applyAlignment="1" applyProtection="1">
      <alignment horizontal="center" shrinkToFit="1"/>
      <protection locked="0" hidden="1"/>
    </xf>
    <xf numFmtId="9" fontId="80" fillId="0" borderId="188" xfId="6" applyFont="1" applyBorder="1" applyAlignment="1" applyProtection="1">
      <alignment horizontal="center" shrinkToFit="1"/>
      <protection locked="0" hidden="1"/>
    </xf>
    <xf numFmtId="9" fontId="80" fillId="0" borderId="102" xfId="6" applyFont="1" applyBorder="1" applyAlignment="1" applyProtection="1">
      <alignment horizontal="center" shrinkToFit="1"/>
      <protection locked="0" hidden="1"/>
    </xf>
    <xf numFmtId="9" fontId="80" fillId="0" borderId="104" xfId="6" applyFont="1" applyBorder="1" applyAlignment="1" applyProtection="1">
      <alignment horizontal="center" shrinkToFit="1"/>
      <protection locked="0" hidden="1"/>
    </xf>
    <xf numFmtId="0" fontId="80" fillId="0" borderId="187" xfId="0" applyFont="1" applyBorder="1" applyAlignment="1" applyProtection="1">
      <alignment horizontal="center" wrapText="1"/>
      <protection locked="0"/>
    </xf>
    <xf numFmtId="0" fontId="80" fillId="0" borderId="101" xfId="0" applyFont="1" applyBorder="1" applyAlignment="1" applyProtection="1">
      <alignment horizontal="center" wrapText="1"/>
      <protection locked="0"/>
    </xf>
    <xf numFmtId="0" fontId="80" fillId="0" borderId="188" xfId="0" applyFont="1" applyBorder="1" applyAlignment="1" applyProtection="1">
      <alignment horizontal="center" wrapText="1"/>
      <protection locked="0"/>
    </xf>
    <xf numFmtId="0" fontId="80" fillId="0" borderId="102" xfId="0" applyFont="1" applyBorder="1" applyAlignment="1" applyProtection="1">
      <alignment horizontal="center" wrapText="1"/>
      <protection locked="0"/>
    </xf>
    <xf numFmtId="0" fontId="80" fillId="0" borderId="103" xfId="0" applyFont="1" applyBorder="1" applyAlignment="1" applyProtection="1">
      <alignment horizontal="center" wrapText="1"/>
      <protection locked="0"/>
    </xf>
    <xf numFmtId="0" fontId="80" fillId="0" borderId="104" xfId="0" applyFont="1" applyBorder="1" applyAlignment="1" applyProtection="1">
      <alignment horizontal="center" wrapText="1"/>
      <protection locked="0"/>
    </xf>
    <xf numFmtId="0" fontId="186" fillId="0" borderId="0" xfId="0" applyFont="1" applyAlignment="1">
      <alignment horizontal="center" wrapText="1"/>
    </xf>
    <xf numFmtId="167" fontId="25" fillId="0" borderId="149" xfId="0" applyNumberFormat="1" applyFont="1" applyBorder="1" applyAlignment="1" applyProtection="1">
      <alignment horizontal="center"/>
      <protection locked="0"/>
    </xf>
    <xf numFmtId="167" fontId="25" fillId="0" borderId="101" xfId="0" applyNumberFormat="1" applyFont="1" applyBorder="1" applyAlignment="1" applyProtection="1">
      <alignment horizontal="center"/>
      <protection locked="0"/>
    </xf>
    <xf numFmtId="167" fontId="25" fillId="0" borderId="190" xfId="0" applyNumberFormat="1" applyFont="1" applyBorder="1" applyAlignment="1" applyProtection="1">
      <alignment horizontal="center"/>
      <protection locked="0"/>
    </xf>
    <xf numFmtId="167" fontId="25" fillId="0" borderId="59" xfId="0" applyNumberFormat="1" applyFont="1" applyBorder="1" applyAlignment="1" applyProtection="1">
      <alignment horizontal="center"/>
      <protection locked="0"/>
    </xf>
    <xf numFmtId="167" fontId="25" fillId="0" borderId="60" xfId="0" applyNumberFormat="1" applyFont="1" applyBorder="1" applyAlignment="1" applyProtection="1">
      <alignment horizontal="center"/>
      <protection locked="0"/>
    </xf>
    <xf numFmtId="167" fontId="25" fillId="0" borderId="160" xfId="0" applyNumberFormat="1" applyFont="1" applyBorder="1" applyAlignment="1" applyProtection="1">
      <alignment horizontal="center"/>
      <protection locked="0"/>
    </xf>
    <xf numFmtId="190" fontId="117" fillId="0" borderId="105" xfId="0" applyNumberFormat="1" applyFont="1" applyBorder="1" applyAlignment="1" applyProtection="1">
      <alignment horizontal="center" shrinkToFit="1"/>
      <protection locked="0" hidden="1"/>
    </xf>
    <xf numFmtId="190" fontId="117" fillId="0" borderId="155" xfId="0" applyNumberFormat="1" applyFont="1" applyBorder="1" applyAlignment="1" applyProtection="1">
      <alignment horizontal="center" shrinkToFit="1"/>
      <protection locked="0" hidden="1"/>
    </xf>
    <xf numFmtId="190" fontId="117" fillId="0" borderId="102" xfId="0" applyNumberFormat="1" applyFont="1" applyBorder="1" applyAlignment="1" applyProtection="1">
      <alignment horizontal="center" shrinkToFit="1"/>
      <protection locked="0" hidden="1"/>
    </xf>
    <xf numFmtId="190" fontId="117" fillId="0" borderId="156" xfId="0" applyNumberFormat="1" applyFont="1" applyBorder="1" applyAlignment="1" applyProtection="1">
      <alignment horizontal="center" shrinkToFit="1"/>
      <protection locked="0" hidden="1"/>
    </xf>
    <xf numFmtId="0" fontId="28" fillId="69" borderId="35" xfId="0" applyFont="1" applyFill="1" applyBorder="1" applyAlignment="1" applyProtection="1">
      <alignment horizontal="center" vertical="center" wrapText="1"/>
      <protection hidden="1"/>
    </xf>
    <xf numFmtId="0" fontId="178" fillId="69" borderId="35" xfId="0" applyFont="1" applyFill="1" applyBorder="1" applyAlignment="1" applyProtection="1">
      <alignment horizontal="center" vertical="center" wrapText="1"/>
      <protection hidden="1"/>
    </xf>
    <xf numFmtId="0" fontId="178" fillId="69" borderId="0" xfId="0" applyFont="1" applyFill="1" applyAlignment="1" applyProtection="1">
      <alignment horizontal="center" vertical="center" wrapText="1"/>
      <protection hidden="1"/>
    </xf>
    <xf numFmtId="0" fontId="25" fillId="5" borderId="73" xfId="0" applyFont="1" applyFill="1" applyBorder="1" applyAlignment="1">
      <alignment horizontal="center"/>
    </xf>
    <xf numFmtId="0" fontId="25" fillId="5" borderId="74" xfId="0" applyFont="1" applyFill="1" applyBorder="1" applyAlignment="1">
      <alignment horizontal="center"/>
    </xf>
    <xf numFmtId="173" fontId="25" fillId="80" borderId="73" xfId="0" applyNumberFormat="1" applyFont="1" applyFill="1" applyBorder="1" applyAlignment="1">
      <alignment horizontal="center"/>
    </xf>
    <xf numFmtId="173" fontId="25" fillId="80" borderId="74" xfId="0" applyNumberFormat="1" applyFont="1" applyFill="1" applyBorder="1" applyAlignment="1">
      <alignment horizontal="center"/>
    </xf>
    <xf numFmtId="0" fontId="0" fillId="0" borderId="73" xfId="0" applyBorder="1" applyAlignment="1" applyProtection="1">
      <alignment horizontal="center"/>
      <protection locked="0"/>
    </xf>
    <xf numFmtId="0" fontId="0" fillId="0" borderId="74" xfId="0" applyBorder="1" applyAlignment="1" applyProtection="1">
      <alignment horizontal="center"/>
      <protection locked="0"/>
    </xf>
    <xf numFmtId="0" fontId="2" fillId="0" borderId="206" xfId="0" applyFont="1" applyBorder="1" applyAlignment="1" applyProtection="1">
      <alignment horizontal="center"/>
      <protection locked="0"/>
    </xf>
    <xf numFmtId="0" fontId="216" fillId="0" borderId="60" xfId="0" applyFont="1" applyBorder="1" applyAlignment="1">
      <alignment horizontal="center" wrapText="1"/>
    </xf>
    <xf numFmtId="0" fontId="216" fillId="0" borderId="100" xfId="0" applyFont="1" applyBorder="1" applyAlignment="1">
      <alignment horizontal="center" wrapText="1"/>
    </xf>
    <xf numFmtId="0" fontId="27" fillId="5" borderId="164" xfId="0" applyFont="1" applyFill="1" applyBorder="1" applyAlignment="1" applyProtection="1">
      <alignment horizontal="center" wrapText="1" shrinkToFit="1"/>
      <protection hidden="1"/>
    </xf>
    <xf numFmtId="0" fontId="27" fillId="5" borderId="73" xfId="0" applyFont="1" applyFill="1" applyBorder="1" applyAlignment="1" applyProtection="1">
      <alignment horizontal="center" wrapText="1" shrinkToFit="1"/>
      <protection hidden="1"/>
    </xf>
    <xf numFmtId="169" fontId="27" fillId="5" borderId="164" xfId="0" applyNumberFormat="1" applyFont="1" applyFill="1" applyBorder="1" applyAlignment="1" applyProtection="1">
      <alignment horizontal="center" shrinkToFit="1"/>
      <protection hidden="1"/>
    </xf>
    <xf numFmtId="169" fontId="27" fillId="5" borderId="73" xfId="0" applyNumberFormat="1" applyFont="1" applyFill="1" applyBorder="1" applyAlignment="1" applyProtection="1">
      <alignment horizontal="center" shrinkToFit="1"/>
      <protection hidden="1"/>
    </xf>
    <xf numFmtId="169" fontId="25" fillId="0" borderId="164" xfId="0" applyNumberFormat="1" applyFont="1" applyBorder="1" applyAlignment="1" applyProtection="1">
      <alignment horizontal="center"/>
      <protection locked="0" hidden="1"/>
    </xf>
    <xf numFmtId="2" fontId="25" fillId="0" borderId="164" xfId="0" applyNumberFormat="1" applyFont="1" applyBorder="1" applyAlignment="1" applyProtection="1">
      <alignment horizontal="center" shrinkToFit="1"/>
      <protection locked="0"/>
    </xf>
    <xf numFmtId="0" fontId="25" fillId="5" borderId="59" xfId="0" applyFont="1" applyFill="1" applyBorder="1" applyAlignment="1">
      <alignment horizontal="center"/>
    </xf>
    <xf numFmtId="0" fontId="25" fillId="5" borderId="122" xfId="0" applyFont="1" applyFill="1" applyBorder="1" applyAlignment="1">
      <alignment horizontal="center"/>
    </xf>
    <xf numFmtId="0" fontId="91" fillId="0" borderId="0" xfId="0" applyFont="1" applyAlignment="1">
      <alignment horizontal="left" wrapText="1"/>
    </xf>
    <xf numFmtId="0" fontId="25" fillId="5" borderId="39" xfId="0" applyFont="1" applyFill="1" applyBorder="1" applyAlignment="1">
      <alignment horizontal="left" vertical="top" wrapText="1"/>
    </xf>
    <xf numFmtId="0" fontId="25" fillId="5" borderId="40" xfId="0" applyFont="1" applyFill="1" applyBorder="1" applyAlignment="1">
      <alignment horizontal="left" vertical="top" wrapText="1"/>
    </xf>
    <xf numFmtId="0" fontId="25" fillId="5" borderId="41" xfId="0" applyFont="1" applyFill="1" applyBorder="1" applyAlignment="1">
      <alignment horizontal="left" vertical="top" wrapText="1"/>
    </xf>
    <xf numFmtId="0" fontId="25" fillId="5" borderId="42" xfId="0" applyFont="1" applyFill="1" applyBorder="1" applyAlignment="1">
      <alignment horizontal="left" vertical="top" wrapText="1"/>
    </xf>
    <xf numFmtId="0" fontId="25" fillId="5" borderId="0" xfId="0" applyFont="1" applyFill="1" applyAlignment="1">
      <alignment horizontal="left" vertical="top" wrapText="1"/>
    </xf>
    <xf numFmtId="0" fontId="25" fillId="5" borderId="43" xfId="0" applyFont="1" applyFill="1" applyBorder="1" applyAlignment="1">
      <alignment horizontal="left" vertical="top" wrapText="1"/>
    </xf>
    <xf numFmtId="0" fontId="25" fillId="5" borderId="44" xfId="0" applyFont="1" applyFill="1" applyBorder="1" applyAlignment="1">
      <alignment horizontal="left" vertical="top" wrapText="1"/>
    </xf>
    <xf numFmtId="0" fontId="25" fillId="5" borderId="34" xfId="0" applyFont="1" applyFill="1" applyBorder="1" applyAlignment="1">
      <alignment horizontal="left" vertical="top" wrapText="1"/>
    </xf>
    <xf numFmtId="0" fontId="25" fillId="5" borderId="45" xfId="0" applyFont="1" applyFill="1" applyBorder="1" applyAlignment="1">
      <alignment horizontal="left" vertical="top" wrapText="1"/>
    </xf>
    <xf numFmtId="0" fontId="80" fillId="0" borderId="0" xfId="0" applyFont="1" applyAlignment="1">
      <alignment horizontal="center" vertical="top" wrapText="1"/>
    </xf>
    <xf numFmtId="49" fontId="25" fillId="0" borderId="36" xfId="0" applyNumberFormat="1" applyFont="1" applyBorder="1" applyAlignment="1" applyProtection="1">
      <alignment horizontal="left"/>
      <protection locked="0"/>
    </xf>
    <xf numFmtId="49" fontId="25" fillId="0" borderId="37" xfId="0" applyNumberFormat="1" applyFont="1" applyBorder="1" applyAlignment="1" applyProtection="1">
      <alignment horizontal="left"/>
      <protection locked="0"/>
    </xf>
    <xf numFmtId="49" fontId="25" fillId="0" borderId="38" xfId="0" applyNumberFormat="1" applyFont="1" applyBorder="1" applyAlignment="1" applyProtection="1">
      <alignment horizontal="left"/>
      <protection locked="0"/>
    </xf>
    <xf numFmtId="0" fontId="143" fillId="0" borderId="56" xfId="0" applyFont="1" applyBorder="1" applyAlignment="1">
      <alignment horizontal="center" vertical="top" wrapText="1"/>
    </xf>
    <xf numFmtId="0" fontId="143" fillId="0" borderId="0" xfId="0" applyFont="1" applyAlignment="1">
      <alignment horizontal="center" vertical="top" wrapText="1"/>
    </xf>
    <xf numFmtId="0" fontId="80" fillId="0" borderId="9" xfId="0" applyFont="1" applyBorder="1" applyAlignment="1">
      <alignment horizontal="left"/>
    </xf>
    <xf numFmtId="0" fontId="80" fillId="0" borderId="0" xfId="0" applyFont="1" applyAlignment="1">
      <alignment horizontal="left" shrinkToFit="1"/>
    </xf>
    <xf numFmtId="0" fontId="80" fillId="0" borderId="9" xfId="0" applyFont="1" applyBorder="1" applyAlignment="1">
      <alignment horizontal="left" shrinkToFit="1"/>
    </xf>
    <xf numFmtId="0" fontId="80" fillId="0" borderId="0" xfId="0" applyFont="1" applyAlignment="1">
      <alignment horizontal="left" vertical="top" wrapText="1"/>
    </xf>
    <xf numFmtId="167" fontId="80" fillId="0" borderId="65" xfId="0" applyNumberFormat="1" applyFont="1" applyBorder="1"/>
    <xf numFmtId="167" fontId="80" fillId="0" borderId="66" xfId="0" applyNumberFormat="1" applyFont="1" applyBorder="1"/>
    <xf numFmtId="167" fontId="80" fillId="0" borderId="67" xfId="0" applyNumberFormat="1" applyFont="1" applyBorder="1"/>
    <xf numFmtId="167" fontId="80" fillId="0" borderId="68" xfId="0" applyNumberFormat="1" applyFont="1" applyBorder="1"/>
    <xf numFmtId="167" fontId="78" fillId="0" borderId="60" xfId="0" applyNumberFormat="1" applyFont="1" applyBorder="1"/>
    <xf numFmtId="167" fontId="78" fillId="0" borderId="61" xfId="0" applyNumberFormat="1" applyFont="1" applyBorder="1"/>
    <xf numFmtId="0" fontId="85" fillId="5" borderId="55" xfId="0" applyFont="1" applyFill="1" applyBorder="1" applyAlignment="1">
      <alignment horizontal="left"/>
    </xf>
    <xf numFmtId="0" fontId="85" fillId="5" borderId="56" xfId="0" applyFont="1" applyFill="1" applyBorder="1" applyAlignment="1">
      <alignment horizontal="left"/>
    </xf>
    <xf numFmtId="167" fontId="80" fillId="0" borderId="62" xfId="0" applyNumberFormat="1" applyFont="1" applyBorder="1"/>
    <xf numFmtId="167" fontId="80" fillId="0" borderId="63" xfId="0" applyNumberFormat="1" applyFont="1" applyBorder="1"/>
    <xf numFmtId="0" fontId="144" fillId="2" borderId="62" xfId="0" applyFont="1" applyFill="1" applyBorder="1" applyAlignment="1">
      <alignment horizontal="right"/>
    </xf>
    <xf numFmtId="0" fontId="144" fillId="2" borderId="63" xfId="0" applyFont="1" applyFill="1" applyBorder="1" applyAlignment="1">
      <alignment horizontal="right"/>
    </xf>
    <xf numFmtId="0" fontId="92" fillId="0" borderId="64" xfId="1" applyFont="1" applyBorder="1" applyAlignment="1" applyProtection="1">
      <protection hidden="1"/>
    </xf>
    <xf numFmtId="0" fontId="92" fillId="0" borderId="65" xfId="1" applyFont="1" applyBorder="1" applyAlignment="1" applyProtection="1">
      <protection hidden="1"/>
    </xf>
    <xf numFmtId="0" fontId="80" fillId="0" borderId="67" xfId="0" applyFont="1" applyBorder="1" applyAlignment="1">
      <alignment horizontal="center"/>
    </xf>
    <xf numFmtId="0" fontId="80" fillId="0" borderId="58" xfId="0" applyFont="1" applyBorder="1" applyAlignment="1">
      <alignment horizontal="left"/>
    </xf>
    <xf numFmtId="171" fontId="80" fillId="0" borderId="0" xfId="0" applyNumberFormat="1" applyFont="1" applyAlignment="1">
      <alignment horizontal="left"/>
    </xf>
    <xf numFmtId="171" fontId="80" fillId="0" borderId="9" xfId="0" applyNumberFormat="1" applyFont="1" applyBorder="1" applyAlignment="1">
      <alignment horizontal="left"/>
    </xf>
    <xf numFmtId="14" fontId="25" fillId="0" borderId="80" xfId="0" applyNumberFormat="1" applyFont="1" applyBorder="1" applyAlignment="1" applyProtection="1">
      <alignment horizontal="left"/>
      <protection locked="0"/>
    </xf>
    <xf numFmtId="14" fontId="25" fillId="0" borderId="81" xfId="0" applyNumberFormat="1" applyFont="1" applyBorder="1" applyAlignment="1" applyProtection="1">
      <alignment horizontal="left"/>
      <protection locked="0"/>
    </xf>
    <xf numFmtId="14" fontId="25" fillId="0" borderId="82" xfId="0" applyNumberFormat="1" applyFont="1" applyBorder="1" applyAlignment="1" applyProtection="1">
      <alignment horizontal="left"/>
      <protection locked="0"/>
    </xf>
    <xf numFmtId="0" fontId="78" fillId="0" borderId="59" xfId="0" applyFont="1" applyBorder="1" applyAlignment="1">
      <alignment horizontal="left"/>
    </xf>
    <xf numFmtId="0" fontId="78" fillId="0" borderId="60" xfId="0" applyFont="1" applyBorder="1" applyAlignment="1">
      <alignment horizontal="left"/>
    </xf>
    <xf numFmtId="0" fontId="80" fillId="0" borderId="65" xfId="0" applyFont="1" applyBorder="1" applyAlignment="1">
      <alignment horizontal="center"/>
    </xf>
    <xf numFmtId="0" fontId="39" fillId="5" borderId="56" xfId="0" applyFont="1" applyFill="1" applyBorder="1" applyAlignment="1">
      <alignment horizontal="right" vertical="center"/>
    </xf>
    <xf numFmtId="0" fontId="85" fillId="5" borderId="58" xfId="0" applyFont="1" applyFill="1" applyBorder="1" applyAlignment="1">
      <alignment horizontal="left" vertical="center"/>
    </xf>
    <xf numFmtId="0" fontId="85" fillId="5" borderId="0" xfId="0" applyFont="1" applyFill="1" applyAlignment="1">
      <alignment horizontal="left" vertical="center"/>
    </xf>
    <xf numFmtId="0" fontId="85" fillId="5" borderId="55" xfId="0" applyFont="1" applyFill="1" applyBorder="1" applyAlignment="1">
      <alignment horizontal="left" vertical="center"/>
    </xf>
    <xf numFmtId="0" fontId="85" fillId="5" borderId="56" xfId="0" applyFont="1" applyFill="1" applyBorder="1" applyAlignment="1">
      <alignment horizontal="left" vertical="center"/>
    </xf>
    <xf numFmtId="0" fontId="39" fillId="5" borderId="0" xfId="0" applyFont="1" applyFill="1" applyAlignment="1">
      <alignment horizontal="right" vertical="center"/>
    </xf>
    <xf numFmtId="0" fontId="110" fillId="5" borderId="0" xfId="1" applyFont="1" applyFill="1" applyBorder="1" applyAlignment="1" applyProtection="1">
      <alignment horizontal="right" vertical="center"/>
      <protection hidden="1"/>
    </xf>
    <xf numFmtId="0" fontId="110" fillId="5" borderId="9" xfId="1" applyFont="1" applyFill="1" applyBorder="1" applyAlignment="1" applyProtection="1">
      <alignment horizontal="right" vertical="center"/>
      <protection hidden="1"/>
    </xf>
    <xf numFmtId="14" fontId="80" fillId="0" borderId="0" xfId="0" applyNumberFormat="1" applyFont="1" applyAlignment="1">
      <alignment horizontal="left"/>
    </xf>
    <xf numFmtId="14" fontId="80" fillId="0" borderId="9" xfId="0" applyNumberFormat="1" applyFont="1" applyBorder="1" applyAlignment="1">
      <alignment horizontal="left"/>
    </xf>
    <xf numFmtId="0" fontId="144" fillId="2" borderId="0" xfId="0" applyFont="1" applyFill="1" applyAlignment="1">
      <alignment horizontal="center"/>
    </xf>
    <xf numFmtId="0" fontId="144" fillId="2" borderId="58" xfId="0" applyFont="1" applyFill="1" applyBorder="1"/>
    <xf numFmtId="0" fontId="144" fillId="2" borderId="0" xfId="0" applyFont="1" applyFill="1"/>
    <xf numFmtId="0" fontId="80" fillId="0" borderId="62" xfId="0" applyFont="1" applyBorder="1" applyAlignment="1">
      <alignment horizontal="center"/>
    </xf>
    <xf numFmtId="0" fontId="110" fillId="5" borderId="56" xfId="1" applyFont="1" applyFill="1" applyBorder="1" applyAlignment="1" applyProtection="1">
      <alignment horizontal="right" vertical="center"/>
      <protection hidden="1"/>
    </xf>
    <xf numFmtId="0" fontId="110" fillId="5" borderId="57" xfId="1" applyFont="1" applyFill="1" applyBorder="1" applyAlignment="1" applyProtection="1">
      <alignment horizontal="right" vertical="center"/>
      <protection hidden="1"/>
    </xf>
    <xf numFmtId="0" fontId="144" fillId="2" borderId="0" xfId="0" applyFont="1" applyFill="1" applyAlignment="1">
      <alignment horizontal="right"/>
    </xf>
    <xf numFmtId="0" fontId="144" fillId="2" borderId="9" xfId="0" applyFont="1" applyFill="1" applyBorder="1" applyAlignment="1">
      <alignment horizontal="right"/>
    </xf>
    <xf numFmtId="0" fontId="39" fillId="5" borderId="57" xfId="0" applyFont="1" applyFill="1" applyBorder="1" applyAlignment="1">
      <alignment horizontal="right" vertical="center"/>
    </xf>
    <xf numFmtId="0" fontId="109" fillId="0" borderId="0" xfId="0" applyFont="1" applyAlignment="1">
      <alignment horizontal="left" vertical="top" wrapText="1"/>
    </xf>
    <xf numFmtId="0" fontId="108" fillId="30" borderId="91" xfId="0" applyFont="1" applyFill="1" applyBorder="1" applyAlignment="1">
      <alignment horizontal="left"/>
    </xf>
    <xf numFmtId="0" fontId="108" fillId="30" borderId="92" xfId="0" applyFont="1" applyFill="1" applyBorder="1" applyAlignment="1">
      <alignment horizontal="left"/>
    </xf>
    <xf numFmtId="0" fontId="108" fillId="30" borderId="93" xfId="0" applyFont="1" applyFill="1" applyBorder="1" applyAlignment="1">
      <alignment horizontal="left"/>
    </xf>
    <xf numFmtId="0" fontId="108" fillId="30" borderId="88" xfId="0" applyFont="1" applyFill="1" applyBorder="1" applyAlignment="1">
      <alignment horizontal="left"/>
    </xf>
    <xf numFmtId="0" fontId="108" fillId="30" borderId="89" xfId="0" applyFont="1" applyFill="1" applyBorder="1" applyAlignment="1">
      <alignment horizontal="left"/>
    </xf>
    <xf numFmtId="0" fontId="108" fillId="30" borderId="90" xfId="0" applyFont="1" applyFill="1" applyBorder="1" applyAlignment="1">
      <alignment horizontal="left"/>
    </xf>
    <xf numFmtId="0" fontId="25" fillId="0" borderId="0" xfId="0" applyFont="1" applyAlignment="1">
      <alignment horizontal="left" vertical="top" wrapText="1"/>
    </xf>
    <xf numFmtId="0" fontId="25" fillId="0" borderId="84" xfId="0" applyFont="1" applyBorder="1" applyAlignment="1">
      <alignment horizontal="left" vertical="top" wrapText="1"/>
    </xf>
    <xf numFmtId="0" fontId="89" fillId="32" borderId="116" xfId="1" applyFont="1" applyFill="1" applyBorder="1" applyAlignment="1" applyProtection="1">
      <alignment horizontal="center" vertical="center" wrapText="1"/>
      <protection locked="0" hidden="1"/>
    </xf>
    <xf numFmtId="0" fontId="89" fillId="32" borderId="117" xfId="1" applyFont="1" applyFill="1" applyBorder="1" applyAlignment="1" applyProtection="1">
      <alignment horizontal="center" vertical="center" wrapText="1"/>
      <protection locked="0" hidden="1"/>
    </xf>
    <xf numFmtId="0" fontId="89" fillId="32" borderId="118" xfId="1" applyFont="1" applyFill="1" applyBorder="1" applyAlignment="1" applyProtection="1">
      <alignment horizontal="center" vertical="center" wrapText="1"/>
      <protection locked="0" hidden="1"/>
    </xf>
    <xf numFmtId="0" fontId="89" fillId="32" borderId="191" xfId="1" applyFont="1" applyFill="1" applyBorder="1" applyAlignment="1" applyProtection="1">
      <alignment horizontal="center" vertical="center" wrapText="1"/>
      <protection locked="0" hidden="1"/>
    </xf>
    <xf numFmtId="0" fontId="89" fillId="32" borderId="0" xfId="1" applyFont="1" applyFill="1" applyBorder="1" applyAlignment="1" applyProtection="1">
      <alignment horizontal="center" vertical="center" wrapText="1"/>
      <protection locked="0" hidden="1"/>
    </xf>
    <xf numFmtId="0" fontId="89" fillId="32" borderId="192" xfId="1" applyFont="1" applyFill="1" applyBorder="1" applyAlignment="1" applyProtection="1">
      <alignment horizontal="center" vertical="center" wrapText="1"/>
      <protection locked="0" hidden="1"/>
    </xf>
    <xf numFmtId="0" fontId="89" fillId="32" borderId="119" xfId="1" applyFont="1" applyFill="1" applyBorder="1" applyAlignment="1" applyProtection="1">
      <alignment horizontal="center" vertical="center" wrapText="1"/>
      <protection locked="0" hidden="1"/>
    </xf>
    <xf numFmtId="0" fontId="89" fillId="32" borderId="120" xfId="1" applyFont="1" applyFill="1" applyBorder="1" applyAlignment="1" applyProtection="1">
      <alignment horizontal="center" vertical="center" wrapText="1"/>
      <protection locked="0" hidden="1"/>
    </xf>
    <xf numFmtId="0" fontId="89" fillId="32" borderId="121" xfId="1" applyFont="1" applyFill="1" applyBorder="1" applyAlignment="1" applyProtection="1">
      <alignment horizontal="center" vertical="center" wrapText="1"/>
      <protection locked="0" hidden="1"/>
    </xf>
    <xf numFmtId="0" fontId="182" fillId="0" borderId="0" xfId="0" applyFont="1" applyAlignment="1">
      <alignment horizontal="center" wrapText="1"/>
    </xf>
    <xf numFmtId="0" fontId="180" fillId="32" borderId="0" xfId="1" applyFont="1" applyFill="1" applyAlignment="1" applyProtection="1">
      <alignment horizontal="center" vertical="center"/>
      <protection locked="0" hidden="1"/>
    </xf>
    <xf numFmtId="0" fontId="78" fillId="0" borderId="34" xfId="0" applyFont="1" applyBorder="1" applyAlignment="1">
      <alignment horizontal="center" vertical="center" shrinkToFit="1"/>
    </xf>
    <xf numFmtId="0" fontId="25" fillId="0" borderId="0" xfId="0" applyFont="1" applyAlignment="1">
      <alignment vertical="top"/>
    </xf>
    <xf numFmtId="0" fontId="25" fillId="0" borderId="84" xfId="0" applyFont="1" applyBorder="1" applyAlignment="1">
      <alignment vertical="top"/>
    </xf>
    <xf numFmtId="0" fontId="25" fillId="0" borderId="84" xfId="0" applyFont="1" applyBorder="1"/>
    <xf numFmtId="0" fontId="25" fillId="0" borderId="86" xfId="0" applyFont="1" applyBorder="1" applyAlignment="1">
      <alignment horizontal="left" vertical="top" wrapText="1"/>
    </xf>
    <xf numFmtId="0" fontId="25" fillId="0" borderId="87" xfId="0" applyFont="1" applyBorder="1" applyAlignment="1">
      <alignment horizontal="left" vertical="top" wrapText="1"/>
    </xf>
    <xf numFmtId="171" fontId="50" fillId="0" borderId="0" xfId="0" applyNumberFormat="1" applyFont="1" applyAlignment="1">
      <alignment horizontal="left"/>
    </xf>
    <xf numFmtId="0" fontId="145" fillId="30" borderId="0" xfId="0" applyFont="1" applyFill="1" applyAlignment="1" applyProtection="1">
      <alignment horizontal="right" vertical="center" wrapText="1" indent="1"/>
      <protection hidden="1"/>
    </xf>
    <xf numFmtId="0" fontId="72" fillId="4" borderId="0" xfId="0" applyFont="1" applyFill="1" applyAlignment="1">
      <alignment horizontal="left" vertical="center"/>
    </xf>
    <xf numFmtId="167" fontId="114" fillId="31" borderId="16" xfId="0" applyNumberFormat="1" applyFont="1" applyFill="1" applyBorder="1" applyAlignment="1">
      <alignment horizontal="center" vertical="center"/>
    </xf>
    <xf numFmtId="0" fontId="114" fillId="31" borderId="16" xfId="0" applyFont="1" applyFill="1" applyBorder="1" applyAlignment="1">
      <alignment horizontal="center" vertical="center"/>
    </xf>
    <xf numFmtId="0" fontId="50" fillId="0" borderId="0" xfId="0" applyFont="1" applyAlignment="1">
      <alignment horizontal="left"/>
    </xf>
    <xf numFmtId="0" fontId="113" fillId="0" borderId="0" xfId="0" applyFont="1" applyAlignment="1">
      <alignment horizontal="left" vertical="center"/>
    </xf>
    <xf numFmtId="0" fontId="124" fillId="0" borderId="0" xfId="0" applyFont="1" applyAlignment="1">
      <alignment horizontal="center" vertical="center" wrapText="1"/>
    </xf>
    <xf numFmtId="0" fontId="114" fillId="31" borderId="19" xfId="0" applyFont="1" applyFill="1" applyBorder="1" applyAlignment="1">
      <alignment horizontal="left" vertical="center"/>
    </xf>
    <xf numFmtId="0" fontId="114" fillId="31" borderId="16" xfId="0" applyFont="1" applyFill="1" applyBorder="1" applyAlignment="1">
      <alignment horizontal="left" vertical="center"/>
    </xf>
    <xf numFmtId="0" fontId="62" fillId="0" borderId="0" xfId="0" applyFont="1" applyAlignment="1">
      <alignment horizontal="center" vertical="center"/>
    </xf>
    <xf numFmtId="167" fontId="61" fillId="0" borderId="0" xfId="0" applyNumberFormat="1" applyFont="1" applyAlignment="1">
      <alignment horizontal="center"/>
    </xf>
    <xf numFmtId="0" fontId="131" fillId="0" borderId="24" xfId="0" applyFont="1" applyBorder="1" applyAlignment="1">
      <alignment horizontal="left"/>
    </xf>
    <xf numFmtId="0" fontId="131" fillId="0" borderId="0" xfId="0" applyFont="1" applyAlignment="1">
      <alignment horizontal="left"/>
    </xf>
    <xf numFmtId="0" fontId="48" fillId="0" borderId="0" xfId="0" applyFont="1" applyAlignment="1">
      <alignment horizontal="center"/>
    </xf>
    <xf numFmtId="0" fontId="28" fillId="32" borderId="116" xfId="0" applyFont="1" applyFill="1" applyBorder="1" applyAlignment="1">
      <alignment horizontal="left" vertical="center" indent="1"/>
    </xf>
    <xf numFmtId="0" fontId="28" fillId="32" borderId="117" xfId="0" applyFont="1" applyFill="1" applyBorder="1" applyAlignment="1">
      <alignment horizontal="left" vertical="center" indent="1"/>
    </xf>
    <xf numFmtId="0" fontId="28" fillId="32" borderId="118" xfId="0" applyFont="1" applyFill="1" applyBorder="1" applyAlignment="1">
      <alignment horizontal="left" vertical="center" indent="1"/>
    </xf>
    <xf numFmtId="0" fontId="28" fillId="32" borderId="119" xfId="0" applyFont="1" applyFill="1" applyBorder="1" applyAlignment="1">
      <alignment horizontal="left" vertical="center" indent="1"/>
    </xf>
    <xf numFmtId="0" fontId="28" fillId="32" borderId="120" xfId="0" applyFont="1" applyFill="1" applyBorder="1" applyAlignment="1">
      <alignment horizontal="left" vertical="center" indent="1"/>
    </xf>
    <xf numFmtId="0" fontId="28" fillId="32" borderId="121" xfId="0" applyFont="1" applyFill="1" applyBorder="1" applyAlignment="1">
      <alignment horizontal="left" vertical="center" indent="1"/>
    </xf>
    <xf numFmtId="0" fontId="42" fillId="0" borderId="0" xfId="0" applyFont="1" applyAlignment="1">
      <alignment horizontal="center" vertical="center" wrapText="1"/>
    </xf>
    <xf numFmtId="2" fontId="114" fillId="31" borderId="16" xfId="0" applyNumberFormat="1" applyFont="1" applyFill="1" applyBorder="1" applyAlignment="1">
      <alignment horizontal="center" vertical="center"/>
    </xf>
    <xf numFmtId="0" fontId="60" fillId="0" borderId="25" xfId="0" applyFont="1" applyBorder="1" applyAlignment="1">
      <alignment horizontal="right" vertical="center" indent="1"/>
    </xf>
    <xf numFmtId="0" fontId="60" fillId="0" borderId="0" xfId="0" applyFont="1" applyAlignment="1">
      <alignment horizontal="right" vertical="center" indent="1"/>
    </xf>
    <xf numFmtId="2" fontId="50" fillId="16" borderId="16" xfId="0" applyNumberFormat="1" applyFont="1" applyFill="1" applyBorder="1" applyAlignment="1">
      <alignment horizontal="center" vertical="center"/>
    </xf>
    <xf numFmtId="0" fontId="64" fillId="0" borderId="0" xfId="0" applyFont="1" applyAlignment="1">
      <alignment horizontal="center"/>
    </xf>
    <xf numFmtId="176" fontId="69" fillId="0" borderId="0" xfId="0" applyNumberFormat="1" applyFont="1" applyAlignment="1">
      <alignment horizontal="center" vertical="center" wrapText="1"/>
    </xf>
    <xf numFmtId="0" fontId="64" fillId="0" borderId="0" xfId="0" applyFont="1" applyAlignment="1">
      <alignment horizontal="center" vertical="center" wrapText="1"/>
    </xf>
    <xf numFmtId="2" fontId="64" fillId="0" borderId="0" xfId="0" applyNumberFormat="1" applyFont="1" applyAlignment="1">
      <alignment horizontal="center" vertical="center"/>
    </xf>
    <xf numFmtId="0" fontId="64" fillId="0" borderId="0" xfId="0" applyFont="1" applyAlignment="1">
      <alignment horizontal="center" vertical="center"/>
    </xf>
    <xf numFmtId="9" fontId="114" fillId="31" borderId="16" xfId="0" applyNumberFormat="1" applyFont="1" applyFill="1" applyBorder="1" applyAlignment="1">
      <alignment horizontal="center" vertical="center"/>
    </xf>
    <xf numFmtId="0" fontId="60" fillId="0" borderId="23" xfId="0" applyFont="1" applyBorder="1" applyAlignment="1">
      <alignment horizontal="right" vertical="center" indent="1"/>
    </xf>
    <xf numFmtId="0" fontId="50" fillId="16" borderId="16" xfId="0" applyFont="1" applyFill="1" applyBorder="1" applyAlignment="1">
      <alignment horizontal="center" vertical="center"/>
    </xf>
    <xf numFmtId="167" fontId="50" fillId="16" borderId="16" xfId="0" applyNumberFormat="1" applyFont="1" applyFill="1" applyBorder="1" applyAlignment="1">
      <alignment horizontal="center" vertical="center"/>
    </xf>
    <xf numFmtId="9" fontId="50" fillId="16" borderId="16" xfId="0" applyNumberFormat="1" applyFont="1" applyFill="1" applyBorder="1" applyAlignment="1">
      <alignment horizontal="center" vertical="center"/>
    </xf>
    <xf numFmtId="170" fontId="61" fillId="0" borderId="0" xfId="0" applyNumberFormat="1" applyFont="1" applyAlignment="1">
      <alignment horizontal="center" vertical="top"/>
    </xf>
    <xf numFmtId="0" fontId="71" fillId="0" borderId="0" xfId="0" applyFont="1" applyAlignment="1">
      <alignment horizontal="center"/>
    </xf>
    <xf numFmtId="0" fontId="70" fillId="0" borderId="0" xfId="0" applyFont="1" applyAlignment="1">
      <alignment horizontal="center" vertical="center"/>
    </xf>
    <xf numFmtId="0" fontId="98" fillId="31" borderId="0" xfId="0" applyFont="1" applyFill="1" applyAlignment="1">
      <alignment horizontal="left" vertical="center"/>
    </xf>
    <xf numFmtId="0" fontId="98" fillId="31" borderId="0" xfId="0" applyFont="1" applyFill="1" applyAlignment="1">
      <alignment horizontal="right" vertical="center"/>
    </xf>
    <xf numFmtId="0" fontId="61" fillId="20" borderId="0" xfId="0" applyFont="1" applyFill="1" applyAlignment="1">
      <alignment horizontal="center" vertical="center" wrapText="1"/>
    </xf>
    <xf numFmtId="0" fontId="93" fillId="20" borderId="0" xfId="0" applyFont="1" applyFill="1" applyAlignment="1">
      <alignment vertical="top" wrapText="1"/>
    </xf>
    <xf numFmtId="0" fontId="93" fillId="20" borderId="0" xfId="0" applyFont="1" applyFill="1" applyAlignment="1">
      <alignment horizontal="left" vertical="top" wrapText="1"/>
    </xf>
    <xf numFmtId="0" fontId="27" fillId="20" borderId="0" xfId="0" applyFont="1" applyFill="1" applyAlignment="1">
      <alignment horizontal="left" vertical="top" wrapText="1"/>
    </xf>
    <xf numFmtId="171" fontId="27" fillId="20" borderId="0" xfId="0" applyNumberFormat="1" applyFont="1" applyFill="1" applyAlignment="1">
      <alignment horizontal="left" vertical="top" wrapText="1"/>
    </xf>
    <xf numFmtId="0" fontId="97" fillId="29" borderId="0" xfId="0" applyFont="1" applyFill="1" applyAlignment="1">
      <alignment horizontal="left"/>
    </xf>
    <xf numFmtId="0" fontId="97" fillId="29" borderId="0" xfId="0" applyFont="1" applyFill="1" applyAlignment="1">
      <alignment horizontal="right"/>
    </xf>
    <xf numFmtId="0" fontId="50" fillId="0" borderId="0" xfId="0" applyFont="1" applyAlignment="1">
      <alignment horizontal="center" vertical="top" wrapText="1"/>
    </xf>
    <xf numFmtId="0" fontId="93" fillId="20" borderId="0" xfId="0" applyFont="1" applyFill="1" applyAlignment="1">
      <alignment horizontal="center" vertical="top"/>
    </xf>
    <xf numFmtId="167" fontId="27" fillId="20" borderId="95" xfId="0" applyNumberFormat="1" applyFont="1" applyFill="1" applyBorder="1" applyAlignment="1">
      <alignment vertical="top"/>
    </xf>
    <xf numFmtId="167" fontId="27" fillId="20" borderId="77" xfId="0" applyNumberFormat="1" applyFont="1" applyFill="1" applyBorder="1" applyAlignment="1">
      <alignment vertical="top"/>
    </xf>
    <xf numFmtId="0" fontId="99" fillId="20" borderId="0" xfId="0" applyFont="1" applyFill="1" applyAlignment="1">
      <alignment horizontal="center" vertical="center" wrapText="1"/>
    </xf>
    <xf numFmtId="0" fontId="24" fillId="20" borderId="0" xfId="0" applyFont="1" applyFill="1" applyAlignment="1">
      <alignment vertical="top"/>
    </xf>
    <xf numFmtId="0" fontId="24" fillId="20" borderId="0" xfId="0" applyFont="1" applyFill="1" applyAlignment="1">
      <alignment horizontal="left" vertical="top"/>
    </xf>
    <xf numFmtId="0" fontId="25" fillId="20" borderId="0" xfId="0" applyFont="1" applyFill="1" applyAlignment="1">
      <alignment horizontal="left" vertical="top"/>
    </xf>
    <xf numFmtId="171" fontId="25" fillId="20" borderId="0" xfId="0" applyNumberFormat="1" applyFont="1" applyFill="1" applyAlignment="1">
      <alignment horizontal="left" vertical="top"/>
    </xf>
    <xf numFmtId="170" fontId="27" fillId="20" borderId="95" xfId="0" applyNumberFormat="1" applyFont="1" applyFill="1" applyBorder="1" applyAlignment="1">
      <alignment vertical="top"/>
    </xf>
    <xf numFmtId="167" fontId="27" fillId="20" borderId="96" xfId="0" applyNumberFormat="1" applyFont="1" applyFill="1" applyBorder="1" applyAlignment="1">
      <alignment vertical="top"/>
    </xf>
    <xf numFmtId="167" fontId="93" fillId="20" borderId="97" xfId="0" applyNumberFormat="1" applyFont="1" applyFill="1" applyBorder="1" applyAlignment="1">
      <alignment vertical="top"/>
    </xf>
    <xf numFmtId="0" fontId="27" fillId="20" borderId="76" xfId="0" applyFont="1" applyFill="1" applyBorder="1" applyAlignment="1">
      <alignment horizontal="left" vertical="top"/>
    </xf>
    <xf numFmtId="0" fontId="27" fillId="20" borderId="95" xfId="0" applyFont="1" applyFill="1" applyBorder="1" applyAlignment="1">
      <alignment horizontal="left" vertical="top"/>
    </xf>
    <xf numFmtId="0" fontId="93" fillId="20" borderId="76" xfId="0" applyFont="1" applyFill="1" applyBorder="1" applyAlignment="1">
      <alignment horizontal="left" vertical="top"/>
    </xf>
    <xf numFmtId="0" fontId="93" fillId="20" borderId="95" xfId="0" applyFont="1" applyFill="1" applyBorder="1" applyAlignment="1">
      <alignment horizontal="left" vertical="top"/>
    </xf>
    <xf numFmtId="49" fontId="99" fillId="20" borderId="0" xfId="0" applyNumberFormat="1" applyFont="1" applyFill="1" applyAlignment="1">
      <alignment horizontal="center" vertical="center" wrapText="1"/>
    </xf>
    <xf numFmtId="0" fontId="40" fillId="29" borderId="0" xfId="0" applyFont="1" applyFill="1" applyAlignment="1">
      <alignment horizontal="center" vertical="center"/>
    </xf>
    <xf numFmtId="0" fontId="99" fillId="20" borderId="0" xfId="0" applyFont="1" applyFill="1" applyAlignment="1">
      <alignment horizontal="center"/>
    </xf>
    <xf numFmtId="0" fontId="25" fillId="20" borderId="0" xfId="0" applyFont="1" applyFill="1" applyAlignment="1">
      <alignment horizontal="left" vertical="top" wrapText="1"/>
    </xf>
    <xf numFmtId="14" fontId="103" fillId="20" borderId="0" xfId="0" applyNumberFormat="1" applyFont="1" applyFill="1" applyAlignment="1" applyProtection="1">
      <alignment horizontal="center" wrapText="1"/>
      <protection locked="0"/>
    </xf>
    <xf numFmtId="14" fontId="103" fillId="20" borderId="11" xfId="0" applyNumberFormat="1" applyFont="1" applyFill="1" applyBorder="1" applyAlignment="1" applyProtection="1">
      <alignment horizontal="center" wrapText="1"/>
      <protection locked="0"/>
    </xf>
    <xf numFmtId="0" fontId="103" fillId="20" borderId="0" xfId="0" applyFont="1" applyFill="1" applyAlignment="1" applyProtection="1">
      <alignment horizontal="center" wrapText="1"/>
      <protection locked="0"/>
    </xf>
    <xf numFmtId="0" fontId="103" fillId="20" borderId="11" xfId="0" applyFont="1" applyFill="1" applyBorder="1" applyAlignment="1" applyProtection="1">
      <alignment horizontal="center" wrapText="1"/>
      <protection locked="0"/>
    </xf>
    <xf numFmtId="0" fontId="138" fillId="0" borderId="0" xfId="0" applyFont="1" applyAlignment="1">
      <alignment horizontal="center" vertical="center"/>
    </xf>
    <xf numFmtId="0" fontId="104" fillId="0" borderId="0" xfId="0" applyFont="1" applyAlignment="1">
      <alignment horizontal="left" vertical="center" wrapText="1"/>
    </xf>
    <xf numFmtId="0" fontId="25" fillId="20" borderId="0" xfId="2" applyFont="1" applyFill="1" applyAlignment="1" applyProtection="1">
      <alignment horizontal="left" vertical="top"/>
      <protection hidden="1"/>
    </xf>
    <xf numFmtId="0" fontId="137" fillId="20" borderId="0" xfId="0" applyFont="1" applyFill="1" applyAlignment="1">
      <alignment horizontal="left" vertical="top" wrapText="1"/>
    </xf>
    <xf numFmtId="0" fontId="27" fillId="20" borderId="0" xfId="0" applyFont="1" applyFill="1" applyAlignment="1">
      <alignment horizontal="left" wrapText="1"/>
    </xf>
    <xf numFmtId="0" fontId="89" fillId="31" borderId="0" xfId="1" applyFont="1" applyFill="1" applyAlignment="1" applyProtection="1">
      <alignment horizontal="center" vertical="center"/>
      <protection locked="0" hidden="1"/>
    </xf>
    <xf numFmtId="0" fontId="102" fillId="20" borderId="0" xfId="2" applyFont="1" applyFill="1" applyAlignment="1" applyProtection="1">
      <alignment horizontal="left" vertical="top"/>
      <protection hidden="1"/>
    </xf>
    <xf numFmtId="14" fontId="25" fillId="20" borderId="0" xfId="2" applyNumberFormat="1" applyFont="1" applyFill="1" applyAlignment="1" applyProtection="1">
      <alignment horizontal="left" vertical="top"/>
      <protection hidden="1"/>
    </xf>
    <xf numFmtId="0" fontId="101" fillId="20" borderId="0" xfId="2" applyFont="1" applyFill="1" applyAlignment="1" applyProtection="1">
      <alignment horizontal="left" vertical="center" wrapText="1"/>
      <protection hidden="1"/>
    </xf>
    <xf numFmtId="170" fontId="27" fillId="20" borderId="96" xfId="0" applyNumberFormat="1" applyFont="1" applyFill="1" applyBorder="1" applyAlignment="1">
      <alignment vertical="top"/>
    </xf>
    <xf numFmtId="170" fontId="93" fillId="20" borderId="97" xfId="0" applyNumberFormat="1" applyFont="1" applyFill="1" applyBorder="1" applyAlignment="1">
      <alignment vertical="top"/>
    </xf>
    <xf numFmtId="167" fontId="27" fillId="20" borderId="79" xfId="0" applyNumberFormat="1" applyFont="1" applyFill="1" applyBorder="1" applyAlignment="1">
      <alignment vertical="top"/>
    </xf>
    <xf numFmtId="167" fontId="93" fillId="20" borderId="78" xfId="0" applyNumberFormat="1" applyFont="1" applyFill="1" applyBorder="1" applyAlignment="1">
      <alignment vertical="top"/>
    </xf>
    <xf numFmtId="0" fontId="93" fillId="20" borderId="0" xfId="0" applyFont="1" applyFill="1" applyAlignment="1">
      <alignment horizontal="left" vertical="top"/>
    </xf>
    <xf numFmtId="0" fontId="27" fillId="20" borderId="0" xfId="0" applyFont="1" applyFill="1" applyAlignment="1">
      <alignment horizontal="left" vertical="top"/>
    </xf>
    <xf numFmtId="0" fontId="99" fillId="20" borderId="0" xfId="0" applyFont="1" applyFill="1" applyAlignment="1">
      <alignment horizontal="center" wrapText="1"/>
    </xf>
    <xf numFmtId="0" fontId="100" fillId="20" borderId="0" xfId="0" applyFont="1" applyFill="1" applyAlignment="1">
      <alignment horizontal="left" vertical="center" wrapText="1"/>
    </xf>
    <xf numFmtId="0" fontId="27" fillId="20" borderId="0" xfId="0" applyFont="1" applyFill="1" applyAlignment="1">
      <alignment vertical="top"/>
    </xf>
    <xf numFmtId="0" fontId="100" fillId="20" borderId="0" xfId="0" applyFont="1" applyFill="1" applyAlignment="1">
      <alignment horizontal="left" vertical="top" wrapText="1"/>
    </xf>
    <xf numFmtId="0" fontId="25" fillId="12" borderId="17" xfId="0" applyFont="1" applyFill="1" applyBorder="1" applyAlignment="1" applyProtection="1">
      <alignment horizontal="left"/>
      <protection hidden="1"/>
    </xf>
    <xf numFmtId="0" fontId="25" fillId="12" borderId="18" xfId="0" applyFont="1" applyFill="1" applyBorder="1" applyAlignment="1" applyProtection="1">
      <alignment horizontal="left"/>
      <protection hidden="1"/>
    </xf>
    <xf numFmtId="0" fontId="25" fillId="12" borderId="19" xfId="0" applyFont="1" applyFill="1" applyBorder="1" applyAlignment="1" applyProtection="1">
      <alignment horizontal="left"/>
      <protection hidden="1"/>
    </xf>
    <xf numFmtId="0" fontId="25" fillId="12" borderId="17" xfId="0" applyFont="1" applyFill="1" applyBorder="1" applyAlignment="1">
      <alignment horizontal="center" vertical="top"/>
    </xf>
    <xf numFmtId="0" fontId="25" fillId="12" borderId="18" xfId="0" applyFont="1" applyFill="1" applyBorder="1" applyAlignment="1">
      <alignment horizontal="center" vertical="top"/>
    </xf>
    <xf numFmtId="0" fontId="25" fillId="12" borderId="19" xfId="0" applyFont="1" applyFill="1" applyBorder="1" applyAlignment="1">
      <alignment horizontal="center" vertical="top"/>
    </xf>
    <xf numFmtId="0" fontId="0" fillId="26" borderId="16" xfId="0" applyFill="1" applyBorder="1" applyAlignment="1">
      <alignment horizontal="center"/>
    </xf>
    <xf numFmtId="0" fontId="27" fillId="5" borderId="17" xfId="0" applyFont="1" applyFill="1" applyBorder="1" applyProtection="1">
      <protection hidden="1"/>
    </xf>
    <xf numFmtId="0" fontId="27" fillId="5" borderId="18" xfId="0" applyFont="1" applyFill="1" applyBorder="1" applyProtection="1">
      <protection hidden="1"/>
    </xf>
    <xf numFmtId="0" fontId="27" fillId="5" borderId="19" xfId="0" applyFont="1" applyFill="1" applyBorder="1" applyProtection="1">
      <protection hidden="1"/>
    </xf>
    <xf numFmtId="167" fontId="27" fillId="5" borderId="17" xfId="0" applyNumberFormat="1" applyFont="1" applyFill="1" applyBorder="1" applyAlignment="1" applyProtection="1">
      <alignment horizontal="left" vertical="top"/>
      <protection hidden="1"/>
    </xf>
    <xf numFmtId="167" fontId="27" fillId="5" borderId="18" xfId="0" applyNumberFormat="1" applyFont="1" applyFill="1" applyBorder="1" applyAlignment="1" applyProtection="1">
      <alignment horizontal="left" vertical="top"/>
      <protection hidden="1"/>
    </xf>
    <xf numFmtId="167" fontId="27" fillId="5" borderId="19" xfId="0" applyNumberFormat="1" applyFont="1" applyFill="1" applyBorder="1" applyAlignment="1" applyProtection="1">
      <alignment horizontal="left" vertical="top"/>
      <protection hidden="1"/>
    </xf>
    <xf numFmtId="3" fontId="27" fillId="5" borderId="17" xfId="0" applyNumberFormat="1" applyFont="1" applyFill="1" applyBorder="1" applyAlignment="1">
      <alignment horizontal="left" vertical="top"/>
    </xf>
    <xf numFmtId="3" fontId="27" fillId="5" borderId="18" xfId="0" applyNumberFormat="1" applyFont="1" applyFill="1" applyBorder="1" applyAlignment="1">
      <alignment horizontal="left" vertical="top"/>
    </xf>
    <xf numFmtId="3" fontId="27" fillId="5" borderId="19" xfId="0" applyNumberFormat="1" applyFont="1" applyFill="1" applyBorder="1" applyAlignment="1">
      <alignment horizontal="left" vertical="top"/>
    </xf>
    <xf numFmtId="0" fontId="25" fillId="0" borderId="17" xfId="0" applyFont="1" applyBorder="1" applyAlignment="1" applyProtection="1">
      <alignment vertical="top"/>
      <protection locked="0"/>
    </xf>
    <xf numFmtId="0" fontId="25" fillId="0" borderId="18" xfId="0" applyFont="1" applyBorder="1" applyAlignment="1" applyProtection="1">
      <alignment vertical="top"/>
      <protection locked="0"/>
    </xf>
    <xf numFmtId="0" fontId="25" fillId="0" borderId="19" xfId="0" applyFont="1" applyBorder="1" applyAlignment="1" applyProtection="1">
      <alignment vertical="top"/>
      <protection locked="0"/>
    </xf>
    <xf numFmtId="0" fontId="25" fillId="11" borderId="17" xfId="0" applyFont="1" applyFill="1" applyBorder="1"/>
    <xf numFmtId="0" fontId="25" fillId="11" borderId="18" xfId="0" applyFont="1" applyFill="1" applyBorder="1"/>
    <xf numFmtId="0" fontId="25" fillId="11" borderId="19" xfId="0" applyFont="1" applyFill="1" applyBorder="1"/>
    <xf numFmtId="0" fontId="27" fillId="5" borderId="17" xfId="0" applyFont="1" applyFill="1" applyBorder="1" applyAlignment="1">
      <alignment horizontal="left"/>
    </xf>
    <xf numFmtId="0" fontId="27" fillId="5" borderId="18" xfId="0" applyFont="1" applyFill="1" applyBorder="1" applyAlignment="1">
      <alignment horizontal="left"/>
    </xf>
    <xf numFmtId="0" fontId="27" fillId="5" borderId="19" xfId="0" applyFont="1" applyFill="1" applyBorder="1" applyAlignment="1">
      <alignment horizontal="left"/>
    </xf>
    <xf numFmtId="14" fontId="25" fillId="8" borderId="17" xfId="0" applyNumberFormat="1" applyFont="1" applyFill="1" applyBorder="1" applyAlignment="1">
      <alignment horizontal="left" vertical="top"/>
    </xf>
    <xf numFmtId="14" fontId="25" fillId="8" borderId="18" xfId="0" applyNumberFormat="1" applyFont="1" applyFill="1" applyBorder="1" applyAlignment="1">
      <alignment horizontal="left" vertical="top"/>
    </xf>
    <xf numFmtId="14" fontId="25" fillId="8" borderId="19" xfId="0" applyNumberFormat="1" applyFont="1" applyFill="1" applyBorder="1" applyAlignment="1">
      <alignment horizontal="left" vertical="top"/>
    </xf>
    <xf numFmtId="0" fontId="25" fillId="8" borderId="16" xfId="0" applyFont="1" applyFill="1" applyBorder="1" applyProtection="1">
      <protection hidden="1"/>
    </xf>
    <xf numFmtId="0" fontId="25" fillId="8" borderId="17" xfId="0" applyFont="1" applyFill="1" applyBorder="1" applyProtection="1">
      <protection hidden="1"/>
    </xf>
    <xf numFmtId="0" fontId="25" fillId="8" borderId="139" xfId="0" applyFont="1" applyFill="1" applyBorder="1" applyAlignment="1">
      <alignment horizontal="left" vertical="top"/>
    </xf>
    <xf numFmtId="0" fontId="25" fillId="8" borderId="140" xfId="0" applyFont="1" applyFill="1" applyBorder="1" applyAlignment="1">
      <alignment horizontal="left" vertical="top"/>
    </xf>
    <xf numFmtId="0" fontId="25" fillId="8" borderId="141" xfId="0" applyFont="1" applyFill="1" applyBorder="1" applyAlignment="1">
      <alignment horizontal="left" vertical="top"/>
    </xf>
    <xf numFmtId="0" fontId="41" fillId="6" borderId="17" xfId="0" applyFont="1" applyFill="1" applyBorder="1" applyAlignment="1" applyProtection="1">
      <alignment horizontal="center" vertical="center"/>
      <protection hidden="1"/>
    </xf>
    <xf numFmtId="0" fontId="41" fillId="6" borderId="18" xfId="0" applyFont="1" applyFill="1" applyBorder="1" applyAlignment="1" applyProtection="1">
      <alignment horizontal="center" vertical="center"/>
      <protection hidden="1"/>
    </xf>
    <xf numFmtId="0" fontId="41" fillId="6" borderId="19" xfId="0" applyFont="1" applyFill="1" applyBorder="1" applyAlignment="1" applyProtection="1">
      <alignment horizontal="center" vertical="center"/>
      <protection hidden="1"/>
    </xf>
    <xf numFmtId="49" fontId="25" fillId="0" borderId="21" xfId="0" applyNumberFormat="1" applyFont="1" applyBorder="1" applyAlignment="1" applyProtection="1">
      <alignment horizontal="left" vertical="top" wrapText="1"/>
      <protection locked="0"/>
    </xf>
    <xf numFmtId="49" fontId="25" fillId="0" borderId="98" xfId="0" applyNumberFormat="1" applyFont="1" applyBorder="1" applyAlignment="1" applyProtection="1">
      <alignment horizontal="left" vertical="top" wrapText="1"/>
      <protection locked="0"/>
    </xf>
    <xf numFmtId="49" fontId="25" fillId="0" borderId="137" xfId="0" applyNumberFormat="1" applyFont="1" applyBorder="1" applyAlignment="1" applyProtection="1">
      <alignment horizontal="left" vertical="top" wrapText="1"/>
      <protection locked="0"/>
    </xf>
    <xf numFmtId="49" fontId="25" fillId="0" borderId="142" xfId="0" applyNumberFormat="1" applyFont="1" applyBorder="1" applyAlignment="1" applyProtection="1">
      <alignment horizontal="left" vertical="top" wrapText="1"/>
      <protection locked="0"/>
    </xf>
    <xf numFmtId="49" fontId="25" fillId="0" borderId="0" xfId="0" applyNumberFormat="1" applyFont="1" applyAlignment="1" applyProtection="1">
      <alignment horizontal="left" vertical="top" wrapText="1"/>
      <protection locked="0"/>
    </xf>
    <xf numFmtId="49" fontId="25" fillId="0" borderId="143" xfId="0" applyNumberFormat="1" applyFont="1" applyBorder="1" applyAlignment="1" applyProtection="1">
      <alignment horizontal="left" vertical="top" wrapText="1"/>
      <protection locked="0"/>
    </xf>
    <xf numFmtId="49" fontId="25" fillId="0" borderId="22" xfId="0" applyNumberFormat="1" applyFont="1" applyBorder="1" applyAlignment="1" applyProtection="1">
      <alignment horizontal="left" vertical="top" wrapText="1"/>
      <protection locked="0"/>
    </xf>
    <xf numFmtId="49" fontId="25" fillId="0" borderId="136" xfId="0" applyNumberFormat="1" applyFont="1" applyBorder="1" applyAlignment="1" applyProtection="1">
      <alignment horizontal="left" vertical="top" wrapText="1"/>
      <protection locked="0"/>
    </xf>
    <xf numFmtId="49" fontId="25" fillId="0" borderId="138" xfId="0" applyNumberFormat="1" applyFont="1" applyBorder="1" applyAlignment="1" applyProtection="1">
      <alignment horizontal="left" vertical="top" wrapText="1"/>
      <protection locked="0"/>
    </xf>
    <xf numFmtId="0" fontId="41" fillId="6" borderId="17" xfId="0" applyFont="1" applyFill="1" applyBorder="1" applyAlignment="1">
      <alignment horizontal="center" vertical="center"/>
    </xf>
    <xf numFmtId="0" fontId="41" fillId="6" borderId="18" xfId="0" applyFont="1" applyFill="1" applyBorder="1" applyAlignment="1">
      <alignment horizontal="center" vertical="center"/>
    </xf>
    <xf numFmtId="0" fontId="41" fillId="6" borderId="19" xfId="0" applyFont="1" applyFill="1" applyBorder="1" applyAlignment="1">
      <alignment horizontal="center" vertical="center"/>
    </xf>
    <xf numFmtId="0" fontId="25" fillId="8" borderId="21" xfId="0" applyFont="1" applyFill="1" applyBorder="1" applyAlignment="1">
      <alignment horizontal="left" vertical="top" shrinkToFit="1"/>
    </xf>
    <xf numFmtId="0" fontId="25" fillId="8" borderId="98" xfId="0" applyFont="1" applyFill="1" applyBorder="1" applyAlignment="1">
      <alignment horizontal="left" vertical="top" shrinkToFit="1"/>
    </xf>
    <xf numFmtId="0" fontId="25" fillId="8" borderId="137" xfId="0" applyFont="1" applyFill="1" applyBorder="1" applyAlignment="1">
      <alignment horizontal="left" vertical="top" shrinkToFit="1"/>
    </xf>
    <xf numFmtId="167" fontId="27" fillId="5" borderId="17" xfId="0" applyNumberFormat="1" applyFont="1" applyFill="1" applyBorder="1" applyAlignment="1">
      <alignment horizontal="left" vertical="top"/>
    </xf>
    <xf numFmtId="167" fontId="27" fillId="5" borderId="18" xfId="0" applyNumberFormat="1" applyFont="1" applyFill="1" applyBorder="1" applyAlignment="1">
      <alignment horizontal="left" vertical="top"/>
    </xf>
    <xf numFmtId="167" fontId="27" fillId="5" borderId="19" xfId="0" applyNumberFormat="1" applyFont="1" applyFill="1" applyBorder="1" applyAlignment="1">
      <alignment horizontal="left" vertical="top"/>
    </xf>
    <xf numFmtId="0" fontId="27" fillId="5" borderId="17" xfId="0" applyFont="1" applyFill="1" applyBorder="1" applyAlignment="1">
      <alignment horizontal="left" vertical="top" shrinkToFit="1"/>
    </xf>
    <xf numFmtId="0" fontId="27" fillId="5" borderId="18" xfId="0" applyFont="1" applyFill="1" applyBorder="1" applyAlignment="1">
      <alignment horizontal="left" vertical="top" shrinkToFit="1"/>
    </xf>
    <xf numFmtId="0" fontId="27" fillId="5" borderId="19" xfId="0" applyFont="1" applyFill="1" applyBorder="1" applyAlignment="1">
      <alignment horizontal="left" vertical="top" shrinkToFit="1"/>
    </xf>
    <xf numFmtId="173" fontId="27" fillId="5" borderId="17" xfId="0" applyNumberFormat="1" applyFont="1" applyFill="1" applyBorder="1" applyAlignment="1">
      <alignment horizontal="left" vertical="top"/>
    </xf>
    <xf numFmtId="173" fontId="27" fillId="5" borderId="18" xfId="0" applyNumberFormat="1" applyFont="1" applyFill="1" applyBorder="1" applyAlignment="1">
      <alignment horizontal="left" vertical="top"/>
    </xf>
    <xf numFmtId="173" fontId="27" fillId="5" borderId="19" xfId="0" applyNumberFormat="1" applyFont="1" applyFill="1" applyBorder="1" applyAlignment="1">
      <alignment horizontal="left" vertical="top"/>
    </xf>
    <xf numFmtId="0" fontId="25" fillId="0" borderId="17" xfId="0" applyFont="1" applyBorder="1" applyAlignment="1" applyProtection="1">
      <alignment horizontal="left" vertical="top"/>
      <protection locked="0"/>
    </xf>
    <xf numFmtId="0" fontId="25" fillId="0" borderId="18" xfId="0" applyFont="1" applyBorder="1" applyAlignment="1" applyProtection="1">
      <alignment horizontal="left" vertical="top"/>
      <protection locked="0"/>
    </xf>
    <xf numFmtId="0" fontId="25" fillId="0" borderId="19" xfId="0" applyFont="1" applyBorder="1" applyAlignment="1" applyProtection="1">
      <alignment horizontal="left" vertical="top"/>
      <protection locked="0"/>
    </xf>
    <xf numFmtId="49" fontId="25" fillId="0" borderId="17" xfId="0" applyNumberFormat="1" applyFont="1" applyBorder="1" applyAlignment="1" applyProtection="1">
      <alignment horizontal="left" vertical="top"/>
      <protection locked="0"/>
    </xf>
    <xf numFmtId="49" fontId="25" fillId="0" borderId="18" xfId="0" applyNumberFormat="1" applyFont="1" applyBorder="1" applyAlignment="1" applyProtection="1">
      <alignment horizontal="left" vertical="top"/>
      <protection locked="0"/>
    </xf>
    <xf numFmtId="49" fontId="25" fillId="0" borderId="19" xfId="0" applyNumberFormat="1" applyFont="1" applyBorder="1" applyAlignment="1" applyProtection="1">
      <alignment horizontal="left" vertical="top"/>
      <protection locked="0"/>
    </xf>
    <xf numFmtId="1" fontId="27" fillId="5" borderId="17" xfId="0" applyNumberFormat="1" applyFont="1" applyFill="1" applyBorder="1" applyAlignment="1">
      <alignment horizontal="left" vertical="top"/>
    </xf>
    <xf numFmtId="1" fontId="27" fillId="5" borderId="18" xfId="0" applyNumberFormat="1" applyFont="1" applyFill="1" applyBorder="1" applyAlignment="1">
      <alignment horizontal="left" vertical="top"/>
    </xf>
    <xf numFmtId="1" fontId="27" fillId="5" borderId="19" xfId="0" applyNumberFormat="1" applyFont="1" applyFill="1" applyBorder="1" applyAlignment="1">
      <alignment horizontal="left" vertical="top"/>
    </xf>
    <xf numFmtId="0" fontId="25" fillId="8" borderId="22" xfId="0" applyFont="1" applyFill="1" applyBorder="1" applyAlignment="1">
      <alignment horizontal="left" vertical="top"/>
    </xf>
    <xf numFmtId="0" fontId="25" fillId="8" borderId="136" xfId="0" applyFont="1" applyFill="1" applyBorder="1" applyAlignment="1">
      <alignment horizontal="left" vertical="top"/>
    </xf>
    <xf numFmtId="0" fontId="25" fillId="8" borderId="138" xfId="0" applyFont="1" applyFill="1" applyBorder="1" applyAlignment="1">
      <alignment horizontal="left" vertical="top"/>
    </xf>
    <xf numFmtId="0" fontId="25" fillId="8" borderId="17" xfId="0" applyFont="1" applyFill="1" applyBorder="1" applyAlignment="1">
      <alignment horizontal="left" vertical="top"/>
    </xf>
    <xf numFmtId="0" fontId="25" fillId="8" borderId="18" xfId="0" applyFont="1" applyFill="1" applyBorder="1" applyAlignment="1">
      <alignment horizontal="left" vertical="top"/>
    </xf>
    <xf numFmtId="0" fontId="25" fillId="8" borderId="19" xfId="0" applyFont="1" applyFill="1" applyBorder="1" applyAlignment="1">
      <alignment horizontal="left" vertical="top"/>
    </xf>
    <xf numFmtId="168" fontId="25" fillId="0" borderId="17" xfId="0" applyNumberFormat="1" applyFont="1" applyBorder="1" applyAlignment="1" applyProtection="1">
      <alignment horizontal="left" vertical="top"/>
      <protection locked="0"/>
    </xf>
    <xf numFmtId="168" fontId="25" fillId="0" borderId="18" xfId="0" applyNumberFormat="1" applyFont="1" applyBorder="1" applyAlignment="1" applyProtection="1">
      <alignment horizontal="left" vertical="top"/>
      <protection locked="0"/>
    </xf>
    <xf numFmtId="168" fontId="25" fillId="0" borderId="19" xfId="0" applyNumberFormat="1" applyFont="1" applyBorder="1" applyAlignment="1" applyProtection="1">
      <alignment horizontal="left" vertical="top"/>
      <protection locked="0"/>
    </xf>
    <xf numFmtId="0" fontId="25" fillId="0" borderId="17" xfId="0" applyFont="1" applyBorder="1" applyAlignment="1">
      <alignment horizontal="left" vertical="top"/>
    </xf>
    <xf numFmtId="0" fontId="25" fillId="0" borderId="18" xfId="0" applyFont="1" applyBorder="1" applyAlignment="1">
      <alignment horizontal="left" vertical="top"/>
    </xf>
    <xf numFmtId="0" fontId="25" fillId="0" borderId="19" xfId="0" applyFont="1" applyBorder="1" applyAlignment="1">
      <alignment horizontal="left" vertical="top"/>
    </xf>
    <xf numFmtId="0" fontId="25" fillId="25" borderId="16" xfId="0" applyFont="1" applyFill="1" applyBorder="1" applyProtection="1">
      <protection hidden="1"/>
    </xf>
    <xf numFmtId="0" fontId="25" fillId="23" borderId="16" xfId="0" applyFont="1" applyFill="1" applyBorder="1" applyProtection="1">
      <protection hidden="1"/>
    </xf>
    <xf numFmtId="0" fontId="25" fillId="23" borderId="16" xfId="0" applyFont="1" applyFill="1" applyBorder="1" applyAlignment="1">
      <alignment horizontal="left" vertical="top"/>
    </xf>
    <xf numFmtId="0" fontId="25" fillId="24" borderId="16" xfId="0" applyFont="1" applyFill="1" applyBorder="1" applyProtection="1">
      <protection hidden="1"/>
    </xf>
    <xf numFmtId="0" fontId="25" fillId="24" borderId="16" xfId="0" applyFont="1" applyFill="1" applyBorder="1" applyAlignment="1">
      <alignment horizontal="left" vertical="top"/>
    </xf>
    <xf numFmtId="0" fontId="25" fillId="24" borderId="17" xfId="0" applyFont="1" applyFill="1" applyBorder="1" applyAlignment="1">
      <alignment horizontal="left" vertical="top"/>
    </xf>
    <xf numFmtId="0" fontId="25" fillId="24" borderId="18" xfId="0" applyFont="1" applyFill="1" applyBorder="1" applyAlignment="1">
      <alignment horizontal="left" vertical="top"/>
    </xf>
    <xf numFmtId="0" fontId="25" fillId="24" borderId="19" xfId="0" applyFont="1" applyFill="1" applyBorder="1" applyAlignment="1">
      <alignment horizontal="left" vertical="top"/>
    </xf>
    <xf numFmtId="0" fontId="25" fillId="12" borderId="16" xfId="0" applyFont="1" applyFill="1" applyBorder="1" applyAlignment="1">
      <alignment horizontal="left" vertical="top"/>
    </xf>
    <xf numFmtId="0" fontId="25" fillId="12" borderId="16" xfId="0" applyFont="1" applyFill="1" applyBorder="1" applyProtection="1">
      <protection hidden="1"/>
    </xf>
    <xf numFmtId="0" fontId="25" fillId="26" borderId="16" xfId="0" applyFont="1" applyFill="1" applyBorder="1" applyProtection="1">
      <protection hidden="1"/>
    </xf>
    <xf numFmtId="0" fontId="25" fillId="25" borderId="16" xfId="0" applyFont="1" applyFill="1" applyBorder="1" applyAlignment="1">
      <alignment horizontal="left" vertical="top"/>
    </xf>
    <xf numFmtId="166" fontId="25" fillId="23" borderId="16" xfId="0" applyNumberFormat="1" applyFont="1" applyFill="1" applyBorder="1" applyAlignment="1">
      <alignment horizontal="left" vertical="top"/>
    </xf>
    <xf numFmtId="166" fontId="25" fillId="25" borderId="16" xfId="0" applyNumberFormat="1" applyFont="1" applyFill="1" applyBorder="1" applyAlignment="1">
      <alignment horizontal="left" vertical="top"/>
    </xf>
    <xf numFmtId="0" fontId="25" fillId="7" borderId="98" xfId="0" applyFont="1" applyFill="1" applyBorder="1" applyAlignment="1" applyProtection="1">
      <alignment horizontal="left" vertical="top" wrapText="1"/>
      <protection hidden="1"/>
    </xf>
    <xf numFmtId="0" fontId="25" fillId="7" borderId="0" xfId="0" applyFont="1" applyFill="1" applyAlignment="1" applyProtection="1">
      <alignment horizontal="left" vertical="top" wrapText="1"/>
      <protection hidden="1"/>
    </xf>
    <xf numFmtId="167" fontId="27" fillId="5" borderId="16" xfId="0" applyNumberFormat="1" applyFont="1" applyFill="1" applyBorder="1" applyAlignment="1" applyProtection="1">
      <alignment horizontal="left" vertical="top"/>
      <protection hidden="1"/>
    </xf>
    <xf numFmtId="173" fontId="27" fillId="5" borderId="16" xfId="0" applyNumberFormat="1" applyFont="1" applyFill="1" applyBorder="1" applyAlignment="1" applyProtection="1">
      <alignment horizontal="left" vertical="top"/>
      <protection hidden="1"/>
    </xf>
    <xf numFmtId="0" fontId="27" fillId="5" borderId="16" xfId="0" applyFont="1" applyFill="1" applyBorder="1" applyProtection="1">
      <protection hidden="1"/>
    </xf>
    <xf numFmtId="0" fontId="27" fillId="5" borderId="22" xfId="0" applyFont="1" applyFill="1" applyBorder="1" applyAlignment="1">
      <alignment horizontal="left"/>
    </xf>
    <xf numFmtId="0" fontId="27" fillId="5" borderId="136" xfId="0" applyFont="1" applyFill="1" applyBorder="1" applyAlignment="1">
      <alignment horizontal="left"/>
    </xf>
    <xf numFmtId="0" fontId="27" fillId="5" borderId="138" xfId="0" applyFont="1" applyFill="1" applyBorder="1" applyAlignment="1">
      <alignment horizontal="left"/>
    </xf>
    <xf numFmtId="171" fontId="25" fillId="26" borderId="16" xfId="0" applyNumberFormat="1" applyFont="1" applyFill="1" applyBorder="1" applyAlignment="1">
      <alignment horizontal="left" vertical="top"/>
    </xf>
    <xf numFmtId="0" fontId="25" fillId="26" borderId="16" xfId="0" applyFont="1" applyFill="1" applyBorder="1" applyAlignment="1">
      <alignment horizontal="left" vertical="top"/>
    </xf>
    <xf numFmtId="0" fontId="25" fillId="26" borderId="17" xfId="0" applyFont="1" applyFill="1" applyBorder="1" applyAlignment="1">
      <alignment horizontal="left" vertical="top"/>
    </xf>
    <xf numFmtId="0" fontId="25" fillId="26" borderId="18" xfId="0" applyFont="1" applyFill="1" applyBorder="1" applyAlignment="1">
      <alignment horizontal="left" vertical="top"/>
    </xf>
    <xf numFmtId="0" fontId="25" fillId="26" borderId="19" xfId="0" applyFont="1" applyFill="1" applyBorder="1" applyAlignment="1">
      <alignment horizontal="left" vertical="top"/>
    </xf>
    <xf numFmtId="0" fontId="25" fillId="37" borderId="16" xfId="0" applyFont="1" applyFill="1" applyBorder="1" applyProtection="1">
      <protection hidden="1"/>
    </xf>
    <xf numFmtId="171" fontId="25" fillId="37" borderId="17" xfId="0" applyNumberFormat="1" applyFont="1" applyFill="1" applyBorder="1" applyAlignment="1">
      <alignment horizontal="left" vertical="top"/>
    </xf>
    <xf numFmtId="171" fontId="25" fillId="37" borderId="18" xfId="0" applyNumberFormat="1" applyFont="1" applyFill="1" applyBorder="1" applyAlignment="1">
      <alignment horizontal="left" vertical="top"/>
    </xf>
    <xf numFmtId="171" fontId="25" fillId="37" borderId="19" xfId="0" applyNumberFormat="1" applyFont="1" applyFill="1" applyBorder="1" applyAlignment="1">
      <alignment horizontal="left" vertical="top"/>
    </xf>
    <xf numFmtId="3" fontId="25" fillId="12" borderId="17" xfId="0" applyNumberFormat="1" applyFont="1" applyFill="1" applyBorder="1" applyAlignment="1">
      <alignment horizontal="left" vertical="top"/>
    </xf>
    <xf numFmtId="3" fontId="25" fillId="12" borderId="18" xfId="0" applyNumberFormat="1" applyFont="1" applyFill="1" applyBorder="1" applyAlignment="1">
      <alignment horizontal="left" vertical="top"/>
    </xf>
    <xf numFmtId="3" fontId="25" fillId="12" borderId="19" xfId="0" applyNumberFormat="1" applyFont="1" applyFill="1" applyBorder="1" applyAlignment="1">
      <alignment horizontal="left" vertical="top"/>
    </xf>
    <xf numFmtId="171" fontId="25" fillId="25" borderId="17" xfId="0" applyNumberFormat="1" applyFont="1" applyFill="1" applyBorder="1" applyAlignment="1">
      <alignment horizontal="left" vertical="top"/>
    </xf>
    <xf numFmtId="171" fontId="25" fillId="25" borderId="18" xfId="0" applyNumberFormat="1" applyFont="1" applyFill="1" applyBorder="1" applyAlignment="1">
      <alignment horizontal="left" vertical="top"/>
    </xf>
    <xf numFmtId="171" fontId="25" fillId="25" borderId="19" xfId="0" applyNumberFormat="1" applyFont="1" applyFill="1" applyBorder="1" applyAlignment="1">
      <alignment horizontal="left" vertical="top"/>
    </xf>
    <xf numFmtId="0" fontId="41" fillId="6" borderId="16" xfId="0" applyFont="1" applyFill="1" applyBorder="1" applyAlignment="1" applyProtection="1">
      <alignment vertical="center"/>
      <protection hidden="1"/>
    </xf>
    <xf numFmtId="169" fontId="27" fillId="5" borderId="16" xfId="0" applyNumberFormat="1" applyFont="1" applyFill="1" applyBorder="1" applyAlignment="1" applyProtection="1">
      <alignment horizontal="left" vertical="top"/>
      <protection hidden="1"/>
    </xf>
    <xf numFmtId="0" fontId="25" fillId="37" borderId="16" xfId="0" applyFont="1" applyFill="1" applyBorder="1" applyAlignment="1">
      <alignment horizontal="left" vertical="top"/>
    </xf>
    <xf numFmtId="0" fontId="41" fillId="6" borderId="17" xfId="0" applyFont="1" applyFill="1" applyBorder="1" applyAlignment="1" applyProtection="1">
      <alignment horizontal="left" vertical="center"/>
      <protection hidden="1"/>
    </xf>
    <xf numFmtId="0" fontId="41" fillId="6" borderId="18" xfId="0" applyFont="1" applyFill="1" applyBorder="1" applyAlignment="1" applyProtection="1">
      <alignment horizontal="left" vertical="center"/>
      <protection hidden="1"/>
    </xf>
    <xf numFmtId="0" fontId="25" fillId="24" borderId="17" xfId="0" applyFont="1" applyFill="1" applyBorder="1" applyProtection="1">
      <protection hidden="1"/>
    </xf>
    <xf numFmtId="0" fontId="25" fillId="24" borderId="18" xfId="0" applyFont="1" applyFill="1" applyBorder="1" applyProtection="1">
      <protection hidden="1"/>
    </xf>
    <xf numFmtId="0" fontId="25" fillId="24" borderId="19" xfId="0" applyFont="1" applyFill="1" applyBorder="1" applyProtection="1">
      <protection hidden="1"/>
    </xf>
    <xf numFmtId="171" fontId="25" fillId="23" borderId="17" xfId="0" applyNumberFormat="1" applyFont="1" applyFill="1" applyBorder="1" applyAlignment="1">
      <alignment horizontal="left" vertical="top"/>
    </xf>
    <xf numFmtId="171" fontId="25" fillId="23" borderId="18" xfId="0" applyNumberFormat="1" applyFont="1" applyFill="1" applyBorder="1" applyAlignment="1">
      <alignment horizontal="left" vertical="top"/>
    </xf>
    <xf numFmtId="171" fontId="25" fillId="23" borderId="19" xfId="0" applyNumberFormat="1" applyFont="1" applyFill="1" applyBorder="1" applyAlignment="1">
      <alignment horizontal="left" vertical="top"/>
    </xf>
    <xf numFmtId="171" fontId="25" fillId="24" borderId="17" xfId="0" applyNumberFormat="1" applyFont="1" applyFill="1" applyBorder="1" applyAlignment="1">
      <alignment horizontal="left" vertical="top"/>
    </xf>
    <xf numFmtId="171" fontId="25" fillId="24" borderId="18" xfId="0" applyNumberFormat="1" applyFont="1" applyFill="1" applyBorder="1" applyAlignment="1">
      <alignment horizontal="left" vertical="top"/>
    </xf>
    <xf numFmtId="171" fontId="25" fillId="24" borderId="19" xfId="0" applyNumberFormat="1" applyFont="1" applyFill="1" applyBorder="1" applyAlignment="1">
      <alignment horizontal="left" vertical="top"/>
    </xf>
    <xf numFmtId="166" fontId="25" fillId="26" borderId="16" xfId="0" applyNumberFormat="1" applyFont="1" applyFill="1" applyBorder="1" applyAlignment="1">
      <alignment horizontal="left" vertical="top"/>
    </xf>
    <xf numFmtId="0" fontId="24" fillId="12" borderId="17" xfId="0" applyFont="1" applyFill="1" applyBorder="1" applyAlignment="1" applyProtection="1">
      <alignment horizontal="center" vertical="top"/>
      <protection locked="0"/>
    </xf>
    <xf numFmtId="0" fontId="24" fillId="12" borderId="18" xfId="0" applyFont="1" applyFill="1" applyBorder="1" applyAlignment="1" applyProtection="1">
      <alignment horizontal="center" vertical="top"/>
      <protection locked="0"/>
    </xf>
    <xf numFmtId="0" fontId="24" fillId="12" borderId="19" xfId="0" applyFont="1" applyFill="1" applyBorder="1" applyAlignment="1" applyProtection="1">
      <alignment horizontal="center" vertical="top"/>
      <protection locked="0"/>
    </xf>
    <xf numFmtId="166" fontId="25" fillId="24" borderId="16" xfId="0" applyNumberFormat="1" applyFont="1" applyFill="1" applyBorder="1" applyAlignment="1">
      <alignment horizontal="left" vertical="top"/>
    </xf>
    <xf numFmtId="166" fontId="25" fillId="37" borderId="16" xfId="0" applyNumberFormat="1" applyFont="1" applyFill="1" applyBorder="1" applyAlignment="1">
      <alignment horizontal="left" vertical="top"/>
    </xf>
    <xf numFmtId="0" fontId="109" fillId="0" borderId="13" xfId="0" applyFont="1" applyBorder="1" applyAlignment="1">
      <alignment horizontal="left" vertical="top" wrapText="1" shrinkToFit="1"/>
    </xf>
    <xf numFmtId="0" fontId="109" fillId="0" borderId="10" xfId="0" applyFont="1" applyBorder="1" applyAlignment="1">
      <alignment horizontal="left" vertical="top" wrapText="1" shrinkToFit="1"/>
    </xf>
    <xf numFmtId="0" fontId="109" fillId="0" borderId="3" xfId="0" applyFont="1" applyBorder="1" applyAlignment="1">
      <alignment horizontal="left" vertical="top" wrapText="1" shrinkToFit="1"/>
    </xf>
    <xf numFmtId="0" fontId="109" fillId="0" borderId="12" xfId="0" applyFont="1" applyBorder="1" applyAlignment="1">
      <alignment horizontal="left" vertical="top" wrapText="1" shrinkToFit="1"/>
    </xf>
    <xf numFmtId="0" fontId="109" fillId="0" borderId="0" xfId="0" applyFont="1" applyAlignment="1">
      <alignment horizontal="left" vertical="top" wrapText="1" shrinkToFit="1"/>
    </xf>
    <xf numFmtId="0" fontId="109" fillId="0" borderId="4" xfId="0" applyFont="1" applyBorder="1" applyAlignment="1">
      <alignment horizontal="left" vertical="top" wrapText="1" shrinkToFit="1"/>
    </xf>
    <xf numFmtId="0" fontId="109" fillId="0" borderId="14" xfId="0" applyFont="1" applyBorder="1" applyAlignment="1">
      <alignment horizontal="left" vertical="top" wrapText="1" shrinkToFit="1"/>
    </xf>
    <xf numFmtId="0" fontId="109" fillId="0" borderId="11" xfId="0" applyFont="1" applyBorder="1" applyAlignment="1">
      <alignment horizontal="left" vertical="top" wrapText="1" shrinkToFit="1"/>
    </xf>
    <xf numFmtId="0" fontId="109" fillId="0" borderId="5" xfId="0" applyFont="1" applyBorder="1" applyAlignment="1">
      <alignment horizontal="left" vertical="top" wrapText="1" shrinkToFit="1"/>
    </xf>
    <xf numFmtId="0" fontId="174" fillId="0" borderId="4" xfId="0" applyFont="1" applyBorder="1" applyAlignment="1">
      <alignment horizontal="center" vertical="center"/>
    </xf>
    <xf numFmtId="0" fontId="25" fillId="0" borderId="17" xfId="0" applyFont="1" applyBorder="1"/>
    <xf numFmtId="0" fontId="25" fillId="0" borderId="18" xfId="0" applyFont="1" applyBorder="1"/>
    <xf numFmtId="0" fontId="25" fillId="0" borderId="19" xfId="0" applyFont="1" applyBorder="1"/>
    <xf numFmtId="0" fontId="25" fillId="13" borderId="17" xfId="0" applyFont="1" applyFill="1" applyBorder="1" applyAlignment="1" applyProtection="1">
      <alignment vertical="top"/>
      <protection locked="0"/>
    </xf>
    <xf numFmtId="0" fontId="25" fillId="13" borderId="18" xfId="0" applyFont="1" applyFill="1" applyBorder="1" applyAlignment="1" applyProtection="1">
      <alignment vertical="top"/>
      <protection locked="0"/>
    </xf>
    <xf numFmtId="0" fontId="25" fillId="13" borderId="19" xfId="0" applyFont="1" applyFill="1" applyBorder="1" applyAlignment="1" applyProtection="1">
      <alignment vertical="top"/>
      <protection locked="0"/>
    </xf>
  </cellXfs>
  <cellStyles count="99">
    <cellStyle name="20% - Accent1" xfId="31" builtinId="30" customBuiltin="1"/>
    <cellStyle name="20% - Accent1 2" xfId="74" xr:uid="{FCA1939F-B4FA-4DFE-AD43-41DFE4FB5AAB}"/>
    <cellStyle name="20% - Accent2" xfId="34" builtinId="34" customBuiltin="1"/>
    <cellStyle name="20% - Accent2 2" xfId="76" xr:uid="{CE7BB09F-97CE-43E6-A3F5-15063623B03B}"/>
    <cellStyle name="20% - Accent3" xfId="37" builtinId="38" customBuiltin="1"/>
    <cellStyle name="20% - Accent3 2" xfId="78" xr:uid="{FAA482C1-D406-492C-8C2F-A550D00947C3}"/>
    <cellStyle name="20% - Accent4" xfId="39" builtinId="42" customBuiltin="1"/>
    <cellStyle name="20% - Accent4 2" xfId="79" xr:uid="{233199DB-1824-4EC3-B439-19F277E010A6}"/>
    <cellStyle name="20% - Accent5" xfId="42" builtinId="46" customBuiltin="1"/>
    <cellStyle name="20% - Accent5 2" xfId="81" xr:uid="{AE7F959E-E9FC-41DB-94B9-D6CAE8EAD3FD}"/>
    <cellStyle name="20% - Accent6" xfId="45" builtinId="50" customBuiltin="1"/>
    <cellStyle name="20% - Accent6 2" xfId="83" xr:uid="{3C6F8455-8035-44F5-97B9-0BA4BC1D2D84}"/>
    <cellStyle name="40% - Accent1" xfId="32" builtinId="31" customBuiltin="1"/>
    <cellStyle name="40% - Accent1 2" xfId="75" xr:uid="{FEB952B7-9841-41EC-A08D-892943BD1551}"/>
    <cellStyle name="40% - Accent2" xfId="35" builtinId="35" customBuiltin="1"/>
    <cellStyle name="40% - Accent2 2" xfId="77" xr:uid="{10FBD588-58C0-40FF-8F78-2D88566CC0C0}"/>
    <cellStyle name="40% - Accent3 2" xfId="48" xr:uid="{3387B0A9-4D0B-46B2-B5BE-11DDFAA51861}"/>
    <cellStyle name="40% - Accent3 2 2" xfId="86" xr:uid="{1BFBDBFE-A3C5-4EBA-9543-EB35DE95382A}"/>
    <cellStyle name="40% - Accent3 3" xfId="73" xr:uid="{0B6648C8-91ED-4BBC-9D0F-8327C4F082DD}"/>
    <cellStyle name="40% - Accent4" xfId="40" builtinId="43" customBuiltin="1"/>
    <cellStyle name="40% - Accent4 2" xfId="80" xr:uid="{54033B93-8370-4541-B6B9-80CCACB6024D}"/>
    <cellStyle name="40% - Accent5" xfId="43" builtinId="47" customBuiltin="1"/>
    <cellStyle name="40% - Accent5 2" xfId="82" xr:uid="{7B47949D-F395-4EFF-94D3-49F8605A26AF}"/>
    <cellStyle name="40% - Accent6" xfId="46" builtinId="51" customBuiltin="1"/>
    <cellStyle name="40% - Accent6 2" xfId="84" xr:uid="{21E2DD15-946D-46B2-9D49-1CAFE807516A}"/>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urrency" xfId="13" builtinId="4"/>
    <cellStyle name="Currency 2" xfId="11" xr:uid="{00000000-0005-0000-0000-000002000000}"/>
    <cellStyle name="Currency 3" xfId="90" xr:uid="{FB21C93E-38F7-4C79-8171-0632CF3479A5}"/>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7" xfId="95" xr:uid="{0D700618-F3FC-4312-B122-9C423410C7C1}"/>
    <cellStyle name="Normal 6" xfId="71" xr:uid="{4A8B12BC-87BE-4B68-ACF9-F0FA71BC94D9}"/>
    <cellStyle name="Normal 6 2" xfId="88" xr:uid="{F7041311-84F7-470A-9175-20EB94EEF37F}"/>
    <cellStyle name="Normal 7" xfId="89" xr:uid="{B748CC26-821A-4BF9-B435-81586EB1602E}"/>
    <cellStyle name="Normal 8" xfId="98" xr:uid="{E28D5DFD-E1C9-4234-8852-1D474ACB4E1D}"/>
    <cellStyle name="Note 2" xfId="65" xr:uid="{188C56FC-D3EE-433F-B556-6BDCBFDFCBF1}"/>
    <cellStyle name="Note 2 2" xfId="87" xr:uid="{CD18D125-9641-441C-B4AF-F13EA27750B4}"/>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819">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theme="0"/>
      </font>
      <fill>
        <patternFill>
          <bgColor theme="0"/>
        </patternFill>
      </fill>
    </dxf>
    <dxf>
      <font>
        <color theme="0"/>
      </font>
    </dxf>
    <dxf>
      <font>
        <color theme="0"/>
      </font>
      <border>
        <left/>
        <right/>
        <top/>
        <bottom/>
      </border>
    </dxf>
    <dxf>
      <font>
        <color rgb="FFFF0000"/>
      </font>
    </dxf>
    <dxf>
      <font>
        <color theme="0"/>
      </font>
      <border>
        <left/>
        <right/>
        <top/>
        <bottom/>
      </border>
    </dxf>
    <dxf>
      <fill>
        <patternFill>
          <bgColor theme="5" tint="0.79998168889431442"/>
        </patternFill>
      </fill>
    </dxf>
    <dxf>
      <font>
        <color rgb="FFFF0000"/>
      </font>
    </dxf>
    <dxf>
      <font>
        <color rgb="FFFF0000"/>
      </font>
    </dxf>
    <dxf>
      <font>
        <color rgb="FFFF0000"/>
      </font>
    </dxf>
    <dxf>
      <font>
        <color theme="0"/>
      </font>
      <fill>
        <patternFill patternType="none">
          <bgColor auto="1"/>
        </patternFill>
      </fill>
      <border>
        <left/>
        <right/>
        <top/>
        <bottom/>
        <vertical/>
        <horizontal/>
      </border>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ill>
        <patternFill>
          <bgColor theme="5" tint="0.79998168889431442"/>
        </patternFill>
      </fill>
    </dxf>
    <dxf>
      <numFmt numFmtId="169" formatCode="0.000"/>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ill>
        <patternFill>
          <bgColor theme="5" tint="0.79998168889431442"/>
        </patternFill>
      </fill>
    </dxf>
    <dxf>
      <numFmt numFmtId="169" formatCode="0.000"/>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color rgb="FFFF0000"/>
      </font>
    </dxf>
    <dxf>
      <font>
        <color rgb="FFFF0000"/>
      </font>
    </dxf>
    <dxf>
      <font>
        <color rgb="FFFF0000"/>
      </font>
    </dxf>
    <dxf>
      <font>
        <color rgb="FFFF0000"/>
      </font>
    </dxf>
    <dxf>
      <font>
        <color rgb="FFFF0000"/>
      </font>
    </dxf>
    <dxf>
      <font>
        <color theme="0"/>
      </font>
      <border>
        <left/>
        <right/>
        <top/>
        <bottom/>
      </border>
    </dxf>
    <dxf>
      <font>
        <color theme="0"/>
      </font>
      <border>
        <left/>
        <right/>
        <top/>
        <bottom/>
      </border>
    </dxf>
    <dxf>
      <font>
        <color theme="0"/>
      </font>
    </dxf>
    <dxf>
      <font>
        <color theme="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patternType="lightUp"/>
      </fill>
    </dxf>
    <dxf>
      <fill>
        <patternFill>
          <bgColor rgb="FFFF0000"/>
        </patternFill>
      </fill>
    </dxf>
    <dxf>
      <fill>
        <patternFill patternType="lightUp">
          <fgColor theme="0" tint="-0.499984740745262"/>
        </patternFill>
      </fill>
    </dxf>
    <dxf>
      <fill>
        <patternFill>
          <bgColor rgb="FFFF0000"/>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fill>
        <patternFill patternType="none">
          <fgColor indexed="64"/>
          <bgColor indexed="65"/>
        </patternFill>
      </fill>
    </dxf>
    <dxf>
      <numFmt numFmtId="0" formatCode="Genera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0" formatCode="@"/>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0" formatCode="General"/>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none"/>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167" formatCode="&quot;$&quot;#,##0.00"/>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rgb="FFFF0000"/>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patternType="none">
          <fgColor indexed="64"/>
          <bgColor auto="1"/>
        </patternFill>
      </fill>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9" formatCode="m/d/yyyy"/>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outline val="0"/>
        <shadow val="0"/>
        <u val="none"/>
        <vertAlign val="baseline"/>
        <sz val="11"/>
        <color theme="1"/>
        <name val="Calibri"/>
        <family val="2"/>
        <scheme val="none"/>
      </font>
      <numFmt numFmtId="167" formatCode="&quot;$&quot;#,##0.00"/>
    </dxf>
    <dxf>
      <numFmt numFmtId="167" formatCode="&quot;$&quot;#,##0.00"/>
    </dxf>
    <dxf>
      <numFmt numFmtId="167" formatCode="&quot;$&quot;#,##0.00"/>
    </dxf>
    <dxf>
      <numFmt numFmtId="167" formatCode="&quot;$&quot;#,##0.0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dxf>
    <dxf>
      <fill>
        <patternFill patternType="none">
          <fgColor indexed="64"/>
          <bgColor auto="1"/>
        </patternFill>
      </fill>
    </dxf>
    <dxf>
      <numFmt numFmtId="2" formatCode="0.00"/>
    </dxf>
    <dxf>
      <numFmt numFmtId="2" formatCode="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0" formatCode="General"/>
      <alignment horizontal="lef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color auto="1"/>
      </font>
      <numFmt numFmtId="0" formatCode="General"/>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FFFF0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font>
      <numFmt numFmtId="167" formatCode="&quot;$&quot;#,##0.00"/>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font>
      <numFmt numFmtId="167" formatCode="&quot;$&quot;#,##0.00"/>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font>
      <numFmt numFmtId="0" formatCode="General"/>
      <fill>
        <patternFill patternType="none">
          <fgColor indexed="64"/>
          <bgColor auto="1"/>
        </patternFill>
      </fill>
      <alignment vertical="bottom" textRotation="0" wrapText="0" indent="0" justifyLastLine="0" shrinkToFit="0" readingOrder="0"/>
    </dxf>
    <dxf>
      <font>
        <b val="0"/>
        <color auto="1"/>
      </font>
      <numFmt numFmtId="0" formatCode="General"/>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76" formatCode="0.0"/>
    </dxf>
    <dxf>
      <font>
        <b val="0"/>
        <color auto="1"/>
      </font>
      <numFmt numFmtId="176" formatCode="0.0"/>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dxf>
    <dxf>
      <font>
        <b val="0"/>
        <strike val="0"/>
        <outline val="0"/>
        <shadow val="0"/>
        <u val="none"/>
        <vertAlign val="baseline"/>
        <sz val="11"/>
        <color auto="1"/>
        <name val="Calibri"/>
        <family val="2"/>
        <scheme val="minor"/>
      </font>
      <numFmt numFmtId="0" formatCode="General"/>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alignment horizontal="center" vertical="bottom" textRotation="0" wrapText="0" indent="0" justifyLastLine="0" shrinkToFit="0" readingOrder="0"/>
    </dxf>
    <dxf>
      <font>
        <b val="0"/>
      </font>
      <numFmt numFmtId="1" formatCode="0"/>
      <fill>
        <patternFill patternType="none">
          <fgColor indexed="64"/>
          <bgColor auto="1"/>
        </patternFill>
      </fill>
      <alignment horizontal="center" textRotation="0" wrapText="0" indent="0" justifyLastLine="0" shrinkToFit="0" readingOrder="0"/>
    </dxf>
    <dxf>
      <font>
        <b val="0"/>
      </font>
      <numFmt numFmtId="19" formatCode="m/d/yyyy"/>
      <fill>
        <patternFill patternType="none">
          <fgColor indexed="64"/>
          <bgColor auto="1"/>
        </patternFill>
      </fill>
      <alignment horizontal="general" vertical="bottom" textRotation="0" wrapText="0" indent="0" justifyLastLine="0" shrinkToFit="0" readingOrder="0"/>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dxf>
    <dxf>
      <font>
        <b val="0"/>
      </font>
      <numFmt numFmtId="167" formatCode="&quot;$&quot;#,##0.00"/>
      <fill>
        <patternFill patternType="none">
          <fgColor indexed="64"/>
          <bgColor auto="1"/>
        </patternFill>
      </fill>
    </dxf>
    <dxf>
      <font>
        <b val="0"/>
      </font>
      <numFmt numFmtId="167" formatCode="&quot;$&quot;#,##0.00"/>
      <fill>
        <patternFill patternType="none">
          <fgColor indexed="64"/>
          <bgColor auto="1"/>
        </patternFill>
      </fill>
    </dxf>
    <dxf>
      <numFmt numFmtId="167" formatCode="&quot;$&quot;#,##0.00"/>
    </dxf>
    <dxf>
      <font>
        <b val="0"/>
      </font>
      <numFmt numFmtId="167" formatCode="&quot;$&quot;#,##0.00"/>
      <fill>
        <patternFill patternType="none">
          <fgColor indexed="64"/>
          <bgColor auto="1"/>
        </patternFill>
      </fill>
    </dxf>
    <dxf>
      <font>
        <b val="0"/>
      </font>
      <numFmt numFmtId="0" formatCode="General"/>
      <fill>
        <patternFill patternType="none">
          <fgColor indexed="64"/>
          <bgColor auto="1"/>
        </patternFill>
      </fill>
    </dxf>
    <dxf>
      <font>
        <b val="0"/>
        <color rgb="FF000000"/>
      </font>
      <numFmt numFmtId="0" formatCode="General"/>
      <fill>
        <patternFill patternType="none">
          <fgColor indexed="64"/>
          <bgColor auto="1"/>
        </patternFill>
      </fill>
      <alignment horizontal="general" vertical="center" textRotation="0" wrapText="0" indent="0" justifyLastLine="0" shrinkToFit="0" readingOrder="0"/>
    </dxf>
    <dxf>
      <font>
        <b val="0"/>
      </font>
      <numFmt numFmtId="0" formatCode="General"/>
      <fill>
        <patternFill patternType="none">
          <fgColor indexed="64"/>
          <bgColor auto="1"/>
        </patternFill>
      </fill>
    </dxf>
    <dxf>
      <font>
        <b val="0"/>
        <i val="0"/>
      </font>
      <fill>
        <patternFill patternType="none">
          <fgColor indexed="64"/>
          <bgColor auto="1"/>
        </patternFill>
      </fill>
    </dxf>
    <dxf>
      <numFmt numFmtId="176" formatCode="0.0"/>
    </dxf>
    <dxf>
      <font>
        <b val="0"/>
      </font>
      <numFmt numFmtId="176" formatCode="0.0"/>
      <fill>
        <patternFill patternType="none">
          <fgColor indexed="64"/>
          <bgColor auto="1"/>
        </patternFill>
      </fill>
    </dxf>
    <dxf>
      <font>
        <b val="0"/>
      </font>
      <fill>
        <patternFill patternType="none">
          <fgColor indexed="64"/>
          <bgColor auto="1"/>
        </patternFill>
      </fill>
    </dxf>
    <dxf>
      <font>
        <b val="0"/>
        <outline val="0"/>
        <shadow val="0"/>
        <u val="none"/>
        <vertAlign val="baseline"/>
        <sz val="11"/>
        <color auto="1"/>
        <name val="Calibri"/>
        <family val="2"/>
      </font>
      <numFmt numFmtId="0" formatCode="General"/>
      <fill>
        <patternFill patternType="none">
          <fgColor indexed="64"/>
          <bgColor auto="1"/>
        </patternFill>
      </fill>
    </dxf>
    <dxf>
      <border outline="0">
        <top style="thin">
          <color indexed="64"/>
        </top>
      </border>
    </dxf>
    <dxf>
      <border outline="0">
        <right style="thin">
          <color indexed="64"/>
        </right>
        <bottom style="thin">
          <color indexed="64"/>
        </bottom>
      </border>
    </dxf>
    <dxf>
      <font>
        <b val="0"/>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30" formatCode="@"/>
      <fill>
        <patternFill patternType="none">
          <fgColor indexed="64"/>
          <bgColor auto="1"/>
        </patternFill>
      </fill>
    </dxf>
    <dxf>
      <numFmt numFmtId="30" formatCode="@"/>
      <fill>
        <patternFill patternType="none">
          <fgColor indexed="64"/>
          <bgColor auto="1"/>
        </patternFill>
      </fill>
      <alignment horizontal="general" vertical="bottom" textRotation="0" wrapText="0" indent="0" justifyLastLine="0" shrinkToFit="0" readingOrder="0"/>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169" formatCode="0.000"/>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numFmt numFmtId="169" formatCode="0.000"/>
      <fill>
        <patternFill patternType="none">
          <fgColor indexed="64"/>
          <bgColor auto="1"/>
        </patternFill>
      </fill>
    </dxf>
    <dxf>
      <numFmt numFmtId="169" formatCode="0.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strike val="0"/>
        <outline val="0"/>
        <shadow val="0"/>
        <u val="none"/>
        <vertAlign val="baseline"/>
        <sz val="11"/>
        <color theme="0"/>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0"/>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0"/>
        <name val="Calibri"/>
        <family val="2"/>
        <scheme val="none"/>
      </font>
      <fill>
        <patternFill patternType="none">
          <fgColor indexed="64"/>
          <bgColor auto="1"/>
        </patternFill>
      </fill>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6" formatCode="00000"/>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67" formatCode="&quot;$&quot;#,##0.00"/>
      <alignment horizontal="right" vertical="center" textRotation="0" wrapText="0" indent="0" justifyLastLine="0" shrinkToFit="0" readingOrder="0"/>
    </dxf>
    <dxf>
      <numFmt numFmtId="167" formatCode="&quot;$&quot;#,##0.00"/>
      <fill>
        <patternFill patternType="none">
          <fgColor indexed="64"/>
          <bgColor auto="1"/>
        </patternFill>
      </fill>
    </dxf>
    <dxf>
      <numFmt numFmtId="174" formatCode="0.0000000000"/>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2" formatCode="0.00"/>
    </dxf>
    <dxf>
      <numFmt numFmtId="2" formatCode="0.00"/>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818"/>
      <tableStyleElement type="headerRow" dxfId="817"/>
    </tableStyle>
  </tableStyles>
  <colors>
    <mruColors>
      <color rgb="FF384A5D"/>
      <color rgb="FF465188"/>
      <color rgb="FF76BB40"/>
      <color rgb="FFBAA785"/>
      <color rgb="FF5137FF"/>
      <color rgb="FFD9D9D9"/>
      <color rgb="FFFFFFCC"/>
      <color rgb="FFE8722D"/>
      <color rgb="FFACB1BA"/>
      <color rgb="FF317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DATA TABLES'!$J$12" lockText="1" noThreeD="1"/>
</file>

<file path=xl/ctrlProps/ctrlProp2.xml><?xml version="1.0" encoding="utf-8"?>
<formControlPr xmlns="http://schemas.microsoft.com/office/spreadsheetml/2009/9/main" objectType="CheckBox" fmlaLink="PayeeCh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18" Type="http://schemas.openxmlformats.org/officeDocument/2006/relationships/image" Target="../media/image13.png"/><Relationship Id="rId3" Type="http://schemas.openxmlformats.org/officeDocument/2006/relationships/hyperlink" Target="#Excel_Ack_Compl_Main"/><Relationship Id="rId7" Type="http://schemas.openxmlformats.org/officeDocument/2006/relationships/image" Target="../media/image2.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hyperlink" Target="#Excel_Ack_Contact_Main"/><Relationship Id="rId16" Type="http://schemas.openxmlformats.org/officeDocument/2006/relationships/image" Target="../media/image11.png"/><Relationship Id="rId1" Type="http://schemas.openxmlformats.org/officeDocument/2006/relationships/hyperlink" Target="#'M01-S02'!A1"/><Relationship Id="rId6" Type="http://schemas.openxmlformats.org/officeDocument/2006/relationships/image" Target="../media/image1.png"/><Relationship Id="rId11" Type="http://schemas.openxmlformats.org/officeDocument/2006/relationships/image" Target="../media/image6.png"/><Relationship Id="rId5" Type="http://schemas.openxmlformats.org/officeDocument/2006/relationships/hyperlink" Target="#'M01-S01'!A1"/><Relationship Id="rId15" Type="http://schemas.openxmlformats.org/officeDocument/2006/relationships/image" Target="../media/image10.svg"/><Relationship Id="rId10" Type="http://schemas.openxmlformats.org/officeDocument/2006/relationships/image" Target="../media/image5.png"/><Relationship Id="rId4" Type="http://schemas.openxmlformats.org/officeDocument/2006/relationships/hyperlink" Target="#Excel_Ack_Offer_Main"/><Relationship Id="rId9" Type="http://schemas.openxmlformats.org/officeDocument/2006/relationships/image" Target="../media/image4.png"/><Relationship Id="rId14"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hyperlink" Target="#'M03-S08'!C18"/><Relationship Id="rId13" Type="http://schemas.openxmlformats.org/officeDocument/2006/relationships/image" Target="../media/image22.png"/><Relationship Id="rId18" Type="http://schemas.openxmlformats.org/officeDocument/2006/relationships/hyperlink" Target="#M05S02HIDE"/><Relationship Id="rId26" Type="http://schemas.openxmlformats.org/officeDocument/2006/relationships/hyperlink" Target="#Excel_Ack_Compl_Main"/><Relationship Id="rId3" Type="http://schemas.openxmlformats.org/officeDocument/2006/relationships/image" Target="../media/image24.png"/><Relationship Id="rId21" Type="http://schemas.openxmlformats.org/officeDocument/2006/relationships/hyperlink" Target="#M02S04F03"/><Relationship Id="rId7" Type="http://schemas.openxmlformats.org/officeDocument/2006/relationships/image" Target="../media/image18.png"/><Relationship Id="rId12" Type="http://schemas.openxmlformats.org/officeDocument/2006/relationships/hyperlink" Target="#'M03-S03'!C18"/><Relationship Id="rId17" Type="http://schemas.openxmlformats.org/officeDocument/2006/relationships/image" Target="../media/image23.png"/><Relationship Id="rId25" Type="http://schemas.openxmlformats.org/officeDocument/2006/relationships/hyperlink" Target="#Excel_Ack_Contact_Main"/><Relationship Id="rId2" Type="http://schemas.openxmlformats.org/officeDocument/2006/relationships/hyperlink" Target="#'M03-S01'!A1"/><Relationship Id="rId16" Type="http://schemas.openxmlformats.org/officeDocument/2006/relationships/hyperlink" Target="#'M04-S10'!A1"/><Relationship Id="rId20" Type="http://schemas.openxmlformats.org/officeDocument/2006/relationships/hyperlink" Target="#'M03-S01'!H6"/><Relationship Id="rId29" Type="http://schemas.openxmlformats.org/officeDocument/2006/relationships/hyperlink" Target="#'M01-S01'!A1"/><Relationship Id="rId1" Type="http://schemas.openxmlformats.org/officeDocument/2006/relationships/hyperlink" Target="#'M03-S02'!A1"/><Relationship Id="rId6" Type="http://schemas.openxmlformats.org/officeDocument/2006/relationships/hyperlink" Target="#'M03-S06'!C18"/><Relationship Id="rId11" Type="http://schemas.openxmlformats.org/officeDocument/2006/relationships/image" Target="../media/image21.png"/><Relationship Id="rId24" Type="http://schemas.openxmlformats.org/officeDocument/2006/relationships/hyperlink" Target="#M02S01F01"/><Relationship Id="rId5" Type="http://schemas.openxmlformats.org/officeDocument/2006/relationships/image" Target="../media/image17.png"/><Relationship Id="rId15" Type="http://schemas.openxmlformats.org/officeDocument/2006/relationships/image" Target="../media/image20.png"/><Relationship Id="rId23" Type="http://schemas.openxmlformats.org/officeDocument/2006/relationships/hyperlink" Target="#M02S02F01"/><Relationship Id="rId28" Type="http://schemas.openxmlformats.org/officeDocument/2006/relationships/hyperlink" Target="#'M01-S02'!A1"/><Relationship Id="rId10" Type="http://schemas.openxmlformats.org/officeDocument/2006/relationships/hyperlink" Target="#'M03-S04'!C18"/><Relationship Id="rId19" Type="http://schemas.openxmlformats.org/officeDocument/2006/relationships/hyperlink" Target="#M05S01F01"/><Relationship Id="rId4" Type="http://schemas.openxmlformats.org/officeDocument/2006/relationships/hyperlink" Target="#'M03-S07'!C18"/><Relationship Id="rId9" Type="http://schemas.openxmlformats.org/officeDocument/2006/relationships/image" Target="../media/image19.png"/><Relationship Id="rId14" Type="http://schemas.openxmlformats.org/officeDocument/2006/relationships/hyperlink" Target="#'M04-S13'!A1"/><Relationship Id="rId22" Type="http://schemas.openxmlformats.org/officeDocument/2006/relationships/hyperlink" Target="#M02S03F01"/><Relationship Id="rId27" Type="http://schemas.openxmlformats.org/officeDocument/2006/relationships/hyperlink" Target="#Excel_Ack_Offer_Main"/><Relationship Id="rId30"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hyperlink" Target="#'M04-S04'!A1"/><Relationship Id="rId18" Type="http://schemas.openxmlformats.org/officeDocument/2006/relationships/image" Target="../media/image23.png"/><Relationship Id="rId26" Type="http://schemas.openxmlformats.org/officeDocument/2006/relationships/hyperlink" Target="#Excel_Ack_Contact_Main"/><Relationship Id="rId3" Type="http://schemas.openxmlformats.org/officeDocument/2006/relationships/hyperlink" Target="#'M04-S09'!A1"/><Relationship Id="rId21" Type="http://schemas.openxmlformats.org/officeDocument/2006/relationships/hyperlink" Target="#'M03-S01'!H6"/><Relationship Id="rId7" Type="http://schemas.openxmlformats.org/officeDocument/2006/relationships/hyperlink" Target="#'M04-S06'!A1"/><Relationship Id="rId12" Type="http://schemas.openxmlformats.org/officeDocument/2006/relationships/image" Target="../media/image20.png"/><Relationship Id="rId17" Type="http://schemas.openxmlformats.org/officeDocument/2006/relationships/hyperlink" Target="#'M04-S02'!A1"/><Relationship Id="rId25" Type="http://schemas.openxmlformats.org/officeDocument/2006/relationships/hyperlink" Target="#M02S01F01"/><Relationship Id="rId2" Type="http://schemas.openxmlformats.org/officeDocument/2006/relationships/hyperlink" Target="#'M03-S01'!A1"/><Relationship Id="rId16" Type="http://schemas.openxmlformats.org/officeDocument/2006/relationships/image" Target="../media/image22.png"/><Relationship Id="rId20" Type="http://schemas.openxmlformats.org/officeDocument/2006/relationships/hyperlink" Target="#M05S01F01"/><Relationship Id="rId29" Type="http://schemas.openxmlformats.org/officeDocument/2006/relationships/hyperlink" Target="#'M01-S02'!A1"/><Relationship Id="rId1" Type="http://schemas.openxmlformats.org/officeDocument/2006/relationships/hyperlink" Target="#'M03-S02'!A1"/><Relationship Id="rId6" Type="http://schemas.openxmlformats.org/officeDocument/2006/relationships/image" Target="../media/image17.png"/><Relationship Id="rId11" Type="http://schemas.openxmlformats.org/officeDocument/2006/relationships/hyperlink" Target="#'M04-S05'!A1"/><Relationship Id="rId24" Type="http://schemas.openxmlformats.org/officeDocument/2006/relationships/hyperlink" Target="#M02S02F01"/><Relationship Id="rId5" Type="http://schemas.openxmlformats.org/officeDocument/2006/relationships/hyperlink" Target="#'M04-S07'!A1"/><Relationship Id="rId15" Type="http://schemas.openxmlformats.org/officeDocument/2006/relationships/hyperlink" Target="#'M04-S03'!A1"/><Relationship Id="rId23" Type="http://schemas.openxmlformats.org/officeDocument/2006/relationships/hyperlink" Target="#M02S03F01"/><Relationship Id="rId28" Type="http://schemas.openxmlformats.org/officeDocument/2006/relationships/hyperlink" Target="#Excel_Ack_Offer_Main"/><Relationship Id="rId10" Type="http://schemas.openxmlformats.org/officeDocument/2006/relationships/image" Target="../media/image19.png"/><Relationship Id="rId19" Type="http://schemas.openxmlformats.org/officeDocument/2006/relationships/hyperlink" Target="#M05S02HIDE"/><Relationship Id="rId31" Type="http://schemas.openxmlformats.org/officeDocument/2006/relationships/image" Target="../media/image1.png"/><Relationship Id="rId4" Type="http://schemas.openxmlformats.org/officeDocument/2006/relationships/image" Target="../media/image24.png"/><Relationship Id="rId9" Type="http://schemas.openxmlformats.org/officeDocument/2006/relationships/hyperlink" Target="#'M04-S08'!A1"/><Relationship Id="rId14" Type="http://schemas.openxmlformats.org/officeDocument/2006/relationships/image" Target="../media/image21.png"/><Relationship Id="rId22" Type="http://schemas.openxmlformats.org/officeDocument/2006/relationships/hyperlink" Target="#M02S04F03"/><Relationship Id="rId27" Type="http://schemas.openxmlformats.org/officeDocument/2006/relationships/hyperlink" Target="#Excel_Ack_Compl_Main"/><Relationship Id="rId30" Type="http://schemas.openxmlformats.org/officeDocument/2006/relationships/hyperlink" Target="#'M01-S01'!A1"/></Relationships>
</file>

<file path=xl/drawings/_rels/drawing12.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2'!A1"/><Relationship Id="rId21" Type="http://schemas.openxmlformats.org/officeDocument/2006/relationships/hyperlink" Target="#'M01-S01'!A1"/><Relationship Id="rId7" Type="http://schemas.openxmlformats.org/officeDocument/2006/relationships/hyperlink" Target="#'M03-S04'!A1"/><Relationship Id="rId12" Type="http://schemas.openxmlformats.org/officeDocument/2006/relationships/hyperlink" Target="#M05S01F01"/><Relationship Id="rId17" Type="http://schemas.openxmlformats.org/officeDocument/2006/relationships/hyperlink" Target="#Excel_Ack_Contact_Main"/><Relationship Id="rId2" Type="http://schemas.openxmlformats.org/officeDocument/2006/relationships/hyperlink" Target="#'M04-S10'!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2'!A1"/><Relationship Id="rId6" Type="http://schemas.openxmlformats.org/officeDocument/2006/relationships/hyperlink" Target="#'M03-S03'!A1"/><Relationship Id="rId11" Type="http://schemas.openxmlformats.org/officeDocument/2006/relationships/hyperlink" Target="#M05S02HIDE"/><Relationship Id="rId5" Type="http://schemas.openxmlformats.org/officeDocument/2006/relationships/hyperlink" Target="#'M03-S03'!C18"/><Relationship Id="rId15" Type="http://schemas.openxmlformats.org/officeDocument/2006/relationships/hyperlink" Target="#M02S02F01"/><Relationship Id="rId10" Type="http://schemas.openxmlformats.org/officeDocument/2006/relationships/hyperlink" Target="#'M03-S07'!A1"/><Relationship Id="rId19" Type="http://schemas.openxmlformats.org/officeDocument/2006/relationships/hyperlink" Target="#Excel_Ack_Offer_Main"/><Relationship Id="rId4" Type="http://schemas.openxmlformats.org/officeDocument/2006/relationships/hyperlink" Target="#'M03-S01'!H6"/><Relationship Id="rId9" Type="http://schemas.openxmlformats.org/officeDocument/2006/relationships/hyperlink" Target="#'M03-S06'!A1"/><Relationship Id="rId14" Type="http://schemas.openxmlformats.org/officeDocument/2006/relationships/hyperlink" Target="#M02S03F01"/><Relationship Id="rId22"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2'!C18"/><Relationship Id="rId21" Type="http://schemas.openxmlformats.org/officeDocument/2006/relationships/hyperlink" Target="#'M01-S01'!A1"/><Relationship Id="rId7" Type="http://schemas.openxmlformats.org/officeDocument/2006/relationships/hyperlink" Target="#'M03-S08'!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3'!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3'!A1"/><Relationship Id="rId6" Type="http://schemas.openxmlformats.org/officeDocument/2006/relationships/hyperlink" Target="#'M03-S04'!A1"/><Relationship Id="rId11" Type="http://schemas.openxmlformats.org/officeDocument/2006/relationships/hyperlink" Target="#M05S01F01"/><Relationship Id="rId5" Type="http://schemas.openxmlformats.org/officeDocument/2006/relationships/hyperlink" Target="#'M03-S02'!A1"/><Relationship Id="rId15" Type="http://schemas.openxmlformats.org/officeDocument/2006/relationships/hyperlink" Target="#M02S02F01"/><Relationship Id="rId10" Type="http://schemas.openxmlformats.org/officeDocument/2006/relationships/hyperlink" Target="#M05S02HIDE"/><Relationship Id="rId19" Type="http://schemas.openxmlformats.org/officeDocument/2006/relationships/hyperlink" Target="#Excel_Ack_Offer_Main"/><Relationship Id="rId4" Type="http://schemas.openxmlformats.org/officeDocument/2006/relationships/hyperlink" Target="#'M03-S04'!C18"/><Relationship Id="rId9" Type="http://schemas.openxmlformats.org/officeDocument/2006/relationships/hyperlink" Target="#'M03-S07'!A1"/><Relationship Id="rId14" Type="http://schemas.openxmlformats.org/officeDocument/2006/relationships/hyperlink" Target="#M02S03F01"/><Relationship Id="rId22"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2S03F01"/><Relationship Id="rId18" Type="http://schemas.openxmlformats.org/officeDocument/2006/relationships/hyperlink" Target="#Excel_Ack_Offer_Main"/><Relationship Id="rId3" Type="http://schemas.openxmlformats.org/officeDocument/2006/relationships/hyperlink" Target="#'M03-S03'!C18"/><Relationship Id="rId21" Type="http://schemas.openxmlformats.org/officeDocument/2006/relationships/image" Target="../media/image1.png"/><Relationship Id="rId7" Type="http://schemas.openxmlformats.org/officeDocument/2006/relationships/hyperlink" Target="#'M03-S06'!A1"/><Relationship Id="rId12" Type="http://schemas.openxmlformats.org/officeDocument/2006/relationships/hyperlink" Target="#M02S04F03"/><Relationship Id="rId17" Type="http://schemas.openxmlformats.org/officeDocument/2006/relationships/hyperlink" Target="#Excel_Ack_Compl_Main"/><Relationship Id="rId2" Type="http://schemas.openxmlformats.org/officeDocument/2006/relationships/hyperlink" Target="#'M03-S04'!A1"/><Relationship Id="rId16" Type="http://schemas.openxmlformats.org/officeDocument/2006/relationships/hyperlink" Target="#Excel_Ack_Contact_Main"/><Relationship Id="rId20" Type="http://schemas.openxmlformats.org/officeDocument/2006/relationships/hyperlink" Target="#'M01-S01'!A1"/><Relationship Id="rId1" Type="http://schemas.openxmlformats.org/officeDocument/2006/relationships/hyperlink" Target="#'M04-S04'!A1"/><Relationship Id="rId6" Type="http://schemas.openxmlformats.org/officeDocument/2006/relationships/hyperlink" Target="#'M03-S03'!A1"/><Relationship Id="rId11" Type="http://schemas.openxmlformats.org/officeDocument/2006/relationships/hyperlink" Target="#'M03-S01'!H6"/><Relationship Id="rId5" Type="http://schemas.openxmlformats.org/officeDocument/2006/relationships/hyperlink" Target="#'M03-S02'!A1"/><Relationship Id="rId15" Type="http://schemas.openxmlformats.org/officeDocument/2006/relationships/hyperlink" Target="#M02S01F01"/><Relationship Id="rId10" Type="http://schemas.openxmlformats.org/officeDocument/2006/relationships/hyperlink" Target="#M05S01F01"/><Relationship Id="rId19" Type="http://schemas.openxmlformats.org/officeDocument/2006/relationships/hyperlink" Target="#'M01-S02'!A1"/><Relationship Id="rId4" Type="http://schemas.openxmlformats.org/officeDocument/2006/relationships/hyperlink" Target="#'M03-S08'!A1"/><Relationship Id="rId9" Type="http://schemas.openxmlformats.org/officeDocument/2006/relationships/hyperlink" Target="#M05S02HIDE"/><Relationship Id="rId14" Type="http://schemas.openxmlformats.org/officeDocument/2006/relationships/hyperlink" Target="#M02S02F01"/></Relationships>
</file>

<file path=xl/drawings/_rels/drawing15.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5'!C18"/><Relationship Id="rId21" Type="http://schemas.openxmlformats.org/officeDocument/2006/relationships/hyperlink" Target="#Excel_Ack_Compl_Main"/><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1.png"/><Relationship Id="rId2" Type="http://schemas.openxmlformats.org/officeDocument/2006/relationships/hyperlink" Target="#'M03-S08'!C18"/><Relationship Id="rId16" Type="http://schemas.openxmlformats.org/officeDocument/2006/relationships/hyperlink" Target="#M02S04F03"/><Relationship Id="rId20" Type="http://schemas.openxmlformats.org/officeDocument/2006/relationships/hyperlink" Target="#Excel_Ack_Contact_Main"/><Relationship Id="rId1" Type="http://schemas.openxmlformats.org/officeDocument/2006/relationships/hyperlink" Target="#'M03-S04'!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5'!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Excel_Ack_Offer_Main"/></Relationships>
</file>

<file path=xl/drawings/_rels/drawing16.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2S03F01"/><Relationship Id="rId18" Type="http://schemas.openxmlformats.org/officeDocument/2006/relationships/hyperlink" Target="#Excel_Ack_Offer_Main"/><Relationship Id="rId3" Type="http://schemas.openxmlformats.org/officeDocument/2006/relationships/hyperlink" Target="#'M03-S04'!A1"/><Relationship Id="rId21" Type="http://schemas.openxmlformats.org/officeDocument/2006/relationships/image" Target="../media/image1.png"/><Relationship Id="rId7" Type="http://schemas.openxmlformats.org/officeDocument/2006/relationships/hyperlink" Target="#'M03-S06'!A1"/><Relationship Id="rId12" Type="http://schemas.openxmlformats.org/officeDocument/2006/relationships/hyperlink" Target="#M02S04F03"/><Relationship Id="rId17" Type="http://schemas.openxmlformats.org/officeDocument/2006/relationships/hyperlink" Target="#Excel_Ack_Compl_Main"/><Relationship Id="rId2" Type="http://schemas.openxmlformats.org/officeDocument/2006/relationships/hyperlink" Target="#'M03-S08'!A1"/><Relationship Id="rId16" Type="http://schemas.openxmlformats.org/officeDocument/2006/relationships/hyperlink" Target="#Excel_Ack_Contact_Main"/><Relationship Id="rId20" Type="http://schemas.openxmlformats.org/officeDocument/2006/relationships/hyperlink" Target="#'M01-S01'!A1"/><Relationship Id="rId1" Type="http://schemas.openxmlformats.org/officeDocument/2006/relationships/hyperlink" Target="#'M04-S08'!A1"/><Relationship Id="rId6" Type="http://schemas.openxmlformats.org/officeDocument/2006/relationships/hyperlink" Target="#'M03-S03'!A1"/><Relationship Id="rId11" Type="http://schemas.openxmlformats.org/officeDocument/2006/relationships/hyperlink" Target="#'M03-S01'!H6"/><Relationship Id="rId5" Type="http://schemas.openxmlformats.org/officeDocument/2006/relationships/hyperlink" Target="#'M03-S02'!A1"/><Relationship Id="rId15" Type="http://schemas.openxmlformats.org/officeDocument/2006/relationships/hyperlink" Target="#M02S01F01"/><Relationship Id="rId10" Type="http://schemas.openxmlformats.org/officeDocument/2006/relationships/hyperlink" Target="#M05S01F01"/><Relationship Id="rId19" Type="http://schemas.openxmlformats.org/officeDocument/2006/relationships/hyperlink" Target="#'M01-S02'!A1"/><Relationship Id="rId4" Type="http://schemas.openxmlformats.org/officeDocument/2006/relationships/hyperlink" Target="#'M03-S06'!C18"/><Relationship Id="rId9" Type="http://schemas.openxmlformats.org/officeDocument/2006/relationships/hyperlink" Target="#M05S02HIDE"/><Relationship Id="rId14" Type="http://schemas.openxmlformats.org/officeDocument/2006/relationships/hyperlink" Target="#M02S02F01"/></Relationships>
</file>

<file path=xl/drawings/_rels/drawing17.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8'!C18"/><Relationship Id="rId21" Type="http://schemas.openxmlformats.org/officeDocument/2006/relationships/hyperlink" Target="#'M01-S01'!A1"/><Relationship Id="rId7" Type="http://schemas.openxmlformats.org/officeDocument/2006/relationships/hyperlink" Target="#'M03-S04'!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6'!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6'!A1"/><Relationship Id="rId6" Type="http://schemas.openxmlformats.org/officeDocument/2006/relationships/hyperlink" Target="#'M03-S03'!A1"/><Relationship Id="rId11" Type="http://schemas.openxmlformats.org/officeDocument/2006/relationships/hyperlink" Target="#M05S01F01"/><Relationship Id="rId5" Type="http://schemas.openxmlformats.org/officeDocument/2006/relationships/hyperlink" Target="#'M03-S02'!A1"/><Relationship Id="rId15" Type="http://schemas.openxmlformats.org/officeDocument/2006/relationships/hyperlink" Target="#M02S02F01"/><Relationship Id="rId10" Type="http://schemas.openxmlformats.org/officeDocument/2006/relationships/hyperlink" Target="#M05S02HIDE"/><Relationship Id="rId19" Type="http://schemas.openxmlformats.org/officeDocument/2006/relationships/hyperlink" Target="#Excel_Ack_Offer_Main"/><Relationship Id="rId4" Type="http://schemas.openxmlformats.org/officeDocument/2006/relationships/hyperlink" Target="#'M03-S07'!C18"/><Relationship Id="rId9" Type="http://schemas.openxmlformats.org/officeDocument/2006/relationships/hyperlink" Target="#'M03-S07'!A1"/><Relationship Id="rId14" Type="http://schemas.openxmlformats.org/officeDocument/2006/relationships/hyperlink" Target="#M02S03F01"/><Relationship Id="rId22"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6'!C18"/><Relationship Id="rId21" Type="http://schemas.openxmlformats.org/officeDocument/2006/relationships/hyperlink" Target="#'M01-S01'!A1"/><Relationship Id="rId7" Type="http://schemas.openxmlformats.org/officeDocument/2006/relationships/hyperlink" Target="#'M03-S04'!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7'!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7'!A1"/><Relationship Id="rId6" Type="http://schemas.openxmlformats.org/officeDocument/2006/relationships/hyperlink" Target="#'M03-S03'!A1"/><Relationship Id="rId11" Type="http://schemas.openxmlformats.org/officeDocument/2006/relationships/hyperlink" Target="#M05S01F01"/><Relationship Id="rId5" Type="http://schemas.openxmlformats.org/officeDocument/2006/relationships/hyperlink" Target="#'M03-S02'!A1"/><Relationship Id="rId15" Type="http://schemas.openxmlformats.org/officeDocument/2006/relationships/hyperlink" Target="#M02S02F01"/><Relationship Id="rId10" Type="http://schemas.openxmlformats.org/officeDocument/2006/relationships/hyperlink" Target="#M05S02HIDE"/><Relationship Id="rId19" Type="http://schemas.openxmlformats.org/officeDocument/2006/relationships/hyperlink" Target="#Excel_Ack_Offer_Main"/><Relationship Id="rId4" Type="http://schemas.openxmlformats.org/officeDocument/2006/relationships/hyperlink" Target="#'M04-S09'!C18"/><Relationship Id="rId9" Type="http://schemas.openxmlformats.org/officeDocument/2006/relationships/hyperlink" Target="#'M03-S06'!A1"/><Relationship Id="rId14" Type="http://schemas.openxmlformats.org/officeDocument/2006/relationships/hyperlink" Target="#M02S03F01"/><Relationship Id="rId22"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hyperlink" Target="#'M04-S05'!A1"/><Relationship Id="rId13" Type="http://schemas.openxmlformats.org/officeDocument/2006/relationships/hyperlink" Target="#M05S02HIDE"/><Relationship Id="rId18" Type="http://schemas.openxmlformats.org/officeDocument/2006/relationships/hyperlink" Target="#M02S01F01"/><Relationship Id="rId3" Type="http://schemas.openxmlformats.org/officeDocument/2006/relationships/hyperlink" Target="#'M03-S02'!A1"/><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4-S09'!A1"/><Relationship Id="rId17" Type="http://schemas.openxmlformats.org/officeDocument/2006/relationships/hyperlink" Target="#M02S02F01"/><Relationship Id="rId2" Type="http://schemas.openxmlformats.org/officeDocument/2006/relationships/hyperlink" Target="#'M04-S10'!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2'!A1"/><Relationship Id="rId6" Type="http://schemas.openxmlformats.org/officeDocument/2006/relationships/hyperlink" Target="#'M04-S03'!A1"/><Relationship Id="rId11" Type="http://schemas.openxmlformats.org/officeDocument/2006/relationships/hyperlink" Target="#'M04-S07'!A1"/><Relationship Id="rId24" Type="http://schemas.openxmlformats.org/officeDocument/2006/relationships/image" Target="../media/image1.png"/><Relationship Id="rId5" Type="http://schemas.openxmlformats.org/officeDocument/2006/relationships/hyperlink" Target="#'M03-S03'!C18"/><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6'!A1"/><Relationship Id="rId19" Type="http://schemas.openxmlformats.org/officeDocument/2006/relationships/hyperlink" Target="#Excel_Ack_Contact_Main"/><Relationship Id="rId4" Type="http://schemas.openxmlformats.org/officeDocument/2006/relationships/hyperlink" Target="#'M03-S01'!H6"/><Relationship Id="rId9" Type="http://schemas.openxmlformats.org/officeDocument/2006/relationships/hyperlink" Target="#'M04-S08'!A1"/><Relationship Id="rId14" Type="http://schemas.openxmlformats.org/officeDocument/2006/relationships/hyperlink" Target="#M05S01F01"/><Relationship Id="rId22" Type="http://schemas.openxmlformats.org/officeDocument/2006/relationships/hyperlink" Target="#'M01-S02'!A1"/></Relationships>
</file>

<file path=xl/drawings/_rels/drawing2.xml.rels><?xml version="1.0" encoding="UTF-8" standalone="yes"?>
<Relationships xmlns="http://schemas.openxmlformats.org/package/2006/relationships"><Relationship Id="rId8" Type="http://schemas.openxmlformats.org/officeDocument/2006/relationships/hyperlink" Target="#'M01-S02'!A1"/><Relationship Id="rId3" Type="http://schemas.openxmlformats.org/officeDocument/2006/relationships/hyperlink" Target="mailto:businessrebates@evergy.com" TargetMode="External"/><Relationship Id="rId7" Type="http://schemas.openxmlformats.org/officeDocument/2006/relationships/hyperlink" Target="#Excel_Ack_Offer_Main"/><Relationship Id="rId2" Type="http://schemas.openxmlformats.org/officeDocument/2006/relationships/image" Target="../media/image14.png"/><Relationship Id="rId1" Type="http://schemas.openxmlformats.org/officeDocument/2006/relationships/hyperlink" Target="#'M01-S01'!A1"/><Relationship Id="rId6" Type="http://schemas.openxmlformats.org/officeDocument/2006/relationships/hyperlink" Target="#Excel_Ack_Compl_Main"/><Relationship Id="rId5" Type="http://schemas.openxmlformats.org/officeDocument/2006/relationships/hyperlink" Target="#Excel_Ack_Contact_Main"/><Relationship Id="rId4" Type="http://schemas.openxmlformats.org/officeDocument/2006/relationships/hyperlink" Target="#Excel_Ack_Main"/><Relationship Id="rId9"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2'!C18"/><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3'!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3'!A1"/><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4'!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1.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3'!C18"/><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4'!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5'!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2.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4'!C18"/><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13'!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5'!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8'!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3.xml.rels><?xml version="1.0" encoding="UTF-8" standalone="yes"?>
<Relationships xmlns="http://schemas.openxmlformats.org/package/2006/relationships"><Relationship Id="rId8" Type="http://schemas.openxmlformats.org/officeDocument/2006/relationships/hyperlink" Target="#'M04-S05'!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5'!C18"/><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8'!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6'!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4.xml.rels><?xml version="1.0" encoding="UTF-8" standalone="yes"?>
<Relationships xmlns="http://schemas.openxmlformats.org/package/2006/relationships"><Relationship Id="rId8" Type="http://schemas.openxmlformats.org/officeDocument/2006/relationships/hyperlink" Target="#'M04-S05'!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8'!C18"/><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6'!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7'!C18"/><Relationship Id="rId9" Type="http://schemas.openxmlformats.org/officeDocument/2006/relationships/hyperlink" Target="#'M04-S08'!A1"/><Relationship Id="rId14" Type="http://schemas.openxmlformats.org/officeDocument/2006/relationships/hyperlink" Target="#'M03-S01'!H6"/><Relationship Id="rId22" Type="http://schemas.openxmlformats.org/officeDocument/2006/relationships/hyperlink" Target="#'M01-S02'!A1"/></Relationships>
</file>

<file path=xl/drawings/_rels/drawing25.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18" Type="http://schemas.openxmlformats.org/officeDocument/2006/relationships/hyperlink" Target="#'M04-S04'!A1"/><Relationship Id="rId3" Type="http://schemas.openxmlformats.org/officeDocument/2006/relationships/hyperlink" Target="#M05S02HIDE"/><Relationship Id="rId21" Type="http://schemas.openxmlformats.org/officeDocument/2006/relationships/hyperlink" Target="#'M04-S06'!A1"/><Relationship Id="rId7" Type="http://schemas.openxmlformats.org/officeDocument/2006/relationships/hyperlink" Target="#M02S03F01"/><Relationship Id="rId12" Type="http://schemas.openxmlformats.org/officeDocument/2006/relationships/hyperlink" Target="#Excel_Ack_Offer_Main"/><Relationship Id="rId17" Type="http://schemas.openxmlformats.org/officeDocument/2006/relationships/hyperlink" Target="#'M04-S03'!A1"/><Relationship Id="rId2" Type="http://schemas.openxmlformats.org/officeDocument/2006/relationships/hyperlink" Target="#'M04-S09'!C18"/><Relationship Id="rId16" Type="http://schemas.openxmlformats.org/officeDocument/2006/relationships/hyperlink" Target="#'M04-S02'!A1"/><Relationship Id="rId20" Type="http://schemas.openxmlformats.org/officeDocument/2006/relationships/hyperlink" Target="#'M04-S08'!A1"/><Relationship Id="rId1" Type="http://schemas.openxmlformats.org/officeDocument/2006/relationships/hyperlink" Target="#'M03-S06'!C18"/><Relationship Id="rId6" Type="http://schemas.openxmlformats.org/officeDocument/2006/relationships/hyperlink" Target="#M02S04F03"/><Relationship Id="rId11" Type="http://schemas.openxmlformats.org/officeDocument/2006/relationships/hyperlink" Target="#Excel_Ack_Compl_Main"/><Relationship Id="rId24" Type="http://schemas.openxmlformats.org/officeDocument/2006/relationships/hyperlink" Target="#'M03-S07'!A1"/><Relationship Id="rId5" Type="http://schemas.openxmlformats.org/officeDocument/2006/relationships/hyperlink" Target="#'M03-S01'!H6"/><Relationship Id="rId15" Type="http://schemas.openxmlformats.org/officeDocument/2006/relationships/image" Target="../media/image1.png"/><Relationship Id="rId23" Type="http://schemas.openxmlformats.org/officeDocument/2006/relationships/hyperlink" Target="#'M04-S09'!A1"/><Relationship Id="rId10" Type="http://schemas.openxmlformats.org/officeDocument/2006/relationships/hyperlink" Target="#Excel_Ack_Contact_Main"/><Relationship Id="rId19" Type="http://schemas.openxmlformats.org/officeDocument/2006/relationships/hyperlink" Target="#'M04-S05'!A1"/><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 Id="rId22" Type="http://schemas.openxmlformats.org/officeDocument/2006/relationships/hyperlink" Target="#'M04-S07'!A1"/></Relationships>
</file>

<file path=xl/drawings/_rels/drawing26.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5S01F01"/><Relationship Id="rId21" Type="http://schemas.openxmlformats.org/officeDocument/2006/relationships/hyperlink" Target="#'M01-S01'!A1"/><Relationship Id="rId7" Type="http://schemas.openxmlformats.org/officeDocument/2006/relationships/hyperlink" Target="#'M04-S05'!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7'!C18"/><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5S02HIDE"/><Relationship Id="rId5" Type="http://schemas.openxmlformats.org/officeDocument/2006/relationships/hyperlink" Target="#'M04-S03'!A1"/><Relationship Id="rId15" Type="http://schemas.openxmlformats.org/officeDocument/2006/relationships/hyperlink" Target="#M02S02F01"/><Relationship Id="rId10" Type="http://schemas.openxmlformats.org/officeDocument/2006/relationships/hyperlink" Target="#'M04-S07'!A1"/><Relationship Id="rId19" Type="http://schemas.openxmlformats.org/officeDocument/2006/relationships/hyperlink" Target="#Excel_Ack_Offer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2S03F01"/><Relationship Id="rId22" Type="http://schemas.openxmlformats.org/officeDocument/2006/relationships/image" Target="../media/image1.png"/></Relationships>
</file>

<file path=xl/drawings/_rels/drawing27.xml.rels><?xml version="1.0" encoding="UTF-8" standalone="yes"?>
<Relationships xmlns="http://schemas.openxmlformats.org/package/2006/relationships"><Relationship Id="rId8" Type="http://schemas.openxmlformats.org/officeDocument/2006/relationships/hyperlink" Target="#M05S01F01"/><Relationship Id="rId13" Type="http://schemas.openxmlformats.org/officeDocument/2006/relationships/hyperlink" Target="#Excel_Ack_Contact_Main"/><Relationship Id="rId18" Type="http://schemas.openxmlformats.org/officeDocument/2006/relationships/image" Target="../media/image1.png"/><Relationship Id="rId3" Type="http://schemas.openxmlformats.org/officeDocument/2006/relationships/hyperlink" Target="#'M03-S02'!A1"/><Relationship Id="rId7" Type="http://schemas.openxmlformats.org/officeDocument/2006/relationships/hyperlink" Target="#M05S02HIDE"/><Relationship Id="rId12" Type="http://schemas.openxmlformats.org/officeDocument/2006/relationships/hyperlink" Target="#M02S01F01"/><Relationship Id="rId17" Type="http://schemas.openxmlformats.org/officeDocument/2006/relationships/hyperlink" Target="#'M01-S01'!A1"/><Relationship Id="rId2" Type="http://schemas.openxmlformats.org/officeDocument/2006/relationships/hyperlink" Target="#'M04-S10'!A1"/><Relationship Id="rId16" Type="http://schemas.openxmlformats.org/officeDocument/2006/relationships/hyperlink" Target="#'M01-S02'!A1"/><Relationship Id="rId1" Type="http://schemas.openxmlformats.org/officeDocument/2006/relationships/hyperlink" Target="#'M04-S02'!A1"/><Relationship Id="rId6" Type="http://schemas.openxmlformats.org/officeDocument/2006/relationships/hyperlink" Target="#'M04-S13'!A1"/><Relationship Id="rId11" Type="http://schemas.openxmlformats.org/officeDocument/2006/relationships/hyperlink" Target="#M02S02F01"/><Relationship Id="rId5" Type="http://schemas.openxmlformats.org/officeDocument/2006/relationships/hyperlink" Target="#'M03-S03'!C18"/><Relationship Id="rId15" Type="http://schemas.openxmlformats.org/officeDocument/2006/relationships/hyperlink" Target="#Excel_Ack_Offer_Main"/><Relationship Id="rId10" Type="http://schemas.openxmlformats.org/officeDocument/2006/relationships/hyperlink" Target="#M02S03F01"/><Relationship Id="rId4" Type="http://schemas.openxmlformats.org/officeDocument/2006/relationships/hyperlink" Target="#'M03-S01'!H6"/><Relationship Id="rId9" Type="http://schemas.openxmlformats.org/officeDocument/2006/relationships/hyperlink" Target="#M02S04F03"/><Relationship Id="rId14" Type="http://schemas.openxmlformats.org/officeDocument/2006/relationships/hyperlink" Target="#Excel_Ack_Compl_Main"/></Relationships>
</file>

<file path=xl/drawings/_rels/drawing28.xml.rels><?xml version="1.0" encoding="UTF-8" standalone="yes"?>
<Relationships xmlns="http://schemas.openxmlformats.org/package/2006/relationships"><Relationship Id="rId8" Type="http://schemas.openxmlformats.org/officeDocument/2006/relationships/hyperlink" Target="#'M03-S01'!H6"/><Relationship Id="rId13" Type="http://schemas.openxmlformats.org/officeDocument/2006/relationships/hyperlink" Target="#Excel_Ack_Contact_Main"/><Relationship Id="rId18" Type="http://schemas.openxmlformats.org/officeDocument/2006/relationships/image" Target="../media/image1.png"/><Relationship Id="rId3" Type="http://schemas.openxmlformats.org/officeDocument/2006/relationships/hyperlink" Target="#'M03-S04'!C18"/><Relationship Id="rId7" Type="http://schemas.openxmlformats.org/officeDocument/2006/relationships/hyperlink" Target="#M05S01F01"/><Relationship Id="rId12" Type="http://schemas.openxmlformats.org/officeDocument/2006/relationships/hyperlink" Target="#M02S01F01"/><Relationship Id="rId17" Type="http://schemas.openxmlformats.org/officeDocument/2006/relationships/hyperlink" Target="#'M01-S01'!A1"/><Relationship Id="rId2" Type="http://schemas.openxmlformats.org/officeDocument/2006/relationships/hyperlink" Target="#'M04-S13'!A1"/><Relationship Id="rId16" Type="http://schemas.openxmlformats.org/officeDocument/2006/relationships/hyperlink" Target="#'M01-S02'!A1"/><Relationship Id="rId1" Type="http://schemas.openxmlformats.org/officeDocument/2006/relationships/hyperlink" Target="#'M04-S05'!A1"/><Relationship Id="rId6" Type="http://schemas.openxmlformats.org/officeDocument/2006/relationships/hyperlink" Target="#M05S02HIDE"/><Relationship Id="rId11" Type="http://schemas.openxmlformats.org/officeDocument/2006/relationships/hyperlink" Target="#M02S02F01"/><Relationship Id="rId5" Type="http://schemas.openxmlformats.org/officeDocument/2006/relationships/hyperlink" Target="#'M04-S10'!A1"/><Relationship Id="rId15" Type="http://schemas.openxmlformats.org/officeDocument/2006/relationships/hyperlink" Target="#Excel_Ack_Offer_Main"/><Relationship Id="rId10" Type="http://schemas.openxmlformats.org/officeDocument/2006/relationships/hyperlink" Target="#M02S03F01"/><Relationship Id="rId4" Type="http://schemas.openxmlformats.org/officeDocument/2006/relationships/hyperlink" Target="#'M03-S08'!C18"/><Relationship Id="rId9" Type="http://schemas.openxmlformats.org/officeDocument/2006/relationships/hyperlink" Target="#M02S04F03"/><Relationship Id="rId14" Type="http://schemas.openxmlformats.org/officeDocument/2006/relationships/hyperlink" Target="#Excel_Ack_Compl_Main"/></Relationships>
</file>

<file path=xl/drawings/_rels/drawing29.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1.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3.xml.rels><?xml version="1.0" encoding="UTF-8" standalone="yes"?>
<Relationships xmlns="http://schemas.openxmlformats.org/package/2006/relationships"><Relationship Id="rId3" Type="http://schemas.openxmlformats.org/officeDocument/2006/relationships/hyperlink" Target="#Excel_Ack_Compl_Main"/><Relationship Id="rId7" Type="http://schemas.openxmlformats.org/officeDocument/2006/relationships/image" Target="../media/image1.png"/><Relationship Id="rId2" Type="http://schemas.openxmlformats.org/officeDocument/2006/relationships/hyperlink" Target="#Excel_Ack_Contact_Main"/><Relationship Id="rId1" Type="http://schemas.openxmlformats.org/officeDocument/2006/relationships/hyperlink" Target="mailto:businessrebates@evergy.com" TargetMode="External"/><Relationship Id="rId6" Type="http://schemas.openxmlformats.org/officeDocument/2006/relationships/hyperlink" Target="#'M01-S01'!A1"/><Relationship Id="rId5" Type="http://schemas.openxmlformats.org/officeDocument/2006/relationships/hyperlink" Target="#'M01-S02'!A1"/><Relationship Id="rId4" Type="http://schemas.openxmlformats.org/officeDocument/2006/relationships/hyperlink" Target="#Excel_Ack_Offer_Main"/></Relationships>
</file>

<file path=xl/drawings/_rels/drawing30.xml.rels><?xml version="1.0" encoding="UTF-8" standalone="yes"?>
<Relationships xmlns="http://schemas.openxmlformats.org/package/2006/relationships"><Relationship Id="rId13" Type="http://schemas.openxmlformats.org/officeDocument/2006/relationships/hyperlink" Target="#'M03-S08'!A1"/><Relationship Id="rId18" Type="http://schemas.openxmlformats.org/officeDocument/2006/relationships/image" Target="../media/image25.png"/><Relationship Id="rId26" Type="http://schemas.openxmlformats.org/officeDocument/2006/relationships/hyperlink" Target="#M05S01F01"/><Relationship Id="rId21" Type="http://schemas.openxmlformats.org/officeDocument/2006/relationships/hyperlink" Target="#'M02-S04'!A1"/><Relationship Id="rId34" Type="http://schemas.openxmlformats.org/officeDocument/2006/relationships/hyperlink" Target="#Excel_Ack_Compl_Main"/><Relationship Id="rId7" Type="http://schemas.openxmlformats.org/officeDocument/2006/relationships/hyperlink" Target="#'M04-S03'!A1"/><Relationship Id="rId12" Type="http://schemas.openxmlformats.org/officeDocument/2006/relationships/hyperlink" Target="#'M03-S06'!A1"/><Relationship Id="rId17" Type="http://schemas.openxmlformats.org/officeDocument/2006/relationships/hyperlink" Target="#'M05-S03'!K12"/><Relationship Id="rId25" Type="http://schemas.openxmlformats.org/officeDocument/2006/relationships/hyperlink" Target="#'M05-S02-1'!H6"/><Relationship Id="rId33" Type="http://schemas.openxmlformats.org/officeDocument/2006/relationships/hyperlink" Target="#Excel_Ack_Contact_Main"/><Relationship Id="rId38" Type="http://schemas.openxmlformats.org/officeDocument/2006/relationships/image" Target="../media/image1.png"/><Relationship Id="rId2" Type="http://schemas.openxmlformats.org/officeDocument/2006/relationships/hyperlink" Target="#'M04-S07'!A1"/><Relationship Id="rId16" Type="http://schemas.openxmlformats.org/officeDocument/2006/relationships/hyperlink" Target="#'M03-S02'!A1"/><Relationship Id="rId20" Type="http://schemas.openxmlformats.org/officeDocument/2006/relationships/hyperlink" Target="#'M05-S01'!A1"/><Relationship Id="rId29" Type="http://schemas.openxmlformats.org/officeDocument/2006/relationships/hyperlink" Target="#M02S04F03"/><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3-S07'!A1"/><Relationship Id="rId24" Type="http://schemas.openxmlformats.org/officeDocument/2006/relationships/hyperlink" Target="#'M02-S01'!A1"/><Relationship Id="rId32" Type="http://schemas.openxmlformats.org/officeDocument/2006/relationships/hyperlink" Target="#M02S01F01"/><Relationship Id="rId37" Type="http://schemas.openxmlformats.org/officeDocument/2006/relationships/hyperlink" Target="#'M01-S01'!A1"/><Relationship Id="rId5" Type="http://schemas.openxmlformats.org/officeDocument/2006/relationships/hyperlink" Target="#'M04-S05'!A1"/><Relationship Id="rId15" Type="http://schemas.openxmlformats.org/officeDocument/2006/relationships/hyperlink" Target="#'M03-S03'!A1"/><Relationship Id="rId23" Type="http://schemas.openxmlformats.org/officeDocument/2006/relationships/hyperlink" Target="#'M02-S02'!A1"/><Relationship Id="rId28" Type="http://schemas.openxmlformats.org/officeDocument/2006/relationships/hyperlink" Target="#'M03-S01'!H6"/><Relationship Id="rId36" Type="http://schemas.openxmlformats.org/officeDocument/2006/relationships/hyperlink" Target="#'M01-S02'!A1"/><Relationship Id="rId10" Type="http://schemas.openxmlformats.org/officeDocument/2006/relationships/hyperlink" Target="#'M04-S10'!A1"/><Relationship Id="rId19" Type="http://schemas.openxmlformats.org/officeDocument/2006/relationships/image" Target="../media/image26.svg"/><Relationship Id="rId31" Type="http://schemas.openxmlformats.org/officeDocument/2006/relationships/hyperlink" Target="#M02S02F01"/><Relationship Id="rId4" Type="http://schemas.openxmlformats.org/officeDocument/2006/relationships/hyperlink" Target="#'M04-S08'!A1"/><Relationship Id="rId9" Type="http://schemas.openxmlformats.org/officeDocument/2006/relationships/hyperlink" Target="#'M04-S13'!A1"/><Relationship Id="rId14" Type="http://schemas.openxmlformats.org/officeDocument/2006/relationships/hyperlink" Target="#'M03-S04'!A1"/><Relationship Id="rId22" Type="http://schemas.openxmlformats.org/officeDocument/2006/relationships/hyperlink" Target="#'M02-S03'!A1"/><Relationship Id="rId27" Type="http://schemas.openxmlformats.org/officeDocument/2006/relationships/hyperlink" Target="#M05S02HIDE"/><Relationship Id="rId30" Type="http://schemas.openxmlformats.org/officeDocument/2006/relationships/hyperlink" Target="#M02S03F01"/><Relationship Id="rId35" Type="http://schemas.openxmlformats.org/officeDocument/2006/relationships/hyperlink" Target="#Excel_Ack_Offer_Main"/><Relationship Id="rId8" Type="http://schemas.openxmlformats.org/officeDocument/2006/relationships/hyperlink" Target="#'M04-S02'!A1"/><Relationship Id="rId3" Type="http://schemas.openxmlformats.org/officeDocument/2006/relationships/hyperlink" Target="#'M04-S06'!A1"/></Relationships>
</file>

<file path=xl/drawings/_rels/drawing31.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hyperlink" Target="#'M05-S02'!A1"/><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1.png"/></Relationships>
</file>

<file path=xl/drawings/_rels/drawing32.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image" Target="../media/image29.png"/><Relationship Id="rId21" Type="http://schemas.openxmlformats.org/officeDocument/2006/relationships/hyperlink" Target="#Excel_Ack_Offer_Main"/><Relationship Id="rId7" Type="http://schemas.openxmlformats.org/officeDocument/2006/relationships/image" Target="../media/image33.png"/><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image" Target="../media/image28.png"/><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hyperlink" Target="#'M05-S02'!A1"/><Relationship Id="rId24" Type="http://schemas.openxmlformats.org/officeDocument/2006/relationships/image" Target="../media/image1.png"/><Relationship Id="rId5" Type="http://schemas.openxmlformats.org/officeDocument/2006/relationships/image" Target="../media/image31.png"/><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5-S02-1'!H6"/><Relationship Id="rId19" Type="http://schemas.openxmlformats.org/officeDocument/2006/relationships/hyperlink" Target="#Excel_Ack_Contact_Main"/><Relationship Id="rId4" Type="http://schemas.openxmlformats.org/officeDocument/2006/relationships/image" Target="../media/image30.png"/><Relationship Id="rId9" Type="http://schemas.openxmlformats.org/officeDocument/2006/relationships/image" Target="../media/image35.svg"/><Relationship Id="rId14" Type="http://schemas.openxmlformats.org/officeDocument/2006/relationships/hyperlink" Target="#'M03-S01'!H6"/><Relationship Id="rId22" Type="http://schemas.openxmlformats.org/officeDocument/2006/relationships/hyperlink" Target="#'M01-S02'!A1"/></Relationships>
</file>

<file path=xl/drawings/_rels/drawing33.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image" Target="../media/image36.png"/><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Excel_Ack_Offer_Main"/><Relationship Id="rId3" Type="http://schemas.openxmlformats.org/officeDocument/2006/relationships/hyperlink" Target="#'M03-S01'!A1"/><Relationship Id="rId7" Type="http://schemas.openxmlformats.org/officeDocument/2006/relationships/hyperlink" Target="#M02S04F03"/><Relationship Id="rId12" Type="http://schemas.openxmlformats.org/officeDocument/2006/relationships/hyperlink" Target="#Excel_Ack_Compl_Main"/><Relationship Id="rId2" Type="http://schemas.openxmlformats.org/officeDocument/2006/relationships/image" Target="../media/image36.png"/><Relationship Id="rId16" Type="http://schemas.openxmlformats.org/officeDocument/2006/relationships/image" Target="../media/image1.png"/><Relationship Id="rId1" Type="http://schemas.openxmlformats.org/officeDocument/2006/relationships/hyperlink" Target="#'M05-S01'!A1"/><Relationship Id="rId6" Type="http://schemas.openxmlformats.org/officeDocument/2006/relationships/hyperlink" Target="#'M03-S01'!H6"/><Relationship Id="rId11" Type="http://schemas.openxmlformats.org/officeDocument/2006/relationships/hyperlink" Target="#Excel_Ack_Contact_Main"/><Relationship Id="rId5" Type="http://schemas.openxmlformats.org/officeDocument/2006/relationships/hyperlink" Target="#M05S01F01"/><Relationship Id="rId15" Type="http://schemas.openxmlformats.org/officeDocument/2006/relationships/hyperlink" Target="#'M01-S01'!A1"/><Relationship Id="rId10" Type="http://schemas.openxmlformats.org/officeDocument/2006/relationships/hyperlink" Target="#M02S01F01"/><Relationship Id="rId4" Type="http://schemas.openxmlformats.org/officeDocument/2006/relationships/hyperlink" Target="#M05S02HIDE"/><Relationship Id="rId9" Type="http://schemas.openxmlformats.org/officeDocument/2006/relationships/hyperlink" Target="#M02S02F01"/><Relationship Id="rId14" Type="http://schemas.openxmlformats.org/officeDocument/2006/relationships/hyperlink" Target="#'M01-S02'!A1"/></Relationships>
</file>

<file path=xl/drawings/_rels/drawing3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1.png"/><Relationship Id="rId3" Type="http://schemas.openxmlformats.org/officeDocument/2006/relationships/hyperlink" Target="#'M03-S01'!H6"/><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5S01F01"/><Relationship Id="rId1" Type="http://schemas.openxmlformats.org/officeDocument/2006/relationships/hyperlink" Target="#M05S02HIDE"/><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3F01"/><Relationship Id="rId10" Type="http://schemas.openxmlformats.org/officeDocument/2006/relationships/hyperlink" Target="#Excel_Ack_Offer_Main"/><Relationship Id="rId4" Type="http://schemas.openxmlformats.org/officeDocument/2006/relationships/hyperlink" Target="#M02S04F03"/><Relationship Id="rId9" Type="http://schemas.openxmlformats.org/officeDocument/2006/relationships/hyperlink" Target="#Excel_Ack_Compl_Main"/></Relationships>
</file>

<file path=xl/drawings/_rels/drawing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1-S01'!A1"/><Relationship Id="rId3" Type="http://schemas.openxmlformats.org/officeDocument/2006/relationships/hyperlink" Target="http://www.evergyenergysolutions.com/wp-content/uploads/Evergy-KS-TERMS-FINAL.pdf" TargetMode="External"/><Relationship Id="rId7" Type="http://schemas.openxmlformats.org/officeDocument/2006/relationships/hyperlink" Target="#M02S04F03"/><Relationship Id="rId12" Type="http://schemas.openxmlformats.org/officeDocument/2006/relationships/hyperlink" Target="#Excel_Ack_Offer_Main"/><Relationship Id="rId2" Type="http://schemas.openxmlformats.org/officeDocument/2006/relationships/hyperlink" Target="#'M01-S02'!A1"/><Relationship Id="rId1" Type="http://schemas.openxmlformats.org/officeDocument/2006/relationships/hyperlink" Target="#M02S02F01"/><Relationship Id="rId6" Type="http://schemas.openxmlformats.org/officeDocument/2006/relationships/hyperlink" Target="#'M03-S01'!H6"/><Relationship Id="rId11" Type="http://schemas.openxmlformats.org/officeDocument/2006/relationships/hyperlink" Target="#Excel_Ack_Compl_Main"/><Relationship Id="rId5" Type="http://schemas.openxmlformats.org/officeDocument/2006/relationships/hyperlink" Target="#M05S01F01"/><Relationship Id="rId10" Type="http://schemas.openxmlformats.org/officeDocument/2006/relationships/hyperlink" Target="#Excel_Ack_Contact_Main"/><Relationship Id="rId4" Type="http://schemas.openxmlformats.org/officeDocument/2006/relationships/hyperlink" Target="#M05S02HIDE"/><Relationship Id="rId9" Type="http://schemas.openxmlformats.org/officeDocument/2006/relationships/hyperlink" Target="#M02S01F0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1.png"/><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1'!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6.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1.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2S03F01"/><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7.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2S03F01"/><Relationship Id="rId1" Type="http://schemas.openxmlformats.org/officeDocument/2006/relationships/hyperlink" Target="#'M03-S01'!A1"/><Relationship Id="rId6" Type="http://schemas.openxmlformats.org/officeDocument/2006/relationships/hyperlink" Target="#M02S04F03"/><Relationship Id="rId11" Type="http://schemas.openxmlformats.org/officeDocument/2006/relationships/hyperlink" Target="#Excel_Ack_Offer_Main"/><Relationship Id="rId5" Type="http://schemas.openxmlformats.org/officeDocument/2006/relationships/hyperlink" Target="#'M03-S01'!H6"/><Relationship Id="rId10" Type="http://schemas.openxmlformats.org/officeDocument/2006/relationships/hyperlink" Target="#Excel_Ack_Compl_Main"/><Relationship Id="rId4" Type="http://schemas.openxmlformats.org/officeDocument/2006/relationships/hyperlink" Target="#M05S01F01"/><Relationship Id="rId9" Type="http://schemas.openxmlformats.org/officeDocument/2006/relationships/hyperlink" Target="#Excel_Ack_Contact_Main"/><Relationship Id="rId1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18" Type="http://schemas.openxmlformats.org/officeDocument/2006/relationships/image" Target="../media/image16.png"/><Relationship Id="rId3" Type="http://schemas.openxmlformats.org/officeDocument/2006/relationships/hyperlink" Target="#M05S02HIDE"/><Relationship Id="rId21" Type="http://schemas.openxmlformats.org/officeDocument/2006/relationships/hyperlink" Target="#'M03-S01A'!A1"/><Relationship Id="rId7" Type="http://schemas.openxmlformats.org/officeDocument/2006/relationships/hyperlink" Target="#M02S03F01"/><Relationship Id="rId12" Type="http://schemas.openxmlformats.org/officeDocument/2006/relationships/hyperlink" Target="#Excel_Ack_Offer_Main"/><Relationship Id="rId17" Type="http://schemas.openxmlformats.org/officeDocument/2006/relationships/image" Target="../media/image15.png"/><Relationship Id="rId2" Type="http://schemas.openxmlformats.org/officeDocument/2006/relationships/hyperlink" Target="#'M02-S04'!A1"/><Relationship Id="rId16" Type="http://schemas.openxmlformats.org/officeDocument/2006/relationships/image" Target="../media/image11.png"/><Relationship Id="rId20" Type="http://schemas.openxmlformats.org/officeDocument/2006/relationships/hyperlink" Target="#'M03-S01B'!A1"/><Relationship Id="rId1" Type="http://schemas.openxmlformats.org/officeDocument/2006/relationships/hyperlink" Target="#'M03-S02'!A1"/><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1.png"/><Relationship Id="rId10" Type="http://schemas.openxmlformats.org/officeDocument/2006/relationships/hyperlink" Target="#Excel_Ack_Contact_Main"/><Relationship Id="rId19" Type="http://schemas.openxmlformats.org/officeDocument/2006/relationships/hyperlink" Target="#'M03-S01C'!A1"/><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M03-S03'!C18"/><Relationship Id="rId18" Type="http://schemas.openxmlformats.org/officeDocument/2006/relationships/hyperlink" Target="#M05S01F01"/><Relationship Id="rId26" Type="http://schemas.openxmlformats.org/officeDocument/2006/relationships/hyperlink" Target="#Excel_Ack_Offer_Main"/><Relationship Id="rId3" Type="http://schemas.openxmlformats.org/officeDocument/2006/relationships/hyperlink" Target="#'M03-S07'!C18"/><Relationship Id="rId21" Type="http://schemas.openxmlformats.org/officeDocument/2006/relationships/hyperlink" Target="#M02S03F01"/><Relationship Id="rId7" Type="http://schemas.openxmlformats.org/officeDocument/2006/relationships/hyperlink" Target="#'M03-S08'!C18"/><Relationship Id="rId12" Type="http://schemas.openxmlformats.org/officeDocument/2006/relationships/image" Target="../media/image21.png"/><Relationship Id="rId17" Type="http://schemas.openxmlformats.org/officeDocument/2006/relationships/hyperlink" Target="#M05S02HIDE"/><Relationship Id="rId25" Type="http://schemas.openxmlformats.org/officeDocument/2006/relationships/hyperlink" Target="#Excel_Ack_Compl_Main"/><Relationship Id="rId2" Type="http://schemas.openxmlformats.org/officeDocument/2006/relationships/hyperlink" Target="#'M03-S01'!A1"/><Relationship Id="rId16" Type="http://schemas.openxmlformats.org/officeDocument/2006/relationships/image" Target="../media/image23.png"/><Relationship Id="rId20" Type="http://schemas.openxmlformats.org/officeDocument/2006/relationships/hyperlink" Target="#M02S04F03"/><Relationship Id="rId29" Type="http://schemas.openxmlformats.org/officeDocument/2006/relationships/image" Target="../media/image1.png"/><Relationship Id="rId1" Type="http://schemas.openxmlformats.org/officeDocument/2006/relationships/hyperlink" Target="#'M03-S02'!A1"/><Relationship Id="rId6" Type="http://schemas.openxmlformats.org/officeDocument/2006/relationships/image" Target="../media/image18.png"/><Relationship Id="rId11" Type="http://schemas.openxmlformats.org/officeDocument/2006/relationships/hyperlink" Target="#'M03-S04'!C18"/><Relationship Id="rId24" Type="http://schemas.openxmlformats.org/officeDocument/2006/relationships/hyperlink" Target="#Excel_Ack_Contact_Main"/><Relationship Id="rId5" Type="http://schemas.openxmlformats.org/officeDocument/2006/relationships/hyperlink" Target="#'M03-S06'!C18"/><Relationship Id="rId15" Type="http://schemas.openxmlformats.org/officeDocument/2006/relationships/hyperlink" Target="#'M03-S02'!C18"/><Relationship Id="rId23" Type="http://schemas.openxmlformats.org/officeDocument/2006/relationships/hyperlink" Target="#M02S01F01"/><Relationship Id="rId28" Type="http://schemas.openxmlformats.org/officeDocument/2006/relationships/hyperlink" Target="#'M01-S01'!A1"/><Relationship Id="rId10" Type="http://schemas.openxmlformats.org/officeDocument/2006/relationships/image" Target="../media/image20.png"/><Relationship Id="rId19" Type="http://schemas.openxmlformats.org/officeDocument/2006/relationships/hyperlink" Target="#'M03-S01'!H6"/><Relationship Id="rId4" Type="http://schemas.openxmlformats.org/officeDocument/2006/relationships/image" Target="../media/image17.png"/><Relationship Id="rId9" Type="http://schemas.openxmlformats.org/officeDocument/2006/relationships/hyperlink" Target="#'M03-S05'!C18"/><Relationship Id="rId14" Type="http://schemas.openxmlformats.org/officeDocument/2006/relationships/image" Target="../media/image22.png"/><Relationship Id="rId22" Type="http://schemas.openxmlformats.org/officeDocument/2006/relationships/hyperlink" Target="#M02S02F01"/><Relationship Id="rId27" Type="http://schemas.openxmlformats.org/officeDocument/2006/relationships/hyperlink" Target="#'M01-S02'!A1"/></Relationships>
</file>

<file path=xl/drawings/drawing1.xml><?xml version="1.0" encoding="utf-8"?>
<xdr:wsDr xmlns:xdr="http://schemas.openxmlformats.org/drawingml/2006/spreadsheetDrawing" xmlns:a="http://schemas.openxmlformats.org/drawingml/2006/main">
  <xdr:twoCellAnchor editAs="oneCell">
    <xdr:from>
      <xdr:col>46</xdr:col>
      <xdr:colOff>16584</xdr:colOff>
      <xdr:row>3</xdr:row>
      <xdr:rowOff>100854</xdr:rowOff>
    </xdr:from>
    <xdr:to>
      <xdr:col>47</xdr:col>
      <xdr:colOff>248972</xdr:colOff>
      <xdr:row>5</xdr:row>
      <xdr:rowOff>97492</xdr:rowOff>
    </xdr:to>
    <xdr:sp macro="" textlink="">
      <xdr:nvSpPr>
        <xdr:cNvPr id="31" name="Arrow: Right M1S1">
          <a:hlinkClick xmlns:r="http://schemas.openxmlformats.org/officeDocument/2006/relationships" r:id="rId1" tooltip="Forward: Instructions"/>
          <a:extLst>
            <a:ext uri="{FF2B5EF4-FFF2-40B4-BE49-F238E27FC236}">
              <a16:creationId xmlns:a16="http://schemas.microsoft.com/office/drawing/2014/main" id="{00000000-0008-0000-0900-00001F000000}"/>
            </a:ext>
          </a:extLst>
        </xdr:cNvPr>
        <xdr:cNvSpPr/>
      </xdr:nvSpPr>
      <xdr:spPr>
        <a:xfrm>
          <a:off x="14746044" y="695214"/>
          <a:ext cx="54290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218</xdr:rowOff>
    </xdr:to>
    <xdr:grpSp>
      <xdr:nvGrpSpPr>
        <xdr:cNvPr id="9" name="Header">
          <a:extLst>
            <a:ext uri="{FF2B5EF4-FFF2-40B4-BE49-F238E27FC236}">
              <a16:creationId xmlns:a16="http://schemas.microsoft.com/office/drawing/2014/main" id="{00000000-0008-0000-0900-000009000000}"/>
            </a:ext>
          </a:extLst>
        </xdr:cNvPr>
        <xdr:cNvGrpSpPr/>
      </xdr:nvGrpSpPr>
      <xdr:grpSpPr>
        <a:xfrm>
          <a:off x="0" y="0"/>
          <a:ext cx="15374471" cy="605336"/>
          <a:chOff x="0" y="1452064"/>
          <a:chExt cx="15813740" cy="591889"/>
        </a:xfrm>
      </xdr:grpSpPr>
      <xdr:grpSp>
        <xdr:nvGrpSpPr>
          <xdr:cNvPr id="10" name="Header">
            <a:extLst>
              <a:ext uri="{FF2B5EF4-FFF2-40B4-BE49-F238E27FC236}">
                <a16:creationId xmlns:a16="http://schemas.microsoft.com/office/drawing/2014/main" id="{00000000-0008-0000-0900-00000A000000}"/>
              </a:ext>
            </a:extLst>
          </xdr:cNvPr>
          <xdr:cNvGrpSpPr/>
        </xdr:nvGrpSpPr>
        <xdr:grpSpPr>
          <a:xfrm>
            <a:off x="0" y="1452064"/>
            <a:ext cx="15813740" cy="591889"/>
            <a:chOff x="0" y="1452064"/>
            <a:chExt cx="15813740" cy="591889"/>
          </a:xfrm>
        </xdr:grpSpPr>
        <xdr:sp macro="" textlink="">
          <xdr:nvSpPr>
            <xdr:cNvPr id="18" name="Reference">
              <a:extLst>
                <a:ext uri="{FF2B5EF4-FFF2-40B4-BE49-F238E27FC236}">
                  <a16:creationId xmlns:a16="http://schemas.microsoft.com/office/drawing/2014/main" id="{00000000-0008-0000-0900-00001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ontact">
              <a:hlinkClick xmlns:r="http://schemas.openxmlformats.org/officeDocument/2006/relationships" r:id="rId2" tooltip="Contact"/>
              <a:extLst>
                <a:ext uri="{FF2B5EF4-FFF2-40B4-BE49-F238E27FC236}">
                  <a16:creationId xmlns:a16="http://schemas.microsoft.com/office/drawing/2014/main" id="{00000000-0008-0000-0900-00001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Completion Form">
              <a:hlinkClick xmlns:r="http://schemas.openxmlformats.org/officeDocument/2006/relationships" r:id="rId3" tooltip=" "/>
              <a:extLst>
                <a:ext uri="{FF2B5EF4-FFF2-40B4-BE49-F238E27FC236}">
                  <a16:creationId xmlns:a16="http://schemas.microsoft.com/office/drawing/2014/main" id="{00000000-0008-0000-0900-00001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Offer Form">
              <a:hlinkClick xmlns:r="http://schemas.openxmlformats.org/officeDocument/2006/relationships" r:id="rId4" tooltip=" "/>
              <a:extLst>
                <a:ext uri="{FF2B5EF4-FFF2-40B4-BE49-F238E27FC236}">
                  <a16:creationId xmlns:a16="http://schemas.microsoft.com/office/drawing/2014/main" id="{00000000-0008-0000-0900-000016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Incentives">
              <a:extLst>
                <a:ext uri="{FF2B5EF4-FFF2-40B4-BE49-F238E27FC236}">
                  <a16:creationId xmlns:a16="http://schemas.microsoft.com/office/drawing/2014/main" id="{00000000-0008-0000-0900-00001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7" name="Instructions">
              <a:hlinkClick xmlns:r="http://schemas.openxmlformats.org/officeDocument/2006/relationships" r:id="rId1" tooltip="Instructions"/>
              <a:extLst>
                <a:ext uri="{FF2B5EF4-FFF2-40B4-BE49-F238E27FC236}">
                  <a16:creationId xmlns:a16="http://schemas.microsoft.com/office/drawing/2014/main" id="{00000000-0008-0000-0900-00001B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5" tooltip="Welcome"/>
              <a:extLst>
                <a:ext uri="{FF2B5EF4-FFF2-40B4-BE49-F238E27FC236}">
                  <a16:creationId xmlns:a16="http://schemas.microsoft.com/office/drawing/2014/main" id="{00000000-0008-0000-0900-00001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3" name="Evergy Logo">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5" name="State">
              <a:extLst>
                <a:ext uri="{FF2B5EF4-FFF2-40B4-BE49-F238E27FC236}">
                  <a16:creationId xmlns:a16="http://schemas.microsoft.com/office/drawing/2014/main" id="{00000000-0008-0000-0900-000023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1" name="Dividers">
            <a:extLst>
              <a:ext uri="{FF2B5EF4-FFF2-40B4-BE49-F238E27FC236}">
                <a16:creationId xmlns:a16="http://schemas.microsoft.com/office/drawing/2014/main" id="{00000000-0008-0000-0900-00000B000000}"/>
              </a:ext>
            </a:extLst>
          </xdr:cNvPr>
          <xdr:cNvGrpSpPr/>
        </xdr:nvGrpSpPr>
        <xdr:grpSpPr>
          <a:xfrm>
            <a:off x="1613405" y="1537433"/>
            <a:ext cx="11616513" cy="423049"/>
            <a:chOff x="1612951" y="85725"/>
            <a:chExt cx="11618931" cy="423022"/>
          </a:xfrm>
        </xdr:grpSpPr>
        <xdr:cxnSp macro="">
          <xdr:nvCxnSpPr>
            <xdr:cNvPr id="12" name="Divider 4">
              <a:extLst>
                <a:ext uri="{FF2B5EF4-FFF2-40B4-BE49-F238E27FC236}">
                  <a16:creationId xmlns:a16="http://schemas.microsoft.com/office/drawing/2014/main" id="{00000000-0008-0000-0900-00000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3">
              <a:extLst>
                <a:ext uri="{FF2B5EF4-FFF2-40B4-BE49-F238E27FC236}">
                  <a16:creationId xmlns:a16="http://schemas.microsoft.com/office/drawing/2014/main" id="{00000000-0008-0000-0900-00000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2">
              <a:extLst>
                <a:ext uri="{FF2B5EF4-FFF2-40B4-BE49-F238E27FC236}">
                  <a16:creationId xmlns:a16="http://schemas.microsoft.com/office/drawing/2014/main" id="{00000000-0008-0000-0900-00001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1">
              <a:extLst>
                <a:ext uri="{FF2B5EF4-FFF2-40B4-BE49-F238E27FC236}">
                  <a16:creationId xmlns:a16="http://schemas.microsoft.com/office/drawing/2014/main" id="{00000000-0008-0000-0900-00001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93111</xdr:colOff>
      <xdr:row>30</xdr:row>
      <xdr:rowOff>68237</xdr:rowOff>
    </xdr:from>
    <xdr:to>
      <xdr:col>40</xdr:col>
      <xdr:colOff>26901</xdr:colOff>
      <xdr:row>34</xdr:row>
      <xdr:rowOff>13269</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2603229" y="6119413"/>
          <a:ext cx="9974260" cy="751856"/>
          <a:chOff x="2674990" y="5984943"/>
          <a:chExt cx="10261086" cy="734089"/>
        </a:xfrm>
      </xdr:grpSpPr>
      <xdr:pic>
        <xdr:nvPicPr>
          <xdr:cNvPr id="3" name="DLC">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972947" y="6307014"/>
            <a:ext cx="963129" cy="359797"/>
          </a:xfrm>
          <a:prstGeom prst="rect">
            <a:avLst/>
          </a:prstGeom>
        </xdr:spPr>
      </xdr:pic>
      <xdr:pic>
        <xdr:nvPicPr>
          <xdr:cNvPr id="4" name="CE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841897" y="6132443"/>
            <a:ext cx="569259" cy="530433"/>
          </a:xfrm>
          <a:prstGeom prst="rect">
            <a:avLst/>
          </a:prstGeom>
        </xdr:spPr>
      </xdr:pic>
      <xdr:pic>
        <xdr:nvPicPr>
          <xdr:cNvPr id="5" name="PAC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525808" y="6033826"/>
            <a:ext cx="633895" cy="630677"/>
          </a:xfrm>
          <a:prstGeom prst="rect">
            <a:avLst/>
          </a:prstGeom>
        </xdr:spPr>
      </xdr:pic>
      <xdr:pic>
        <xdr:nvPicPr>
          <xdr:cNvPr id="6" name="Energy Star">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84753" y="6141157"/>
            <a:ext cx="510792" cy="521280"/>
          </a:xfrm>
          <a:prstGeom prst="rect">
            <a:avLst/>
          </a:prstGeom>
        </xdr:spPr>
      </xdr:pic>
      <xdr:pic>
        <xdr:nvPicPr>
          <xdr:cNvPr id="7" name="TA">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52093" y="6168806"/>
            <a:ext cx="633880" cy="496872"/>
          </a:xfrm>
          <a:prstGeom prst="rect">
            <a:avLst/>
          </a:prstGeom>
        </xdr:spPr>
      </xdr:pic>
      <xdr:pic>
        <xdr:nvPicPr>
          <xdr:cNvPr id="8" name="T&amp;C">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437538" y="6072717"/>
            <a:ext cx="443093" cy="588183"/>
          </a:xfrm>
          <a:prstGeom prst="rect">
            <a:avLst/>
          </a:prstGeom>
        </xdr:spPr>
      </xdr:pic>
      <xdr:pic>
        <xdr:nvPicPr>
          <xdr:cNvPr id="13" name="Manage">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22982" y="5984943"/>
            <a:ext cx="680038" cy="676661"/>
          </a:xfrm>
          <a:prstGeom prst="rect">
            <a:avLst/>
          </a:prstGeom>
        </xdr:spPr>
      </xdr:pic>
      <xdr:pic>
        <xdr:nvPicPr>
          <xdr:cNvPr id="14" name="Graphic 13" descr="Magnifying glass with solid fill">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2674990" y="6042376"/>
            <a:ext cx="676656" cy="676656"/>
          </a:xfrm>
          <a:prstGeom prst="rect">
            <a:avLst/>
          </a:prstGeom>
        </xdr:spPr>
      </xdr:pic>
    </xdr:grpSp>
    <xdr:clientData/>
  </xdr:twoCellAnchor>
  <xdr:twoCellAnchor>
    <xdr:from>
      <xdr:col>7</xdr:col>
      <xdr:colOff>0</xdr:colOff>
      <xdr:row>11</xdr:row>
      <xdr:rowOff>144387</xdr:rowOff>
    </xdr:from>
    <xdr:to>
      <xdr:col>41</xdr:col>
      <xdr:colOff>2188</xdr:colOff>
      <xdr:row>17</xdr:row>
      <xdr:rowOff>62818</xdr:rowOff>
    </xdr:to>
    <xdr:grpSp>
      <xdr:nvGrpSpPr>
        <xdr:cNvPr id="21" name="Logos">
          <a:extLst>
            <a:ext uri="{FF2B5EF4-FFF2-40B4-BE49-F238E27FC236}">
              <a16:creationId xmlns:a16="http://schemas.microsoft.com/office/drawing/2014/main" id="{00000000-0008-0000-0900-000015000000}"/>
            </a:ext>
          </a:extLst>
        </xdr:cNvPr>
        <xdr:cNvGrpSpPr/>
      </xdr:nvGrpSpPr>
      <xdr:grpSpPr>
        <a:xfrm>
          <a:off x="2196353" y="2363152"/>
          <a:ext cx="10670188" cy="1128666"/>
          <a:chOff x="2245895" y="2306061"/>
          <a:chExt cx="10908631" cy="1097525"/>
        </a:xfrm>
      </xdr:grpSpPr>
      <xdr:pic>
        <xdr:nvPicPr>
          <xdr:cNvPr id="24" name="Custom">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131308" y="2430154"/>
            <a:ext cx="849366" cy="850467"/>
          </a:xfrm>
          <a:prstGeom prst="rect">
            <a:avLst/>
          </a:prstGeom>
        </xdr:spPr>
      </xdr:pic>
      <xdr:cxnSp macro="">
        <xdr:nvCxnSpPr>
          <xdr:cNvPr id="25" name="Ref">
            <a:extLst>
              <a:ext uri="{FF2B5EF4-FFF2-40B4-BE49-F238E27FC236}">
                <a16:creationId xmlns:a16="http://schemas.microsoft.com/office/drawing/2014/main" id="{00000000-0008-0000-0900-000019000000}"/>
              </a:ext>
            </a:extLst>
          </xdr:cNvPr>
          <xdr:cNvCxnSpPr/>
        </xdr:nvCxnSpPr>
        <xdr:spPr>
          <a:xfrm>
            <a:off x="2245895" y="2554705"/>
            <a:ext cx="10908631" cy="0"/>
          </a:xfrm>
          <a:prstGeom prst="line">
            <a:avLst/>
          </a:prstGeom>
          <a:ln>
            <a:noFill/>
          </a:ln>
        </xdr:spPr>
        <xdr:style>
          <a:lnRef idx="2">
            <a:schemeClr val="accent1"/>
          </a:lnRef>
          <a:fillRef idx="0">
            <a:schemeClr val="accent1"/>
          </a:fillRef>
          <a:effectRef idx="1">
            <a:schemeClr val="accent1"/>
          </a:effectRef>
          <a:fontRef idx="minor">
            <a:schemeClr val="tx1"/>
          </a:fontRef>
        </xdr:style>
      </xdr:cxnSp>
      <xdr:pic>
        <xdr:nvPicPr>
          <xdr:cNvPr id="26" name="Custom Lite">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52627" y="2306061"/>
            <a:ext cx="1094874" cy="1097525"/>
          </a:xfrm>
          <a:prstGeom prst="rect">
            <a:avLst/>
          </a:prstGeom>
        </xdr:spPr>
      </xdr:pic>
      <xdr:pic>
        <xdr:nvPicPr>
          <xdr:cNvPr id="28" name="Standard">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83237" y="2386510"/>
            <a:ext cx="936999" cy="938228"/>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3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3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199549</xdr:colOff>
      <xdr:row>12</xdr:row>
      <xdr:rowOff>88738</xdr:rowOff>
    </xdr:from>
    <xdr:to>
      <xdr:col>39</xdr:col>
      <xdr:colOff>141602</xdr:colOff>
      <xdr:row>28</xdr:row>
      <xdr:rowOff>80943</xdr:rowOff>
    </xdr:to>
    <xdr:grpSp>
      <xdr:nvGrpSpPr>
        <xdr:cNvPr id="4" name="Measure Categories">
          <a:extLst>
            <a:ext uri="{FF2B5EF4-FFF2-40B4-BE49-F238E27FC236}">
              <a16:creationId xmlns:a16="http://schemas.microsoft.com/office/drawing/2014/main" id="{00000000-0008-0000-1300-000004000000}"/>
            </a:ext>
          </a:extLst>
        </xdr:cNvPr>
        <xdr:cNvGrpSpPr/>
      </xdr:nvGrpSpPr>
      <xdr:grpSpPr>
        <a:xfrm>
          <a:off x="2709667" y="2509209"/>
          <a:ext cx="9668759" cy="3219499"/>
          <a:chOff x="2759658" y="2466200"/>
          <a:chExt cx="9863141" cy="3162055"/>
        </a:xfrm>
      </xdr:grpSpPr>
      <xdr:pic>
        <xdr:nvPicPr>
          <xdr:cNvPr id="5" name="Misc" hidden="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398505" y="4497261"/>
            <a:ext cx="1187813" cy="1122146"/>
          </a:xfrm>
          <a:prstGeom prst="rect">
            <a:avLst/>
          </a:prstGeom>
        </xdr:spPr>
      </xdr:pic>
      <xdr:pic>
        <xdr:nvPicPr>
          <xdr:cNvPr id="6" name="WHFS" hidden="1">
            <a:hlinkClick xmlns:r="http://schemas.openxmlformats.org/officeDocument/2006/relationships" r:id="rId4" tooltip="Water Heating / Cookin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504958" y="4453431"/>
            <a:ext cx="1211986" cy="1174824"/>
          </a:xfrm>
          <a:prstGeom prst="rect">
            <a:avLst/>
          </a:prstGeom>
        </xdr:spPr>
      </xdr:pic>
      <xdr:pic>
        <xdr:nvPicPr>
          <xdr:cNvPr id="7" name="CAP" hidden="1">
            <a:hlinkClick xmlns:r="http://schemas.openxmlformats.org/officeDocument/2006/relationships" r:id="rId6" tooltip="Compressed Air / Process"/>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644468" y="4492570"/>
            <a:ext cx="1186414" cy="1130272"/>
          </a:xfrm>
          <a:prstGeom prst="rect">
            <a:avLst/>
          </a:prstGeom>
        </xdr:spPr>
      </xdr:pic>
      <xdr:pic>
        <xdr:nvPicPr>
          <xdr:cNvPr id="8" name="Motors" hidden="1">
            <a:hlinkClick xmlns:r="http://schemas.openxmlformats.org/officeDocument/2006/relationships" r:id="rId8" tooltip="Motors and Drives"/>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59658" y="4451894"/>
            <a:ext cx="1204296" cy="1169109"/>
          </a:xfrm>
          <a:prstGeom prst="rect">
            <a:avLst/>
          </a:prstGeom>
        </xdr:spPr>
      </xdr:pic>
      <xdr:pic>
        <xdr:nvPicPr>
          <xdr:cNvPr id="9" name="Refrigeration" hidden="1">
            <a:hlinkClick xmlns:r="http://schemas.openxmlformats.org/officeDocument/2006/relationships" r:id="rId10" tooltip="Refrigeration"/>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414056" y="2483225"/>
            <a:ext cx="1208743" cy="1156478"/>
          </a:xfrm>
          <a:prstGeom prst="rect">
            <a:avLst/>
          </a:prstGeom>
        </xdr:spPr>
      </xdr:pic>
      <xdr:pic>
        <xdr:nvPicPr>
          <xdr:cNvPr id="10" name="LC" hidden="1">
            <a:hlinkClick xmlns:r="http://schemas.openxmlformats.org/officeDocument/2006/relationships" r:id="rId12" tooltip="Lighting Controls"/>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761576" y="2476190"/>
            <a:ext cx="1203028" cy="1154442"/>
          </a:xfrm>
          <a:prstGeom prst="rect">
            <a:avLst/>
          </a:prstGeom>
        </xdr:spPr>
      </xdr:pic>
      <xdr:pic>
        <xdr:nvPicPr>
          <xdr:cNvPr id="11" name="HVAC">
            <a:hlinkClick xmlns:r="http://schemas.openxmlformats.org/officeDocument/2006/relationships" r:id="rId14" tooltip="HVAC"/>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8552059" y="2506492"/>
            <a:ext cx="1187026" cy="1127097"/>
          </a:xfrm>
          <a:prstGeom prst="rect">
            <a:avLst/>
          </a:prstGeom>
        </xdr:spPr>
      </xdr:pic>
      <xdr:pic>
        <xdr:nvPicPr>
          <xdr:cNvPr id="12" name="Lighting">
            <a:hlinkClick xmlns:r="http://schemas.openxmlformats.org/officeDocument/2006/relationships" r:id="rId16" tooltip="Lighting"/>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656977"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3" name="Navigation">
          <a:extLst>
            <a:ext uri="{FF2B5EF4-FFF2-40B4-BE49-F238E27FC236}">
              <a16:creationId xmlns:a16="http://schemas.microsoft.com/office/drawing/2014/main" id="{00000000-0008-0000-1300-00000D000000}"/>
            </a:ext>
          </a:extLst>
        </xdr:cNvPr>
        <xdr:cNvGrpSpPr/>
      </xdr:nvGrpSpPr>
      <xdr:grpSpPr>
        <a:xfrm>
          <a:off x="2196353" y="605118"/>
          <a:ext cx="11219890" cy="1008529"/>
          <a:chOff x="1610956" y="594360"/>
          <a:chExt cx="11437620" cy="990600"/>
        </a:xfrm>
      </xdr:grpSpPr>
      <xdr:cxnSp macro="">
        <xdr:nvCxnSpPr>
          <xdr:cNvPr id="14" name="Reference">
            <a:extLst>
              <a:ext uri="{FF2B5EF4-FFF2-40B4-BE49-F238E27FC236}">
                <a16:creationId xmlns:a16="http://schemas.microsoft.com/office/drawing/2014/main" id="{00000000-0008-0000-1300-00000E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18" tooltip="Project Review"/>
            <a:extLst>
              <a:ext uri="{FF2B5EF4-FFF2-40B4-BE49-F238E27FC236}">
                <a16:creationId xmlns:a16="http://schemas.microsoft.com/office/drawing/2014/main" id="{00000000-0008-0000-13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6" name="6: Payment">
            <a:hlinkClick xmlns:r="http://schemas.openxmlformats.org/officeDocument/2006/relationships" r:id="rId19" tooltip="Payment"/>
            <a:extLst>
              <a:ext uri="{FF2B5EF4-FFF2-40B4-BE49-F238E27FC236}">
                <a16:creationId xmlns:a16="http://schemas.microsoft.com/office/drawing/2014/main" id="{00000000-0008-0000-1300-000010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7" name="5: Equipment Input">
            <a:hlinkClick xmlns:r="http://schemas.openxmlformats.org/officeDocument/2006/relationships" r:id="rId20" tooltip="Equipment Input"/>
            <a:extLst>
              <a:ext uri="{FF2B5EF4-FFF2-40B4-BE49-F238E27FC236}">
                <a16:creationId xmlns:a16="http://schemas.microsoft.com/office/drawing/2014/main" id="{00000000-0008-0000-1300-000011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8" name="4: Building Information">
            <a:hlinkClick xmlns:r="http://schemas.openxmlformats.org/officeDocument/2006/relationships" r:id="rId21" tooltip="Building Information"/>
            <a:extLst>
              <a:ext uri="{FF2B5EF4-FFF2-40B4-BE49-F238E27FC236}">
                <a16:creationId xmlns:a16="http://schemas.microsoft.com/office/drawing/2014/main" id="{00000000-0008-0000-1300-000012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9" name="3: Customer Information">
            <a:hlinkClick xmlns:r="http://schemas.openxmlformats.org/officeDocument/2006/relationships" r:id="rId22" tooltip="Customer Information"/>
            <a:extLst>
              <a:ext uri="{FF2B5EF4-FFF2-40B4-BE49-F238E27FC236}">
                <a16:creationId xmlns:a16="http://schemas.microsoft.com/office/drawing/2014/main" id="{00000000-0008-0000-1300-000013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0" name="2: Trade Ally Info">
            <a:hlinkClick xmlns:r="http://schemas.openxmlformats.org/officeDocument/2006/relationships" r:id="rId23" tooltip="Trade Ally/Vendor Information"/>
            <a:extLst>
              <a:ext uri="{FF2B5EF4-FFF2-40B4-BE49-F238E27FC236}">
                <a16:creationId xmlns:a16="http://schemas.microsoft.com/office/drawing/2014/main" id="{00000000-0008-0000-1300-000014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1" name="1: T&amp;C's">
            <a:hlinkClick xmlns:r="http://schemas.openxmlformats.org/officeDocument/2006/relationships" r:id="rId24" tooltip="Terms &amp; Conditions"/>
            <a:extLst>
              <a:ext uri="{FF2B5EF4-FFF2-40B4-BE49-F238E27FC236}">
                <a16:creationId xmlns:a16="http://schemas.microsoft.com/office/drawing/2014/main" id="{00000000-0008-0000-1300-000015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2" name="Header">
          <a:extLst>
            <a:ext uri="{FF2B5EF4-FFF2-40B4-BE49-F238E27FC236}">
              <a16:creationId xmlns:a16="http://schemas.microsoft.com/office/drawing/2014/main" id="{00000000-0008-0000-1300-000016000000}"/>
            </a:ext>
          </a:extLst>
        </xdr:cNvPr>
        <xdr:cNvGrpSpPr/>
      </xdr:nvGrpSpPr>
      <xdr:grpSpPr>
        <a:xfrm>
          <a:off x="0" y="0"/>
          <a:ext cx="15374471" cy="605336"/>
          <a:chOff x="0" y="1452064"/>
          <a:chExt cx="15813740" cy="591889"/>
        </a:xfrm>
      </xdr:grpSpPr>
      <xdr:grpSp>
        <xdr:nvGrpSpPr>
          <xdr:cNvPr id="23" name="Header">
            <a:extLst>
              <a:ext uri="{FF2B5EF4-FFF2-40B4-BE49-F238E27FC236}">
                <a16:creationId xmlns:a16="http://schemas.microsoft.com/office/drawing/2014/main" id="{00000000-0008-0000-1300-000017000000}"/>
              </a:ext>
            </a:extLst>
          </xdr:cNvPr>
          <xdr:cNvGrpSpPr/>
        </xdr:nvGrpSpPr>
        <xdr:grpSpPr>
          <a:xfrm>
            <a:off x="0" y="1452064"/>
            <a:ext cx="15813740" cy="591889"/>
            <a:chOff x="0" y="1452064"/>
            <a:chExt cx="15813740" cy="591889"/>
          </a:xfrm>
        </xdr:grpSpPr>
        <xdr:sp macro="" textlink="">
          <xdr:nvSpPr>
            <xdr:cNvPr id="29" name="Reference">
              <a:extLst>
                <a:ext uri="{FF2B5EF4-FFF2-40B4-BE49-F238E27FC236}">
                  <a16:creationId xmlns:a16="http://schemas.microsoft.com/office/drawing/2014/main" id="{00000000-0008-0000-1300-00001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ontact">
              <a:hlinkClick xmlns:r="http://schemas.openxmlformats.org/officeDocument/2006/relationships" r:id="rId25" tooltip="Contact"/>
              <a:extLst>
                <a:ext uri="{FF2B5EF4-FFF2-40B4-BE49-F238E27FC236}">
                  <a16:creationId xmlns:a16="http://schemas.microsoft.com/office/drawing/2014/main" id="{00000000-0008-0000-1300-00001E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Completion Form">
              <a:hlinkClick xmlns:r="http://schemas.openxmlformats.org/officeDocument/2006/relationships" r:id="rId26" tooltip=" "/>
              <a:extLst>
                <a:ext uri="{FF2B5EF4-FFF2-40B4-BE49-F238E27FC236}">
                  <a16:creationId xmlns:a16="http://schemas.microsoft.com/office/drawing/2014/main" id="{00000000-0008-0000-1300-00001F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Offer Form">
              <a:hlinkClick xmlns:r="http://schemas.openxmlformats.org/officeDocument/2006/relationships" r:id="rId27" tooltip=" "/>
              <a:extLst>
                <a:ext uri="{FF2B5EF4-FFF2-40B4-BE49-F238E27FC236}">
                  <a16:creationId xmlns:a16="http://schemas.microsoft.com/office/drawing/2014/main" id="{00000000-0008-0000-1300-000020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Incentives">
              <a:extLst>
                <a:ext uri="{FF2B5EF4-FFF2-40B4-BE49-F238E27FC236}">
                  <a16:creationId xmlns:a16="http://schemas.microsoft.com/office/drawing/2014/main" id="{00000000-0008-0000-1300-00002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4" name="Instructions">
              <a:hlinkClick xmlns:r="http://schemas.openxmlformats.org/officeDocument/2006/relationships" r:id="rId28" tooltip="Instructions"/>
              <a:extLst>
                <a:ext uri="{FF2B5EF4-FFF2-40B4-BE49-F238E27FC236}">
                  <a16:creationId xmlns:a16="http://schemas.microsoft.com/office/drawing/2014/main" id="{00000000-0008-0000-1300-00002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Welcome">
              <a:hlinkClick xmlns:r="http://schemas.openxmlformats.org/officeDocument/2006/relationships" r:id="rId29" tooltip="Welcome"/>
              <a:extLst>
                <a:ext uri="{FF2B5EF4-FFF2-40B4-BE49-F238E27FC236}">
                  <a16:creationId xmlns:a16="http://schemas.microsoft.com/office/drawing/2014/main" id="{00000000-0008-0000-1300-00002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Evergy Logo">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7" name="State">
              <a:extLst>
                <a:ext uri="{FF2B5EF4-FFF2-40B4-BE49-F238E27FC236}">
                  <a16:creationId xmlns:a16="http://schemas.microsoft.com/office/drawing/2014/main" id="{00000000-0008-0000-1300-00002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4" name="Dividers">
            <a:extLst>
              <a:ext uri="{FF2B5EF4-FFF2-40B4-BE49-F238E27FC236}">
                <a16:creationId xmlns:a16="http://schemas.microsoft.com/office/drawing/2014/main" id="{00000000-0008-0000-1300-000018000000}"/>
              </a:ext>
            </a:extLst>
          </xdr:cNvPr>
          <xdr:cNvGrpSpPr/>
        </xdr:nvGrpSpPr>
        <xdr:grpSpPr>
          <a:xfrm>
            <a:off x="1613405" y="1537433"/>
            <a:ext cx="11616513" cy="423049"/>
            <a:chOff x="1612951" y="85725"/>
            <a:chExt cx="11618931" cy="423022"/>
          </a:xfrm>
        </xdr:grpSpPr>
        <xdr:cxnSp macro="">
          <xdr:nvCxnSpPr>
            <xdr:cNvPr id="25" name="Divider 4">
              <a:extLst>
                <a:ext uri="{FF2B5EF4-FFF2-40B4-BE49-F238E27FC236}">
                  <a16:creationId xmlns:a16="http://schemas.microsoft.com/office/drawing/2014/main" id="{00000000-0008-0000-1300-00001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3">
              <a:extLst>
                <a:ext uri="{FF2B5EF4-FFF2-40B4-BE49-F238E27FC236}">
                  <a16:creationId xmlns:a16="http://schemas.microsoft.com/office/drawing/2014/main" id="{00000000-0008-0000-1300-00001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2">
              <a:extLst>
                <a:ext uri="{FF2B5EF4-FFF2-40B4-BE49-F238E27FC236}">
                  <a16:creationId xmlns:a16="http://schemas.microsoft.com/office/drawing/2014/main" id="{00000000-0008-0000-1300-00001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1">
              <a:extLst>
                <a:ext uri="{FF2B5EF4-FFF2-40B4-BE49-F238E27FC236}">
                  <a16:creationId xmlns:a16="http://schemas.microsoft.com/office/drawing/2014/main" id="{00000000-0008-0000-1300-00001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4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4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84026</xdr:rowOff>
    </xdr:from>
    <xdr:to>
      <xdr:col>40</xdr:col>
      <xdr:colOff>95848</xdr:colOff>
      <xdr:row>28</xdr:row>
      <xdr:rowOff>91655</xdr:rowOff>
    </xdr:to>
    <xdr:grpSp>
      <xdr:nvGrpSpPr>
        <xdr:cNvPr id="4" name="Measure Categories">
          <a:extLst>
            <a:ext uri="{FF2B5EF4-FFF2-40B4-BE49-F238E27FC236}">
              <a16:creationId xmlns:a16="http://schemas.microsoft.com/office/drawing/2014/main" id="{00000000-0008-0000-1400-000004000000}"/>
            </a:ext>
          </a:extLst>
        </xdr:cNvPr>
        <xdr:cNvGrpSpPr/>
      </xdr:nvGrpSpPr>
      <xdr:grpSpPr>
        <a:xfrm>
          <a:off x="2995897" y="2504497"/>
          <a:ext cx="9650539" cy="3234923"/>
          <a:chOff x="3052375" y="2461466"/>
          <a:chExt cx="9845073" cy="3177549"/>
        </a:xfrm>
      </xdr:grpSpPr>
      <xdr:pic>
        <xdr:nvPicPr>
          <xdr:cNvPr id="5" name="Misc">
            <a:hlinkClick xmlns:r="http://schemas.openxmlformats.org/officeDocument/2006/relationships" r:id="rId3" tooltip="Miscellaneous"/>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709635" y="4443229"/>
            <a:ext cx="1187813" cy="1122146"/>
          </a:xfrm>
          <a:prstGeom prst="rect">
            <a:avLst/>
          </a:prstGeom>
        </xdr:spPr>
      </xdr:pic>
      <xdr:pic>
        <xdr:nvPicPr>
          <xdr:cNvPr id="6" name="WHFS">
            <a:hlinkClick xmlns:r="http://schemas.openxmlformats.org/officeDocument/2006/relationships" r:id="rId5" tooltip="Water Heating / Cooking"/>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824977" y="4426415"/>
            <a:ext cx="1211986" cy="1174824"/>
          </a:xfrm>
          <a:prstGeom prst="rect">
            <a:avLst/>
          </a:prstGeom>
        </xdr:spPr>
      </xdr:pic>
      <xdr:pic>
        <xdr:nvPicPr>
          <xdr:cNvPr id="7" name="CAP">
            <a:hlinkClick xmlns:r="http://schemas.openxmlformats.org/officeDocument/2006/relationships" r:id="rId7" tooltip="Compressed Air / Process"/>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946708" y="4438538"/>
            <a:ext cx="1186414" cy="1130272"/>
          </a:xfrm>
          <a:prstGeom prst="rect">
            <a:avLst/>
          </a:prstGeom>
        </xdr:spPr>
      </xdr:pic>
      <xdr:pic>
        <xdr:nvPicPr>
          <xdr:cNvPr id="8" name="Motors">
            <a:hlinkClick xmlns:r="http://schemas.openxmlformats.org/officeDocument/2006/relationships" r:id="rId9" tooltip="Motors and Drives"/>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53010" y="4469906"/>
            <a:ext cx="1204296" cy="1169109"/>
          </a:xfrm>
          <a:prstGeom prst="rect">
            <a:avLst/>
          </a:prstGeom>
        </xdr:spPr>
      </xdr:pic>
      <xdr:pic>
        <xdr:nvPicPr>
          <xdr:cNvPr id="9" name="HVAC">
            <a:hlinkClick xmlns:r="http://schemas.openxmlformats.org/officeDocument/2006/relationships" r:id="rId11" tooltip="HVAC"/>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1707806" y="2461466"/>
            <a:ext cx="1187026" cy="1127097"/>
          </a:xfrm>
          <a:prstGeom prst="rect">
            <a:avLst/>
          </a:prstGeom>
        </xdr:spPr>
      </xdr:pic>
      <xdr:pic>
        <xdr:nvPicPr>
          <xdr:cNvPr id="10" name="Refrigeration">
            <a:hlinkClick xmlns:r="http://schemas.openxmlformats.org/officeDocument/2006/relationships" r:id="rId13" tooltip="Refrigeration"/>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827233" y="2465215"/>
            <a:ext cx="1208743" cy="1156478"/>
          </a:xfrm>
          <a:prstGeom prst="rect">
            <a:avLst/>
          </a:prstGeom>
        </xdr:spPr>
      </xdr:pic>
      <xdr:pic>
        <xdr:nvPicPr>
          <xdr:cNvPr id="11" name="LC">
            <a:hlinkClick xmlns:r="http://schemas.openxmlformats.org/officeDocument/2006/relationships" r:id="rId15" tooltip="Lighting Controls"/>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935102" y="2467185"/>
            <a:ext cx="1203028" cy="1154442"/>
          </a:xfrm>
          <a:prstGeom prst="rect">
            <a:avLst/>
          </a:prstGeom>
        </xdr:spPr>
      </xdr:pic>
      <xdr:pic>
        <xdr:nvPicPr>
          <xdr:cNvPr id="12" name="Lighting">
            <a:hlinkClick xmlns:r="http://schemas.openxmlformats.org/officeDocument/2006/relationships" r:id="rId17" tooltip="Lighting"/>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052375"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3" name="Navigation">
          <a:extLst>
            <a:ext uri="{FF2B5EF4-FFF2-40B4-BE49-F238E27FC236}">
              <a16:creationId xmlns:a16="http://schemas.microsoft.com/office/drawing/2014/main" id="{00000000-0008-0000-1400-00000D000000}"/>
            </a:ext>
          </a:extLst>
        </xdr:cNvPr>
        <xdr:cNvGrpSpPr/>
      </xdr:nvGrpSpPr>
      <xdr:grpSpPr>
        <a:xfrm>
          <a:off x="2196353" y="605118"/>
          <a:ext cx="11219890" cy="1008529"/>
          <a:chOff x="1610956" y="594360"/>
          <a:chExt cx="11437620" cy="990600"/>
        </a:xfrm>
      </xdr:grpSpPr>
      <xdr:cxnSp macro="">
        <xdr:nvCxnSpPr>
          <xdr:cNvPr id="14" name="Reference">
            <a:extLst>
              <a:ext uri="{FF2B5EF4-FFF2-40B4-BE49-F238E27FC236}">
                <a16:creationId xmlns:a16="http://schemas.microsoft.com/office/drawing/2014/main" id="{00000000-0008-0000-1400-00000E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19" tooltip="Project Review"/>
            <a:extLst>
              <a:ext uri="{FF2B5EF4-FFF2-40B4-BE49-F238E27FC236}">
                <a16:creationId xmlns:a16="http://schemas.microsoft.com/office/drawing/2014/main" id="{00000000-0008-0000-14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6" name="6: Payment">
            <a:hlinkClick xmlns:r="http://schemas.openxmlformats.org/officeDocument/2006/relationships" r:id="rId20" tooltip="Payment"/>
            <a:extLst>
              <a:ext uri="{FF2B5EF4-FFF2-40B4-BE49-F238E27FC236}">
                <a16:creationId xmlns:a16="http://schemas.microsoft.com/office/drawing/2014/main" id="{00000000-0008-0000-1400-000010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7" name="5: Equipment Input">
            <a:hlinkClick xmlns:r="http://schemas.openxmlformats.org/officeDocument/2006/relationships" r:id="rId21" tooltip="Equipment Input"/>
            <a:extLst>
              <a:ext uri="{FF2B5EF4-FFF2-40B4-BE49-F238E27FC236}">
                <a16:creationId xmlns:a16="http://schemas.microsoft.com/office/drawing/2014/main" id="{00000000-0008-0000-1400-000011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8" name="4: Building Information">
            <a:hlinkClick xmlns:r="http://schemas.openxmlformats.org/officeDocument/2006/relationships" r:id="rId22" tooltip="Building Information"/>
            <a:extLst>
              <a:ext uri="{FF2B5EF4-FFF2-40B4-BE49-F238E27FC236}">
                <a16:creationId xmlns:a16="http://schemas.microsoft.com/office/drawing/2014/main" id="{00000000-0008-0000-1400-000012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9" name="3: Customer Information">
            <a:hlinkClick xmlns:r="http://schemas.openxmlformats.org/officeDocument/2006/relationships" r:id="rId23" tooltip="Customer Information"/>
            <a:extLst>
              <a:ext uri="{FF2B5EF4-FFF2-40B4-BE49-F238E27FC236}">
                <a16:creationId xmlns:a16="http://schemas.microsoft.com/office/drawing/2014/main" id="{00000000-0008-0000-1400-000013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0" name="2: Trade Ally Info">
            <a:hlinkClick xmlns:r="http://schemas.openxmlformats.org/officeDocument/2006/relationships" r:id="rId24" tooltip="Trade Ally/Vendor Information"/>
            <a:extLst>
              <a:ext uri="{FF2B5EF4-FFF2-40B4-BE49-F238E27FC236}">
                <a16:creationId xmlns:a16="http://schemas.microsoft.com/office/drawing/2014/main" id="{00000000-0008-0000-1400-000014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1" name="1: T&amp;C's">
            <a:hlinkClick xmlns:r="http://schemas.openxmlformats.org/officeDocument/2006/relationships" r:id="rId25" tooltip="Terms &amp; Conditions"/>
            <a:extLst>
              <a:ext uri="{FF2B5EF4-FFF2-40B4-BE49-F238E27FC236}">
                <a16:creationId xmlns:a16="http://schemas.microsoft.com/office/drawing/2014/main" id="{00000000-0008-0000-1400-000015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2" name="Header">
          <a:extLst>
            <a:ext uri="{FF2B5EF4-FFF2-40B4-BE49-F238E27FC236}">
              <a16:creationId xmlns:a16="http://schemas.microsoft.com/office/drawing/2014/main" id="{00000000-0008-0000-1400-000016000000}"/>
            </a:ext>
          </a:extLst>
        </xdr:cNvPr>
        <xdr:cNvGrpSpPr/>
      </xdr:nvGrpSpPr>
      <xdr:grpSpPr>
        <a:xfrm>
          <a:off x="0" y="0"/>
          <a:ext cx="15374471" cy="605336"/>
          <a:chOff x="0" y="1452064"/>
          <a:chExt cx="15813740" cy="591889"/>
        </a:xfrm>
      </xdr:grpSpPr>
      <xdr:grpSp>
        <xdr:nvGrpSpPr>
          <xdr:cNvPr id="23" name="Header">
            <a:extLst>
              <a:ext uri="{FF2B5EF4-FFF2-40B4-BE49-F238E27FC236}">
                <a16:creationId xmlns:a16="http://schemas.microsoft.com/office/drawing/2014/main" id="{00000000-0008-0000-1400-000017000000}"/>
              </a:ext>
            </a:extLst>
          </xdr:cNvPr>
          <xdr:cNvGrpSpPr/>
        </xdr:nvGrpSpPr>
        <xdr:grpSpPr>
          <a:xfrm>
            <a:off x="0" y="1452064"/>
            <a:ext cx="15813740" cy="591889"/>
            <a:chOff x="0" y="1452064"/>
            <a:chExt cx="15813740" cy="591889"/>
          </a:xfrm>
        </xdr:grpSpPr>
        <xdr:sp macro="" textlink="">
          <xdr:nvSpPr>
            <xdr:cNvPr id="29" name="Reference">
              <a:extLst>
                <a:ext uri="{FF2B5EF4-FFF2-40B4-BE49-F238E27FC236}">
                  <a16:creationId xmlns:a16="http://schemas.microsoft.com/office/drawing/2014/main" id="{00000000-0008-0000-1400-00001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ontact">
              <a:hlinkClick xmlns:r="http://schemas.openxmlformats.org/officeDocument/2006/relationships" r:id="rId26" tooltip="Contact"/>
              <a:extLst>
                <a:ext uri="{FF2B5EF4-FFF2-40B4-BE49-F238E27FC236}">
                  <a16:creationId xmlns:a16="http://schemas.microsoft.com/office/drawing/2014/main" id="{00000000-0008-0000-1400-00001E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Completion Form">
              <a:hlinkClick xmlns:r="http://schemas.openxmlformats.org/officeDocument/2006/relationships" r:id="rId27" tooltip=" "/>
              <a:extLst>
                <a:ext uri="{FF2B5EF4-FFF2-40B4-BE49-F238E27FC236}">
                  <a16:creationId xmlns:a16="http://schemas.microsoft.com/office/drawing/2014/main" id="{00000000-0008-0000-1400-00001F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Offer Form">
              <a:hlinkClick xmlns:r="http://schemas.openxmlformats.org/officeDocument/2006/relationships" r:id="rId28" tooltip=" "/>
              <a:extLst>
                <a:ext uri="{FF2B5EF4-FFF2-40B4-BE49-F238E27FC236}">
                  <a16:creationId xmlns:a16="http://schemas.microsoft.com/office/drawing/2014/main" id="{00000000-0008-0000-1400-000020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Incentives">
              <a:extLst>
                <a:ext uri="{FF2B5EF4-FFF2-40B4-BE49-F238E27FC236}">
                  <a16:creationId xmlns:a16="http://schemas.microsoft.com/office/drawing/2014/main" id="{00000000-0008-0000-1400-00002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4" name="Instructions">
              <a:hlinkClick xmlns:r="http://schemas.openxmlformats.org/officeDocument/2006/relationships" r:id="rId29" tooltip="Instructions"/>
              <a:extLst>
                <a:ext uri="{FF2B5EF4-FFF2-40B4-BE49-F238E27FC236}">
                  <a16:creationId xmlns:a16="http://schemas.microsoft.com/office/drawing/2014/main" id="{00000000-0008-0000-1400-00002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Welcome">
              <a:hlinkClick xmlns:r="http://schemas.openxmlformats.org/officeDocument/2006/relationships" r:id="rId30" tooltip="Welcome"/>
              <a:extLst>
                <a:ext uri="{FF2B5EF4-FFF2-40B4-BE49-F238E27FC236}">
                  <a16:creationId xmlns:a16="http://schemas.microsoft.com/office/drawing/2014/main" id="{00000000-0008-0000-1400-00002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Evergy Logo">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7" name="State">
              <a:extLst>
                <a:ext uri="{FF2B5EF4-FFF2-40B4-BE49-F238E27FC236}">
                  <a16:creationId xmlns:a16="http://schemas.microsoft.com/office/drawing/2014/main" id="{00000000-0008-0000-1400-00002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4" name="Dividers">
            <a:extLst>
              <a:ext uri="{FF2B5EF4-FFF2-40B4-BE49-F238E27FC236}">
                <a16:creationId xmlns:a16="http://schemas.microsoft.com/office/drawing/2014/main" id="{00000000-0008-0000-1400-000018000000}"/>
              </a:ext>
            </a:extLst>
          </xdr:cNvPr>
          <xdr:cNvGrpSpPr/>
        </xdr:nvGrpSpPr>
        <xdr:grpSpPr>
          <a:xfrm>
            <a:off x="1613405" y="1537433"/>
            <a:ext cx="11616513" cy="423049"/>
            <a:chOff x="1612951" y="85725"/>
            <a:chExt cx="11618931" cy="423022"/>
          </a:xfrm>
        </xdr:grpSpPr>
        <xdr:cxnSp macro="">
          <xdr:nvCxnSpPr>
            <xdr:cNvPr id="25" name="Divider 4">
              <a:extLst>
                <a:ext uri="{FF2B5EF4-FFF2-40B4-BE49-F238E27FC236}">
                  <a16:creationId xmlns:a16="http://schemas.microsoft.com/office/drawing/2014/main" id="{00000000-0008-0000-1400-00001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3">
              <a:extLst>
                <a:ext uri="{FF2B5EF4-FFF2-40B4-BE49-F238E27FC236}">
                  <a16:creationId xmlns:a16="http://schemas.microsoft.com/office/drawing/2014/main" id="{00000000-0008-0000-1400-00001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2">
              <a:extLst>
                <a:ext uri="{FF2B5EF4-FFF2-40B4-BE49-F238E27FC236}">
                  <a16:creationId xmlns:a16="http://schemas.microsoft.com/office/drawing/2014/main" id="{00000000-0008-0000-1400-00001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1">
              <a:extLst>
                <a:ext uri="{FF2B5EF4-FFF2-40B4-BE49-F238E27FC236}">
                  <a16:creationId xmlns:a16="http://schemas.microsoft.com/office/drawing/2014/main" id="{00000000-0008-0000-1400-00001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78914</xdr:rowOff>
    </xdr:to>
    <xdr:grpSp>
      <xdr:nvGrpSpPr>
        <xdr:cNvPr id="59" name="Select 1">
          <a:extLst>
            <a:ext uri="{FF2B5EF4-FFF2-40B4-BE49-F238E27FC236}">
              <a16:creationId xmlns:a16="http://schemas.microsoft.com/office/drawing/2014/main" id="{00000000-0008-0000-1500-00003B000000}"/>
            </a:ext>
          </a:extLst>
        </xdr:cNvPr>
        <xdr:cNvGrpSpPr/>
      </xdr:nvGrpSpPr>
      <xdr:grpSpPr>
        <a:xfrm>
          <a:off x="1882588" y="2622176"/>
          <a:ext cx="3439496" cy="280620"/>
          <a:chOff x="1037447" y="2413275"/>
          <a:chExt cx="3529144" cy="276137"/>
        </a:xfrm>
      </xdr:grpSpPr>
      <xdr:cxnSp macro="">
        <xdr:nvCxnSpPr>
          <xdr:cNvPr id="60" name="Reference - V">
            <a:extLst>
              <a:ext uri="{FF2B5EF4-FFF2-40B4-BE49-F238E27FC236}">
                <a16:creationId xmlns:a16="http://schemas.microsoft.com/office/drawing/2014/main" id="{00000000-0008-0000-1500-00003C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8" name="Reference - H">
            <a:extLst>
              <a:ext uri="{FF2B5EF4-FFF2-40B4-BE49-F238E27FC236}">
                <a16:creationId xmlns:a16="http://schemas.microsoft.com/office/drawing/2014/main" id="{00000000-0008-0000-1500-00004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0" name="Options">
            <a:extLst>
              <a:ext uri="{FF2B5EF4-FFF2-40B4-BE49-F238E27FC236}">
                <a16:creationId xmlns:a16="http://schemas.microsoft.com/office/drawing/2014/main" id="{00000000-0008-0000-1500-000046000000}"/>
              </a:ext>
            </a:extLst>
          </xdr:cNvPr>
          <xdr:cNvGrpSpPr/>
        </xdr:nvGrpSpPr>
        <xdr:grpSpPr>
          <a:xfrm>
            <a:off x="1219200" y="2510935"/>
            <a:ext cx="3347391" cy="178477"/>
            <a:chOff x="1219200" y="2510935"/>
            <a:chExt cx="3347391" cy="178477"/>
          </a:xfrm>
        </xdr:grpSpPr>
        <xdr:sp macro="" textlink="">
          <xdr:nvSpPr>
            <xdr:cNvPr id="72" name="Custom">
              <a:hlinkClick xmlns:r="http://schemas.openxmlformats.org/officeDocument/2006/relationships" r:id="rId1"/>
              <a:extLst>
                <a:ext uri="{FF2B5EF4-FFF2-40B4-BE49-F238E27FC236}">
                  <a16:creationId xmlns:a16="http://schemas.microsoft.com/office/drawing/2014/main" id="{00000000-0008-0000-1500-000048000000}"/>
                </a:ext>
              </a:extLst>
            </xdr:cNvPr>
            <xdr:cNvSpPr/>
          </xdr:nvSpPr>
          <xdr:spPr>
            <a:xfrm>
              <a:off x="3460167" y="2510935"/>
              <a:ext cx="1106424" cy="178477"/>
            </a:xfrm>
            <a:prstGeom prst="rect">
              <a:avLst/>
            </a:prstGeom>
            <a:solidFill>
              <a:schemeClr val="bg1">
                <a:lumMod val="85000"/>
              </a:schemeClr>
            </a:solidFill>
            <a:ln>
              <a:solidFill>
                <a:schemeClr val="bg1">
                  <a:lumMod val="85000"/>
                </a:schemeClr>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3" name="Custom Lite">
              <a:hlinkClick xmlns:r="http://schemas.openxmlformats.org/officeDocument/2006/relationships" r:id="rId2"/>
              <a:extLst>
                <a:ext uri="{FF2B5EF4-FFF2-40B4-BE49-F238E27FC236}">
                  <a16:creationId xmlns:a16="http://schemas.microsoft.com/office/drawing/2014/main" id="{00000000-0008-0000-1500-000049000000}"/>
                </a:ext>
              </a:extLst>
            </xdr:cNvPr>
            <xdr:cNvSpPr/>
          </xdr:nvSpPr>
          <xdr:spPr>
            <a:xfrm>
              <a:off x="2339939" y="2510935"/>
              <a:ext cx="1106424" cy="178477"/>
            </a:xfrm>
            <a:prstGeom prst="rect">
              <a:avLst/>
            </a:prstGeom>
            <a:solidFill>
              <a:srgbClr val="D9D9D9"/>
            </a:solidFill>
            <a:ln>
              <a:solidFill>
                <a:schemeClr val="bg1">
                  <a:lumMod val="85000"/>
                </a:schemeClr>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Custom Lite</a:t>
              </a:r>
              <a:endParaRPr lang="en-US" sz="1100" b="1" baseline="0">
                <a:solidFill>
                  <a:schemeClr val="tx1"/>
                </a:solidFill>
                <a:latin typeface="Arial" panose="020B0604020202020204" pitchFamily="34" charset="0"/>
                <a:cs typeface="Arial" panose="020B0604020202020204" pitchFamily="34" charset="0"/>
              </a:endParaRPr>
            </a:p>
          </xdr:txBody>
        </xdr:sp>
        <xdr:sp macro="" textlink="">
          <xdr:nvSpPr>
            <xdr:cNvPr id="74" name="Standard">
              <a:hlinkClick xmlns:r="http://schemas.openxmlformats.org/officeDocument/2006/relationships" r:id="rId3"/>
              <a:extLst>
                <a:ext uri="{FF2B5EF4-FFF2-40B4-BE49-F238E27FC236}">
                  <a16:creationId xmlns:a16="http://schemas.microsoft.com/office/drawing/2014/main" id="{00000000-0008-0000-1500-00004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1</xdr:col>
      <xdr:colOff>95032</xdr:colOff>
      <xdr:row>8</xdr:row>
      <xdr:rowOff>96644</xdr:rowOff>
    </xdr:from>
    <xdr:to>
      <xdr:col>3</xdr:col>
      <xdr:colOff>2543</xdr:colOff>
      <xdr:row>10</xdr:row>
      <xdr:rowOff>102807</xdr:rowOff>
    </xdr:to>
    <xdr:sp macro="" textlink="">
      <xdr:nvSpPr>
        <xdr:cNvPr id="35" name="Arrow: Left M3S2">
          <a:hlinkClick xmlns:r="http://schemas.openxmlformats.org/officeDocument/2006/relationships" r:id="rId4" tooltip="Back: Equipment Type"/>
          <a:extLst>
            <a:ext uri="{FF2B5EF4-FFF2-40B4-BE49-F238E27FC236}">
              <a16:creationId xmlns:a16="http://schemas.microsoft.com/office/drawing/2014/main" id="{00000000-0008-0000-1500-000023000000}"/>
            </a:ext>
          </a:extLst>
        </xdr:cNvPr>
        <xdr:cNvSpPr/>
      </xdr:nvSpPr>
      <xdr:spPr>
        <a:xfrm>
          <a:off x="414988" y="1679583"/>
          <a:ext cx="539327" cy="4038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6747</xdr:colOff>
      <xdr:row>8</xdr:row>
      <xdr:rowOff>96644</xdr:rowOff>
    </xdr:from>
    <xdr:to>
      <xdr:col>47</xdr:col>
      <xdr:colOff>226119</xdr:colOff>
      <xdr:row>10</xdr:row>
      <xdr:rowOff>102807</xdr:rowOff>
    </xdr:to>
    <xdr:sp macro="" textlink="">
      <xdr:nvSpPr>
        <xdr:cNvPr id="38" name="Arrow: Right M3S2">
          <a:hlinkClick xmlns:r="http://schemas.openxmlformats.org/officeDocument/2006/relationships" r:id="rId5" tooltip="Foward: Lighting Controls"/>
          <a:extLst>
            <a:ext uri="{FF2B5EF4-FFF2-40B4-BE49-F238E27FC236}">
              <a16:creationId xmlns:a16="http://schemas.microsoft.com/office/drawing/2014/main" id="{00000000-0008-0000-1500-000026000000}"/>
            </a:ext>
          </a:extLst>
        </xdr:cNvPr>
        <xdr:cNvSpPr/>
      </xdr:nvSpPr>
      <xdr:spPr>
        <a:xfrm>
          <a:off x="13444891" y="1679583"/>
          <a:ext cx="539327" cy="4038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320039</xdr:colOff>
      <xdr:row>7</xdr:row>
      <xdr:rowOff>195703</xdr:rowOff>
    </xdr:from>
    <xdr:to>
      <xdr:col>41</xdr:col>
      <xdr:colOff>0</xdr:colOff>
      <xdr:row>11</xdr:row>
      <xdr:rowOff>0</xdr:rowOff>
    </xdr:to>
    <xdr:grpSp>
      <xdr:nvGrpSpPr>
        <xdr:cNvPr id="2" name="Measure Categories">
          <a:extLst>
            <a:ext uri="{FF2B5EF4-FFF2-40B4-BE49-F238E27FC236}">
              <a16:creationId xmlns:a16="http://schemas.microsoft.com/office/drawing/2014/main" id="{00000000-0008-0000-1500-000002000000}"/>
            </a:ext>
          </a:extLst>
        </xdr:cNvPr>
        <xdr:cNvGrpSpPr/>
      </xdr:nvGrpSpPr>
      <xdr:grpSpPr>
        <a:xfrm>
          <a:off x="2820632" y="1607644"/>
          <a:ext cx="10043721" cy="611121"/>
          <a:chOff x="2240280" y="1582544"/>
          <a:chExt cx="10241281" cy="596777"/>
        </a:xfrm>
      </xdr:grpSpPr>
      <xdr:grpSp>
        <xdr:nvGrpSpPr>
          <xdr:cNvPr id="4" name="Categories">
            <a:extLst>
              <a:ext uri="{FF2B5EF4-FFF2-40B4-BE49-F238E27FC236}">
                <a16:creationId xmlns:a16="http://schemas.microsoft.com/office/drawing/2014/main" id="{00000000-0008-0000-15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3" tooltip="Lighting"/>
              <a:extLst>
                <a:ext uri="{FF2B5EF4-FFF2-40B4-BE49-F238E27FC236}">
                  <a16:creationId xmlns:a16="http://schemas.microsoft.com/office/drawing/2014/main" id="{00000000-0008-0000-15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15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15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extLst>
                <a:ext uri="{FF2B5EF4-FFF2-40B4-BE49-F238E27FC236}">
                  <a16:creationId xmlns:a16="http://schemas.microsoft.com/office/drawing/2014/main" id="{00000000-0008-0000-15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otors and Drives">
              <a:hlinkClick xmlns:r="http://schemas.openxmlformats.org/officeDocument/2006/relationships" r:id="rId8" tooltip="Motors and Drives"/>
              <a:extLst>
                <a:ext uri="{FF2B5EF4-FFF2-40B4-BE49-F238E27FC236}">
                  <a16:creationId xmlns:a16="http://schemas.microsoft.com/office/drawing/2014/main" id="{00000000-0008-0000-1500-000037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CAP">
              <a:hlinkClick xmlns:r="http://schemas.openxmlformats.org/officeDocument/2006/relationships" r:id="rId9" tooltip="Compressed Air / Process"/>
              <a:extLst>
                <a:ext uri="{FF2B5EF4-FFF2-40B4-BE49-F238E27FC236}">
                  <a16:creationId xmlns:a16="http://schemas.microsoft.com/office/drawing/2014/main" id="{00000000-0008-0000-1500-000038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HFS">
              <a:hlinkClick xmlns:r="http://schemas.openxmlformats.org/officeDocument/2006/relationships" r:id="rId10" tooltip="Water Heating / Food Services"/>
              <a:extLst>
                <a:ext uri="{FF2B5EF4-FFF2-40B4-BE49-F238E27FC236}">
                  <a16:creationId xmlns:a16="http://schemas.microsoft.com/office/drawing/2014/main" id="{00000000-0008-0000-1500-000039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Miscellaneous">
              <a:extLst>
                <a:ext uri="{FF2B5EF4-FFF2-40B4-BE49-F238E27FC236}">
                  <a16:creationId xmlns:a16="http://schemas.microsoft.com/office/drawing/2014/main" id="{00000000-0008-0000-1500-00003A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5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5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5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5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5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5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5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5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5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5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1" tooltip="Project Review"/>
            <a:extLst>
              <a:ext uri="{FF2B5EF4-FFF2-40B4-BE49-F238E27FC236}">
                <a16:creationId xmlns:a16="http://schemas.microsoft.com/office/drawing/2014/main" id="{00000000-0008-0000-15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2" tooltip="Payment"/>
            <a:extLst>
              <a:ext uri="{FF2B5EF4-FFF2-40B4-BE49-F238E27FC236}">
                <a16:creationId xmlns:a16="http://schemas.microsoft.com/office/drawing/2014/main" id="{00000000-0008-0000-15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4" tooltip="Equipment Input"/>
            <a:extLst>
              <a:ext uri="{FF2B5EF4-FFF2-40B4-BE49-F238E27FC236}">
                <a16:creationId xmlns:a16="http://schemas.microsoft.com/office/drawing/2014/main" id="{00000000-0008-0000-15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3" tooltip="Building Information"/>
            <a:extLst>
              <a:ext uri="{FF2B5EF4-FFF2-40B4-BE49-F238E27FC236}">
                <a16:creationId xmlns:a16="http://schemas.microsoft.com/office/drawing/2014/main" id="{00000000-0008-0000-15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4" tooltip="Customer Information"/>
            <a:extLst>
              <a:ext uri="{FF2B5EF4-FFF2-40B4-BE49-F238E27FC236}">
                <a16:creationId xmlns:a16="http://schemas.microsoft.com/office/drawing/2014/main" id="{00000000-0008-0000-15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5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15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7" name="Header">
          <a:extLst>
            <a:ext uri="{FF2B5EF4-FFF2-40B4-BE49-F238E27FC236}">
              <a16:creationId xmlns:a16="http://schemas.microsoft.com/office/drawing/2014/main" id="{00000000-0008-0000-1500-00001B000000}"/>
            </a:ext>
          </a:extLst>
        </xdr:cNvPr>
        <xdr:cNvGrpSpPr/>
      </xdr:nvGrpSpPr>
      <xdr:grpSpPr>
        <a:xfrm>
          <a:off x="0" y="0"/>
          <a:ext cx="15374471" cy="605336"/>
          <a:chOff x="0" y="1452064"/>
          <a:chExt cx="15813740" cy="591889"/>
        </a:xfrm>
      </xdr:grpSpPr>
      <xdr:grpSp>
        <xdr:nvGrpSpPr>
          <xdr:cNvPr id="33" name="Header">
            <a:extLst>
              <a:ext uri="{FF2B5EF4-FFF2-40B4-BE49-F238E27FC236}">
                <a16:creationId xmlns:a16="http://schemas.microsoft.com/office/drawing/2014/main" id="{00000000-0008-0000-1500-000021000000}"/>
              </a:ext>
            </a:extLst>
          </xdr:cNvPr>
          <xdr:cNvGrpSpPr/>
        </xdr:nvGrpSpPr>
        <xdr:grpSpPr>
          <a:xfrm>
            <a:off x="0" y="1452064"/>
            <a:ext cx="15813740" cy="591889"/>
            <a:chOff x="0" y="1452064"/>
            <a:chExt cx="15813740" cy="591889"/>
          </a:xfrm>
        </xdr:grpSpPr>
        <xdr:sp macro="" textlink="">
          <xdr:nvSpPr>
            <xdr:cNvPr id="42" name="Reference">
              <a:extLst>
                <a:ext uri="{FF2B5EF4-FFF2-40B4-BE49-F238E27FC236}">
                  <a16:creationId xmlns:a16="http://schemas.microsoft.com/office/drawing/2014/main" id="{00000000-0008-0000-1500-00002A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ntact">
              <a:hlinkClick xmlns:r="http://schemas.openxmlformats.org/officeDocument/2006/relationships" r:id="rId17" tooltip="Contact"/>
              <a:extLst>
                <a:ext uri="{FF2B5EF4-FFF2-40B4-BE49-F238E27FC236}">
                  <a16:creationId xmlns:a16="http://schemas.microsoft.com/office/drawing/2014/main" id="{00000000-0008-0000-1500-00002B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Form">
              <a:hlinkClick xmlns:r="http://schemas.openxmlformats.org/officeDocument/2006/relationships" r:id="rId18" tooltip=" "/>
              <a:extLst>
                <a:ext uri="{FF2B5EF4-FFF2-40B4-BE49-F238E27FC236}">
                  <a16:creationId xmlns:a16="http://schemas.microsoft.com/office/drawing/2014/main" id="{00000000-0008-0000-1500-00002C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Form">
              <a:hlinkClick xmlns:r="http://schemas.openxmlformats.org/officeDocument/2006/relationships" r:id="rId19" tooltip=" "/>
              <a:extLst>
                <a:ext uri="{FF2B5EF4-FFF2-40B4-BE49-F238E27FC236}">
                  <a16:creationId xmlns:a16="http://schemas.microsoft.com/office/drawing/2014/main" id="{00000000-0008-0000-1500-00002D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centives">
              <a:extLst>
                <a:ext uri="{FF2B5EF4-FFF2-40B4-BE49-F238E27FC236}">
                  <a16:creationId xmlns:a16="http://schemas.microsoft.com/office/drawing/2014/main" id="{00000000-0008-0000-1500-00002E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7" name="Instructions">
              <a:hlinkClick xmlns:r="http://schemas.openxmlformats.org/officeDocument/2006/relationships" r:id="rId20" tooltip="Instructions"/>
              <a:extLst>
                <a:ext uri="{FF2B5EF4-FFF2-40B4-BE49-F238E27FC236}">
                  <a16:creationId xmlns:a16="http://schemas.microsoft.com/office/drawing/2014/main" id="{00000000-0008-0000-1500-00002F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Welcome">
              <a:hlinkClick xmlns:r="http://schemas.openxmlformats.org/officeDocument/2006/relationships" r:id="rId21" tooltip="Welcome"/>
              <a:extLst>
                <a:ext uri="{FF2B5EF4-FFF2-40B4-BE49-F238E27FC236}">
                  <a16:creationId xmlns:a16="http://schemas.microsoft.com/office/drawing/2014/main" id="{00000000-0008-0000-1500-000030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1" name="Evergy Logo">
              <a:extLst>
                <a:ext uri="{FF2B5EF4-FFF2-40B4-BE49-F238E27FC236}">
                  <a16:creationId xmlns:a16="http://schemas.microsoft.com/office/drawing/2014/main" id="{00000000-0008-0000-1500-000033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4" name="State">
              <a:extLst>
                <a:ext uri="{FF2B5EF4-FFF2-40B4-BE49-F238E27FC236}">
                  <a16:creationId xmlns:a16="http://schemas.microsoft.com/office/drawing/2014/main" id="{00000000-0008-0000-1500-000036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6" name="Dividers">
            <a:extLst>
              <a:ext uri="{FF2B5EF4-FFF2-40B4-BE49-F238E27FC236}">
                <a16:creationId xmlns:a16="http://schemas.microsoft.com/office/drawing/2014/main" id="{00000000-0008-0000-1500-000024000000}"/>
              </a:ext>
            </a:extLst>
          </xdr:cNvPr>
          <xdr:cNvGrpSpPr/>
        </xdr:nvGrpSpPr>
        <xdr:grpSpPr>
          <a:xfrm>
            <a:off x="1613405" y="1537433"/>
            <a:ext cx="11616513" cy="423049"/>
            <a:chOff x="1612951" y="85725"/>
            <a:chExt cx="11618931" cy="423022"/>
          </a:xfrm>
        </xdr:grpSpPr>
        <xdr:cxnSp macro="">
          <xdr:nvCxnSpPr>
            <xdr:cNvPr id="37" name="Divider 4">
              <a:extLst>
                <a:ext uri="{FF2B5EF4-FFF2-40B4-BE49-F238E27FC236}">
                  <a16:creationId xmlns:a16="http://schemas.microsoft.com/office/drawing/2014/main" id="{00000000-0008-0000-1500-00002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3">
              <a:extLst>
                <a:ext uri="{FF2B5EF4-FFF2-40B4-BE49-F238E27FC236}">
                  <a16:creationId xmlns:a16="http://schemas.microsoft.com/office/drawing/2014/main" id="{00000000-0008-0000-1500-00002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500-00002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500-00002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6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6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6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6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6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6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6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6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6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6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95167</xdr:colOff>
      <xdr:row>8</xdr:row>
      <xdr:rowOff>94189</xdr:rowOff>
    </xdr:from>
    <xdr:to>
      <xdr:col>3</xdr:col>
      <xdr:colOff>2630</xdr:colOff>
      <xdr:row>10</xdr:row>
      <xdr:rowOff>98447</xdr:rowOff>
    </xdr:to>
    <xdr:sp macro="" textlink="">
      <xdr:nvSpPr>
        <xdr:cNvPr id="39" name="Arrow: Left M3S3">
          <a:hlinkClick xmlns:r="http://schemas.openxmlformats.org/officeDocument/2006/relationships" r:id="rId3" tooltip="Back: Lighting"/>
          <a:extLst>
            <a:ext uri="{FF2B5EF4-FFF2-40B4-BE49-F238E27FC236}">
              <a16:creationId xmlns:a16="http://schemas.microsoft.com/office/drawing/2014/main" id="{00000000-0008-0000-1600-000027000000}"/>
            </a:ext>
          </a:extLst>
        </xdr:cNvPr>
        <xdr:cNvSpPr/>
      </xdr:nvSpPr>
      <xdr:spPr>
        <a:xfrm>
          <a:off x="415074" y="1675950"/>
          <a:ext cx="539229" cy="4035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7939</xdr:colOff>
      <xdr:row>8</xdr:row>
      <xdr:rowOff>96410</xdr:rowOff>
    </xdr:from>
    <xdr:to>
      <xdr:col>47</xdr:col>
      <xdr:colOff>227262</xdr:colOff>
      <xdr:row>10</xdr:row>
      <xdr:rowOff>102573</xdr:rowOff>
    </xdr:to>
    <xdr:sp macro="" textlink="">
      <xdr:nvSpPr>
        <xdr:cNvPr id="40" name="Arrow: Right M3S3">
          <a:hlinkClick xmlns:r="http://schemas.openxmlformats.org/officeDocument/2006/relationships" r:id="rId4" tooltip="Forward: Refrigeration"/>
          <a:extLst>
            <a:ext uri="{FF2B5EF4-FFF2-40B4-BE49-F238E27FC236}">
              <a16:creationId xmlns:a16="http://schemas.microsoft.com/office/drawing/2014/main" id="{00000000-0008-0000-1600-000028000000}"/>
            </a:ext>
          </a:extLst>
        </xdr:cNvPr>
        <xdr:cNvSpPr/>
      </xdr:nvSpPr>
      <xdr:spPr>
        <a:xfrm>
          <a:off x="13444021" y="1678171"/>
          <a:ext cx="539229" cy="4035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320039</xdr:colOff>
      <xdr:row>8</xdr:row>
      <xdr:rowOff>0</xdr:rowOff>
    </xdr:from>
    <xdr:to>
      <xdr:col>41</xdr:col>
      <xdr:colOff>0</xdr:colOff>
      <xdr:row>11</xdr:row>
      <xdr:rowOff>1520</xdr:rowOff>
    </xdr:to>
    <xdr:grpSp>
      <xdr:nvGrpSpPr>
        <xdr:cNvPr id="2" name="Measure Categories">
          <a:extLst>
            <a:ext uri="{FF2B5EF4-FFF2-40B4-BE49-F238E27FC236}">
              <a16:creationId xmlns:a16="http://schemas.microsoft.com/office/drawing/2014/main" id="{00000000-0008-0000-1600-000002000000}"/>
            </a:ext>
          </a:extLst>
        </xdr:cNvPr>
        <xdr:cNvGrpSpPr/>
      </xdr:nvGrpSpPr>
      <xdr:grpSpPr>
        <a:xfrm>
          <a:off x="2820632" y="1613647"/>
          <a:ext cx="10043721" cy="606638"/>
          <a:chOff x="2240280" y="1582544"/>
          <a:chExt cx="10241281" cy="596777"/>
        </a:xfrm>
      </xdr:grpSpPr>
      <xdr:grpSp>
        <xdr:nvGrpSpPr>
          <xdr:cNvPr id="3" name="Categories">
            <a:extLst>
              <a:ext uri="{FF2B5EF4-FFF2-40B4-BE49-F238E27FC236}">
                <a16:creationId xmlns:a16="http://schemas.microsoft.com/office/drawing/2014/main" id="{00000000-0008-0000-16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6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2" tooltip="Lighting Controls"/>
              <a:extLst>
                <a:ext uri="{FF2B5EF4-FFF2-40B4-BE49-F238E27FC236}">
                  <a16:creationId xmlns:a16="http://schemas.microsoft.com/office/drawing/2014/main" id="{00000000-0008-0000-16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6" tooltip="Refrigeration"/>
              <a:extLst>
                <a:ext uri="{FF2B5EF4-FFF2-40B4-BE49-F238E27FC236}">
                  <a16:creationId xmlns:a16="http://schemas.microsoft.com/office/drawing/2014/main" id="{00000000-0008-0000-16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6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Motors and Drives">
              <a:hlinkClick xmlns:r="http://schemas.openxmlformats.org/officeDocument/2006/relationships" r:id="rId7" tooltip="Motors and Drives"/>
              <a:extLst>
                <a:ext uri="{FF2B5EF4-FFF2-40B4-BE49-F238E27FC236}">
                  <a16:creationId xmlns:a16="http://schemas.microsoft.com/office/drawing/2014/main" id="{00000000-0008-0000-1600-00003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CAP">
              <a:hlinkClick xmlns:r="http://schemas.openxmlformats.org/officeDocument/2006/relationships" r:id="rId8" tooltip="Compressed Air / Process"/>
              <a:extLst>
                <a:ext uri="{FF2B5EF4-FFF2-40B4-BE49-F238E27FC236}">
                  <a16:creationId xmlns:a16="http://schemas.microsoft.com/office/drawing/2014/main" id="{00000000-0008-0000-1600-000040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9" tooltip="Water Heating / Food Services"/>
              <a:extLst>
                <a:ext uri="{FF2B5EF4-FFF2-40B4-BE49-F238E27FC236}">
                  <a16:creationId xmlns:a16="http://schemas.microsoft.com/office/drawing/2014/main" id="{00000000-0008-0000-16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6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6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6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6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6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6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6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6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6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6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6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0" tooltip="Project Review"/>
            <a:extLst>
              <a:ext uri="{FF2B5EF4-FFF2-40B4-BE49-F238E27FC236}">
                <a16:creationId xmlns:a16="http://schemas.microsoft.com/office/drawing/2014/main" id="{00000000-0008-0000-16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1" tooltip="Payment"/>
            <a:extLst>
              <a:ext uri="{FF2B5EF4-FFF2-40B4-BE49-F238E27FC236}">
                <a16:creationId xmlns:a16="http://schemas.microsoft.com/office/drawing/2014/main" id="{00000000-0008-0000-16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2" tooltip="Equipment Input"/>
            <a:extLst>
              <a:ext uri="{FF2B5EF4-FFF2-40B4-BE49-F238E27FC236}">
                <a16:creationId xmlns:a16="http://schemas.microsoft.com/office/drawing/2014/main" id="{00000000-0008-0000-16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3" tooltip="Building Information"/>
            <a:extLst>
              <a:ext uri="{FF2B5EF4-FFF2-40B4-BE49-F238E27FC236}">
                <a16:creationId xmlns:a16="http://schemas.microsoft.com/office/drawing/2014/main" id="{00000000-0008-0000-16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4" tooltip="Customer Information"/>
            <a:extLst>
              <a:ext uri="{FF2B5EF4-FFF2-40B4-BE49-F238E27FC236}">
                <a16:creationId xmlns:a16="http://schemas.microsoft.com/office/drawing/2014/main" id="{00000000-0008-0000-1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6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6" tooltip="Terms &amp; Conditions"/>
            <a:extLst>
              <a:ext uri="{FF2B5EF4-FFF2-40B4-BE49-F238E27FC236}">
                <a16:creationId xmlns:a16="http://schemas.microsoft.com/office/drawing/2014/main" id="{00000000-0008-0000-16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5" name="Header">
          <a:extLst>
            <a:ext uri="{FF2B5EF4-FFF2-40B4-BE49-F238E27FC236}">
              <a16:creationId xmlns:a16="http://schemas.microsoft.com/office/drawing/2014/main" id="{00000000-0008-0000-1600-000023000000}"/>
            </a:ext>
          </a:extLst>
        </xdr:cNvPr>
        <xdr:cNvGrpSpPr/>
      </xdr:nvGrpSpPr>
      <xdr:grpSpPr>
        <a:xfrm>
          <a:off x="0" y="0"/>
          <a:ext cx="15374471" cy="605336"/>
          <a:chOff x="0" y="1452064"/>
          <a:chExt cx="15813740" cy="591889"/>
        </a:xfrm>
      </xdr:grpSpPr>
      <xdr:grpSp>
        <xdr:nvGrpSpPr>
          <xdr:cNvPr id="36" name="Header">
            <a:extLst>
              <a:ext uri="{FF2B5EF4-FFF2-40B4-BE49-F238E27FC236}">
                <a16:creationId xmlns:a16="http://schemas.microsoft.com/office/drawing/2014/main" id="{00000000-0008-0000-1600-000024000000}"/>
              </a:ext>
            </a:extLst>
          </xdr:cNvPr>
          <xdr:cNvGrpSpPr/>
        </xdr:nvGrpSpPr>
        <xdr:grpSpPr>
          <a:xfrm>
            <a:off x="0" y="1452064"/>
            <a:ext cx="15813740" cy="591889"/>
            <a:chOff x="0" y="1452064"/>
            <a:chExt cx="15813740" cy="591889"/>
          </a:xfrm>
        </xdr:grpSpPr>
        <xdr:sp macro="" textlink="">
          <xdr:nvSpPr>
            <xdr:cNvPr id="44" name="Reference">
              <a:extLst>
                <a:ext uri="{FF2B5EF4-FFF2-40B4-BE49-F238E27FC236}">
                  <a16:creationId xmlns:a16="http://schemas.microsoft.com/office/drawing/2014/main" id="{00000000-0008-0000-1600-00002C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7" tooltip="Contact"/>
              <a:extLst>
                <a:ext uri="{FF2B5EF4-FFF2-40B4-BE49-F238E27FC236}">
                  <a16:creationId xmlns:a16="http://schemas.microsoft.com/office/drawing/2014/main" id="{00000000-0008-0000-1600-00002F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18" tooltip=" "/>
              <a:extLst>
                <a:ext uri="{FF2B5EF4-FFF2-40B4-BE49-F238E27FC236}">
                  <a16:creationId xmlns:a16="http://schemas.microsoft.com/office/drawing/2014/main" id="{00000000-0008-0000-1600-000030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19" tooltip=" "/>
              <a:extLst>
                <a:ext uri="{FF2B5EF4-FFF2-40B4-BE49-F238E27FC236}">
                  <a16:creationId xmlns:a16="http://schemas.microsoft.com/office/drawing/2014/main" id="{00000000-0008-0000-1600-000031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centives">
              <a:extLst>
                <a:ext uri="{FF2B5EF4-FFF2-40B4-BE49-F238E27FC236}">
                  <a16:creationId xmlns:a16="http://schemas.microsoft.com/office/drawing/2014/main" id="{00000000-0008-0000-1600-00003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9" name="Instructions">
              <a:hlinkClick xmlns:r="http://schemas.openxmlformats.org/officeDocument/2006/relationships" r:id="rId20" tooltip="Instructions"/>
              <a:extLst>
                <a:ext uri="{FF2B5EF4-FFF2-40B4-BE49-F238E27FC236}">
                  <a16:creationId xmlns:a16="http://schemas.microsoft.com/office/drawing/2014/main" id="{00000000-0008-0000-1600-00003B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1" tooltip="Welcome"/>
              <a:extLst>
                <a:ext uri="{FF2B5EF4-FFF2-40B4-BE49-F238E27FC236}">
                  <a16:creationId xmlns:a16="http://schemas.microsoft.com/office/drawing/2014/main" id="{00000000-0008-0000-1600-00003C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600-00003D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2" name="State">
              <a:extLst>
                <a:ext uri="{FF2B5EF4-FFF2-40B4-BE49-F238E27FC236}">
                  <a16:creationId xmlns:a16="http://schemas.microsoft.com/office/drawing/2014/main" id="{00000000-0008-0000-1600-00003E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7" name="Dividers">
            <a:extLst>
              <a:ext uri="{FF2B5EF4-FFF2-40B4-BE49-F238E27FC236}">
                <a16:creationId xmlns:a16="http://schemas.microsoft.com/office/drawing/2014/main" id="{00000000-0008-0000-1600-000025000000}"/>
              </a:ext>
            </a:extLst>
          </xdr:cNvPr>
          <xdr:cNvGrpSpPr/>
        </xdr:nvGrpSpPr>
        <xdr:grpSpPr>
          <a:xfrm>
            <a:off x="1613405" y="1537433"/>
            <a:ext cx="11616513" cy="423049"/>
            <a:chOff x="1612951" y="85725"/>
            <a:chExt cx="11618931" cy="423022"/>
          </a:xfrm>
        </xdr:grpSpPr>
        <xdr:cxnSp macro="">
          <xdr:nvCxnSpPr>
            <xdr:cNvPr id="38" name="Divider 4">
              <a:extLst>
                <a:ext uri="{FF2B5EF4-FFF2-40B4-BE49-F238E27FC236}">
                  <a16:creationId xmlns:a16="http://schemas.microsoft.com/office/drawing/2014/main" id="{00000000-0008-0000-1600-00002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6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6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6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7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7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7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7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7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7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7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7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7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7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48" name="Arrow: Left M3S4">
          <a:hlinkClick xmlns:r="http://schemas.openxmlformats.org/officeDocument/2006/relationships" r:id="rId3" tooltip="Back: Lighting Controls"/>
          <a:extLst>
            <a:ext uri="{FF2B5EF4-FFF2-40B4-BE49-F238E27FC236}">
              <a16:creationId xmlns:a16="http://schemas.microsoft.com/office/drawing/2014/main" id="{00000000-0008-0000-1700-000030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97044</xdr:rowOff>
    </xdr:from>
    <xdr:to>
      <xdr:col>47</xdr:col>
      <xdr:colOff>226067</xdr:colOff>
      <xdr:row>10</xdr:row>
      <xdr:rowOff>103207</xdr:rowOff>
    </xdr:to>
    <xdr:sp macro="" textlink="">
      <xdr:nvSpPr>
        <xdr:cNvPr id="49" name="Arrow: Right M3S4">
          <a:hlinkClick xmlns:r="http://schemas.openxmlformats.org/officeDocument/2006/relationships" r:id="rId4"/>
          <a:extLst>
            <a:ext uri="{FF2B5EF4-FFF2-40B4-BE49-F238E27FC236}">
              <a16:creationId xmlns:a16="http://schemas.microsoft.com/office/drawing/2014/main" id="{00000000-0008-0000-1700-000031000000}"/>
            </a:ext>
          </a:extLst>
        </xdr:cNvPr>
        <xdr:cNvSpPr/>
      </xdr:nvSpPr>
      <xdr:spPr>
        <a:xfrm>
          <a:off x="13448291"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7</xdr:row>
      <xdr:rowOff>195703</xdr:rowOff>
    </xdr:from>
    <xdr:to>
      <xdr:col>41</xdr:col>
      <xdr:colOff>2691</xdr:colOff>
      <xdr:row>11</xdr:row>
      <xdr:rowOff>0</xdr:rowOff>
    </xdr:to>
    <xdr:grpSp>
      <xdr:nvGrpSpPr>
        <xdr:cNvPr id="2" name="Measure Categories">
          <a:extLst>
            <a:ext uri="{FF2B5EF4-FFF2-40B4-BE49-F238E27FC236}">
              <a16:creationId xmlns:a16="http://schemas.microsoft.com/office/drawing/2014/main" id="{00000000-0008-0000-1700-000002000000}"/>
            </a:ext>
          </a:extLst>
        </xdr:cNvPr>
        <xdr:cNvGrpSpPr/>
      </xdr:nvGrpSpPr>
      <xdr:grpSpPr>
        <a:xfrm>
          <a:off x="2823882" y="1607644"/>
          <a:ext cx="10043162" cy="611121"/>
          <a:chOff x="2240280" y="1582544"/>
          <a:chExt cx="10241281" cy="596777"/>
        </a:xfrm>
      </xdr:grpSpPr>
      <xdr:grpSp>
        <xdr:nvGrpSpPr>
          <xdr:cNvPr id="3" name="Categories">
            <a:extLst>
              <a:ext uri="{FF2B5EF4-FFF2-40B4-BE49-F238E27FC236}">
                <a16:creationId xmlns:a16="http://schemas.microsoft.com/office/drawing/2014/main" id="{00000000-0008-0000-17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7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6" tooltip="Lighting Controls"/>
              <a:extLst>
                <a:ext uri="{FF2B5EF4-FFF2-40B4-BE49-F238E27FC236}">
                  <a16:creationId xmlns:a16="http://schemas.microsoft.com/office/drawing/2014/main" id="{00000000-0008-0000-17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2" tooltip="Refrigeration"/>
              <a:extLst>
                <a:ext uri="{FF2B5EF4-FFF2-40B4-BE49-F238E27FC236}">
                  <a16:creationId xmlns:a16="http://schemas.microsoft.com/office/drawing/2014/main" id="{00000000-0008-0000-17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7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Motors and Drives">
              <a:hlinkClick xmlns:r="http://schemas.openxmlformats.org/officeDocument/2006/relationships" r:id="rId4" tooltip="Motors and Drives"/>
              <a:extLst>
                <a:ext uri="{FF2B5EF4-FFF2-40B4-BE49-F238E27FC236}">
                  <a16:creationId xmlns:a16="http://schemas.microsoft.com/office/drawing/2014/main" id="{00000000-0008-0000-1700-000040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CAP">
              <a:hlinkClick xmlns:r="http://schemas.openxmlformats.org/officeDocument/2006/relationships" r:id="rId7" tooltip="Compressed Air / Process"/>
              <a:extLst>
                <a:ext uri="{FF2B5EF4-FFF2-40B4-BE49-F238E27FC236}">
                  <a16:creationId xmlns:a16="http://schemas.microsoft.com/office/drawing/2014/main" id="{00000000-0008-0000-1700-000041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8" tooltip="Water Heating / Food Services"/>
              <a:extLst>
                <a:ext uri="{FF2B5EF4-FFF2-40B4-BE49-F238E27FC236}">
                  <a16:creationId xmlns:a16="http://schemas.microsoft.com/office/drawing/2014/main" id="{00000000-0008-0000-17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7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7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7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7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7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7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7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7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7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7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7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9" tooltip="Project Review"/>
            <a:extLst>
              <a:ext uri="{FF2B5EF4-FFF2-40B4-BE49-F238E27FC236}">
                <a16:creationId xmlns:a16="http://schemas.microsoft.com/office/drawing/2014/main" id="{00000000-0008-0000-17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0" tooltip="Payment"/>
            <a:extLst>
              <a:ext uri="{FF2B5EF4-FFF2-40B4-BE49-F238E27FC236}">
                <a16:creationId xmlns:a16="http://schemas.microsoft.com/office/drawing/2014/main" id="{00000000-0008-0000-17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1" tooltip="Equipment Input"/>
            <a:extLst>
              <a:ext uri="{FF2B5EF4-FFF2-40B4-BE49-F238E27FC236}">
                <a16:creationId xmlns:a16="http://schemas.microsoft.com/office/drawing/2014/main" id="{00000000-0008-0000-17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2" tooltip="Building Information"/>
            <a:extLst>
              <a:ext uri="{FF2B5EF4-FFF2-40B4-BE49-F238E27FC236}">
                <a16:creationId xmlns:a16="http://schemas.microsoft.com/office/drawing/2014/main" id="{00000000-0008-0000-17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3" tooltip="Customer Information"/>
            <a:extLst>
              <a:ext uri="{FF2B5EF4-FFF2-40B4-BE49-F238E27FC236}">
                <a16:creationId xmlns:a16="http://schemas.microsoft.com/office/drawing/2014/main" id="{00000000-0008-0000-17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4" tooltip="Trade Ally/Vendor Information"/>
            <a:extLst>
              <a:ext uri="{FF2B5EF4-FFF2-40B4-BE49-F238E27FC236}">
                <a16:creationId xmlns:a16="http://schemas.microsoft.com/office/drawing/2014/main" id="{00000000-0008-0000-17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5" tooltip="Terms &amp; Conditions"/>
            <a:extLst>
              <a:ext uri="{FF2B5EF4-FFF2-40B4-BE49-F238E27FC236}">
                <a16:creationId xmlns:a16="http://schemas.microsoft.com/office/drawing/2014/main" id="{00000000-0008-0000-17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8" name="Header">
          <a:extLst>
            <a:ext uri="{FF2B5EF4-FFF2-40B4-BE49-F238E27FC236}">
              <a16:creationId xmlns:a16="http://schemas.microsoft.com/office/drawing/2014/main" id="{00000000-0008-0000-1700-000026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1700-000027000000}"/>
              </a:ext>
            </a:extLst>
          </xdr:cNvPr>
          <xdr:cNvGrpSpPr/>
        </xdr:nvGrpSpPr>
        <xdr:grpSpPr>
          <a:xfrm>
            <a:off x="0" y="1452064"/>
            <a:ext cx="15813740" cy="591889"/>
            <a:chOff x="0" y="1452064"/>
            <a:chExt cx="15813740" cy="591889"/>
          </a:xfrm>
        </xdr:grpSpPr>
        <xdr:sp macro="" textlink="">
          <xdr:nvSpPr>
            <xdr:cNvPr id="46" name="Reference">
              <a:extLst>
                <a:ext uri="{FF2B5EF4-FFF2-40B4-BE49-F238E27FC236}">
                  <a16:creationId xmlns:a16="http://schemas.microsoft.com/office/drawing/2014/main" id="{00000000-0008-0000-1700-00002E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6" tooltip="Contact"/>
              <a:extLst>
                <a:ext uri="{FF2B5EF4-FFF2-40B4-BE49-F238E27FC236}">
                  <a16:creationId xmlns:a16="http://schemas.microsoft.com/office/drawing/2014/main" id="{00000000-0008-0000-1700-00003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17" tooltip=" "/>
              <a:extLst>
                <a:ext uri="{FF2B5EF4-FFF2-40B4-BE49-F238E27FC236}">
                  <a16:creationId xmlns:a16="http://schemas.microsoft.com/office/drawing/2014/main" id="{00000000-0008-0000-1700-00003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18" tooltip=" "/>
              <a:extLst>
                <a:ext uri="{FF2B5EF4-FFF2-40B4-BE49-F238E27FC236}">
                  <a16:creationId xmlns:a16="http://schemas.microsoft.com/office/drawing/2014/main" id="{00000000-0008-0000-1700-00003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centives">
              <a:extLst>
                <a:ext uri="{FF2B5EF4-FFF2-40B4-BE49-F238E27FC236}">
                  <a16:creationId xmlns:a16="http://schemas.microsoft.com/office/drawing/2014/main" id="{00000000-0008-0000-1700-00003B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0" name="Instructions">
              <a:hlinkClick xmlns:r="http://schemas.openxmlformats.org/officeDocument/2006/relationships" r:id="rId19" tooltip="Instructions"/>
              <a:extLst>
                <a:ext uri="{FF2B5EF4-FFF2-40B4-BE49-F238E27FC236}">
                  <a16:creationId xmlns:a16="http://schemas.microsoft.com/office/drawing/2014/main" id="{00000000-0008-0000-1700-00003C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0" tooltip="Welcome"/>
              <a:extLst>
                <a:ext uri="{FF2B5EF4-FFF2-40B4-BE49-F238E27FC236}">
                  <a16:creationId xmlns:a16="http://schemas.microsoft.com/office/drawing/2014/main" id="{00000000-0008-0000-1700-00003D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3" name="State">
              <a:extLst>
                <a:ext uri="{FF2B5EF4-FFF2-40B4-BE49-F238E27FC236}">
                  <a16:creationId xmlns:a16="http://schemas.microsoft.com/office/drawing/2014/main" id="{00000000-0008-0000-1700-00003F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700-000029000000}"/>
              </a:ext>
            </a:extLst>
          </xdr:cNvPr>
          <xdr:cNvGrpSpPr/>
        </xdr:nvGrpSpPr>
        <xdr:grpSpPr>
          <a:xfrm>
            <a:off x="1613405" y="1537433"/>
            <a:ext cx="11616513" cy="423049"/>
            <a:chOff x="1612951" y="85725"/>
            <a:chExt cx="11618931" cy="423022"/>
          </a:xfrm>
        </xdr:grpSpPr>
        <xdr:cxnSp macro="">
          <xdr:nvCxnSpPr>
            <xdr:cNvPr id="42" name="Divider 4">
              <a:extLst>
                <a:ext uri="{FF2B5EF4-FFF2-40B4-BE49-F238E27FC236}">
                  <a16:creationId xmlns:a16="http://schemas.microsoft.com/office/drawing/2014/main" id="{00000000-0008-0000-17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7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7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7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1836</xdr:colOff>
      <xdr:row>10</xdr:row>
      <xdr:rowOff>97492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800-00002B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800-00002C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6" name="Select">
          <a:extLst>
            <a:ext uri="{FF2B5EF4-FFF2-40B4-BE49-F238E27FC236}">
              <a16:creationId xmlns:a16="http://schemas.microsoft.com/office/drawing/2014/main" id="{00000000-0008-0000-1800-000038000000}"/>
            </a:ext>
          </a:extLst>
        </xdr:cNvPr>
        <xdr:cNvGrpSpPr/>
      </xdr:nvGrpSpPr>
      <xdr:grpSpPr>
        <a:xfrm>
          <a:off x="2196353" y="2730604"/>
          <a:ext cx="2327744" cy="294984"/>
          <a:chOff x="1599328" y="2582675"/>
          <a:chExt cx="2368648" cy="287183"/>
        </a:xfrm>
      </xdr:grpSpPr>
      <xdr:cxnSp macro="">
        <xdr:nvCxnSpPr>
          <xdr:cNvPr id="57" name="Reference - V">
            <a:extLst>
              <a:ext uri="{FF2B5EF4-FFF2-40B4-BE49-F238E27FC236}">
                <a16:creationId xmlns:a16="http://schemas.microsoft.com/office/drawing/2014/main" id="{00000000-0008-0000-1800-000039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8" name="Reference - H">
            <a:extLst>
              <a:ext uri="{FF2B5EF4-FFF2-40B4-BE49-F238E27FC236}">
                <a16:creationId xmlns:a16="http://schemas.microsoft.com/office/drawing/2014/main" id="{00000000-0008-0000-1800-00003A000000}"/>
              </a:ext>
            </a:extLst>
          </xdr:cNvPr>
          <xdr:cNvCxnSpPr>
            <a:stCxn id="66"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6" name="Custom">
            <a:hlinkClick xmlns:r="http://schemas.openxmlformats.org/officeDocument/2006/relationships" r:id="rId3" tooltip="Standard"/>
            <a:extLst>
              <a:ext uri="{FF2B5EF4-FFF2-40B4-BE49-F238E27FC236}">
                <a16:creationId xmlns:a16="http://schemas.microsoft.com/office/drawing/2014/main" id="{00000000-0008-0000-1800-000042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7" name="Standard">
            <a:hlinkClick xmlns:r="http://schemas.openxmlformats.org/officeDocument/2006/relationships" r:id="rId4" tooltip="Custom"/>
            <a:extLst>
              <a:ext uri="{FF2B5EF4-FFF2-40B4-BE49-F238E27FC236}">
                <a16:creationId xmlns:a16="http://schemas.microsoft.com/office/drawing/2014/main" id="{00000000-0008-0000-1800-000043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8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800-00001A000000}"/>
              </a:ext>
            </a:extLst>
          </xdr:cNvPr>
          <xdr:cNvGrpSpPr/>
        </xdr:nvGrpSpPr>
        <xdr:grpSpPr>
          <a:xfrm>
            <a:off x="2240280" y="1584961"/>
            <a:ext cx="10241281" cy="594360"/>
            <a:chOff x="2240280" y="1584961"/>
            <a:chExt cx="10241281" cy="594360"/>
          </a:xfrm>
        </xdr:grpSpPr>
        <xdr:sp macro="" textlink="">
          <xdr:nvSpPr>
            <xdr:cNvPr id="35" name="Lighting">
              <a:hlinkClick xmlns:r="http://schemas.openxmlformats.org/officeDocument/2006/relationships" r:id="rId5" tooltip="Lighting"/>
              <a:extLst>
                <a:ext uri="{FF2B5EF4-FFF2-40B4-BE49-F238E27FC236}">
                  <a16:creationId xmlns:a16="http://schemas.microsoft.com/office/drawing/2014/main" id="{00000000-0008-0000-18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6" tooltip="Lighting Controls"/>
              <a:extLst>
                <a:ext uri="{FF2B5EF4-FFF2-40B4-BE49-F238E27FC236}">
                  <a16:creationId xmlns:a16="http://schemas.microsoft.com/office/drawing/2014/main" id="{00000000-0008-0000-18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7" tooltip="Refrigeration"/>
              <a:extLst>
                <a:ext uri="{FF2B5EF4-FFF2-40B4-BE49-F238E27FC236}">
                  <a16:creationId xmlns:a16="http://schemas.microsoft.com/office/drawing/2014/main" id="{00000000-0008-0000-18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8" tooltip="HVAC"/>
              <a:extLst>
                <a:ext uri="{FF2B5EF4-FFF2-40B4-BE49-F238E27FC236}">
                  <a16:creationId xmlns:a16="http://schemas.microsoft.com/office/drawing/2014/main" id="{00000000-0008-0000-18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9" tooltip="Motors and Drives"/>
              <a:extLst>
                <a:ext uri="{FF2B5EF4-FFF2-40B4-BE49-F238E27FC236}">
                  <a16:creationId xmlns:a16="http://schemas.microsoft.com/office/drawing/2014/main" id="{00000000-0008-0000-18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10" tooltip="Compressed Air / Process"/>
              <a:extLst>
                <a:ext uri="{FF2B5EF4-FFF2-40B4-BE49-F238E27FC236}">
                  <a16:creationId xmlns:a16="http://schemas.microsoft.com/office/drawing/2014/main" id="{00000000-0008-0000-18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1" tooltip="Water Heating / Food Services"/>
              <a:extLst>
                <a:ext uri="{FF2B5EF4-FFF2-40B4-BE49-F238E27FC236}">
                  <a16:creationId xmlns:a16="http://schemas.microsoft.com/office/drawing/2014/main" id="{00000000-0008-0000-18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2" tooltip="Miscellaneous"/>
              <a:extLst>
                <a:ext uri="{FF2B5EF4-FFF2-40B4-BE49-F238E27FC236}">
                  <a16:creationId xmlns:a16="http://schemas.microsoft.com/office/drawing/2014/main" id="{00000000-0008-0000-18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8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8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8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8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8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8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8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8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8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8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3" tooltip="Project Review"/>
            <a:extLst>
              <a:ext uri="{FF2B5EF4-FFF2-40B4-BE49-F238E27FC236}">
                <a16:creationId xmlns:a16="http://schemas.microsoft.com/office/drawing/2014/main" id="{00000000-0008-0000-18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4" tooltip="Payment"/>
            <a:extLst>
              <a:ext uri="{FF2B5EF4-FFF2-40B4-BE49-F238E27FC236}">
                <a16:creationId xmlns:a16="http://schemas.microsoft.com/office/drawing/2014/main" id="{00000000-0008-0000-18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5" tooltip="Equipment Input"/>
            <a:extLst>
              <a:ext uri="{FF2B5EF4-FFF2-40B4-BE49-F238E27FC236}">
                <a16:creationId xmlns:a16="http://schemas.microsoft.com/office/drawing/2014/main" id="{00000000-0008-0000-18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6" tooltip="Building Information"/>
            <a:extLst>
              <a:ext uri="{FF2B5EF4-FFF2-40B4-BE49-F238E27FC236}">
                <a16:creationId xmlns:a16="http://schemas.microsoft.com/office/drawing/2014/main" id="{00000000-0008-0000-18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7" tooltip="Customer Information"/>
            <a:extLst>
              <a:ext uri="{FF2B5EF4-FFF2-40B4-BE49-F238E27FC236}">
                <a16:creationId xmlns:a16="http://schemas.microsoft.com/office/drawing/2014/main" id="{00000000-0008-0000-18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8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9" tooltip="Terms &amp; Conditions"/>
            <a:extLst>
              <a:ext uri="{FF2B5EF4-FFF2-40B4-BE49-F238E27FC236}">
                <a16:creationId xmlns:a16="http://schemas.microsoft.com/office/drawing/2014/main" id="{00000000-0008-0000-18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800-000002000000}"/>
            </a:ext>
          </a:extLst>
        </xdr:cNvPr>
        <xdr:cNvGrpSpPr/>
      </xdr:nvGrpSpPr>
      <xdr:grpSpPr>
        <a:xfrm>
          <a:off x="0" y="0"/>
          <a:ext cx="15374471" cy="605336"/>
          <a:chOff x="0" y="1452064"/>
          <a:chExt cx="15813740" cy="591889"/>
        </a:xfrm>
      </xdr:grpSpPr>
      <xdr:grpSp>
        <xdr:nvGrpSpPr>
          <xdr:cNvPr id="3" name="Header">
            <a:extLst>
              <a:ext uri="{FF2B5EF4-FFF2-40B4-BE49-F238E27FC236}">
                <a16:creationId xmlns:a16="http://schemas.microsoft.com/office/drawing/2014/main" id="{00000000-0008-0000-1800-000003000000}"/>
              </a:ext>
            </a:extLst>
          </xdr:cNvPr>
          <xdr:cNvGrpSpPr/>
        </xdr:nvGrpSpPr>
        <xdr:grpSpPr>
          <a:xfrm>
            <a:off x="0" y="1452064"/>
            <a:ext cx="15813740" cy="591889"/>
            <a:chOff x="0" y="1452064"/>
            <a:chExt cx="15813740" cy="591889"/>
          </a:xfrm>
        </xdr:grpSpPr>
        <xdr:sp macro="" textlink="">
          <xdr:nvSpPr>
            <xdr:cNvPr id="9" name="Reference">
              <a:extLst>
                <a:ext uri="{FF2B5EF4-FFF2-40B4-BE49-F238E27FC236}">
                  <a16:creationId xmlns:a16="http://schemas.microsoft.com/office/drawing/2014/main" id="{00000000-0008-0000-1800-000009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20" tooltip="Contact"/>
              <a:extLst>
                <a:ext uri="{FF2B5EF4-FFF2-40B4-BE49-F238E27FC236}">
                  <a16:creationId xmlns:a16="http://schemas.microsoft.com/office/drawing/2014/main" id="{00000000-0008-0000-1800-00000A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21" tooltip=" "/>
              <a:extLst>
                <a:ext uri="{FF2B5EF4-FFF2-40B4-BE49-F238E27FC236}">
                  <a16:creationId xmlns:a16="http://schemas.microsoft.com/office/drawing/2014/main" id="{00000000-0008-0000-1800-00000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22" tooltip=" "/>
              <a:extLst>
                <a:ext uri="{FF2B5EF4-FFF2-40B4-BE49-F238E27FC236}">
                  <a16:creationId xmlns:a16="http://schemas.microsoft.com/office/drawing/2014/main" id="{00000000-0008-0000-1800-00000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centives">
              <a:extLst>
                <a:ext uri="{FF2B5EF4-FFF2-40B4-BE49-F238E27FC236}">
                  <a16:creationId xmlns:a16="http://schemas.microsoft.com/office/drawing/2014/main" id="{00000000-0008-0000-1800-00000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14" name="Instructions">
              <a:hlinkClick xmlns:r="http://schemas.openxmlformats.org/officeDocument/2006/relationships" r:id="rId23" tooltip="Instructions"/>
              <a:extLst>
                <a:ext uri="{FF2B5EF4-FFF2-40B4-BE49-F238E27FC236}">
                  <a16:creationId xmlns:a16="http://schemas.microsoft.com/office/drawing/2014/main" id="{00000000-0008-0000-1800-00000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Welcome">
              <a:hlinkClick xmlns:r="http://schemas.openxmlformats.org/officeDocument/2006/relationships" r:id="rId24" tooltip="Welcome"/>
              <a:extLst>
                <a:ext uri="{FF2B5EF4-FFF2-40B4-BE49-F238E27FC236}">
                  <a16:creationId xmlns:a16="http://schemas.microsoft.com/office/drawing/2014/main" id="{00000000-0008-0000-1800-00000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Evergy Logo">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7" name="State">
              <a:extLst>
                <a:ext uri="{FF2B5EF4-FFF2-40B4-BE49-F238E27FC236}">
                  <a16:creationId xmlns:a16="http://schemas.microsoft.com/office/drawing/2014/main" id="{00000000-0008-0000-1800-00002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1800-000004000000}"/>
              </a:ext>
            </a:extLst>
          </xdr:cNvPr>
          <xdr:cNvGrpSpPr/>
        </xdr:nvGrpSpPr>
        <xdr:grpSpPr>
          <a:xfrm>
            <a:off x="1613405" y="1537433"/>
            <a:ext cx="11616513" cy="423049"/>
            <a:chOff x="1612951" y="85725"/>
            <a:chExt cx="11618931" cy="423022"/>
          </a:xfrm>
        </xdr:grpSpPr>
        <xdr:cxnSp macro="">
          <xdr:nvCxnSpPr>
            <xdr:cNvPr id="5" name="Divider 4">
              <a:extLst>
                <a:ext uri="{FF2B5EF4-FFF2-40B4-BE49-F238E27FC236}">
                  <a16:creationId xmlns:a16="http://schemas.microsoft.com/office/drawing/2014/main" id="{00000000-0008-0000-18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18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18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18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9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9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9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9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9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9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9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9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9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9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2" name="Arrow: Left M3S8">
          <a:hlinkClick xmlns:r="http://schemas.openxmlformats.org/officeDocument/2006/relationships" r:id="rId3"/>
          <a:extLst>
            <a:ext uri="{FF2B5EF4-FFF2-40B4-BE49-F238E27FC236}">
              <a16:creationId xmlns:a16="http://schemas.microsoft.com/office/drawing/2014/main" id="{00000000-0008-0000-1900-000002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3" name="Arrow: Right M3S8">
          <a:hlinkClick xmlns:r="http://schemas.openxmlformats.org/officeDocument/2006/relationships" r:id="rId4" tooltip="Forward: Compressed Air / Process"/>
          <a:extLst>
            <a:ext uri="{FF2B5EF4-FFF2-40B4-BE49-F238E27FC236}">
              <a16:creationId xmlns:a16="http://schemas.microsoft.com/office/drawing/2014/main" id="{00000000-0008-0000-1900-000003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320039</xdr:colOff>
      <xdr:row>8</xdr:row>
      <xdr:rowOff>0</xdr:rowOff>
    </xdr:from>
    <xdr:to>
      <xdr:col>41</xdr:col>
      <xdr:colOff>0</xdr:colOff>
      <xdr:row>11</xdr:row>
      <xdr:rowOff>1520</xdr:rowOff>
    </xdr:to>
    <xdr:grpSp>
      <xdr:nvGrpSpPr>
        <xdr:cNvPr id="4" name="Measure Categories">
          <a:extLst>
            <a:ext uri="{FF2B5EF4-FFF2-40B4-BE49-F238E27FC236}">
              <a16:creationId xmlns:a16="http://schemas.microsoft.com/office/drawing/2014/main" id="{00000000-0008-0000-1900-000004000000}"/>
            </a:ext>
          </a:extLst>
        </xdr:cNvPr>
        <xdr:cNvGrpSpPr/>
      </xdr:nvGrpSpPr>
      <xdr:grpSpPr>
        <a:xfrm>
          <a:off x="2820632" y="1613647"/>
          <a:ext cx="10043721" cy="606638"/>
          <a:chOff x="2240280" y="1582544"/>
          <a:chExt cx="10241281" cy="596777"/>
        </a:xfrm>
      </xdr:grpSpPr>
      <xdr:grpSp>
        <xdr:nvGrpSpPr>
          <xdr:cNvPr id="5" name="Categories">
            <a:extLst>
              <a:ext uri="{FF2B5EF4-FFF2-40B4-BE49-F238E27FC236}">
                <a16:creationId xmlns:a16="http://schemas.microsoft.com/office/drawing/2014/main" id="{00000000-0008-0000-1900-000005000000}"/>
              </a:ext>
            </a:extLst>
          </xdr:cNvPr>
          <xdr:cNvGrpSpPr/>
        </xdr:nvGrpSpPr>
        <xdr:grpSpPr>
          <a:xfrm>
            <a:off x="2240280" y="1584961"/>
            <a:ext cx="10241281" cy="594360"/>
            <a:chOff x="2240280" y="1584961"/>
            <a:chExt cx="10241281" cy="594360"/>
          </a:xfrm>
        </xdr:grpSpPr>
        <xdr:sp macro="" textlink="">
          <xdr:nvSpPr>
            <xdr:cNvPr id="43" name="Lighting">
              <a:hlinkClick xmlns:r="http://schemas.openxmlformats.org/officeDocument/2006/relationships" r:id="rId5" tooltip="Lighting"/>
              <a:extLst>
                <a:ext uri="{FF2B5EF4-FFF2-40B4-BE49-F238E27FC236}">
                  <a16:creationId xmlns:a16="http://schemas.microsoft.com/office/drawing/2014/main" id="{00000000-0008-0000-1900-00002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Lighting Controls">
              <a:hlinkClick xmlns:r="http://schemas.openxmlformats.org/officeDocument/2006/relationships" r:id="rId6" tooltip="Lighting Controls"/>
              <a:extLst>
                <a:ext uri="{FF2B5EF4-FFF2-40B4-BE49-F238E27FC236}">
                  <a16:creationId xmlns:a16="http://schemas.microsoft.com/office/drawing/2014/main" id="{00000000-0008-0000-1900-00002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Refrigeration">
              <a:hlinkClick xmlns:r="http://schemas.openxmlformats.org/officeDocument/2006/relationships" r:id="rId3" tooltip="Refrigeration"/>
              <a:extLst>
                <a:ext uri="{FF2B5EF4-FFF2-40B4-BE49-F238E27FC236}">
                  <a16:creationId xmlns:a16="http://schemas.microsoft.com/office/drawing/2014/main" id="{00000000-0008-0000-1900-00002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HVAC">
              <a:extLst>
                <a:ext uri="{FF2B5EF4-FFF2-40B4-BE49-F238E27FC236}">
                  <a16:creationId xmlns:a16="http://schemas.microsoft.com/office/drawing/2014/main" id="{00000000-0008-0000-1900-00002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Motors and Drives">
              <a:hlinkClick xmlns:r="http://schemas.openxmlformats.org/officeDocument/2006/relationships" r:id="rId2" tooltip="Motors and Drives"/>
              <a:extLst>
                <a:ext uri="{FF2B5EF4-FFF2-40B4-BE49-F238E27FC236}">
                  <a16:creationId xmlns:a16="http://schemas.microsoft.com/office/drawing/2014/main" id="{00000000-0008-0000-1900-000033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AP">
              <a:hlinkClick xmlns:r="http://schemas.openxmlformats.org/officeDocument/2006/relationships" r:id="rId7" tooltip="Compressed Air / Process"/>
              <a:extLst>
                <a:ext uri="{FF2B5EF4-FFF2-40B4-BE49-F238E27FC236}">
                  <a16:creationId xmlns:a16="http://schemas.microsoft.com/office/drawing/2014/main" id="{00000000-0008-0000-1900-000034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8" tooltip="Water Heating / Food Services"/>
              <a:extLst>
                <a:ext uri="{FF2B5EF4-FFF2-40B4-BE49-F238E27FC236}">
                  <a16:creationId xmlns:a16="http://schemas.microsoft.com/office/drawing/2014/main" id="{00000000-0008-0000-19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9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 name="Dividers">
            <a:extLst>
              <a:ext uri="{FF2B5EF4-FFF2-40B4-BE49-F238E27FC236}">
                <a16:creationId xmlns:a16="http://schemas.microsoft.com/office/drawing/2014/main" id="{00000000-0008-0000-1900-000006000000}"/>
              </a:ext>
            </a:extLst>
          </xdr:cNvPr>
          <xdr:cNvGrpSpPr/>
        </xdr:nvGrpSpPr>
        <xdr:grpSpPr>
          <a:xfrm>
            <a:off x="3521022" y="1582544"/>
            <a:ext cx="7680961" cy="551056"/>
            <a:chOff x="3520440" y="1580822"/>
            <a:chExt cx="7680960" cy="552779"/>
          </a:xfrm>
        </xdr:grpSpPr>
        <xdr:cxnSp macro="">
          <xdr:nvCxnSpPr>
            <xdr:cNvPr id="7" name="Divider 7">
              <a:extLst>
                <a:ext uri="{FF2B5EF4-FFF2-40B4-BE49-F238E27FC236}">
                  <a16:creationId xmlns:a16="http://schemas.microsoft.com/office/drawing/2014/main" id="{00000000-0008-0000-1900-000007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6">
              <a:extLst>
                <a:ext uri="{FF2B5EF4-FFF2-40B4-BE49-F238E27FC236}">
                  <a16:creationId xmlns:a16="http://schemas.microsoft.com/office/drawing/2014/main" id="{00000000-0008-0000-1900-000008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5">
              <a:extLst>
                <a:ext uri="{FF2B5EF4-FFF2-40B4-BE49-F238E27FC236}">
                  <a16:creationId xmlns:a16="http://schemas.microsoft.com/office/drawing/2014/main" id="{00000000-0008-0000-1900-00000A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4">
              <a:extLst>
                <a:ext uri="{FF2B5EF4-FFF2-40B4-BE49-F238E27FC236}">
                  <a16:creationId xmlns:a16="http://schemas.microsoft.com/office/drawing/2014/main" id="{00000000-0008-0000-1900-00000B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3">
              <a:extLst>
                <a:ext uri="{FF2B5EF4-FFF2-40B4-BE49-F238E27FC236}">
                  <a16:creationId xmlns:a16="http://schemas.microsoft.com/office/drawing/2014/main" id="{00000000-0008-0000-1900-00000C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1900-000017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1">
              <a:extLst>
                <a:ext uri="{FF2B5EF4-FFF2-40B4-BE49-F238E27FC236}">
                  <a16:creationId xmlns:a16="http://schemas.microsoft.com/office/drawing/2014/main" id="{00000000-0008-0000-1900-00001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238124</xdr:colOff>
      <xdr:row>8</xdr:row>
      <xdr:rowOff>0</xdr:rowOff>
    </xdr:to>
    <xdr:grpSp>
      <xdr:nvGrpSpPr>
        <xdr:cNvPr id="9" name="Navigation">
          <a:extLst>
            <a:ext uri="{FF2B5EF4-FFF2-40B4-BE49-F238E27FC236}">
              <a16:creationId xmlns:a16="http://schemas.microsoft.com/office/drawing/2014/main" id="{00000000-0008-0000-1900-000009000000}"/>
            </a:ext>
          </a:extLst>
        </xdr:cNvPr>
        <xdr:cNvGrpSpPr/>
      </xdr:nvGrpSpPr>
      <xdr:grpSpPr>
        <a:xfrm>
          <a:off x="2196353" y="605118"/>
          <a:ext cx="11219889" cy="1008529"/>
          <a:chOff x="1610956" y="594360"/>
          <a:chExt cx="11437620" cy="990600"/>
        </a:xfrm>
      </xdr:grpSpPr>
      <xdr:cxnSp macro="">
        <xdr:nvCxnSpPr>
          <xdr:cNvPr id="28" name="Reference">
            <a:extLst>
              <a:ext uri="{FF2B5EF4-FFF2-40B4-BE49-F238E27FC236}">
                <a16:creationId xmlns:a16="http://schemas.microsoft.com/office/drawing/2014/main" id="{00000000-0008-0000-1900-00001C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9" name="7: Project Review">
            <a:hlinkClick xmlns:r="http://schemas.openxmlformats.org/officeDocument/2006/relationships" r:id="rId9" tooltip="Project Review"/>
            <a:extLst>
              <a:ext uri="{FF2B5EF4-FFF2-40B4-BE49-F238E27FC236}">
                <a16:creationId xmlns:a16="http://schemas.microsoft.com/office/drawing/2014/main" id="{00000000-0008-0000-1900-00001D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0" name="6: Payment">
            <a:hlinkClick xmlns:r="http://schemas.openxmlformats.org/officeDocument/2006/relationships" r:id="rId10" tooltip="Payment"/>
            <a:extLst>
              <a:ext uri="{FF2B5EF4-FFF2-40B4-BE49-F238E27FC236}">
                <a16:creationId xmlns:a16="http://schemas.microsoft.com/office/drawing/2014/main" id="{00000000-0008-0000-1900-00001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1" name="5: Equipment Input">
            <a:hlinkClick xmlns:r="http://schemas.openxmlformats.org/officeDocument/2006/relationships" r:id="rId11" tooltip="Equipment Input"/>
            <a:extLst>
              <a:ext uri="{FF2B5EF4-FFF2-40B4-BE49-F238E27FC236}">
                <a16:creationId xmlns:a16="http://schemas.microsoft.com/office/drawing/2014/main" id="{00000000-0008-0000-1900-00001F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2" name="4: Building Information">
            <a:hlinkClick xmlns:r="http://schemas.openxmlformats.org/officeDocument/2006/relationships" r:id="rId12" tooltip="Building Information"/>
            <a:extLst>
              <a:ext uri="{FF2B5EF4-FFF2-40B4-BE49-F238E27FC236}">
                <a16:creationId xmlns:a16="http://schemas.microsoft.com/office/drawing/2014/main" id="{00000000-0008-0000-1900-000020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3" name="3: Customer Information">
            <a:hlinkClick xmlns:r="http://schemas.openxmlformats.org/officeDocument/2006/relationships" r:id="rId13" tooltip="Customer Information"/>
            <a:extLst>
              <a:ext uri="{FF2B5EF4-FFF2-40B4-BE49-F238E27FC236}">
                <a16:creationId xmlns:a16="http://schemas.microsoft.com/office/drawing/2014/main" id="{00000000-0008-0000-1900-000021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4" name="2: Trade Ally Info">
            <a:hlinkClick xmlns:r="http://schemas.openxmlformats.org/officeDocument/2006/relationships" r:id="rId14" tooltip="Trade Ally/Vendor Information"/>
            <a:extLst>
              <a:ext uri="{FF2B5EF4-FFF2-40B4-BE49-F238E27FC236}">
                <a16:creationId xmlns:a16="http://schemas.microsoft.com/office/drawing/2014/main" id="{00000000-0008-0000-1900-000022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5" name="1: T&amp;C's">
            <a:hlinkClick xmlns:r="http://schemas.openxmlformats.org/officeDocument/2006/relationships" r:id="rId15" tooltip="Terms &amp; Conditions"/>
            <a:extLst>
              <a:ext uri="{FF2B5EF4-FFF2-40B4-BE49-F238E27FC236}">
                <a16:creationId xmlns:a16="http://schemas.microsoft.com/office/drawing/2014/main" id="{00000000-0008-0000-1900-000023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3" name="Header">
          <a:extLst>
            <a:ext uri="{FF2B5EF4-FFF2-40B4-BE49-F238E27FC236}">
              <a16:creationId xmlns:a16="http://schemas.microsoft.com/office/drawing/2014/main" id="{00000000-0008-0000-1900-00000D000000}"/>
            </a:ext>
          </a:extLst>
        </xdr:cNvPr>
        <xdr:cNvGrpSpPr/>
      </xdr:nvGrpSpPr>
      <xdr:grpSpPr>
        <a:xfrm>
          <a:off x="0" y="0"/>
          <a:ext cx="15374471" cy="605336"/>
          <a:chOff x="0" y="1452064"/>
          <a:chExt cx="15813740" cy="591889"/>
        </a:xfrm>
      </xdr:grpSpPr>
      <xdr:grpSp>
        <xdr:nvGrpSpPr>
          <xdr:cNvPr id="14" name="Header">
            <a:extLst>
              <a:ext uri="{FF2B5EF4-FFF2-40B4-BE49-F238E27FC236}">
                <a16:creationId xmlns:a16="http://schemas.microsoft.com/office/drawing/2014/main" id="{00000000-0008-0000-1900-00000E000000}"/>
              </a:ext>
            </a:extLst>
          </xdr:cNvPr>
          <xdr:cNvGrpSpPr/>
        </xdr:nvGrpSpPr>
        <xdr:grpSpPr>
          <a:xfrm>
            <a:off x="0" y="1452064"/>
            <a:ext cx="15813740" cy="591889"/>
            <a:chOff x="0" y="1452064"/>
            <a:chExt cx="15813740" cy="591889"/>
          </a:xfrm>
        </xdr:grpSpPr>
        <xdr:sp macro="" textlink="">
          <xdr:nvSpPr>
            <xdr:cNvPr id="36" name="Reference">
              <a:extLst>
                <a:ext uri="{FF2B5EF4-FFF2-40B4-BE49-F238E27FC236}">
                  <a16:creationId xmlns:a16="http://schemas.microsoft.com/office/drawing/2014/main" id="{00000000-0008-0000-1900-000024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6" tooltip="Contact"/>
              <a:extLst>
                <a:ext uri="{FF2B5EF4-FFF2-40B4-BE49-F238E27FC236}">
                  <a16:creationId xmlns:a16="http://schemas.microsoft.com/office/drawing/2014/main" id="{00000000-0008-0000-1900-00002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7" tooltip=" "/>
              <a:extLst>
                <a:ext uri="{FF2B5EF4-FFF2-40B4-BE49-F238E27FC236}">
                  <a16:creationId xmlns:a16="http://schemas.microsoft.com/office/drawing/2014/main" id="{00000000-0008-0000-1900-00002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8" tooltip=" "/>
              <a:extLst>
                <a:ext uri="{FF2B5EF4-FFF2-40B4-BE49-F238E27FC236}">
                  <a16:creationId xmlns:a16="http://schemas.microsoft.com/office/drawing/2014/main" id="{00000000-0008-0000-1900-00002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centives">
              <a:extLst>
                <a:ext uri="{FF2B5EF4-FFF2-40B4-BE49-F238E27FC236}">
                  <a16:creationId xmlns:a16="http://schemas.microsoft.com/office/drawing/2014/main" id="{00000000-0008-0000-1900-00002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1" name="Instructions">
              <a:hlinkClick xmlns:r="http://schemas.openxmlformats.org/officeDocument/2006/relationships" r:id="rId19" tooltip="Instructions"/>
              <a:extLst>
                <a:ext uri="{FF2B5EF4-FFF2-40B4-BE49-F238E27FC236}">
                  <a16:creationId xmlns:a16="http://schemas.microsoft.com/office/drawing/2014/main" id="{00000000-0008-0000-1900-00002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Welcome">
              <a:hlinkClick xmlns:r="http://schemas.openxmlformats.org/officeDocument/2006/relationships" r:id="rId20" tooltip="Welcome"/>
              <a:extLst>
                <a:ext uri="{FF2B5EF4-FFF2-40B4-BE49-F238E27FC236}">
                  <a16:creationId xmlns:a16="http://schemas.microsoft.com/office/drawing/2014/main" id="{00000000-0008-0000-1900-00002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1900-00003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0" name="State">
              <a:extLst>
                <a:ext uri="{FF2B5EF4-FFF2-40B4-BE49-F238E27FC236}">
                  <a16:creationId xmlns:a16="http://schemas.microsoft.com/office/drawing/2014/main" id="{00000000-0008-0000-1900-000032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900-00000F000000}"/>
              </a:ext>
            </a:extLst>
          </xdr:cNvPr>
          <xdr:cNvGrpSpPr/>
        </xdr:nvGrpSpPr>
        <xdr:grpSpPr>
          <a:xfrm>
            <a:off x="1613405" y="1537433"/>
            <a:ext cx="11616513" cy="423049"/>
            <a:chOff x="1612951" y="85725"/>
            <a:chExt cx="11618931" cy="423022"/>
          </a:xfrm>
        </xdr:grpSpPr>
        <xdr:cxnSp macro="">
          <xdr:nvCxnSpPr>
            <xdr:cNvPr id="16" name="Divider 4">
              <a:extLst>
                <a:ext uri="{FF2B5EF4-FFF2-40B4-BE49-F238E27FC236}">
                  <a16:creationId xmlns:a16="http://schemas.microsoft.com/office/drawing/2014/main" id="{00000000-0008-0000-19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9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9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9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A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A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A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A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A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A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A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A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A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A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23" name="Arrow: Left M3S6">
          <a:hlinkClick xmlns:r="http://schemas.openxmlformats.org/officeDocument/2006/relationships" r:id="rId3" tooltip="Back: Motors and Drives"/>
          <a:extLst>
            <a:ext uri="{FF2B5EF4-FFF2-40B4-BE49-F238E27FC236}">
              <a16:creationId xmlns:a16="http://schemas.microsoft.com/office/drawing/2014/main" id="{00000000-0008-0000-1A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24" name="Arrow: Right M3S6">
          <a:hlinkClick xmlns:r="http://schemas.openxmlformats.org/officeDocument/2006/relationships" r:id="rId4" tooltip="Forward: Water Heating / Cooking"/>
          <a:extLst>
            <a:ext uri="{FF2B5EF4-FFF2-40B4-BE49-F238E27FC236}">
              <a16:creationId xmlns:a16="http://schemas.microsoft.com/office/drawing/2014/main" id="{00000000-0008-0000-1A00-000018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7</xdr:row>
      <xdr:rowOff>195703</xdr:rowOff>
    </xdr:from>
    <xdr:to>
      <xdr:col>41</xdr:col>
      <xdr:colOff>2691</xdr:colOff>
      <xdr:row>11</xdr:row>
      <xdr:rowOff>0</xdr:rowOff>
    </xdr:to>
    <xdr:grpSp>
      <xdr:nvGrpSpPr>
        <xdr:cNvPr id="2" name="Measure Categories">
          <a:extLst>
            <a:ext uri="{FF2B5EF4-FFF2-40B4-BE49-F238E27FC236}">
              <a16:creationId xmlns:a16="http://schemas.microsoft.com/office/drawing/2014/main" id="{00000000-0008-0000-1A00-000002000000}"/>
            </a:ext>
          </a:extLst>
        </xdr:cNvPr>
        <xdr:cNvGrpSpPr/>
      </xdr:nvGrpSpPr>
      <xdr:grpSpPr>
        <a:xfrm>
          <a:off x="2823882" y="1607644"/>
          <a:ext cx="10043162" cy="611121"/>
          <a:chOff x="2240280" y="1582544"/>
          <a:chExt cx="10241281" cy="596777"/>
        </a:xfrm>
      </xdr:grpSpPr>
      <xdr:grpSp>
        <xdr:nvGrpSpPr>
          <xdr:cNvPr id="3" name="Categories">
            <a:extLst>
              <a:ext uri="{FF2B5EF4-FFF2-40B4-BE49-F238E27FC236}">
                <a16:creationId xmlns:a16="http://schemas.microsoft.com/office/drawing/2014/main" id="{00000000-0008-0000-1A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A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6" tooltip="Lighting Controls"/>
              <a:extLst>
                <a:ext uri="{FF2B5EF4-FFF2-40B4-BE49-F238E27FC236}">
                  <a16:creationId xmlns:a16="http://schemas.microsoft.com/office/drawing/2014/main" id="{00000000-0008-0000-1A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7" tooltip="Refrigeration"/>
              <a:extLst>
                <a:ext uri="{FF2B5EF4-FFF2-40B4-BE49-F238E27FC236}">
                  <a16:creationId xmlns:a16="http://schemas.microsoft.com/office/drawing/2014/main" id="{00000000-0008-0000-1A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A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A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2" tooltip="Compressed Air / Process"/>
              <a:extLst>
                <a:ext uri="{FF2B5EF4-FFF2-40B4-BE49-F238E27FC236}">
                  <a16:creationId xmlns:a16="http://schemas.microsoft.com/office/drawing/2014/main" id="{00000000-0008-0000-1A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9" tooltip="Water Heating / Food Services"/>
              <a:extLst>
                <a:ext uri="{FF2B5EF4-FFF2-40B4-BE49-F238E27FC236}">
                  <a16:creationId xmlns:a16="http://schemas.microsoft.com/office/drawing/2014/main" id="{00000000-0008-0000-1A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A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A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A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A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A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A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A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A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A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A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A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0" tooltip="Project Review"/>
            <a:extLst>
              <a:ext uri="{FF2B5EF4-FFF2-40B4-BE49-F238E27FC236}">
                <a16:creationId xmlns:a16="http://schemas.microsoft.com/office/drawing/2014/main" id="{00000000-0008-0000-1A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1" tooltip="Payment"/>
            <a:extLst>
              <a:ext uri="{FF2B5EF4-FFF2-40B4-BE49-F238E27FC236}">
                <a16:creationId xmlns:a16="http://schemas.microsoft.com/office/drawing/2014/main" id="{00000000-0008-0000-1A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2" tooltip="Equipment Input"/>
            <a:extLst>
              <a:ext uri="{FF2B5EF4-FFF2-40B4-BE49-F238E27FC236}">
                <a16:creationId xmlns:a16="http://schemas.microsoft.com/office/drawing/2014/main" id="{00000000-0008-0000-1A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3" tooltip="Building Information"/>
            <a:extLst>
              <a:ext uri="{FF2B5EF4-FFF2-40B4-BE49-F238E27FC236}">
                <a16:creationId xmlns:a16="http://schemas.microsoft.com/office/drawing/2014/main" id="{00000000-0008-0000-1A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4" tooltip="Customer Information"/>
            <a:extLst>
              <a:ext uri="{FF2B5EF4-FFF2-40B4-BE49-F238E27FC236}">
                <a16:creationId xmlns:a16="http://schemas.microsoft.com/office/drawing/2014/main" id="{00000000-0008-0000-1A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A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1A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9" name="Header">
          <a:extLst>
            <a:ext uri="{FF2B5EF4-FFF2-40B4-BE49-F238E27FC236}">
              <a16:creationId xmlns:a16="http://schemas.microsoft.com/office/drawing/2014/main" id="{00000000-0008-0000-1A00-000027000000}"/>
            </a:ext>
          </a:extLst>
        </xdr:cNvPr>
        <xdr:cNvGrpSpPr/>
      </xdr:nvGrpSpPr>
      <xdr:grpSpPr>
        <a:xfrm>
          <a:off x="0" y="0"/>
          <a:ext cx="15374471" cy="605336"/>
          <a:chOff x="0" y="1452064"/>
          <a:chExt cx="15813740" cy="591889"/>
        </a:xfrm>
      </xdr:grpSpPr>
      <xdr:grpSp>
        <xdr:nvGrpSpPr>
          <xdr:cNvPr id="40" name="Header">
            <a:extLst>
              <a:ext uri="{FF2B5EF4-FFF2-40B4-BE49-F238E27FC236}">
                <a16:creationId xmlns:a16="http://schemas.microsoft.com/office/drawing/2014/main" id="{00000000-0008-0000-1A00-000028000000}"/>
              </a:ext>
            </a:extLst>
          </xdr:cNvPr>
          <xdr:cNvGrpSpPr/>
        </xdr:nvGrpSpPr>
        <xdr:grpSpPr>
          <a:xfrm>
            <a:off x="0" y="1452064"/>
            <a:ext cx="15813740" cy="591889"/>
            <a:chOff x="0" y="1452064"/>
            <a:chExt cx="15813740" cy="591889"/>
          </a:xfrm>
        </xdr:grpSpPr>
        <xdr:sp macro="" textlink="">
          <xdr:nvSpPr>
            <xdr:cNvPr id="50" name="Reference">
              <a:extLst>
                <a:ext uri="{FF2B5EF4-FFF2-40B4-BE49-F238E27FC236}">
                  <a16:creationId xmlns:a16="http://schemas.microsoft.com/office/drawing/2014/main" id="{00000000-0008-0000-1A00-00003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7" tooltip="Contact"/>
              <a:extLst>
                <a:ext uri="{FF2B5EF4-FFF2-40B4-BE49-F238E27FC236}">
                  <a16:creationId xmlns:a16="http://schemas.microsoft.com/office/drawing/2014/main" id="{00000000-0008-0000-1A00-000036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18" tooltip=" "/>
              <a:extLst>
                <a:ext uri="{FF2B5EF4-FFF2-40B4-BE49-F238E27FC236}">
                  <a16:creationId xmlns:a16="http://schemas.microsoft.com/office/drawing/2014/main" id="{00000000-0008-0000-1A00-00003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19" tooltip=" "/>
              <a:extLst>
                <a:ext uri="{FF2B5EF4-FFF2-40B4-BE49-F238E27FC236}">
                  <a16:creationId xmlns:a16="http://schemas.microsoft.com/office/drawing/2014/main" id="{00000000-0008-0000-1A00-00003B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centives">
              <a:extLst>
                <a:ext uri="{FF2B5EF4-FFF2-40B4-BE49-F238E27FC236}">
                  <a16:creationId xmlns:a16="http://schemas.microsoft.com/office/drawing/2014/main" id="{00000000-0008-0000-1A00-00003C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1" name="Instructions">
              <a:hlinkClick xmlns:r="http://schemas.openxmlformats.org/officeDocument/2006/relationships" r:id="rId20" tooltip="Instructions"/>
              <a:extLst>
                <a:ext uri="{FF2B5EF4-FFF2-40B4-BE49-F238E27FC236}">
                  <a16:creationId xmlns:a16="http://schemas.microsoft.com/office/drawing/2014/main" id="{00000000-0008-0000-1A00-00003D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1" tooltip="Welcome"/>
              <a:extLst>
                <a:ext uri="{FF2B5EF4-FFF2-40B4-BE49-F238E27FC236}">
                  <a16:creationId xmlns:a16="http://schemas.microsoft.com/office/drawing/2014/main" id="{00000000-0008-0000-1A00-00003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A00-00003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4" name="State">
              <a:extLst>
                <a:ext uri="{FF2B5EF4-FFF2-40B4-BE49-F238E27FC236}">
                  <a16:creationId xmlns:a16="http://schemas.microsoft.com/office/drawing/2014/main" id="{00000000-0008-0000-1A00-000040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A00-000029000000}"/>
              </a:ext>
            </a:extLst>
          </xdr:cNvPr>
          <xdr:cNvGrpSpPr/>
        </xdr:nvGrpSpPr>
        <xdr:grpSpPr>
          <a:xfrm>
            <a:off x="1613405" y="1537433"/>
            <a:ext cx="11616513" cy="423049"/>
            <a:chOff x="1612951" y="85725"/>
            <a:chExt cx="11618931" cy="423022"/>
          </a:xfrm>
        </xdr:grpSpPr>
        <xdr:cxnSp macro="">
          <xdr:nvCxnSpPr>
            <xdr:cNvPr id="43" name="Divider 4">
              <a:extLst>
                <a:ext uri="{FF2B5EF4-FFF2-40B4-BE49-F238E27FC236}">
                  <a16:creationId xmlns:a16="http://schemas.microsoft.com/office/drawing/2014/main" id="{00000000-0008-0000-1A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A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A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A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B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B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B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B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B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B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B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B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B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B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23" name="Arrow: Left M3S7">
          <a:hlinkClick xmlns:r="http://schemas.openxmlformats.org/officeDocument/2006/relationships" r:id="rId3" tooltip="Back: Compressed Air / Process"/>
          <a:extLst>
            <a:ext uri="{FF2B5EF4-FFF2-40B4-BE49-F238E27FC236}">
              <a16:creationId xmlns:a16="http://schemas.microsoft.com/office/drawing/2014/main" id="{00000000-0008-0000-1B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24" name="Arrow: Right M3S7">
          <a:hlinkClick xmlns:r="http://schemas.openxmlformats.org/officeDocument/2006/relationships" r:id="rId4" tooltip="Forward: Miscellaneous"/>
          <a:extLst>
            <a:ext uri="{FF2B5EF4-FFF2-40B4-BE49-F238E27FC236}">
              <a16:creationId xmlns:a16="http://schemas.microsoft.com/office/drawing/2014/main" id="{00000000-0008-0000-1B00-000018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2691</xdr:colOff>
      <xdr:row>11</xdr:row>
      <xdr:rowOff>1520</xdr:rowOff>
    </xdr:to>
    <xdr:grpSp>
      <xdr:nvGrpSpPr>
        <xdr:cNvPr id="2" name="Measure Categories">
          <a:extLst>
            <a:ext uri="{FF2B5EF4-FFF2-40B4-BE49-F238E27FC236}">
              <a16:creationId xmlns:a16="http://schemas.microsoft.com/office/drawing/2014/main" id="{00000000-0008-0000-1B00-000002000000}"/>
            </a:ext>
          </a:extLst>
        </xdr:cNvPr>
        <xdr:cNvGrpSpPr/>
      </xdr:nvGrpSpPr>
      <xdr:grpSpPr>
        <a:xfrm>
          <a:off x="2823882" y="1613647"/>
          <a:ext cx="10043162" cy="606638"/>
          <a:chOff x="2240280" y="1582544"/>
          <a:chExt cx="10241281" cy="596777"/>
        </a:xfrm>
      </xdr:grpSpPr>
      <xdr:grpSp>
        <xdr:nvGrpSpPr>
          <xdr:cNvPr id="3" name="Categories">
            <a:extLst>
              <a:ext uri="{FF2B5EF4-FFF2-40B4-BE49-F238E27FC236}">
                <a16:creationId xmlns:a16="http://schemas.microsoft.com/office/drawing/2014/main" id="{00000000-0008-0000-1B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B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6" tooltip="Lighting Controls"/>
              <a:extLst>
                <a:ext uri="{FF2B5EF4-FFF2-40B4-BE49-F238E27FC236}">
                  <a16:creationId xmlns:a16="http://schemas.microsoft.com/office/drawing/2014/main" id="{00000000-0008-0000-1B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7" tooltip="Refrigeration"/>
              <a:extLst>
                <a:ext uri="{FF2B5EF4-FFF2-40B4-BE49-F238E27FC236}">
                  <a16:creationId xmlns:a16="http://schemas.microsoft.com/office/drawing/2014/main" id="{00000000-0008-0000-1B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B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B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B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2" tooltip="Water Heating / Food Services"/>
              <a:extLst>
                <a:ext uri="{FF2B5EF4-FFF2-40B4-BE49-F238E27FC236}">
                  <a16:creationId xmlns:a16="http://schemas.microsoft.com/office/drawing/2014/main" id="{00000000-0008-0000-1B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B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B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B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B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B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B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B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B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B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B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B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0" tooltip="Project Review"/>
            <a:extLst>
              <a:ext uri="{FF2B5EF4-FFF2-40B4-BE49-F238E27FC236}">
                <a16:creationId xmlns:a16="http://schemas.microsoft.com/office/drawing/2014/main" id="{00000000-0008-0000-1B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1" tooltip="Payment"/>
            <a:extLst>
              <a:ext uri="{FF2B5EF4-FFF2-40B4-BE49-F238E27FC236}">
                <a16:creationId xmlns:a16="http://schemas.microsoft.com/office/drawing/2014/main" id="{00000000-0008-0000-1B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2" tooltip="Equipment Input"/>
            <a:extLst>
              <a:ext uri="{FF2B5EF4-FFF2-40B4-BE49-F238E27FC236}">
                <a16:creationId xmlns:a16="http://schemas.microsoft.com/office/drawing/2014/main" id="{00000000-0008-0000-1B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3" tooltip="Building Information"/>
            <a:extLst>
              <a:ext uri="{FF2B5EF4-FFF2-40B4-BE49-F238E27FC236}">
                <a16:creationId xmlns:a16="http://schemas.microsoft.com/office/drawing/2014/main" id="{00000000-0008-0000-1B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4" tooltip="Customer Information"/>
            <a:extLst>
              <a:ext uri="{FF2B5EF4-FFF2-40B4-BE49-F238E27FC236}">
                <a16:creationId xmlns:a16="http://schemas.microsoft.com/office/drawing/2014/main" id="{00000000-0008-0000-1B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B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1B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9" name="Header">
          <a:extLst>
            <a:ext uri="{FF2B5EF4-FFF2-40B4-BE49-F238E27FC236}">
              <a16:creationId xmlns:a16="http://schemas.microsoft.com/office/drawing/2014/main" id="{00000000-0008-0000-1B00-000027000000}"/>
            </a:ext>
          </a:extLst>
        </xdr:cNvPr>
        <xdr:cNvGrpSpPr/>
      </xdr:nvGrpSpPr>
      <xdr:grpSpPr>
        <a:xfrm>
          <a:off x="0" y="0"/>
          <a:ext cx="15374471" cy="605336"/>
          <a:chOff x="0" y="1452064"/>
          <a:chExt cx="15813740" cy="591889"/>
        </a:xfrm>
      </xdr:grpSpPr>
      <xdr:grpSp>
        <xdr:nvGrpSpPr>
          <xdr:cNvPr id="40" name="Header">
            <a:extLst>
              <a:ext uri="{FF2B5EF4-FFF2-40B4-BE49-F238E27FC236}">
                <a16:creationId xmlns:a16="http://schemas.microsoft.com/office/drawing/2014/main" id="{00000000-0008-0000-1B00-000028000000}"/>
              </a:ext>
            </a:extLst>
          </xdr:cNvPr>
          <xdr:cNvGrpSpPr/>
        </xdr:nvGrpSpPr>
        <xdr:grpSpPr>
          <a:xfrm>
            <a:off x="0" y="1452064"/>
            <a:ext cx="15813740" cy="591889"/>
            <a:chOff x="0" y="1452064"/>
            <a:chExt cx="15813740" cy="591889"/>
          </a:xfrm>
        </xdr:grpSpPr>
        <xdr:sp macro="" textlink="">
          <xdr:nvSpPr>
            <xdr:cNvPr id="50" name="Reference">
              <a:extLst>
                <a:ext uri="{FF2B5EF4-FFF2-40B4-BE49-F238E27FC236}">
                  <a16:creationId xmlns:a16="http://schemas.microsoft.com/office/drawing/2014/main" id="{00000000-0008-0000-1B00-00003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7" tooltip="Contact"/>
              <a:extLst>
                <a:ext uri="{FF2B5EF4-FFF2-40B4-BE49-F238E27FC236}">
                  <a16:creationId xmlns:a16="http://schemas.microsoft.com/office/drawing/2014/main" id="{00000000-0008-0000-1B00-000036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18" tooltip=" "/>
              <a:extLst>
                <a:ext uri="{FF2B5EF4-FFF2-40B4-BE49-F238E27FC236}">
                  <a16:creationId xmlns:a16="http://schemas.microsoft.com/office/drawing/2014/main" id="{00000000-0008-0000-1B00-00003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19" tooltip=" "/>
              <a:extLst>
                <a:ext uri="{FF2B5EF4-FFF2-40B4-BE49-F238E27FC236}">
                  <a16:creationId xmlns:a16="http://schemas.microsoft.com/office/drawing/2014/main" id="{00000000-0008-0000-1B00-00003B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centives">
              <a:extLst>
                <a:ext uri="{FF2B5EF4-FFF2-40B4-BE49-F238E27FC236}">
                  <a16:creationId xmlns:a16="http://schemas.microsoft.com/office/drawing/2014/main" id="{00000000-0008-0000-1B00-00003C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1" name="Instructions">
              <a:hlinkClick xmlns:r="http://schemas.openxmlformats.org/officeDocument/2006/relationships" r:id="rId20" tooltip="Instructions"/>
              <a:extLst>
                <a:ext uri="{FF2B5EF4-FFF2-40B4-BE49-F238E27FC236}">
                  <a16:creationId xmlns:a16="http://schemas.microsoft.com/office/drawing/2014/main" id="{00000000-0008-0000-1B00-00003D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1" tooltip="Welcome"/>
              <a:extLst>
                <a:ext uri="{FF2B5EF4-FFF2-40B4-BE49-F238E27FC236}">
                  <a16:creationId xmlns:a16="http://schemas.microsoft.com/office/drawing/2014/main" id="{00000000-0008-0000-1B00-00003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B00-00003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4" name="State">
              <a:extLst>
                <a:ext uri="{FF2B5EF4-FFF2-40B4-BE49-F238E27FC236}">
                  <a16:creationId xmlns:a16="http://schemas.microsoft.com/office/drawing/2014/main" id="{00000000-0008-0000-1B00-000040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B00-000029000000}"/>
              </a:ext>
            </a:extLst>
          </xdr:cNvPr>
          <xdr:cNvGrpSpPr/>
        </xdr:nvGrpSpPr>
        <xdr:grpSpPr>
          <a:xfrm>
            <a:off x="1613405" y="1537433"/>
            <a:ext cx="11616513" cy="423049"/>
            <a:chOff x="1612951" y="85725"/>
            <a:chExt cx="11618931" cy="423022"/>
          </a:xfrm>
        </xdr:grpSpPr>
        <xdr:cxnSp macro="">
          <xdr:nvCxnSpPr>
            <xdr:cNvPr id="43" name="Divider 4">
              <a:extLst>
                <a:ext uri="{FF2B5EF4-FFF2-40B4-BE49-F238E27FC236}">
                  <a16:creationId xmlns:a16="http://schemas.microsoft.com/office/drawing/2014/main" id="{00000000-0008-0000-1B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B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B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B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79458</xdr:rowOff>
    </xdr:to>
    <xdr:grpSp>
      <xdr:nvGrpSpPr>
        <xdr:cNvPr id="65" name="Select 5">
          <a:extLst>
            <a:ext uri="{FF2B5EF4-FFF2-40B4-BE49-F238E27FC236}">
              <a16:creationId xmlns:a16="http://schemas.microsoft.com/office/drawing/2014/main" id="{00000000-0008-0000-1C00-000041000000}"/>
            </a:ext>
          </a:extLst>
        </xdr:cNvPr>
        <xdr:cNvGrpSpPr/>
      </xdr:nvGrpSpPr>
      <xdr:grpSpPr>
        <a:xfrm>
          <a:off x="1882588" y="2622176"/>
          <a:ext cx="3439496" cy="281164"/>
          <a:chOff x="1037447" y="2413275"/>
          <a:chExt cx="3529144" cy="276137"/>
        </a:xfrm>
      </xdr:grpSpPr>
      <xdr:cxnSp macro="">
        <xdr:nvCxnSpPr>
          <xdr:cNvPr id="67" name="Reference - V">
            <a:extLst>
              <a:ext uri="{FF2B5EF4-FFF2-40B4-BE49-F238E27FC236}">
                <a16:creationId xmlns:a16="http://schemas.microsoft.com/office/drawing/2014/main" id="{00000000-0008-0000-1C00-00004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1" name="Reference - H">
            <a:extLst>
              <a:ext uri="{FF2B5EF4-FFF2-40B4-BE49-F238E27FC236}">
                <a16:creationId xmlns:a16="http://schemas.microsoft.com/office/drawing/2014/main" id="{00000000-0008-0000-1C00-000047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C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C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hlinkClick xmlns:r="http://schemas.openxmlformats.org/officeDocument/2006/relationships" r:id="rId2"/>
              <a:extLst>
                <a:ext uri="{FF2B5EF4-FFF2-40B4-BE49-F238E27FC236}">
                  <a16:creationId xmlns:a16="http://schemas.microsoft.com/office/drawing/2014/main" id="{00000000-0008-0000-1C00-00004B000000}"/>
                </a:ext>
              </a:extLst>
            </xdr:cNvPr>
            <xdr:cNvSpPr/>
          </xdr:nvSpPr>
          <xdr:spPr>
            <a:xfrm>
              <a:off x="2339939"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Custom Lite</a:t>
              </a:r>
              <a:endParaRPr lang="en-US" sz="1100" b="1" baseline="0">
                <a:solidFill>
                  <a:schemeClr val="tx1"/>
                </a:solidFill>
                <a:latin typeface="Arial" panose="020B0604020202020204" pitchFamily="34" charset="0"/>
                <a:cs typeface="Arial" panose="020B0604020202020204" pitchFamily="34" charset="0"/>
              </a:endParaRPr>
            </a:p>
          </xdr:txBody>
        </xdr:sp>
        <xdr:sp macro="" textlink="">
          <xdr:nvSpPr>
            <xdr:cNvPr id="76" name="Standard">
              <a:hlinkClick xmlns:r="http://schemas.openxmlformats.org/officeDocument/2006/relationships" r:id="rId3"/>
              <a:extLst>
                <a:ext uri="{FF2B5EF4-FFF2-40B4-BE49-F238E27FC236}">
                  <a16:creationId xmlns:a16="http://schemas.microsoft.com/office/drawing/2014/main" id="{00000000-0008-0000-1C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45" name="Arrow: Left M4S2">
          <a:hlinkClick xmlns:r="http://schemas.openxmlformats.org/officeDocument/2006/relationships" r:id="rId4" tooltip="Back: Equipment Type"/>
          <a:extLst>
            <a:ext uri="{FF2B5EF4-FFF2-40B4-BE49-F238E27FC236}">
              <a16:creationId xmlns:a16="http://schemas.microsoft.com/office/drawing/2014/main" id="{00000000-0008-0000-1C00-00002D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3" name="Arrow: Right M4S2">
          <a:hlinkClick xmlns:r="http://schemas.openxmlformats.org/officeDocument/2006/relationships" r:id="rId5" tooltip="Foward: Lighting Controls"/>
          <a:extLst>
            <a:ext uri="{FF2B5EF4-FFF2-40B4-BE49-F238E27FC236}">
              <a16:creationId xmlns:a16="http://schemas.microsoft.com/office/drawing/2014/main" id="{00000000-0008-0000-1C00-00003F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4" name="Measure Categories">
          <a:extLst>
            <a:ext uri="{FF2B5EF4-FFF2-40B4-BE49-F238E27FC236}">
              <a16:creationId xmlns:a16="http://schemas.microsoft.com/office/drawing/2014/main" id="{00000000-0008-0000-1C00-000004000000}"/>
            </a:ext>
          </a:extLst>
        </xdr:cNvPr>
        <xdr:cNvGrpSpPr/>
      </xdr:nvGrpSpPr>
      <xdr:grpSpPr>
        <a:xfrm>
          <a:off x="2823882" y="1613647"/>
          <a:ext cx="10040472" cy="607535"/>
          <a:chOff x="2240280" y="1582544"/>
          <a:chExt cx="10241281" cy="596777"/>
        </a:xfrm>
      </xdr:grpSpPr>
      <xdr:grpSp>
        <xdr:nvGrpSpPr>
          <xdr:cNvPr id="5" name="Categories">
            <a:extLst>
              <a:ext uri="{FF2B5EF4-FFF2-40B4-BE49-F238E27FC236}">
                <a16:creationId xmlns:a16="http://schemas.microsoft.com/office/drawing/2014/main" id="{00000000-0008-0000-1C00-000005000000}"/>
              </a:ext>
            </a:extLst>
          </xdr:cNvPr>
          <xdr:cNvGrpSpPr/>
        </xdr:nvGrpSpPr>
        <xdr:grpSpPr>
          <a:xfrm>
            <a:off x="2240280" y="1584961"/>
            <a:ext cx="10241281" cy="594360"/>
            <a:chOff x="2240280" y="1584961"/>
            <a:chExt cx="10241281" cy="594360"/>
          </a:xfrm>
        </xdr:grpSpPr>
        <xdr:sp macro="" textlink="">
          <xdr:nvSpPr>
            <xdr:cNvPr id="14" name="Lighting">
              <a:hlinkClick xmlns:r="http://schemas.openxmlformats.org/officeDocument/2006/relationships" r:id="rId1" tooltip="Lighting"/>
              <a:extLst>
                <a:ext uri="{FF2B5EF4-FFF2-40B4-BE49-F238E27FC236}">
                  <a16:creationId xmlns:a16="http://schemas.microsoft.com/office/drawing/2014/main" id="{00000000-0008-0000-1C00-00000E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Lighting Controls">
              <a:hlinkClick xmlns:r="http://schemas.openxmlformats.org/officeDocument/2006/relationships" r:id="rId6" tooltip="Lighting Controls"/>
              <a:extLst>
                <a:ext uri="{FF2B5EF4-FFF2-40B4-BE49-F238E27FC236}">
                  <a16:creationId xmlns:a16="http://schemas.microsoft.com/office/drawing/2014/main" id="{00000000-0008-0000-1C00-00000F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efrigeration">
              <a:hlinkClick xmlns:r="http://schemas.openxmlformats.org/officeDocument/2006/relationships" r:id="rId7" tooltip="Refrigeration"/>
              <a:extLst>
                <a:ext uri="{FF2B5EF4-FFF2-40B4-BE49-F238E27FC236}">
                  <a16:creationId xmlns:a16="http://schemas.microsoft.com/office/drawing/2014/main" id="{00000000-0008-0000-1C00-000010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HVAC">
              <a:hlinkClick xmlns:r="http://schemas.openxmlformats.org/officeDocument/2006/relationships" r:id="rId8" tooltip="HVAC"/>
              <a:extLst>
                <a:ext uri="{FF2B5EF4-FFF2-40B4-BE49-F238E27FC236}">
                  <a16:creationId xmlns:a16="http://schemas.microsoft.com/office/drawing/2014/main" id="{00000000-0008-0000-1C00-00001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Motors and Drives">
              <a:hlinkClick xmlns:r="http://schemas.openxmlformats.org/officeDocument/2006/relationships" r:id="rId9" tooltip="Motors and Drives"/>
              <a:extLst>
                <a:ext uri="{FF2B5EF4-FFF2-40B4-BE49-F238E27FC236}">
                  <a16:creationId xmlns:a16="http://schemas.microsoft.com/office/drawing/2014/main" id="{00000000-0008-0000-1C00-00003C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CAP">
              <a:hlinkClick xmlns:r="http://schemas.openxmlformats.org/officeDocument/2006/relationships" r:id="rId10" tooltip="Compressed Air / Process"/>
              <a:extLst>
                <a:ext uri="{FF2B5EF4-FFF2-40B4-BE49-F238E27FC236}">
                  <a16:creationId xmlns:a16="http://schemas.microsoft.com/office/drawing/2014/main" id="{00000000-0008-0000-1C00-00003D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HFS">
              <a:hlinkClick xmlns:r="http://schemas.openxmlformats.org/officeDocument/2006/relationships" r:id="rId11" tooltip="Water Heating / Food Services"/>
              <a:extLst>
                <a:ext uri="{FF2B5EF4-FFF2-40B4-BE49-F238E27FC236}">
                  <a16:creationId xmlns:a16="http://schemas.microsoft.com/office/drawing/2014/main" id="{00000000-0008-0000-1C00-00003E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Miscellaneous">
              <a:hlinkClick xmlns:r="http://schemas.openxmlformats.org/officeDocument/2006/relationships" r:id="rId12" tooltip="Miscellaneous"/>
              <a:extLst>
                <a:ext uri="{FF2B5EF4-FFF2-40B4-BE49-F238E27FC236}">
                  <a16:creationId xmlns:a16="http://schemas.microsoft.com/office/drawing/2014/main" id="{00000000-0008-0000-1C00-00004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 name="Dividers">
            <a:extLst>
              <a:ext uri="{FF2B5EF4-FFF2-40B4-BE49-F238E27FC236}">
                <a16:creationId xmlns:a16="http://schemas.microsoft.com/office/drawing/2014/main" id="{00000000-0008-0000-1C00-000006000000}"/>
              </a:ext>
            </a:extLst>
          </xdr:cNvPr>
          <xdr:cNvGrpSpPr/>
        </xdr:nvGrpSpPr>
        <xdr:grpSpPr>
          <a:xfrm>
            <a:off x="3521022" y="1582544"/>
            <a:ext cx="7680961" cy="551056"/>
            <a:chOff x="3520440" y="1580822"/>
            <a:chExt cx="7680960" cy="552779"/>
          </a:xfrm>
        </xdr:grpSpPr>
        <xdr:cxnSp macro="">
          <xdr:nvCxnSpPr>
            <xdr:cNvPr id="7" name="Divider 7">
              <a:extLst>
                <a:ext uri="{FF2B5EF4-FFF2-40B4-BE49-F238E27FC236}">
                  <a16:creationId xmlns:a16="http://schemas.microsoft.com/office/drawing/2014/main" id="{00000000-0008-0000-1C00-000007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6">
              <a:extLst>
                <a:ext uri="{FF2B5EF4-FFF2-40B4-BE49-F238E27FC236}">
                  <a16:creationId xmlns:a16="http://schemas.microsoft.com/office/drawing/2014/main" id="{00000000-0008-0000-1C00-000008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5">
              <a:extLst>
                <a:ext uri="{FF2B5EF4-FFF2-40B4-BE49-F238E27FC236}">
                  <a16:creationId xmlns:a16="http://schemas.microsoft.com/office/drawing/2014/main" id="{00000000-0008-0000-1C00-000009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4">
              <a:extLst>
                <a:ext uri="{FF2B5EF4-FFF2-40B4-BE49-F238E27FC236}">
                  <a16:creationId xmlns:a16="http://schemas.microsoft.com/office/drawing/2014/main" id="{00000000-0008-0000-1C00-00000A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3">
              <a:extLst>
                <a:ext uri="{FF2B5EF4-FFF2-40B4-BE49-F238E27FC236}">
                  <a16:creationId xmlns:a16="http://schemas.microsoft.com/office/drawing/2014/main" id="{00000000-0008-0000-1C00-00000B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2">
              <a:extLst>
                <a:ext uri="{FF2B5EF4-FFF2-40B4-BE49-F238E27FC236}">
                  <a16:creationId xmlns:a16="http://schemas.microsoft.com/office/drawing/2014/main" id="{00000000-0008-0000-1C00-00000C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1">
              <a:extLst>
                <a:ext uri="{FF2B5EF4-FFF2-40B4-BE49-F238E27FC236}">
                  <a16:creationId xmlns:a16="http://schemas.microsoft.com/office/drawing/2014/main" id="{00000000-0008-0000-1C00-00000D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C00-000002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C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C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C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4" tooltip="Equipment Input"/>
            <a:extLst>
              <a:ext uri="{FF2B5EF4-FFF2-40B4-BE49-F238E27FC236}">
                <a16:creationId xmlns:a16="http://schemas.microsoft.com/office/drawing/2014/main" id="{00000000-0008-0000-1C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C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C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C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C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 name="Header">
          <a:extLst>
            <a:ext uri="{FF2B5EF4-FFF2-40B4-BE49-F238E27FC236}">
              <a16:creationId xmlns:a16="http://schemas.microsoft.com/office/drawing/2014/main" id="{00000000-0008-0000-1C00-000003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1C00-000027000000}"/>
              </a:ext>
            </a:extLst>
          </xdr:cNvPr>
          <xdr:cNvGrpSpPr/>
        </xdr:nvGrpSpPr>
        <xdr:grpSpPr>
          <a:xfrm>
            <a:off x="0" y="1452064"/>
            <a:ext cx="15813740" cy="591889"/>
            <a:chOff x="0" y="1452064"/>
            <a:chExt cx="15813740" cy="591889"/>
          </a:xfrm>
        </xdr:grpSpPr>
        <xdr:sp macro="" textlink="">
          <xdr:nvSpPr>
            <xdr:cNvPr id="51" name="Reference">
              <a:extLst>
                <a:ext uri="{FF2B5EF4-FFF2-40B4-BE49-F238E27FC236}">
                  <a16:creationId xmlns:a16="http://schemas.microsoft.com/office/drawing/2014/main" id="{00000000-0008-0000-1C00-000033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ontact">
              <a:hlinkClick xmlns:r="http://schemas.openxmlformats.org/officeDocument/2006/relationships" r:id="rId19" tooltip="Contact"/>
              <a:extLst>
                <a:ext uri="{FF2B5EF4-FFF2-40B4-BE49-F238E27FC236}">
                  <a16:creationId xmlns:a16="http://schemas.microsoft.com/office/drawing/2014/main" id="{00000000-0008-0000-1C00-000034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mpletion Form">
              <a:hlinkClick xmlns:r="http://schemas.openxmlformats.org/officeDocument/2006/relationships" r:id="rId20" tooltip=" "/>
              <a:extLst>
                <a:ext uri="{FF2B5EF4-FFF2-40B4-BE49-F238E27FC236}">
                  <a16:creationId xmlns:a16="http://schemas.microsoft.com/office/drawing/2014/main" id="{00000000-0008-0000-1C00-000035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Offer Form">
              <a:hlinkClick xmlns:r="http://schemas.openxmlformats.org/officeDocument/2006/relationships" r:id="rId21" tooltip=" "/>
              <a:extLst>
                <a:ext uri="{FF2B5EF4-FFF2-40B4-BE49-F238E27FC236}">
                  <a16:creationId xmlns:a16="http://schemas.microsoft.com/office/drawing/2014/main" id="{00000000-0008-0000-1C00-000036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centives">
              <a:extLst>
                <a:ext uri="{FF2B5EF4-FFF2-40B4-BE49-F238E27FC236}">
                  <a16:creationId xmlns:a16="http://schemas.microsoft.com/office/drawing/2014/main" id="{00000000-0008-0000-1C00-00003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6" name="Instructions">
              <a:hlinkClick xmlns:r="http://schemas.openxmlformats.org/officeDocument/2006/relationships" r:id="rId22" tooltip="Instructions"/>
              <a:extLst>
                <a:ext uri="{FF2B5EF4-FFF2-40B4-BE49-F238E27FC236}">
                  <a16:creationId xmlns:a16="http://schemas.microsoft.com/office/drawing/2014/main" id="{00000000-0008-0000-1C00-000038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elcome">
              <a:hlinkClick xmlns:r="http://schemas.openxmlformats.org/officeDocument/2006/relationships" r:id="rId23" tooltip="Welcome"/>
              <a:extLst>
                <a:ext uri="{FF2B5EF4-FFF2-40B4-BE49-F238E27FC236}">
                  <a16:creationId xmlns:a16="http://schemas.microsoft.com/office/drawing/2014/main" id="{00000000-0008-0000-1C00-000039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8" name="Evergy Logo">
              <a:extLst>
                <a:ext uri="{FF2B5EF4-FFF2-40B4-BE49-F238E27FC236}">
                  <a16:creationId xmlns:a16="http://schemas.microsoft.com/office/drawing/2014/main" id="{00000000-0008-0000-1C00-00003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9" name="State">
              <a:extLst>
                <a:ext uri="{FF2B5EF4-FFF2-40B4-BE49-F238E27FC236}">
                  <a16:creationId xmlns:a16="http://schemas.microsoft.com/office/drawing/2014/main" id="{00000000-0008-0000-1C00-00003B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C00-000028000000}"/>
              </a:ext>
            </a:extLst>
          </xdr:cNvPr>
          <xdr:cNvGrpSpPr/>
        </xdr:nvGrpSpPr>
        <xdr:grpSpPr>
          <a:xfrm>
            <a:off x="1613405" y="1537433"/>
            <a:ext cx="11616513" cy="423049"/>
            <a:chOff x="1612951" y="85725"/>
            <a:chExt cx="11618931" cy="423022"/>
          </a:xfrm>
        </xdr:grpSpPr>
        <xdr:cxnSp macro="">
          <xdr:nvCxnSpPr>
            <xdr:cNvPr id="44" name="Divider 4">
              <a:extLst>
                <a:ext uri="{FF2B5EF4-FFF2-40B4-BE49-F238E27FC236}">
                  <a16:creationId xmlns:a16="http://schemas.microsoft.com/office/drawing/2014/main" id="{00000000-0008-0000-1C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C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C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C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3</xdr:row>
      <xdr:rowOff>193798</xdr:rowOff>
    </xdr:from>
    <xdr:to>
      <xdr:col>3</xdr:col>
      <xdr:colOff>131</xdr:colOff>
      <xdr:row>6</xdr:row>
      <xdr:rowOff>4481</xdr:rowOff>
    </xdr:to>
    <xdr:sp macro="" textlink="">
      <xdr:nvSpPr>
        <xdr:cNvPr id="14" name="Arrow: Left M1S2">
          <a:hlinkClick xmlns:r="http://schemas.openxmlformats.org/officeDocument/2006/relationships" r:id="rId1" tooltip="Back: Welcome"/>
          <a:extLst>
            <a:ext uri="{FF2B5EF4-FFF2-40B4-BE49-F238E27FC236}">
              <a16:creationId xmlns:a16="http://schemas.microsoft.com/office/drawing/2014/main" id="{00000000-0008-0000-0A00-00000E000000}"/>
            </a:ext>
          </a:extLst>
        </xdr:cNvPr>
        <xdr:cNvSpPr/>
      </xdr:nvSpPr>
      <xdr:spPr>
        <a:xfrm>
          <a:off x="419883" y="785955"/>
          <a:ext cx="537207"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xdr:colOff>
      <xdr:row>4</xdr:row>
      <xdr:rowOff>0</xdr:rowOff>
    </xdr:from>
    <xdr:to>
      <xdr:col>38</xdr:col>
      <xdr:colOff>0</xdr:colOff>
      <xdr:row>41</xdr:row>
      <xdr:rowOff>56753</xdr:rowOff>
    </xdr:to>
    <xdr:grpSp>
      <xdr:nvGrpSpPr>
        <xdr:cNvPr id="26" name="Instructions">
          <a:extLst>
            <a:ext uri="{FF2B5EF4-FFF2-40B4-BE49-F238E27FC236}">
              <a16:creationId xmlns:a16="http://schemas.microsoft.com/office/drawing/2014/main" id="{00000000-0008-0000-0A00-00001A000000}"/>
            </a:ext>
          </a:extLst>
        </xdr:cNvPr>
        <xdr:cNvGrpSpPr>
          <a:grpSpLocks noChangeAspect="1"/>
        </xdr:cNvGrpSpPr>
      </xdr:nvGrpSpPr>
      <xdr:grpSpPr>
        <a:xfrm>
          <a:off x="1882589" y="806824"/>
          <a:ext cx="10040470" cy="7519870"/>
          <a:chOff x="2560320" y="990600"/>
          <a:chExt cx="10134600" cy="7582479"/>
        </a:xfrm>
      </xdr:grpSpPr>
      <xdr:pic>
        <xdr:nvPicPr>
          <xdr:cNvPr id="23" name="Instructions">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320" y="990600"/>
            <a:ext cx="10134600" cy="7582479"/>
          </a:xfrm>
          <a:prstGeom prst="rect">
            <a:avLst/>
          </a:prstGeom>
        </xdr:spPr>
      </xdr:pic>
      <xdr:sp macro="" textlink="">
        <xdr:nvSpPr>
          <xdr:cNvPr id="20" name="Email">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6566013" y="8099343"/>
            <a:ext cx="1946462" cy="222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42</xdr:col>
          <xdr:colOff>0</xdr:colOff>
          <xdr:row>10</xdr:row>
          <xdr:rowOff>190500</xdr:rowOff>
        </xdr:from>
        <xdr:to>
          <xdr:col>48</xdr:col>
          <xdr:colOff>0</xdr:colOff>
          <xdr:row>12</xdr:row>
          <xdr:rowOff>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A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xdr:from>
      <xdr:col>42</xdr:col>
      <xdr:colOff>0</xdr:colOff>
      <xdr:row>3</xdr:row>
      <xdr:rowOff>85725</xdr:rowOff>
    </xdr:from>
    <xdr:to>
      <xdr:col>48</xdr:col>
      <xdr:colOff>1</xdr:colOff>
      <xdr:row>6</xdr:row>
      <xdr:rowOff>125730</xdr:rowOff>
    </xdr:to>
    <xdr:grpSp>
      <xdr:nvGrpSpPr>
        <xdr:cNvPr id="25" name="Start">
          <a:extLst>
            <a:ext uri="{FF2B5EF4-FFF2-40B4-BE49-F238E27FC236}">
              <a16:creationId xmlns:a16="http://schemas.microsoft.com/office/drawing/2014/main" id="{00000000-0008-0000-0A00-000019000000}"/>
            </a:ext>
          </a:extLst>
        </xdr:cNvPr>
        <xdr:cNvGrpSpPr/>
      </xdr:nvGrpSpPr>
      <xdr:grpSpPr>
        <a:xfrm>
          <a:off x="13178118" y="690843"/>
          <a:ext cx="1882589" cy="645122"/>
          <a:chOff x="13201650" y="685800"/>
          <a:chExt cx="1885951" cy="640080"/>
        </a:xfrm>
      </xdr:grpSpPr>
      <xdr:sp macro="" textlink="">
        <xdr:nvSpPr>
          <xdr:cNvPr id="2" name="Start">
            <a:extLst>
              <a:ext uri="{FF2B5EF4-FFF2-40B4-BE49-F238E27FC236}">
                <a16:creationId xmlns:a16="http://schemas.microsoft.com/office/drawing/2014/main" id="{00000000-0008-0000-0A00-000002000000}"/>
              </a:ext>
            </a:extLst>
          </xdr:cNvPr>
          <xdr:cNvSpPr/>
        </xdr:nvSpPr>
        <xdr:spPr>
          <a:xfrm>
            <a:off x="13201651" y="687902"/>
            <a:ext cx="1885950" cy="63503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15" name="Arrow: Right M01-S02">
            <a:extLst>
              <a:ext uri="{FF2B5EF4-FFF2-40B4-BE49-F238E27FC236}">
                <a16:creationId xmlns:a16="http://schemas.microsoft.com/office/drawing/2014/main" id="{00000000-0008-0000-0A00-00000F000000}"/>
              </a:ext>
            </a:extLst>
          </xdr:cNvPr>
          <xdr:cNvSpPr/>
        </xdr:nvSpPr>
        <xdr:spPr>
          <a:xfrm>
            <a:off x="14329352" y="767260"/>
            <a:ext cx="610556" cy="47697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M02-S01">
            <a:hlinkClick xmlns:r="http://schemas.openxmlformats.org/officeDocument/2006/relationships" r:id="rId4"/>
            <a:extLst>
              <a:ext uri="{FF2B5EF4-FFF2-40B4-BE49-F238E27FC236}">
                <a16:creationId xmlns:a16="http://schemas.microsoft.com/office/drawing/2014/main" id="{00000000-0008-0000-0A00-000018000000}"/>
              </a:ext>
            </a:extLst>
          </xdr:cNvPr>
          <xdr:cNvSpPr/>
        </xdr:nvSpPr>
        <xdr:spPr>
          <a:xfrm>
            <a:off x="13201650" y="685800"/>
            <a:ext cx="1885950" cy="640080"/>
          </a:xfrm>
          <a:prstGeom prst="roundRect">
            <a:avLst>
              <a:gd name="adj" fmla="val 48870"/>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600" b="1">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 name="Header">
          <a:extLst>
            <a:ext uri="{FF2B5EF4-FFF2-40B4-BE49-F238E27FC236}">
              <a16:creationId xmlns:a16="http://schemas.microsoft.com/office/drawing/2014/main" id="{00000000-0008-0000-0A00-000003000000}"/>
            </a:ext>
          </a:extLst>
        </xdr:cNvPr>
        <xdr:cNvGrpSpPr/>
      </xdr:nvGrpSpPr>
      <xdr:grpSpPr>
        <a:xfrm>
          <a:off x="0" y="0"/>
          <a:ext cx="15374471" cy="605336"/>
          <a:chOff x="0" y="1452064"/>
          <a:chExt cx="15813740" cy="591889"/>
        </a:xfrm>
      </xdr:grpSpPr>
      <xdr:grpSp>
        <xdr:nvGrpSpPr>
          <xdr:cNvPr id="4" name="Header">
            <a:extLst>
              <a:ext uri="{FF2B5EF4-FFF2-40B4-BE49-F238E27FC236}">
                <a16:creationId xmlns:a16="http://schemas.microsoft.com/office/drawing/2014/main" id="{00000000-0008-0000-0A00-000004000000}"/>
              </a:ext>
            </a:extLst>
          </xdr:cNvPr>
          <xdr:cNvGrpSpPr/>
        </xdr:nvGrpSpPr>
        <xdr:grpSpPr>
          <a:xfrm>
            <a:off x="0" y="1452064"/>
            <a:ext cx="15813740" cy="591889"/>
            <a:chOff x="0" y="1452064"/>
            <a:chExt cx="15813740" cy="591889"/>
          </a:xfrm>
        </xdr:grpSpPr>
        <xdr:sp macro="" textlink="">
          <xdr:nvSpPr>
            <xdr:cNvPr id="10" name="Reference">
              <a:extLst>
                <a:ext uri="{FF2B5EF4-FFF2-40B4-BE49-F238E27FC236}">
                  <a16:creationId xmlns:a16="http://schemas.microsoft.com/office/drawing/2014/main" id="{00000000-0008-0000-0A00-00000A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ntact">
              <a:hlinkClick xmlns:r="http://schemas.openxmlformats.org/officeDocument/2006/relationships" r:id="rId5" tooltip="Contact"/>
              <a:extLst>
                <a:ext uri="{FF2B5EF4-FFF2-40B4-BE49-F238E27FC236}">
                  <a16:creationId xmlns:a16="http://schemas.microsoft.com/office/drawing/2014/main" id="{00000000-0008-0000-0A00-00000B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Completion Form">
              <a:hlinkClick xmlns:r="http://schemas.openxmlformats.org/officeDocument/2006/relationships" r:id="rId6" tooltip=" "/>
              <a:extLst>
                <a:ext uri="{FF2B5EF4-FFF2-40B4-BE49-F238E27FC236}">
                  <a16:creationId xmlns:a16="http://schemas.microsoft.com/office/drawing/2014/main" id="{00000000-0008-0000-0A00-00000C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Offer Form">
              <a:hlinkClick xmlns:r="http://schemas.openxmlformats.org/officeDocument/2006/relationships" r:id="rId7" tooltip=" "/>
              <a:extLst>
                <a:ext uri="{FF2B5EF4-FFF2-40B4-BE49-F238E27FC236}">
                  <a16:creationId xmlns:a16="http://schemas.microsoft.com/office/drawing/2014/main" id="{00000000-0008-0000-0A00-00000D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Incentives">
              <a:extLst>
                <a:ext uri="{FF2B5EF4-FFF2-40B4-BE49-F238E27FC236}">
                  <a16:creationId xmlns:a16="http://schemas.microsoft.com/office/drawing/2014/main" id="{00000000-0008-0000-0A00-000010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17" name="Instructions">
              <a:hlinkClick xmlns:r="http://schemas.openxmlformats.org/officeDocument/2006/relationships" r:id="rId8" tooltip="Instructions"/>
              <a:extLst>
                <a:ext uri="{FF2B5EF4-FFF2-40B4-BE49-F238E27FC236}">
                  <a16:creationId xmlns:a16="http://schemas.microsoft.com/office/drawing/2014/main" id="{00000000-0008-0000-0A00-000011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Welcome">
              <a:hlinkClick xmlns:r="http://schemas.openxmlformats.org/officeDocument/2006/relationships" r:id="rId1" tooltip="Welcome"/>
              <a:extLst>
                <a:ext uri="{FF2B5EF4-FFF2-40B4-BE49-F238E27FC236}">
                  <a16:creationId xmlns:a16="http://schemas.microsoft.com/office/drawing/2014/main" id="{00000000-0008-0000-0A00-000012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9" name="Evergy Logo">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21" name="State">
              <a:extLst>
                <a:ext uri="{FF2B5EF4-FFF2-40B4-BE49-F238E27FC236}">
                  <a16:creationId xmlns:a16="http://schemas.microsoft.com/office/drawing/2014/main" id="{00000000-0008-0000-0A00-00001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5" name="Dividers">
            <a:extLst>
              <a:ext uri="{FF2B5EF4-FFF2-40B4-BE49-F238E27FC236}">
                <a16:creationId xmlns:a16="http://schemas.microsoft.com/office/drawing/2014/main" id="{00000000-0008-0000-0A00-000005000000}"/>
              </a:ext>
            </a:extLst>
          </xdr:cNvPr>
          <xdr:cNvGrpSpPr/>
        </xdr:nvGrpSpPr>
        <xdr:grpSpPr>
          <a:xfrm>
            <a:off x="1613405" y="1537433"/>
            <a:ext cx="11616513" cy="423049"/>
            <a:chOff x="1612951" y="85725"/>
            <a:chExt cx="11618931" cy="423022"/>
          </a:xfrm>
        </xdr:grpSpPr>
        <xdr:cxnSp macro="">
          <xdr:nvCxnSpPr>
            <xdr:cNvPr id="6" name="Divider 4">
              <a:extLst>
                <a:ext uri="{FF2B5EF4-FFF2-40B4-BE49-F238E27FC236}">
                  <a16:creationId xmlns:a16="http://schemas.microsoft.com/office/drawing/2014/main" id="{00000000-0008-0000-0A00-00000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3">
              <a:extLst>
                <a:ext uri="{FF2B5EF4-FFF2-40B4-BE49-F238E27FC236}">
                  <a16:creationId xmlns:a16="http://schemas.microsoft.com/office/drawing/2014/main" id="{00000000-0008-0000-0A00-00000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2">
              <a:extLst>
                <a:ext uri="{FF2B5EF4-FFF2-40B4-BE49-F238E27FC236}">
                  <a16:creationId xmlns:a16="http://schemas.microsoft.com/office/drawing/2014/main" id="{00000000-0008-0000-0A00-00000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1">
              <a:extLst>
                <a:ext uri="{FF2B5EF4-FFF2-40B4-BE49-F238E27FC236}">
                  <a16:creationId xmlns:a16="http://schemas.microsoft.com/office/drawing/2014/main" id="{00000000-0008-0000-0A00-00000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53788</xdr:colOff>
      <xdr:row>38</xdr:row>
      <xdr:rowOff>0</xdr:rowOff>
    </xdr:from>
    <xdr:to>
      <xdr:col>36</xdr:col>
      <xdr:colOff>0</xdr:colOff>
      <xdr:row>39</xdr:row>
      <xdr:rowOff>169881</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2312894" y="7494494"/>
          <a:ext cx="9305365" cy="3671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1D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1D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D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D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D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1D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D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D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1D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D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93234</xdr:rowOff>
    </xdr:from>
    <xdr:to>
      <xdr:col>3</xdr:col>
      <xdr:colOff>2396</xdr:colOff>
      <xdr:row>10</xdr:row>
      <xdr:rowOff>97492</xdr:rowOff>
    </xdr:to>
    <xdr:sp macro="" textlink="">
      <xdr:nvSpPr>
        <xdr:cNvPr id="60" name="Arrow: Left M4S3">
          <a:hlinkClick xmlns:r="http://schemas.openxmlformats.org/officeDocument/2006/relationships" r:id="rId3" tooltip="Back: Lighting"/>
          <a:extLst>
            <a:ext uri="{FF2B5EF4-FFF2-40B4-BE49-F238E27FC236}">
              <a16:creationId xmlns:a16="http://schemas.microsoft.com/office/drawing/2014/main" id="{00000000-0008-0000-1D00-00003C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1" name="Arrow: Right M4S3">
          <a:hlinkClick xmlns:r="http://schemas.openxmlformats.org/officeDocument/2006/relationships" r:id="rId4" tooltip="Forward: Refrigeration"/>
          <a:extLst>
            <a:ext uri="{FF2B5EF4-FFF2-40B4-BE49-F238E27FC236}">
              <a16:creationId xmlns:a16="http://schemas.microsoft.com/office/drawing/2014/main" id="{00000000-0008-0000-1D00-00003D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1D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1D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1D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1" tooltip="Lighting Controls"/>
              <a:extLst>
                <a:ext uri="{FF2B5EF4-FFF2-40B4-BE49-F238E27FC236}">
                  <a16:creationId xmlns:a16="http://schemas.microsoft.com/office/drawing/2014/main" id="{00000000-0008-0000-1D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6" tooltip="Refrigeration"/>
              <a:extLst>
                <a:ext uri="{FF2B5EF4-FFF2-40B4-BE49-F238E27FC236}">
                  <a16:creationId xmlns:a16="http://schemas.microsoft.com/office/drawing/2014/main" id="{00000000-0008-0000-1D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7" tooltip="HVAC"/>
              <a:extLst>
                <a:ext uri="{FF2B5EF4-FFF2-40B4-BE49-F238E27FC236}">
                  <a16:creationId xmlns:a16="http://schemas.microsoft.com/office/drawing/2014/main" id="{00000000-0008-0000-1D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Motors and Drives">
              <a:hlinkClick xmlns:r="http://schemas.openxmlformats.org/officeDocument/2006/relationships" r:id="rId8" tooltip="Motors and Drives"/>
              <a:extLst>
                <a:ext uri="{FF2B5EF4-FFF2-40B4-BE49-F238E27FC236}">
                  <a16:creationId xmlns:a16="http://schemas.microsoft.com/office/drawing/2014/main" id="{00000000-0008-0000-1D00-00003A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CAP">
              <a:hlinkClick xmlns:r="http://schemas.openxmlformats.org/officeDocument/2006/relationships" r:id="rId9" tooltip="Compressed Air / Process"/>
              <a:extLst>
                <a:ext uri="{FF2B5EF4-FFF2-40B4-BE49-F238E27FC236}">
                  <a16:creationId xmlns:a16="http://schemas.microsoft.com/office/drawing/2014/main" id="{00000000-0008-0000-1D00-00003B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D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D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D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D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D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D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D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D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D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D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D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D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D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D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D00-000002000000}"/>
            </a:ext>
          </a:extLst>
        </xdr:cNvPr>
        <xdr:cNvGrpSpPr/>
      </xdr:nvGrpSpPr>
      <xdr:grpSpPr>
        <a:xfrm>
          <a:off x="0" y="0"/>
          <a:ext cx="15374471" cy="605336"/>
          <a:chOff x="0" y="1452064"/>
          <a:chExt cx="15813740" cy="591889"/>
        </a:xfrm>
      </xdr:grpSpPr>
      <xdr:grpSp>
        <xdr:nvGrpSpPr>
          <xdr:cNvPr id="35" name="Header">
            <a:extLst>
              <a:ext uri="{FF2B5EF4-FFF2-40B4-BE49-F238E27FC236}">
                <a16:creationId xmlns:a16="http://schemas.microsoft.com/office/drawing/2014/main" id="{00000000-0008-0000-1D00-000023000000}"/>
              </a:ext>
            </a:extLst>
          </xdr:cNvPr>
          <xdr:cNvGrpSpPr/>
        </xdr:nvGrpSpPr>
        <xdr:grpSpPr>
          <a:xfrm>
            <a:off x="0" y="1452064"/>
            <a:ext cx="15813740" cy="591889"/>
            <a:chOff x="0" y="1452064"/>
            <a:chExt cx="15813740" cy="591889"/>
          </a:xfrm>
        </xdr:grpSpPr>
        <xdr:sp macro="" textlink="">
          <xdr:nvSpPr>
            <xdr:cNvPr id="44" name="Reference">
              <a:extLst>
                <a:ext uri="{FF2B5EF4-FFF2-40B4-BE49-F238E27FC236}">
                  <a16:creationId xmlns:a16="http://schemas.microsoft.com/office/drawing/2014/main" id="{00000000-0008-0000-1D00-00002C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Contact">
              <a:hlinkClick xmlns:r="http://schemas.openxmlformats.org/officeDocument/2006/relationships" r:id="rId19" tooltip="Contact"/>
              <a:extLst>
                <a:ext uri="{FF2B5EF4-FFF2-40B4-BE49-F238E27FC236}">
                  <a16:creationId xmlns:a16="http://schemas.microsoft.com/office/drawing/2014/main" id="{00000000-0008-0000-1D00-00002D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0" tooltip=" "/>
              <a:extLst>
                <a:ext uri="{FF2B5EF4-FFF2-40B4-BE49-F238E27FC236}">
                  <a16:creationId xmlns:a16="http://schemas.microsoft.com/office/drawing/2014/main" id="{00000000-0008-0000-1D00-000031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1" tooltip=" "/>
              <a:extLst>
                <a:ext uri="{FF2B5EF4-FFF2-40B4-BE49-F238E27FC236}">
                  <a16:creationId xmlns:a16="http://schemas.microsoft.com/office/drawing/2014/main" id="{00000000-0008-0000-1D00-000032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centives">
              <a:extLst>
                <a:ext uri="{FF2B5EF4-FFF2-40B4-BE49-F238E27FC236}">
                  <a16:creationId xmlns:a16="http://schemas.microsoft.com/office/drawing/2014/main" id="{00000000-0008-0000-1D00-000035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4" name="Instructions">
              <a:hlinkClick xmlns:r="http://schemas.openxmlformats.org/officeDocument/2006/relationships" r:id="rId22" tooltip="Instructions"/>
              <a:extLst>
                <a:ext uri="{FF2B5EF4-FFF2-40B4-BE49-F238E27FC236}">
                  <a16:creationId xmlns:a16="http://schemas.microsoft.com/office/drawing/2014/main" id="{00000000-0008-0000-1D00-000036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Welcome">
              <a:hlinkClick xmlns:r="http://schemas.openxmlformats.org/officeDocument/2006/relationships" r:id="rId23" tooltip="Welcome"/>
              <a:extLst>
                <a:ext uri="{FF2B5EF4-FFF2-40B4-BE49-F238E27FC236}">
                  <a16:creationId xmlns:a16="http://schemas.microsoft.com/office/drawing/2014/main" id="{00000000-0008-0000-1D00-000037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6" name="Evergy Logo">
              <a:extLst>
                <a:ext uri="{FF2B5EF4-FFF2-40B4-BE49-F238E27FC236}">
                  <a16:creationId xmlns:a16="http://schemas.microsoft.com/office/drawing/2014/main" id="{00000000-0008-0000-1D00-000038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7" name="State">
              <a:extLst>
                <a:ext uri="{FF2B5EF4-FFF2-40B4-BE49-F238E27FC236}">
                  <a16:creationId xmlns:a16="http://schemas.microsoft.com/office/drawing/2014/main" id="{00000000-0008-0000-1D00-000039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D00-000027000000}"/>
              </a:ext>
            </a:extLst>
          </xdr:cNvPr>
          <xdr:cNvGrpSpPr/>
        </xdr:nvGrpSpPr>
        <xdr:grpSpPr>
          <a:xfrm>
            <a:off x="1613405" y="1537433"/>
            <a:ext cx="11616513" cy="423049"/>
            <a:chOff x="1612951" y="85725"/>
            <a:chExt cx="11618931" cy="423022"/>
          </a:xfrm>
        </xdr:grpSpPr>
        <xdr:cxnSp macro="">
          <xdr:nvCxnSpPr>
            <xdr:cNvPr id="40" name="Divider 4">
              <a:extLst>
                <a:ext uri="{FF2B5EF4-FFF2-40B4-BE49-F238E27FC236}">
                  <a16:creationId xmlns:a16="http://schemas.microsoft.com/office/drawing/2014/main" id="{00000000-0008-0000-1D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D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D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D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1E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1E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E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E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E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1E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E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E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1E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E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53" name="Arrow: Left M4S4">
          <a:hlinkClick xmlns:r="http://schemas.openxmlformats.org/officeDocument/2006/relationships" r:id="rId3" tooltip="Back: Lighting Controls"/>
          <a:extLst>
            <a:ext uri="{FF2B5EF4-FFF2-40B4-BE49-F238E27FC236}">
              <a16:creationId xmlns:a16="http://schemas.microsoft.com/office/drawing/2014/main" id="{00000000-0008-0000-1E00-000035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4" name="Arrow: Right M4S4">
          <a:hlinkClick xmlns:r="http://schemas.openxmlformats.org/officeDocument/2006/relationships" r:id="rId4" tooltip="Forward: HVAC"/>
          <a:extLst>
            <a:ext uri="{FF2B5EF4-FFF2-40B4-BE49-F238E27FC236}">
              <a16:creationId xmlns:a16="http://schemas.microsoft.com/office/drawing/2014/main" id="{00000000-0008-0000-1E00-000036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1E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1E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1E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1E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1" tooltip="Refrigeration"/>
              <a:extLst>
                <a:ext uri="{FF2B5EF4-FFF2-40B4-BE49-F238E27FC236}">
                  <a16:creationId xmlns:a16="http://schemas.microsoft.com/office/drawing/2014/main" id="{00000000-0008-0000-1E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7" tooltip="HVAC"/>
              <a:extLst>
                <a:ext uri="{FF2B5EF4-FFF2-40B4-BE49-F238E27FC236}">
                  <a16:creationId xmlns:a16="http://schemas.microsoft.com/office/drawing/2014/main" id="{00000000-0008-0000-1E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E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E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E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E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E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E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E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E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E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E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E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E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E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E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E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E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E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E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E00-000002000000}"/>
            </a:ext>
          </a:extLst>
        </xdr:cNvPr>
        <xdr:cNvGrpSpPr/>
      </xdr:nvGrpSpPr>
      <xdr:grpSpPr>
        <a:xfrm>
          <a:off x="0" y="0"/>
          <a:ext cx="15374471" cy="605336"/>
          <a:chOff x="0" y="1452064"/>
          <a:chExt cx="15813740" cy="591889"/>
        </a:xfrm>
      </xdr:grpSpPr>
      <xdr:grpSp>
        <xdr:nvGrpSpPr>
          <xdr:cNvPr id="40" name="Header">
            <a:extLst>
              <a:ext uri="{FF2B5EF4-FFF2-40B4-BE49-F238E27FC236}">
                <a16:creationId xmlns:a16="http://schemas.microsoft.com/office/drawing/2014/main" id="{00000000-0008-0000-1E00-000028000000}"/>
              </a:ext>
            </a:extLst>
          </xdr:cNvPr>
          <xdr:cNvGrpSpPr/>
        </xdr:nvGrpSpPr>
        <xdr:grpSpPr>
          <a:xfrm>
            <a:off x="0" y="1452064"/>
            <a:ext cx="15813740" cy="591889"/>
            <a:chOff x="0" y="1452064"/>
            <a:chExt cx="15813740" cy="591889"/>
          </a:xfrm>
        </xdr:grpSpPr>
        <xdr:sp macro="" textlink="">
          <xdr:nvSpPr>
            <xdr:cNvPr id="49" name="Reference">
              <a:extLst>
                <a:ext uri="{FF2B5EF4-FFF2-40B4-BE49-F238E27FC236}">
                  <a16:creationId xmlns:a16="http://schemas.microsoft.com/office/drawing/2014/main" id="{00000000-0008-0000-1E00-000031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E00-00003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E00-00003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E00-00003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centives">
              <a:extLst>
                <a:ext uri="{FF2B5EF4-FFF2-40B4-BE49-F238E27FC236}">
                  <a16:creationId xmlns:a16="http://schemas.microsoft.com/office/drawing/2014/main" id="{00000000-0008-0000-1E00-00003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2" name="Instructions">
              <a:hlinkClick xmlns:r="http://schemas.openxmlformats.org/officeDocument/2006/relationships" r:id="rId22" tooltip="Instructions"/>
              <a:extLst>
                <a:ext uri="{FF2B5EF4-FFF2-40B4-BE49-F238E27FC236}">
                  <a16:creationId xmlns:a16="http://schemas.microsoft.com/office/drawing/2014/main" id="{00000000-0008-0000-1E00-00003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Welcome">
              <a:hlinkClick xmlns:r="http://schemas.openxmlformats.org/officeDocument/2006/relationships" r:id="rId23" tooltip="Welcome"/>
              <a:extLst>
                <a:ext uri="{FF2B5EF4-FFF2-40B4-BE49-F238E27FC236}">
                  <a16:creationId xmlns:a16="http://schemas.microsoft.com/office/drawing/2014/main" id="{00000000-0008-0000-1E00-00003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Evergy Logo">
              <a:extLst>
                <a:ext uri="{FF2B5EF4-FFF2-40B4-BE49-F238E27FC236}">
                  <a16:creationId xmlns:a16="http://schemas.microsoft.com/office/drawing/2014/main" id="{00000000-0008-0000-1E00-00004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5" name="State">
              <a:extLst>
                <a:ext uri="{FF2B5EF4-FFF2-40B4-BE49-F238E27FC236}">
                  <a16:creationId xmlns:a16="http://schemas.microsoft.com/office/drawing/2014/main" id="{00000000-0008-0000-1E00-00004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E00-000029000000}"/>
              </a:ext>
            </a:extLst>
          </xdr:cNvPr>
          <xdr:cNvGrpSpPr/>
        </xdr:nvGrpSpPr>
        <xdr:grpSpPr>
          <a:xfrm>
            <a:off x="1613405" y="1537433"/>
            <a:ext cx="11616513" cy="423049"/>
            <a:chOff x="1612951" y="85725"/>
            <a:chExt cx="11618931" cy="423022"/>
          </a:xfrm>
        </xdr:grpSpPr>
        <xdr:cxnSp macro="">
          <xdr:nvCxnSpPr>
            <xdr:cNvPr id="42" name="Divider 4">
              <a:extLst>
                <a:ext uri="{FF2B5EF4-FFF2-40B4-BE49-F238E27FC236}">
                  <a16:creationId xmlns:a16="http://schemas.microsoft.com/office/drawing/2014/main" id="{00000000-0008-0000-1E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E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2">
              <a:extLst>
                <a:ext uri="{FF2B5EF4-FFF2-40B4-BE49-F238E27FC236}">
                  <a16:creationId xmlns:a16="http://schemas.microsoft.com/office/drawing/2014/main" id="{00000000-0008-0000-1E00-00002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E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6">
          <a:extLst>
            <a:ext uri="{FF2B5EF4-FFF2-40B4-BE49-F238E27FC236}">
              <a16:creationId xmlns:a16="http://schemas.microsoft.com/office/drawing/2014/main" id="{00000000-0008-0000-1F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1F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F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F00-000049000000}"/>
              </a:ext>
            </a:extLst>
          </xdr:cNvPr>
          <xdr:cNvGrpSpPr/>
        </xdr:nvGrpSpPr>
        <xdr:grpSpPr>
          <a:xfrm>
            <a:off x="1217865" y="2510935"/>
            <a:ext cx="3348726" cy="178709"/>
            <a:chOff x="1217865" y="2510935"/>
            <a:chExt cx="3348726"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F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hlinkClick xmlns:r="http://schemas.openxmlformats.org/officeDocument/2006/relationships" r:id="rId2"/>
              <a:extLst>
                <a:ext uri="{FF2B5EF4-FFF2-40B4-BE49-F238E27FC236}">
                  <a16:creationId xmlns:a16="http://schemas.microsoft.com/office/drawing/2014/main" id="{00000000-0008-0000-1F00-00004B000000}"/>
                </a:ext>
              </a:extLst>
            </xdr:cNvPr>
            <xdr:cNvSpPr/>
          </xdr:nvSpPr>
          <xdr:spPr>
            <a:xfrm>
              <a:off x="2339939"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Custom Lite</a:t>
              </a:r>
              <a:endParaRPr lang="en-US" sz="1100" b="1" baseline="0">
                <a:solidFill>
                  <a:schemeClr val="tx1"/>
                </a:solidFill>
                <a:latin typeface="Arial" panose="020B0604020202020204" pitchFamily="34" charset="0"/>
                <a:cs typeface="Arial" panose="020B0604020202020204" pitchFamily="34" charset="0"/>
              </a:endParaRPr>
            </a:p>
          </xdr:txBody>
        </xdr:sp>
        <xdr:sp macro="" textlink="">
          <xdr:nvSpPr>
            <xdr:cNvPr id="76" name="Standard">
              <a:extLst>
                <a:ext uri="{FF2B5EF4-FFF2-40B4-BE49-F238E27FC236}">
                  <a16:creationId xmlns:a16="http://schemas.microsoft.com/office/drawing/2014/main" id="{00000000-0008-0000-1F00-00004C000000}"/>
                </a:ext>
              </a:extLst>
            </xdr:cNvPr>
            <xdr:cNvSpPr/>
          </xdr:nvSpPr>
          <xdr:spPr>
            <a:xfrm>
              <a:off x="1219200"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rgbClr val="7F7F7F"/>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F00-00004D000000}"/>
                </a:ext>
              </a:extLst>
            </xdr:cNvPr>
            <xdr:cNvGrpSpPr/>
          </xdr:nvGrpSpPr>
          <xdr:grpSpPr>
            <a:xfrm>
              <a:off x="1217865" y="2513472"/>
              <a:ext cx="1107759" cy="176172"/>
              <a:chOff x="3460050" y="2560088"/>
              <a:chExt cx="1107759" cy="183344"/>
            </a:xfrm>
          </xdr:grpSpPr>
          <xdr:cxnSp macro="">
            <xdr:nvCxnSpPr>
              <xdr:cNvPr id="78" name="2">
                <a:extLst>
                  <a:ext uri="{FF2B5EF4-FFF2-40B4-BE49-F238E27FC236}">
                    <a16:creationId xmlns:a16="http://schemas.microsoft.com/office/drawing/2014/main" id="{00000000-0008-0000-1F00-00004E000000}"/>
                  </a:ext>
                </a:extLst>
              </xdr:cNvPr>
              <xdr:cNvCxnSpPr/>
            </xdr:nvCxnSpPr>
            <xdr:spPr>
              <a:xfrm>
                <a:off x="3460050" y="2560088"/>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F00-00004F000000}"/>
                  </a:ext>
                </a:extLst>
              </xdr:cNvPr>
              <xdr:cNvCxnSpPr/>
            </xdr:nvCxnSpPr>
            <xdr:spPr>
              <a:xfrm flipH="1">
                <a:off x="3461385" y="2560320"/>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97326</xdr:colOff>
      <xdr:row>8</xdr:row>
      <xdr:rowOff>98714</xdr:rowOff>
    </xdr:from>
    <xdr:to>
      <xdr:col>2</xdr:col>
      <xdr:colOff>312094</xdr:colOff>
      <xdr:row>10</xdr:row>
      <xdr:rowOff>104877</xdr:rowOff>
    </xdr:to>
    <xdr:sp macro="" textlink="">
      <xdr:nvSpPr>
        <xdr:cNvPr id="53" name="Arrow: Left M4S5">
          <a:hlinkClick xmlns:r="http://schemas.openxmlformats.org/officeDocument/2006/relationships" r:id="rId3" tooltip="Back: Refrigeration"/>
          <a:extLst>
            <a:ext uri="{FF2B5EF4-FFF2-40B4-BE49-F238E27FC236}">
              <a16:creationId xmlns:a16="http://schemas.microsoft.com/office/drawing/2014/main" id="{00000000-0008-0000-1F00-000035000000}"/>
            </a:ext>
          </a:extLst>
        </xdr:cNvPr>
        <xdr:cNvSpPr/>
      </xdr:nvSpPr>
      <xdr:spPr>
        <a:xfrm>
          <a:off x="418393" y="1691208"/>
          <a:ext cx="541551" cy="40619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6547</xdr:colOff>
      <xdr:row>8</xdr:row>
      <xdr:rowOff>96573</xdr:rowOff>
    </xdr:from>
    <xdr:to>
      <xdr:col>47</xdr:col>
      <xdr:colOff>227030</xdr:colOff>
      <xdr:row>10</xdr:row>
      <xdr:rowOff>102736</xdr:rowOff>
    </xdr:to>
    <xdr:sp macro="" textlink="">
      <xdr:nvSpPr>
        <xdr:cNvPr id="54" name="Arrow: Right M4S5">
          <a:hlinkClick xmlns:r="http://schemas.openxmlformats.org/officeDocument/2006/relationships" r:id="rId4" tooltip="Forward: Motors and Drives"/>
          <a:extLst>
            <a:ext uri="{FF2B5EF4-FFF2-40B4-BE49-F238E27FC236}">
              <a16:creationId xmlns:a16="http://schemas.microsoft.com/office/drawing/2014/main" id="{00000000-0008-0000-1F00-000036000000}"/>
            </a:ext>
          </a:extLst>
        </xdr:cNvPr>
        <xdr:cNvSpPr/>
      </xdr:nvSpPr>
      <xdr:spPr>
        <a:xfrm>
          <a:off x="13491378" y="1689067"/>
          <a:ext cx="541551" cy="40619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1F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1F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1F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1F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1F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1" tooltip="HVAC"/>
              <a:extLst>
                <a:ext uri="{FF2B5EF4-FFF2-40B4-BE49-F238E27FC236}">
                  <a16:creationId xmlns:a16="http://schemas.microsoft.com/office/drawing/2014/main" id="{00000000-0008-0000-1F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F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F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F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F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F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F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F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F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F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F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F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F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F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F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F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F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F00-000002000000}"/>
            </a:ext>
          </a:extLst>
        </xdr:cNvPr>
        <xdr:cNvGrpSpPr/>
      </xdr:nvGrpSpPr>
      <xdr:grpSpPr>
        <a:xfrm>
          <a:off x="0" y="0"/>
          <a:ext cx="15374471" cy="605336"/>
          <a:chOff x="0" y="1452064"/>
          <a:chExt cx="15813740" cy="591889"/>
        </a:xfrm>
      </xdr:grpSpPr>
      <xdr:grpSp>
        <xdr:nvGrpSpPr>
          <xdr:cNvPr id="34" name="Header">
            <a:extLst>
              <a:ext uri="{FF2B5EF4-FFF2-40B4-BE49-F238E27FC236}">
                <a16:creationId xmlns:a16="http://schemas.microsoft.com/office/drawing/2014/main" id="{00000000-0008-0000-1F00-000022000000}"/>
              </a:ext>
            </a:extLst>
          </xdr:cNvPr>
          <xdr:cNvGrpSpPr/>
        </xdr:nvGrpSpPr>
        <xdr:grpSpPr>
          <a:xfrm>
            <a:off x="0" y="1452064"/>
            <a:ext cx="15813740" cy="591889"/>
            <a:chOff x="0" y="1452064"/>
            <a:chExt cx="15813740" cy="591889"/>
          </a:xfrm>
        </xdr:grpSpPr>
        <xdr:sp macro="" textlink="">
          <xdr:nvSpPr>
            <xdr:cNvPr id="49" name="Reference">
              <a:extLst>
                <a:ext uri="{FF2B5EF4-FFF2-40B4-BE49-F238E27FC236}">
                  <a16:creationId xmlns:a16="http://schemas.microsoft.com/office/drawing/2014/main" id="{00000000-0008-0000-1F00-000031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F00-00003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F00-00003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F00-00003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centives">
              <a:extLst>
                <a:ext uri="{FF2B5EF4-FFF2-40B4-BE49-F238E27FC236}">
                  <a16:creationId xmlns:a16="http://schemas.microsoft.com/office/drawing/2014/main" id="{00000000-0008-0000-1F00-00003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2" name="Instructions">
              <a:hlinkClick xmlns:r="http://schemas.openxmlformats.org/officeDocument/2006/relationships" r:id="rId22" tooltip="Instructions"/>
              <a:extLst>
                <a:ext uri="{FF2B5EF4-FFF2-40B4-BE49-F238E27FC236}">
                  <a16:creationId xmlns:a16="http://schemas.microsoft.com/office/drawing/2014/main" id="{00000000-0008-0000-1F00-00003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Welcome">
              <a:hlinkClick xmlns:r="http://schemas.openxmlformats.org/officeDocument/2006/relationships" r:id="rId23" tooltip="Welcome"/>
              <a:extLst>
                <a:ext uri="{FF2B5EF4-FFF2-40B4-BE49-F238E27FC236}">
                  <a16:creationId xmlns:a16="http://schemas.microsoft.com/office/drawing/2014/main" id="{00000000-0008-0000-1F00-00003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Evergy Logo">
              <a:extLst>
                <a:ext uri="{FF2B5EF4-FFF2-40B4-BE49-F238E27FC236}">
                  <a16:creationId xmlns:a16="http://schemas.microsoft.com/office/drawing/2014/main" id="{00000000-0008-0000-1F00-00004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5" name="State">
              <a:extLst>
                <a:ext uri="{FF2B5EF4-FFF2-40B4-BE49-F238E27FC236}">
                  <a16:creationId xmlns:a16="http://schemas.microsoft.com/office/drawing/2014/main" id="{00000000-0008-0000-1F00-00004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5" name="Dividers">
            <a:extLst>
              <a:ext uri="{FF2B5EF4-FFF2-40B4-BE49-F238E27FC236}">
                <a16:creationId xmlns:a16="http://schemas.microsoft.com/office/drawing/2014/main" id="{00000000-0008-0000-1F00-000023000000}"/>
              </a:ext>
            </a:extLst>
          </xdr:cNvPr>
          <xdr:cNvGrpSpPr/>
        </xdr:nvGrpSpPr>
        <xdr:grpSpPr>
          <a:xfrm>
            <a:off x="1613405" y="1537433"/>
            <a:ext cx="11616513" cy="423049"/>
            <a:chOff x="1612951" y="85725"/>
            <a:chExt cx="11618931" cy="423022"/>
          </a:xfrm>
        </xdr:grpSpPr>
        <xdr:cxnSp macro="">
          <xdr:nvCxnSpPr>
            <xdr:cNvPr id="42" name="Divider 4">
              <a:extLst>
                <a:ext uri="{FF2B5EF4-FFF2-40B4-BE49-F238E27FC236}">
                  <a16:creationId xmlns:a16="http://schemas.microsoft.com/office/drawing/2014/main" id="{00000000-0008-0000-1F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F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F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F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45" name="Select 7">
          <a:extLst>
            <a:ext uri="{FF2B5EF4-FFF2-40B4-BE49-F238E27FC236}">
              <a16:creationId xmlns:a16="http://schemas.microsoft.com/office/drawing/2014/main" id="{00000000-0008-0000-2000-00002D000000}"/>
            </a:ext>
          </a:extLst>
        </xdr:cNvPr>
        <xdr:cNvGrpSpPr/>
      </xdr:nvGrpSpPr>
      <xdr:grpSpPr>
        <a:xfrm>
          <a:off x="1882588" y="2622176"/>
          <a:ext cx="3439496" cy="280852"/>
          <a:chOff x="1037447" y="2413275"/>
          <a:chExt cx="3529144" cy="276369"/>
        </a:xfrm>
      </xdr:grpSpPr>
      <xdr:cxnSp macro="">
        <xdr:nvCxnSpPr>
          <xdr:cNvPr id="46" name="Reference - V">
            <a:extLst>
              <a:ext uri="{FF2B5EF4-FFF2-40B4-BE49-F238E27FC236}">
                <a16:creationId xmlns:a16="http://schemas.microsoft.com/office/drawing/2014/main" id="{00000000-0008-0000-2000-00002E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7" name="Reference - H">
            <a:extLst>
              <a:ext uri="{FF2B5EF4-FFF2-40B4-BE49-F238E27FC236}">
                <a16:creationId xmlns:a16="http://schemas.microsoft.com/office/drawing/2014/main" id="{00000000-0008-0000-2000-00002F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48" name="Options">
            <a:extLst>
              <a:ext uri="{FF2B5EF4-FFF2-40B4-BE49-F238E27FC236}">
                <a16:creationId xmlns:a16="http://schemas.microsoft.com/office/drawing/2014/main" id="{00000000-0008-0000-2000-000030000000}"/>
              </a:ext>
            </a:extLst>
          </xdr:cNvPr>
          <xdr:cNvGrpSpPr/>
        </xdr:nvGrpSpPr>
        <xdr:grpSpPr>
          <a:xfrm>
            <a:off x="1219200" y="2510935"/>
            <a:ext cx="3347391" cy="178709"/>
            <a:chOff x="1219200" y="2510935"/>
            <a:chExt cx="3347391" cy="178709"/>
          </a:xfrm>
        </xdr:grpSpPr>
        <xdr:sp macro="" textlink="">
          <xdr:nvSpPr>
            <xdr:cNvPr id="51" name="Custom">
              <a:hlinkClick xmlns:r="http://schemas.openxmlformats.org/officeDocument/2006/relationships" r:id="rId1"/>
              <a:extLst>
                <a:ext uri="{FF2B5EF4-FFF2-40B4-BE49-F238E27FC236}">
                  <a16:creationId xmlns:a16="http://schemas.microsoft.com/office/drawing/2014/main" id="{00000000-0008-0000-2000-000033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52" name="Custom Lite">
              <a:extLst>
                <a:ext uri="{FF2B5EF4-FFF2-40B4-BE49-F238E27FC236}">
                  <a16:creationId xmlns:a16="http://schemas.microsoft.com/office/drawing/2014/main" id="{00000000-0008-0000-2000-000034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53" name="Standard">
              <a:hlinkClick xmlns:r="http://schemas.openxmlformats.org/officeDocument/2006/relationships" r:id="rId2"/>
              <a:extLst>
                <a:ext uri="{FF2B5EF4-FFF2-40B4-BE49-F238E27FC236}">
                  <a16:creationId xmlns:a16="http://schemas.microsoft.com/office/drawing/2014/main" id="{00000000-0008-0000-2000-000035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54" name="X">
              <a:extLst>
                <a:ext uri="{FF2B5EF4-FFF2-40B4-BE49-F238E27FC236}">
                  <a16:creationId xmlns:a16="http://schemas.microsoft.com/office/drawing/2014/main" id="{00000000-0008-0000-2000-000036000000}"/>
                </a:ext>
              </a:extLst>
            </xdr:cNvPr>
            <xdr:cNvGrpSpPr/>
          </xdr:nvGrpSpPr>
          <xdr:grpSpPr>
            <a:xfrm>
              <a:off x="2339086" y="2513472"/>
              <a:ext cx="1107759" cy="176172"/>
              <a:chOff x="4581271" y="2560088"/>
              <a:chExt cx="1107759" cy="183344"/>
            </a:xfrm>
          </xdr:grpSpPr>
          <xdr:cxnSp macro="">
            <xdr:nvCxnSpPr>
              <xdr:cNvPr id="55" name="2">
                <a:extLst>
                  <a:ext uri="{FF2B5EF4-FFF2-40B4-BE49-F238E27FC236}">
                    <a16:creationId xmlns:a16="http://schemas.microsoft.com/office/drawing/2014/main" id="{00000000-0008-0000-2000-000037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58" name="1">
                <a:extLst>
                  <a:ext uri="{FF2B5EF4-FFF2-40B4-BE49-F238E27FC236}">
                    <a16:creationId xmlns:a16="http://schemas.microsoft.com/office/drawing/2014/main" id="{00000000-0008-0000-2000-00003A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94893</xdr:colOff>
      <xdr:row>8</xdr:row>
      <xdr:rowOff>93952</xdr:rowOff>
    </xdr:from>
    <xdr:to>
      <xdr:col>3</xdr:col>
      <xdr:colOff>2239</xdr:colOff>
      <xdr:row>10</xdr:row>
      <xdr:rowOff>98210</xdr:rowOff>
    </xdr:to>
    <xdr:sp macro="" textlink="">
      <xdr:nvSpPr>
        <xdr:cNvPr id="49" name="Arrow: Left M4S8">
          <a:hlinkClick xmlns:r="http://schemas.openxmlformats.org/officeDocument/2006/relationships" r:id="rId3" tooltip="Back: HVAC"/>
          <a:extLst>
            <a:ext uri="{FF2B5EF4-FFF2-40B4-BE49-F238E27FC236}">
              <a16:creationId xmlns:a16="http://schemas.microsoft.com/office/drawing/2014/main" id="{00000000-0008-0000-2000-000031000000}"/>
            </a:ext>
          </a:extLst>
        </xdr:cNvPr>
        <xdr:cNvSpPr/>
      </xdr:nvSpPr>
      <xdr:spPr>
        <a:xfrm>
          <a:off x="414933" y="1678912"/>
          <a:ext cx="53924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0" name="Arrow: Right M4S8">
          <a:hlinkClick xmlns:r="http://schemas.openxmlformats.org/officeDocument/2006/relationships" r:id="rId4" tooltip="Forward: Compressed Air / Process"/>
          <a:extLst>
            <a:ext uri="{FF2B5EF4-FFF2-40B4-BE49-F238E27FC236}">
              <a16:creationId xmlns:a16="http://schemas.microsoft.com/office/drawing/2014/main" id="{00000000-0008-0000-2000-000032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20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20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20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20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20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8" tooltip="HVAC"/>
              <a:extLst>
                <a:ext uri="{FF2B5EF4-FFF2-40B4-BE49-F238E27FC236}">
                  <a16:creationId xmlns:a16="http://schemas.microsoft.com/office/drawing/2014/main" id="{00000000-0008-0000-20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Motors and Drives">
              <a:hlinkClick xmlns:r="http://schemas.openxmlformats.org/officeDocument/2006/relationships" r:id="rId1" tooltip="Motors and Drives"/>
              <a:extLst>
                <a:ext uri="{FF2B5EF4-FFF2-40B4-BE49-F238E27FC236}">
                  <a16:creationId xmlns:a16="http://schemas.microsoft.com/office/drawing/2014/main" id="{00000000-0008-0000-2000-000029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CAP">
              <a:hlinkClick xmlns:r="http://schemas.openxmlformats.org/officeDocument/2006/relationships" r:id="rId9" tooltip="Compressed Air / Process"/>
              <a:extLst>
                <a:ext uri="{FF2B5EF4-FFF2-40B4-BE49-F238E27FC236}">
                  <a16:creationId xmlns:a16="http://schemas.microsoft.com/office/drawing/2014/main" id="{00000000-0008-0000-2000-00002A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HFS">
              <a:hlinkClick xmlns:r="http://schemas.openxmlformats.org/officeDocument/2006/relationships" r:id="rId10" tooltip="Water Heating / Food Services"/>
              <a:extLst>
                <a:ext uri="{FF2B5EF4-FFF2-40B4-BE49-F238E27FC236}">
                  <a16:creationId xmlns:a16="http://schemas.microsoft.com/office/drawing/2014/main" id="{00000000-0008-0000-2000-00002B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Miscellaneous">
              <a:hlinkClick xmlns:r="http://schemas.openxmlformats.org/officeDocument/2006/relationships" r:id="rId11" tooltip="Miscellaneous"/>
              <a:extLst>
                <a:ext uri="{FF2B5EF4-FFF2-40B4-BE49-F238E27FC236}">
                  <a16:creationId xmlns:a16="http://schemas.microsoft.com/office/drawing/2014/main" id="{00000000-0008-0000-2000-00002C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20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20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20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20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20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20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20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20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20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20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20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20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20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20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20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0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20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2000-000002000000}"/>
            </a:ext>
          </a:extLst>
        </xdr:cNvPr>
        <xdr:cNvGrpSpPr/>
      </xdr:nvGrpSpPr>
      <xdr:grpSpPr>
        <a:xfrm>
          <a:off x="0" y="0"/>
          <a:ext cx="15374471" cy="605336"/>
          <a:chOff x="0" y="1452064"/>
          <a:chExt cx="15813740" cy="591889"/>
        </a:xfrm>
      </xdr:grpSpPr>
      <xdr:grpSp>
        <xdr:nvGrpSpPr>
          <xdr:cNvPr id="26" name="Header">
            <a:extLst>
              <a:ext uri="{FF2B5EF4-FFF2-40B4-BE49-F238E27FC236}">
                <a16:creationId xmlns:a16="http://schemas.microsoft.com/office/drawing/2014/main" id="{00000000-0008-0000-2000-00001A000000}"/>
              </a:ext>
            </a:extLst>
          </xdr:cNvPr>
          <xdr:cNvGrpSpPr/>
        </xdr:nvGrpSpPr>
        <xdr:grpSpPr>
          <a:xfrm>
            <a:off x="0" y="1452064"/>
            <a:ext cx="15813740" cy="591889"/>
            <a:chOff x="0" y="1452064"/>
            <a:chExt cx="15813740" cy="591889"/>
          </a:xfrm>
        </xdr:grpSpPr>
        <xdr:sp macro="" textlink="">
          <xdr:nvSpPr>
            <xdr:cNvPr id="32" name="Reference">
              <a:extLst>
                <a:ext uri="{FF2B5EF4-FFF2-40B4-BE49-F238E27FC236}">
                  <a16:creationId xmlns:a16="http://schemas.microsoft.com/office/drawing/2014/main" id="{00000000-0008-0000-2000-000020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19" tooltip="Contact"/>
              <a:extLst>
                <a:ext uri="{FF2B5EF4-FFF2-40B4-BE49-F238E27FC236}">
                  <a16:creationId xmlns:a16="http://schemas.microsoft.com/office/drawing/2014/main" id="{00000000-0008-0000-2000-000021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0" tooltip=" "/>
              <a:extLst>
                <a:ext uri="{FF2B5EF4-FFF2-40B4-BE49-F238E27FC236}">
                  <a16:creationId xmlns:a16="http://schemas.microsoft.com/office/drawing/2014/main" id="{00000000-0008-0000-2000-000022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1" tooltip=" "/>
              <a:extLst>
                <a:ext uri="{FF2B5EF4-FFF2-40B4-BE49-F238E27FC236}">
                  <a16:creationId xmlns:a16="http://schemas.microsoft.com/office/drawing/2014/main" id="{00000000-0008-0000-2000-000023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centives">
              <a:extLst>
                <a:ext uri="{FF2B5EF4-FFF2-40B4-BE49-F238E27FC236}">
                  <a16:creationId xmlns:a16="http://schemas.microsoft.com/office/drawing/2014/main" id="{00000000-0008-0000-2000-000024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7" name="Instructions">
              <a:hlinkClick xmlns:r="http://schemas.openxmlformats.org/officeDocument/2006/relationships" r:id="rId22" tooltip="Instructions"/>
              <a:extLst>
                <a:ext uri="{FF2B5EF4-FFF2-40B4-BE49-F238E27FC236}">
                  <a16:creationId xmlns:a16="http://schemas.microsoft.com/office/drawing/2014/main" id="{00000000-0008-0000-2000-000025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Welcome">
              <a:hlinkClick xmlns:r="http://schemas.openxmlformats.org/officeDocument/2006/relationships" r:id="rId23" tooltip="Welcome"/>
              <a:extLst>
                <a:ext uri="{FF2B5EF4-FFF2-40B4-BE49-F238E27FC236}">
                  <a16:creationId xmlns:a16="http://schemas.microsoft.com/office/drawing/2014/main" id="{00000000-0008-0000-2000-000026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9" name="Evergy Logo">
              <a:extLst>
                <a:ext uri="{FF2B5EF4-FFF2-40B4-BE49-F238E27FC236}">
                  <a16:creationId xmlns:a16="http://schemas.microsoft.com/office/drawing/2014/main" id="{00000000-0008-0000-2000-000027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0" name="State">
              <a:extLst>
                <a:ext uri="{FF2B5EF4-FFF2-40B4-BE49-F238E27FC236}">
                  <a16:creationId xmlns:a16="http://schemas.microsoft.com/office/drawing/2014/main" id="{00000000-0008-0000-2000-000028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000-00001B000000}"/>
              </a:ext>
            </a:extLst>
          </xdr:cNvPr>
          <xdr:cNvGrpSpPr/>
        </xdr:nvGrpSpPr>
        <xdr:grpSpPr>
          <a:xfrm>
            <a:off x="1613405" y="1537433"/>
            <a:ext cx="11616513" cy="423049"/>
            <a:chOff x="1612951" y="85725"/>
            <a:chExt cx="11618931" cy="423022"/>
          </a:xfrm>
        </xdr:grpSpPr>
        <xdr:cxnSp macro="">
          <xdr:nvCxnSpPr>
            <xdr:cNvPr id="28" name="Divider 4">
              <a:extLst>
                <a:ext uri="{FF2B5EF4-FFF2-40B4-BE49-F238E27FC236}">
                  <a16:creationId xmlns:a16="http://schemas.microsoft.com/office/drawing/2014/main" id="{00000000-0008-0000-20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20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20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20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21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21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21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21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21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21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21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21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21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21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57" name="Arrow: Left M4S6">
          <a:hlinkClick xmlns:r="http://schemas.openxmlformats.org/officeDocument/2006/relationships" r:id="rId3" tooltip="Back: Motors and Drives"/>
          <a:extLst>
            <a:ext uri="{FF2B5EF4-FFF2-40B4-BE49-F238E27FC236}">
              <a16:creationId xmlns:a16="http://schemas.microsoft.com/office/drawing/2014/main" id="{00000000-0008-0000-2100-000039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5" name="Arrow: Right M4S6">
          <a:hlinkClick xmlns:r="http://schemas.openxmlformats.org/officeDocument/2006/relationships" r:id="rId4" tooltip="Forward: Water Heating / Cooking"/>
          <a:extLst>
            <a:ext uri="{FF2B5EF4-FFF2-40B4-BE49-F238E27FC236}">
              <a16:creationId xmlns:a16="http://schemas.microsoft.com/office/drawing/2014/main" id="{00000000-0008-0000-2100-000041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21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21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21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21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21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8" tooltip="HVAC"/>
              <a:extLst>
                <a:ext uri="{FF2B5EF4-FFF2-40B4-BE49-F238E27FC236}">
                  <a16:creationId xmlns:a16="http://schemas.microsoft.com/office/drawing/2014/main" id="{00000000-0008-0000-21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otors and Drives">
              <a:hlinkClick xmlns:r="http://schemas.openxmlformats.org/officeDocument/2006/relationships" r:id="rId9" tooltip="Motors and Drives"/>
              <a:extLst>
                <a:ext uri="{FF2B5EF4-FFF2-40B4-BE49-F238E27FC236}">
                  <a16:creationId xmlns:a16="http://schemas.microsoft.com/office/drawing/2014/main" id="{00000000-0008-0000-2100-000037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CAP">
              <a:hlinkClick xmlns:r="http://schemas.openxmlformats.org/officeDocument/2006/relationships" r:id="rId1" tooltip="Compressed Air / Process"/>
              <a:extLst>
                <a:ext uri="{FF2B5EF4-FFF2-40B4-BE49-F238E27FC236}">
                  <a16:creationId xmlns:a16="http://schemas.microsoft.com/office/drawing/2014/main" id="{00000000-0008-0000-2100-000038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WHFS">
              <a:hlinkClick xmlns:r="http://schemas.openxmlformats.org/officeDocument/2006/relationships" r:id="rId10" tooltip="Water Heating / Food Services"/>
              <a:extLst>
                <a:ext uri="{FF2B5EF4-FFF2-40B4-BE49-F238E27FC236}">
                  <a16:creationId xmlns:a16="http://schemas.microsoft.com/office/drawing/2014/main" id="{00000000-0008-0000-2100-00003A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21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21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21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21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21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21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21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21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21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21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21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21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21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21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21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21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1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21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2100-000002000000}"/>
            </a:ext>
          </a:extLst>
        </xdr:cNvPr>
        <xdr:cNvGrpSpPr/>
      </xdr:nvGrpSpPr>
      <xdr:grpSpPr>
        <a:xfrm>
          <a:off x="0" y="0"/>
          <a:ext cx="15374471" cy="605336"/>
          <a:chOff x="0" y="1452064"/>
          <a:chExt cx="15813740" cy="591889"/>
        </a:xfrm>
      </xdr:grpSpPr>
      <xdr:grpSp>
        <xdr:nvGrpSpPr>
          <xdr:cNvPr id="38" name="Header">
            <a:extLst>
              <a:ext uri="{FF2B5EF4-FFF2-40B4-BE49-F238E27FC236}">
                <a16:creationId xmlns:a16="http://schemas.microsoft.com/office/drawing/2014/main" id="{00000000-0008-0000-2100-000026000000}"/>
              </a:ext>
            </a:extLst>
          </xdr:cNvPr>
          <xdr:cNvGrpSpPr/>
        </xdr:nvGrpSpPr>
        <xdr:grpSpPr>
          <a:xfrm>
            <a:off x="0" y="1452064"/>
            <a:ext cx="15813740" cy="591889"/>
            <a:chOff x="0" y="1452064"/>
            <a:chExt cx="15813740" cy="591889"/>
          </a:xfrm>
        </xdr:grpSpPr>
        <xdr:sp macro="" textlink="">
          <xdr:nvSpPr>
            <xdr:cNvPr id="46" name="Reference">
              <a:extLst>
                <a:ext uri="{FF2B5EF4-FFF2-40B4-BE49-F238E27FC236}">
                  <a16:creationId xmlns:a16="http://schemas.microsoft.com/office/drawing/2014/main" id="{00000000-0008-0000-2100-00002E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2100-00002F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2100-000030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2100-000031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Incentives">
              <a:extLst>
                <a:ext uri="{FF2B5EF4-FFF2-40B4-BE49-F238E27FC236}">
                  <a16:creationId xmlns:a16="http://schemas.microsoft.com/office/drawing/2014/main" id="{00000000-0008-0000-2100-000032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1" name="Instructions">
              <a:hlinkClick xmlns:r="http://schemas.openxmlformats.org/officeDocument/2006/relationships" r:id="rId22" tooltip="Instructions"/>
              <a:extLst>
                <a:ext uri="{FF2B5EF4-FFF2-40B4-BE49-F238E27FC236}">
                  <a16:creationId xmlns:a16="http://schemas.microsoft.com/office/drawing/2014/main" id="{00000000-0008-0000-2100-000033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Welcome">
              <a:hlinkClick xmlns:r="http://schemas.openxmlformats.org/officeDocument/2006/relationships" r:id="rId23" tooltip="Welcome"/>
              <a:extLst>
                <a:ext uri="{FF2B5EF4-FFF2-40B4-BE49-F238E27FC236}">
                  <a16:creationId xmlns:a16="http://schemas.microsoft.com/office/drawing/2014/main" id="{00000000-0008-0000-2100-000034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3" name="Evergy Logo">
              <a:extLst>
                <a:ext uri="{FF2B5EF4-FFF2-40B4-BE49-F238E27FC236}">
                  <a16:creationId xmlns:a16="http://schemas.microsoft.com/office/drawing/2014/main" id="{00000000-0008-0000-2100-000035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4" name="State">
              <a:extLst>
                <a:ext uri="{FF2B5EF4-FFF2-40B4-BE49-F238E27FC236}">
                  <a16:creationId xmlns:a16="http://schemas.microsoft.com/office/drawing/2014/main" id="{00000000-0008-0000-2100-000036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2100-000027000000}"/>
              </a:ext>
            </a:extLst>
          </xdr:cNvPr>
          <xdr:cNvGrpSpPr/>
        </xdr:nvGrpSpPr>
        <xdr:grpSpPr>
          <a:xfrm>
            <a:off x="1613405" y="1537433"/>
            <a:ext cx="11616513" cy="423049"/>
            <a:chOff x="1612951" y="85725"/>
            <a:chExt cx="11618931" cy="423022"/>
          </a:xfrm>
        </xdr:grpSpPr>
        <xdr:cxnSp macro="">
          <xdr:nvCxnSpPr>
            <xdr:cNvPr id="40" name="Divider 4">
              <a:extLst>
                <a:ext uri="{FF2B5EF4-FFF2-40B4-BE49-F238E27FC236}">
                  <a16:creationId xmlns:a16="http://schemas.microsoft.com/office/drawing/2014/main" id="{00000000-0008-0000-21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21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21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21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94883</xdr:colOff>
      <xdr:row>8</xdr:row>
      <xdr:rowOff>96712</xdr:rowOff>
    </xdr:from>
    <xdr:ext cx="540407" cy="404308"/>
    <xdr:sp macro="" textlink="">
      <xdr:nvSpPr>
        <xdr:cNvPr id="53" name="Arrow: Left M4S7">
          <a:hlinkClick xmlns:r="http://schemas.openxmlformats.org/officeDocument/2006/relationships" r:id="rId1" tooltip="Back: Compressed Air / Process"/>
          <a:extLst>
            <a:ext uri="{FF2B5EF4-FFF2-40B4-BE49-F238E27FC236}">
              <a16:creationId xmlns:a16="http://schemas.microsoft.com/office/drawing/2014/main" id="{00000000-0008-0000-2200-000035000000}"/>
            </a:ext>
          </a:extLst>
        </xdr:cNvPr>
        <xdr:cNvSpPr/>
      </xdr:nvSpPr>
      <xdr:spPr>
        <a:xfrm>
          <a:off x="415834" y="1686973"/>
          <a:ext cx="541318" cy="40563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46</xdr:col>
      <xdr:colOff>6942</xdr:colOff>
      <xdr:row>8</xdr:row>
      <xdr:rowOff>96713</xdr:rowOff>
    </xdr:from>
    <xdr:ext cx="540407" cy="404308"/>
    <xdr:sp macro="" textlink="">
      <xdr:nvSpPr>
        <xdr:cNvPr id="54" name="Arrow: Right M4S7">
          <a:hlinkClick xmlns:r="http://schemas.openxmlformats.org/officeDocument/2006/relationships" r:id="rId2" tooltip="Forward: Miscellaneous"/>
          <a:extLst>
            <a:ext uri="{FF2B5EF4-FFF2-40B4-BE49-F238E27FC236}">
              <a16:creationId xmlns:a16="http://schemas.microsoft.com/office/drawing/2014/main" id="{00000000-0008-0000-2200-000036000000}"/>
            </a:ext>
          </a:extLst>
        </xdr:cNvPr>
        <xdr:cNvSpPr/>
      </xdr:nvSpPr>
      <xdr:spPr>
        <a:xfrm>
          <a:off x="13486888" y="1686974"/>
          <a:ext cx="541318" cy="40563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2200-000002000000}"/>
            </a:ext>
          </a:extLst>
        </xdr:cNvPr>
        <xdr:cNvGrpSpPr/>
      </xdr:nvGrpSpPr>
      <xdr:grpSpPr>
        <a:xfrm>
          <a:off x="2196353" y="605118"/>
          <a:ext cx="11219890" cy="1008529"/>
          <a:chOff x="1610956" y="594360"/>
          <a:chExt cx="11437620" cy="990600"/>
        </a:xfrm>
      </xdr:grpSpPr>
      <xdr:cxnSp macro="">
        <xdr:nvCxnSpPr>
          <xdr:cNvPr id="3" name="Reference">
            <a:extLst>
              <a:ext uri="{FF2B5EF4-FFF2-40B4-BE49-F238E27FC236}">
                <a16:creationId xmlns:a16="http://schemas.microsoft.com/office/drawing/2014/main" id="{00000000-0008-0000-22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3" tooltip="Project Review"/>
            <a:extLst>
              <a:ext uri="{FF2B5EF4-FFF2-40B4-BE49-F238E27FC236}">
                <a16:creationId xmlns:a16="http://schemas.microsoft.com/office/drawing/2014/main" id="{00000000-0008-0000-2200-00000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 name="6: Payment">
            <a:hlinkClick xmlns:r="http://schemas.openxmlformats.org/officeDocument/2006/relationships" r:id="rId4" tooltip="Payment"/>
            <a:extLst>
              <a:ext uri="{FF2B5EF4-FFF2-40B4-BE49-F238E27FC236}">
                <a16:creationId xmlns:a16="http://schemas.microsoft.com/office/drawing/2014/main" id="{00000000-0008-0000-2200-00000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6" name="5: Equipment Input">
            <a:hlinkClick xmlns:r="http://schemas.openxmlformats.org/officeDocument/2006/relationships" r:id="rId5" tooltip="Equipment Input"/>
            <a:extLst>
              <a:ext uri="{FF2B5EF4-FFF2-40B4-BE49-F238E27FC236}">
                <a16:creationId xmlns:a16="http://schemas.microsoft.com/office/drawing/2014/main" id="{00000000-0008-0000-2200-00000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7" name="4: Building Information">
            <a:hlinkClick xmlns:r="http://schemas.openxmlformats.org/officeDocument/2006/relationships" r:id="rId6" tooltip="Building Information"/>
            <a:extLst>
              <a:ext uri="{FF2B5EF4-FFF2-40B4-BE49-F238E27FC236}">
                <a16:creationId xmlns:a16="http://schemas.microsoft.com/office/drawing/2014/main" id="{00000000-0008-0000-2200-00000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8" name="3: Customer Information">
            <a:hlinkClick xmlns:r="http://schemas.openxmlformats.org/officeDocument/2006/relationships" r:id="rId7" tooltip="Customer Information"/>
            <a:extLst>
              <a:ext uri="{FF2B5EF4-FFF2-40B4-BE49-F238E27FC236}">
                <a16:creationId xmlns:a16="http://schemas.microsoft.com/office/drawing/2014/main" id="{00000000-0008-0000-2200-00000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9"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200-00000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0" name="1: T&amp;C's">
            <a:hlinkClick xmlns:r="http://schemas.openxmlformats.org/officeDocument/2006/relationships" r:id="rId9" tooltip="Terms &amp; Conditions"/>
            <a:extLst>
              <a:ext uri="{FF2B5EF4-FFF2-40B4-BE49-F238E27FC236}">
                <a16:creationId xmlns:a16="http://schemas.microsoft.com/office/drawing/2014/main" id="{00000000-0008-0000-2200-00000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1" name="Header">
          <a:extLst>
            <a:ext uri="{FF2B5EF4-FFF2-40B4-BE49-F238E27FC236}">
              <a16:creationId xmlns:a16="http://schemas.microsoft.com/office/drawing/2014/main" id="{00000000-0008-0000-2200-00001F000000}"/>
            </a:ext>
          </a:extLst>
        </xdr:cNvPr>
        <xdr:cNvGrpSpPr/>
      </xdr:nvGrpSpPr>
      <xdr:grpSpPr>
        <a:xfrm>
          <a:off x="0" y="0"/>
          <a:ext cx="15374471" cy="605336"/>
          <a:chOff x="0" y="1452064"/>
          <a:chExt cx="15813740" cy="591889"/>
        </a:xfrm>
      </xdr:grpSpPr>
      <xdr:grpSp>
        <xdr:nvGrpSpPr>
          <xdr:cNvPr id="32" name="Header">
            <a:extLst>
              <a:ext uri="{FF2B5EF4-FFF2-40B4-BE49-F238E27FC236}">
                <a16:creationId xmlns:a16="http://schemas.microsoft.com/office/drawing/2014/main" id="{00000000-0008-0000-2200-000020000000}"/>
              </a:ext>
            </a:extLst>
          </xdr:cNvPr>
          <xdr:cNvGrpSpPr/>
        </xdr:nvGrpSpPr>
        <xdr:grpSpPr>
          <a:xfrm>
            <a:off x="0" y="1452064"/>
            <a:ext cx="15813740" cy="591889"/>
            <a:chOff x="0" y="1452064"/>
            <a:chExt cx="15813740" cy="591889"/>
          </a:xfrm>
        </xdr:grpSpPr>
        <xdr:sp macro="" textlink="">
          <xdr:nvSpPr>
            <xdr:cNvPr id="38" name="Reference">
              <a:extLst>
                <a:ext uri="{FF2B5EF4-FFF2-40B4-BE49-F238E27FC236}">
                  <a16:creationId xmlns:a16="http://schemas.microsoft.com/office/drawing/2014/main" id="{00000000-0008-0000-2200-000026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0" tooltip="Contact"/>
              <a:extLst>
                <a:ext uri="{FF2B5EF4-FFF2-40B4-BE49-F238E27FC236}">
                  <a16:creationId xmlns:a16="http://schemas.microsoft.com/office/drawing/2014/main" id="{00000000-0008-0000-2200-000027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Form">
              <a:hlinkClick xmlns:r="http://schemas.openxmlformats.org/officeDocument/2006/relationships" r:id="rId11" tooltip=" "/>
              <a:extLst>
                <a:ext uri="{FF2B5EF4-FFF2-40B4-BE49-F238E27FC236}">
                  <a16:creationId xmlns:a16="http://schemas.microsoft.com/office/drawing/2014/main" id="{00000000-0008-0000-2200-00002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Form">
              <a:hlinkClick xmlns:r="http://schemas.openxmlformats.org/officeDocument/2006/relationships" r:id="rId12" tooltip=" "/>
              <a:extLst>
                <a:ext uri="{FF2B5EF4-FFF2-40B4-BE49-F238E27FC236}">
                  <a16:creationId xmlns:a16="http://schemas.microsoft.com/office/drawing/2014/main" id="{00000000-0008-0000-2200-00002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centives">
              <a:extLst>
                <a:ext uri="{FF2B5EF4-FFF2-40B4-BE49-F238E27FC236}">
                  <a16:creationId xmlns:a16="http://schemas.microsoft.com/office/drawing/2014/main" id="{00000000-0008-0000-2200-00002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5" name="Instructions">
              <a:hlinkClick xmlns:r="http://schemas.openxmlformats.org/officeDocument/2006/relationships" r:id="rId13" tooltip="Instructions"/>
              <a:extLst>
                <a:ext uri="{FF2B5EF4-FFF2-40B4-BE49-F238E27FC236}">
                  <a16:creationId xmlns:a16="http://schemas.microsoft.com/office/drawing/2014/main" id="{00000000-0008-0000-2200-00003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Welcome">
              <a:hlinkClick xmlns:r="http://schemas.openxmlformats.org/officeDocument/2006/relationships" r:id="rId14" tooltip="Welcome"/>
              <a:extLst>
                <a:ext uri="{FF2B5EF4-FFF2-40B4-BE49-F238E27FC236}">
                  <a16:creationId xmlns:a16="http://schemas.microsoft.com/office/drawing/2014/main" id="{00000000-0008-0000-2200-00003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Evergy Logo">
              <a:extLst>
                <a:ext uri="{FF2B5EF4-FFF2-40B4-BE49-F238E27FC236}">
                  <a16:creationId xmlns:a16="http://schemas.microsoft.com/office/drawing/2014/main" id="{00000000-0008-0000-2200-00004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5" name="State">
              <a:extLst>
                <a:ext uri="{FF2B5EF4-FFF2-40B4-BE49-F238E27FC236}">
                  <a16:creationId xmlns:a16="http://schemas.microsoft.com/office/drawing/2014/main" id="{00000000-0008-0000-2200-00004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3" name="Dividers">
            <a:extLst>
              <a:ext uri="{FF2B5EF4-FFF2-40B4-BE49-F238E27FC236}">
                <a16:creationId xmlns:a16="http://schemas.microsoft.com/office/drawing/2014/main" id="{00000000-0008-0000-2200-000021000000}"/>
              </a:ext>
            </a:extLst>
          </xdr:cNvPr>
          <xdr:cNvGrpSpPr/>
        </xdr:nvGrpSpPr>
        <xdr:grpSpPr>
          <a:xfrm>
            <a:off x="1613405" y="1537433"/>
            <a:ext cx="11616513" cy="423049"/>
            <a:chOff x="1612951" y="85725"/>
            <a:chExt cx="11618931" cy="423022"/>
          </a:xfrm>
        </xdr:grpSpPr>
        <xdr:cxnSp macro="">
          <xdr:nvCxnSpPr>
            <xdr:cNvPr id="34" name="Divider 4">
              <a:extLst>
                <a:ext uri="{FF2B5EF4-FFF2-40B4-BE49-F238E27FC236}">
                  <a16:creationId xmlns:a16="http://schemas.microsoft.com/office/drawing/2014/main" id="{00000000-0008-0000-2200-00002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3">
              <a:extLst>
                <a:ext uri="{FF2B5EF4-FFF2-40B4-BE49-F238E27FC236}">
                  <a16:creationId xmlns:a16="http://schemas.microsoft.com/office/drawing/2014/main" id="{00000000-0008-0000-2200-00002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2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2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17" name="Measure Categories">
          <a:extLst>
            <a:ext uri="{FF2B5EF4-FFF2-40B4-BE49-F238E27FC236}">
              <a16:creationId xmlns:a16="http://schemas.microsoft.com/office/drawing/2014/main" id="{00000000-0008-0000-2200-000011000000}"/>
            </a:ext>
          </a:extLst>
        </xdr:cNvPr>
        <xdr:cNvGrpSpPr/>
      </xdr:nvGrpSpPr>
      <xdr:grpSpPr>
        <a:xfrm>
          <a:off x="2823882" y="1613647"/>
          <a:ext cx="10040472" cy="607535"/>
          <a:chOff x="2240280" y="1582544"/>
          <a:chExt cx="10241281" cy="596777"/>
        </a:xfrm>
      </xdr:grpSpPr>
      <xdr:grpSp>
        <xdr:nvGrpSpPr>
          <xdr:cNvPr id="18" name="Categories">
            <a:extLst>
              <a:ext uri="{FF2B5EF4-FFF2-40B4-BE49-F238E27FC236}">
                <a16:creationId xmlns:a16="http://schemas.microsoft.com/office/drawing/2014/main" id="{00000000-0008-0000-2200-000012000000}"/>
              </a:ext>
            </a:extLst>
          </xdr:cNvPr>
          <xdr:cNvGrpSpPr/>
        </xdr:nvGrpSpPr>
        <xdr:grpSpPr>
          <a:xfrm>
            <a:off x="2240280" y="1584961"/>
            <a:ext cx="10241281" cy="594360"/>
            <a:chOff x="2240280" y="1584961"/>
            <a:chExt cx="10241281" cy="594360"/>
          </a:xfrm>
        </xdr:grpSpPr>
        <xdr:sp macro="" textlink="">
          <xdr:nvSpPr>
            <xdr:cNvPr id="27" name="Lighting">
              <a:hlinkClick xmlns:r="http://schemas.openxmlformats.org/officeDocument/2006/relationships" r:id="rId16" tooltip="Lighting"/>
              <a:extLst>
                <a:ext uri="{FF2B5EF4-FFF2-40B4-BE49-F238E27FC236}">
                  <a16:creationId xmlns:a16="http://schemas.microsoft.com/office/drawing/2014/main" id="{00000000-0008-0000-2200-00001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Lighting Controls">
              <a:hlinkClick xmlns:r="http://schemas.openxmlformats.org/officeDocument/2006/relationships" r:id="rId17" tooltip="Lighting Controls"/>
              <a:extLst>
                <a:ext uri="{FF2B5EF4-FFF2-40B4-BE49-F238E27FC236}">
                  <a16:creationId xmlns:a16="http://schemas.microsoft.com/office/drawing/2014/main" id="{00000000-0008-0000-2200-00001C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Refrigeration">
              <a:hlinkClick xmlns:r="http://schemas.openxmlformats.org/officeDocument/2006/relationships" r:id="rId18" tooltip="Refrigeration"/>
              <a:extLst>
                <a:ext uri="{FF2B5EF4-FFF2-40B4-BE49-F238E27FC236}">
                  <a16:creationId xmlns:a16="http://schemas.microsoft.com/office/drawing/2014/main" id="{00000000-0008-0000-2200-00001D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HVAC">
              <a:hlinkClick xmlns:r="http://schemas.openxmlformats.org/officeDocument/2006/relationships" r:id="rId19" tooltip="HVAC"/>
              <a:extLst>
                <a:ext uri="{FF2B5EF4-FFF2-40B4-BE49-F238E27FC236}">
                  <a16:creationId xmlns:a16="http://schemas.microsoft.com/office/drawing/2014/main" id="{00000000-0008-0000-2200-00001E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20" tooltip="Motors and Drives"/>
              <a:extLst>
                <a:ext uri="{FF2B5EF4-FFF2-40B4-BE49-F238E27FC236}">
                  <a16:creationId xmlns:a16="http://schemas.microsoft.com/office/drawing/2014/main" id="{00000000-0008-0000-22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21" tooltip="Compressed Air / Process"/>
              <a:extLst>
                <a:ext uri="{FF2B5EF4-FFF2-40B4-BE49-F238E27FC236}">
                  <a16:creationId xmlns:a16="http://schemas.microsoft.com/office/drawing/2014/main" id="{00000000-0008-0000-22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22" tooltip="Water Heating / Food Services"/>
              <a:extLst>
                <a:ext uri="{FF2B5EF4-FFF2-40B4-BE49-F238E27FC236}">
                  <a16:creationId xmlns:a16="http://schemas.microsoft.com/office/drawing/2014/main" id="{00000000-0008-0000-22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23" tooltip="Miscellaneous"/>
              <a:extLst>
                <a:ext uri="{FF2B5EF4-FFF2-40B4-BE49-F238E27FC236}">
                  <a16:creationId xmlns:a16="http://schemas.microsoft.com/office/drawing/2014/main" id="{00000000-0008-0000-22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9" name="Dividers">
            <a:extLst>
              <a:ext uri="{FF2B5EF4-FFF2-40B4-BE49-F238E27FC236}">
                <a16:creationId xmlns:a16="http://schemas.microsoft.com/office/drawing/2014/main" id="{00000000-0008-0000-2200-000013000000}"/>
              </a:ext>
            </a:extLst>
          </xdr:cNvPr>
          <xdr:cNvGrpSpPr/>
        </xdr:nvGrpSpPr>
        <xdr:grpSpPr>
          <a:xfrm>
            <a:off x="3521022" y="1582544"/>
            <a:ext cx="7680961" cy="551056"/>
            <a:chOff x="3520440" y="1580822"/>
            <a:chExt cx="7680960" cy="552779"/>
          </a:xfrm>
        </xdr:grpSpPr>
        <xdr:cxnSp macro="">
          <xdr:nvCxnSpPr>
            <xdr:cNvPr id="20" name="Divider 7">
              <a:extLst>
                <a:ext uri="{FF2B5EF4-FFF2-40B4-BE49-F238E27FC236}">
                  <a16:creationId xmlns:a16="http://schemas.microsoft.com/office/drawing/2014/main" id="{00000000-0008-0000-2200-000014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6">
              <a:extLst>
                <a:ext uri="{FF2B5EF4-FFF2-40B4-BE49-F238E27FC236}">
                  <a16:creationId xmlns:a16="http://schemas.microsoft.com/office/drawing/2014/main" id="{00000000-0008-0000-2200-000015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5">
              <a:extLst>
                <a:ext uri="{FF2B5EF4-FFF2-40B4-BE49-F238E27FC236}">
                  <a16:creationId xmlns:a16="http://schemas.microsoft.com/office/drawing/2014/main" id="{00000000-0008-0000-2200-000016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4">
              <a:extLst>
                <a:ext uri="{FF2B5EF4-FFF2-40B4-BE49-F238E27FC236}">
                  <a16:creationId xmlns:a16="http://schemas.microsoft.com/office/drawing/2014/main" id="{00000000-0008-0000-2200-000017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3">
              <a:extLst>
                <a:ext uri="{FF2B5EF4-FFF2-40B4-BE49-F238E27FC236}">
                  <a16:creationId xmlns:a16="http://schemas.microsoft.com/office/drawing/2014/main" id="{00000000-0008-0000-2200-000018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2">
              <a:extLst>
                <a:ext uri="{FF2B5EF4-FFF2-40B4-BE49-F238E27FC236}">
                  <a16:creationId xmlns:a16="http://schemas.microsoft.com/office/drawing/2014/main" id="{00000000-0008-0000-2200-000019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1">
              <a:extLst>
                <a:ext uri="{FF2B5EF4-FFF2-40B4-BE49-F238E27FC236}">
                  <a16:creationId xmlns:a16="http://schemas.microsoft.com/office/drawing/2014/main" id="{00000000-0008-0000-2200-00001A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22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22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22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22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22"/>
              <a:extLst>
                <a:ext uri="{FF2B5EF4-FFF2-40B4-BE49-F238E27FC236}">
                  <a16:creationId xmlns:a16="http://schemas.microsoft.com/office/drawing/2014/main" id="{00000000-0008-0000-22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22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4"/>
              <a:extLst>
                <a:ext uri="{FF2B5EF4-FFF2-40B4-BE49-F238E27FC236}">
                  <a16:creationId xmlns:a16="http://schemas.microsoft.com/office/drawing/2014/main" id="{00000000-0008-0000-22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22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22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22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79838</xdr:rowOff>
    </xdr:to>
    <xdr:grpSp>
      <xdr:nvGrpSpPr>
        <xdr:cNvPr id="68" name="Select 8">
          <a:extLst>
            <a:ext uri="{FF2B5EF4-FFF2-40B4-BE49-F238E27FC236}">
              <a16:creationId xmlns:a16="http://schemas.microsoft.com/office/drawing/2014/main" id="{00000000-0008-0000-2300-000044000000}"/>
            </a:ext>
          </a:extLst>
        </xdr:cNvPr>
        <xdr:cNvGrpSpPr/>
      </xdr:nvGrpSpPr>
      <xdr:grpSpPr>
        <a:xfrm>
          <a:off x="1882588" y="2622176"/>
          <a:ext cx="3439496" cy="281544"/>
          <a:chOff x="1828800" y="4376057"/>
          <a:chExt cx="3529144" cy="276517"/>
        </a:xfrm>
      </xdr:grpSpPr>
      <xdr:cxnSp macro="">
        <xdr:nvCxnSpPr>
          <xdr:cNvPr id="69" name="Reference - V">
            <a:extLst>
              <a:ext uri="{FF2B5EF4-FFF2-40B4-BE49-F238E27FC236}">
                <a16:creationId xmlns:a16="http://schemas.microsoft.com/office/drawing/2014/main" id="{00000000-0008-0000-2300-000045000000}"/>
              </a:ext>
            </a:extLst>
          </xdr:cNvPr>
          <xdr:cNvCxnSpPr/>
        </xdr:nvCxnSpPr>
        <xdr:spPr>
          <a:xfrm>
            <a:off x="2016412" y="4376057"/>
            <a:ext cx="0" cy="97468"/>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0" name="Reference - H">
            <a:extLst>
              <a:ext uri="{FF2B5EF4-FFF2-40B4-BE49-F238E27FC236}">
                <a16:creationId xmlns:a16="http://schemas.microsoft.com/office/drawing/2014/main" id="{00000000-0008-0000-2300-000046000000}"/>
              </a:ext>
            </a:extLst>
          </xdr:cNvPr>
          <xdr:cNvCxnSpPr/>
        </xdr:nvCxnSpPr>
        <xdr:spPr>
          <a:xfrm flipH="1">
            <a:off x="1828800" y="447352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1" name="Options">
            <a:extLst>
              <a:ext uri="{FF2B5EF4-FFF2-40B4-BE49-F238E27FC236}">
                <a16:creationId xmlns:a16="http://schemas.microsoft.com/office/drawing/2014/main" id="{00000000-0008-0000-2300-000047000000}"/>
              </a:ext>
            </a:extLst>
          </xdr:cNvPr>
          <xdr:cNvGrpSpPr/>
        </xdr:nvGrpSpPr>
        <xdr:grpSpPr>
          <a:xfrm>
            <a:off x="2010553" y="4473525"/>
            <a:ext cx="3347391" cy="179049"/>
            <a:chOff x="2010553" y="4473525"/>
            <a:chExt cx="3347391" cy="179049"/>
          </a:xfrm>
        </xdr:grpSpPr>
        <xdr:sp macro="" textlink="">
          <xdr:nvSpPr>
            <xdr:cNvPr id="72" name="Custom">
              <a:hlinkClick xmlns:r="http://schemas.openxmlformats.org/officeDocument/2006/relationships" r:id="rId1"/>
              <a:extLst>
                <a:ext uri="{FF2B5EF4-FFF2-40B4-BE49-F238E27FC236}">
                  <a16:creationId xmlns:a16="http://schemas.microsoft.com/office/drawing/2014/main" id="{00000000-0008-0000-2300-000048000000}"/>
                </a:ext>
              </a:extLst>
            </xdr:cNvPr>
            <xdr:cNvSpPr/>
          </xdr:nvSpPr>
          <xdr:spPr>
            <a:xfrm>
              <a:off x="4251520" y="4473525"/>
              <a:ext cx="1106424" cy="178125"/>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3" name="Custom Lite">
              <a:extLst>
                <a:ext uri="{FF2B5EF4-FFF2-40B4-BE49-F238E27FC236}">
                  <a16:creationId xmlns:a16="http://schemas.microsoft.com/office/drawing/2014/main" id="{00000000-0008-0000-2300-000049000000}"/>
                </a:ext>
              </a:extLst>
            </xdr:cNvPr>
            <xdr:cNvSpPr/>
          </xdr:nvSpPr>
          <xdr:spPr>
            <a:xfrm>
              <a:off x="3131292"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grpSp>
          <xdr:nvGrpSpPr>
            <xdr:cNvPr id="74" name="X">
              <a:extLst>
                <a:ext uri="{FF2B5EF4-FFF2-40B4-BE49-F238E27FC236}">
                  <a16:creationId xmlns:a16="http://schemas.microsoft.com/office/drawing/2014/main" id="{00000000-0008-0000-2300-00004A000000}"/>
                </a:ext>
              </a:extLst>
            </xdr:cNvPr>
            <xdr:cNvGrpSpPr/>
          </xdr:nvGrpSpPr>
          <xdr:grpSpPr>
            <a:xfrm>
              <a:off x="3130439" y="4476057"/>
              <a:ext cx="1107759" cy="175825"/>
              <a:chOff x="4581271" y="2560088"/>
              <a:chExt cx="1107759" cy="183344"/>
            </a:xfrm>
          </xdr:grpSpPr>
          <xdr:cxnSp macro="">
            <xdr:nvCxnSpPr>
              <xdr:cNvPr id="79" name="2">
                <a:extLst>
                  <a:ext uri="{FF2B5EF4-FFF2-40B4-BE49-F238E27FC236}">
                    <a16:creationId xmlns:a16="http://schemas.microsoft.com/office/drawing/2014/main" id="{00000000-0008-0000-2300-00004F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80" name="1">
                <a:extLst>
                  <a:ext uri="{FF2B5EF4-FFF2-40B4-BE49-F238E27FC236}">
                    <a16:creationId xmlns:a16="http://schemas.microsoft.com/office/drawing/2014/main" id="{00000000-0008-0000-2300-000050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5" name="Standard">
              <a:extLst>
                <a:ext uri="{FF2B5EF4-FFF2-40B4-BE49-F238E27FC236}">
                  <a16:creationId xmlns:a16="http://schemas.microsoft.com/office/drawing/2014/main" id="{00000000-0008-0000-2300-00004B000000}"/>
                </a:ext>
              </a:extLst>
            </xdr:cNvPr>
            <xdr:cNvSpPr/>
          </xdr:nvSpPr>
          <xdr:spPr>
            <a:xfrm>
              <a:off x="2010553"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Standard</a:t>
              </a:r>
            </a:p>
          </xdr:txBody>
        </xdr:sp>
        <xdr:grpSp>
          <xdr:nvGrpSpPr>
            <xdr:cNvPr id="76" name="X">
              <a:extLst>
                <a:ext uri="{FF2B5EF4-FFF2-40B4-BE49-F238E27FC236}">
                  <a16:creationId xmlns:a16="http://schemas.microsoft.com/office/drawing/2014/main" id="{00000000-0008-0000-2300-00004C000000}"/>
                </a:ext>
              </a:extLst>
            </xdr:cNvPr>
            <xdr:cNvGrpSpPr/>
          </xdr:nvGrpSpPr>
          <xdr:grpSpPr>
            <a:xfrm>
              <a:off x="2011135" y="4476749"/>
              <a:ext cx="1107759" cy="175825"/>
              <a:chOff x="2011135" y="4476749"/>
              <a:chExt cx="1107759" cy="175825"/>
            </a:xfrm>
          </xdr:grpSpPr>
          <xdr:cxnSp macro="">
            <xdr:nvCxnSpPr>
              <xdr:cNvPr id="77" name="2">
                <a:extLst>
                  <a:ext uri="{FF2B5EF4-FFF2-40B4-BE49-F238E27FC236}">
                    <a16:creationId xmlns:a16="http://schemas.microsoft.com/office/drawing/2014/main" id="{00000000-0008-0000-2300-00004D000000}"/>
                  </a:ext>
                </a:extLst>
              </xdr:cNvPr>
              <xdr:cNvCxnSpPr/>
            </xdr:nvCxnSpPr>
            <xdr:spPr>
              <a:xfrm>
                <a:off x="2011135" y="4476749"/>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8" name="1">
                <a:extLst>
                  <a:ext uri="{FF2B5EF4-FFF2-40B4-BE49-F238E27FC236}">
                    <a16:creationId xmlns:a16="http://schemas.microsoft.com/office/drawing/2014/main" id="{00000000-0008-0000-2300-00004E000000}"/>
                  </a:ext>
                </a:extLst>
              </xdr:cNvPr>
              <xdr:cNvCxnSpPr/>
            </xdr:nvCxnSpPr>
            <xdr:spPr>
              <a:xfrm flipH="1">
                <a:off x="2012470" y="4476971"/>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15" name="Arrow: Left M4S9">
          <a:hlinkClick xmlns:r="http://schemas.openxmlformats.org/officeDocument/2006/relationships" r:id="rId2" tooltip="Back: Water Heating / Cooking"/>
          <a:extLst>
            <a:ext uri="{FF2B5EF4-FFF2-40B4-BE49-F238E27FC236}">
              <a16:creationId xmlns:a16="http://schemas.microsoft.com/office/drawing/2014/main" id="{00000000-0008-0000-2300-00000F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16" name="Arrow: Right M4S9">
          <a:hlinkClick xmlns:r="http://schemas.openxmlformats.org/officeDocument/2006/relationships" r:id="rId3" tooltip="Forward: Payment"/>
          <a:extLst>
            <a:ext uri="{FF2B5EF4-FFF2-40B4-BE49-F238E27FC236}">
              <a16:creationId xmlns:a16="http://schemas.microsoft.com/office/drawing/2014/main" id="{00000000-0008-0000-2300-000010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2" name="Measure Categories">
          <a:extLst>
            <a:ext uri="{FF2B5EF4-FFF2-40B4-BE49-F238E27FC236}">
              <a16:creationId xmlns:a16="http://schemas.microsoft.com/office/drawing/2014/main" id="{00000000-0008-0000-2300-000002000000}"/>
            </a:ext>
          </a:extLst>
        </xdr:cNvPr>
        <xdr:cNvGrpSpPr/>
      </xdr:nvGrpSpPr>
      <xdr:grpSpPr>
        <a:xfrm>
          <a:off x="2823882" y="1613647"/>
          <a:ext cx="10040472" cy="607535"/>
          <a:chOff x="2240280" y="1582544"/>
          <a:chExt cx="10241281" cy="596777"/>
        </a:xfrm>
      </xdr:grpSpPr>
      <xdr:grpSp>
        <xdr:nvGrpSpPr>
          <xdr:cNvPr id="3" name="Categories">
            <a:extLst>
              <a:ext uri="{FF2B5EF4-FFF2-40B4-BE49-F238E27FC236}">
                <a16:creationId xmlns:a16="http://schemas.microsoft.com/office/drawing/2014/main" id="{00000000-0008-0000-23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4" tooltip="Lighting"/>
              <a:extLst>
                <a:ext uri="{FF2B5EF4-FFF2-40B4-BE49-F238E27FC236}">
                  <a16:creationId xmlns:a16="http://schemas.microsoft.com/office/drawing/2014/main" id="{00000000-0008-0000-23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5" tooltip="Lighting Controls"/>
              <a:extLst>
                <a:ext uri="{FF2B5EF4-FFF2-40B4-BE49-F238E27FC236}">
                  <a16:creationId xmlns:a16="http://schemas.microsoft.com/office/drawing/2014/main" id="{00000000-0008-0000-23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6" tooltip="Refrigeration"/>
              <a:extLst>
                <a:ext uri="{FF2B5EF4-FFF2-40B4-BE49-F238E27FC236}">
                  <a16:creationId xmlns:a16="http://schemas.microsoft.com/office/drawing/2014/main" id="{00000000-0008-0000-23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HVAC">
              <a:hlinkClick xmlns:r="http://schemas.openxmlformats.org/officeDocument/2006/relationships" r:id="rId7" tooltip="HVAC"/>
              <a:extLst>
                <a:ext uri="{FF2B5EF4-FFF2-40B4-BE49-F238E27FC236}">
                  <a16:creationId xmlns:a16="http://schemas.microsoft.com/office/drawing/2014/main" id="{00000000-0008-0000-2300-00001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Motors and Drives">
              <a:hlinkClick xmlns:r="http://schemas.openxmlformats.org/officeDocument/2006/relationships" r:id="rId8" tooltip="Motors and Drives"/>
              <a:extLst>
                <a:ext uri="{FF2B5EF4-FFF2-40B4-BE49-F238E27FC236}">
                  <a16:creationId xmlns:a16="http://schemas.microsoft.com/office/drawing/2014/main" id="{00000000-0008-0000-2300-00003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CAP">
              <a:hlinkClick xmlns:r="http://schemas.openxmlformats.org/officeDocument/2006/relationships" r:id="rId9" tooltip="Compressed Air / Process"/>
              <a:extLst>
                <a:ext uri="{FF2B5EF4-FFF2-40B4-BE49-F238E27FC236}">
                  <a16:creationId xmlns:a16="http://schemas.microsoft.com/office/drawing/2014/main" id="{00000000-0008-0000-2300-000040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WHFS">
              <a:hlinkClick xmlns:r="http://schemas.openxmlformats.org/officeDocument/2006/relationships" r:id="rId10" tooltip="Water Heating / Food Services"/>
              <a:extLst>
                <a:ext uri="{FF2B5EF4-FFF2-40B4-BE49-F238E27FC236}">
                  <a16:creationId xmlns:a16="http://schemas.microsoft.com/office/drawing/2014/main" id="{00000000-0008-0000-2300-000042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Miscellaneous">
              <a:hlinkClick xmlns:r="http://schemas.openxmlformats.org/officeDocument/2006/relationships" r:id="rId1" tooltip="Miscellaneous"/>
              <a:extLst>
                <a:ext uri="{FF2B5EF4-FFF2-40B4-BE49-F238E27FC236}">
                  <a16:creationId xmlns:a16="http://schemas.microsoft.com/office/drawing/2014/main" id="{00000000-0008-0000-2300-000043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23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23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23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23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23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23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23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23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8" name="Navigation">
          <a:extLst>
            <a:ext uri="{FF2B5EF4-FFF2-40B4-BE49-F238E27FC236}">
              <a16:creationId xmlns:a16="http://schemas.microsoft.com/office/drawing/2014/main" id="{00000000-0008-0000-2300-000012000000}"/>
            </a:ext>
          </a:extLst>
        </xdr:cNvPr>
        <xdr:cNvGrpSpPr/>
      </xdr:nvGrpSpPr>
      <xdr:grpSpPr>
        <a:xfrm>
          <a:off x="2196353" y="605118"/>
          <a:ext cx="11219890" cy="1008529"/>
          <a:chOff x="1610956" y="594360"/>
          <a:chExt cx="11437620" cy="990600"/>
        </a:xfrm>
      </xdr:grpSpPr>
      <xdr:cxnSp macro="">
        <xdr:nvCxnSpPr>
          <xdr:cNvPr id="19" name="Reference">
            <a:extLst>
              <a:ext uri="{FF2B5EF4-FFF2-40B4-BE49-F238E27FC236}">
                <a16:creationId xmlns:a16="http://schemas.microsoft.com/office/drawing/2014/main" id="{00000000-0008-0000-2300-00001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11" tooltip="Project Review"/>
            <a:extLst>
              <a:ext uri="{FF2B5EF4-FFF2-40B4-BE49-F238E27FC236}">
                <a16:creationId xmlns:a16="http://schemas.microsoft.com/office/drawing/2014/main" id="{00000000-0008-0000-23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3" tooltip="Payment"/>
            <a:extLst>
              <a:ext uri="{FF2B5EF4-FFF2-40B4-BE49-F238E27FC236}">
                <a16:creationId xmlns:a16="http://schemas.microsoft.com/office/drawing/2014/main" id="{00000000-0008-0000-2300-00001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12" tooltip="Equipment Input"/>
            <a:extLst>
              <a:ext uri="{FF2B5EF4-FFF2-40B4-BE49-F238E27FC236}">
                <a16:creationId xmlns:a16="http://schemas.microsoft.com/office/drawing/2014/main" id="{00000000-0008-0000-2300-00001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13" tooltip="Building Information"/>
            <a:extLst>
              <a:ext uri="{FF2B5EF4-FFF2-40B4-BE49-F238E27FC236}">
                <a16:creationId xmlns:a16="http://schemas.microsoft.com/office/drawing/2014/main" id="{00000000-0008-0000-23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4" tooltip="Customer Information"/>
            <a:extLst>
              <a:ext uri="{FF2B5EF4-FFF2-40B4-BE49-F238E27FC236}">
                <a16:creationId xmlns:a16="http://schemas.microsoft.com/office/drawing/2014/main" id="{00000000-0008-0000-23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23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23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1" name="Header">
          <a:extLst>
            <a:ext uri="{FF2B5EF4-FFF2-40B4-BE49-F238E27FC236}">
              <a16:creationId xmlns:a16="http://schemas.microsoft.com/office/drawing/2014/main" id="{00000000-0008-0000-2300-00001F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2300-000027000000}"/>
              </a:ext>
            </a:extLst>
          </xdr:cNvPr>
          <xdr:cNvGrpSpPr/>
        </xdr:nvGrpSpPr>
        <xdr:grpSpPr>
          <a:xfrm>
            <a:off x="0" y="1452064"/>
            <a:ext cx="15813740" cy="591889"/>
            <a:chOff x="0" y="1452064"/>
            <a:chExt cx="15813740" cy="591889"/>
          </a:xfrm>
        </xdr:grpSpPr>
        <xdr:sp macro="" textlink="">
          <xdr:nvSpPr>
            <xdr:cNvPr id="45" name="Reference">
              <a:extLst>
                <a:ext uri="{FF2B5EF4-FFF2-40B4-BE49-F238E27FC236}">
                  <a16:creationId xmlns:a16="http://schemas.microsoft.com/office/drawing/2014/main" id="{00000000-0008-0000-2300-00002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ntact">
              <a:hlinkClick xmlns:r="http://schemas.openxmlformats.org/officeDocument/2006/relationships" r:id="rId17" tooltip="Contact"/>
              <a:extLst>
                <a:ext uri="{FF2B5EF4-FFF2-40B4-BE49-F238E27FC236}">
                  <a16:creationId xmlns:a16="http://schemas.microsoft.com/office/drawing/2014/main" id="{00000000-0008-0000-2300-00003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mpletion Form">
              <a:hlinkClick xmlns:r="http://schemas.openxmlformats.org/officeDocument/2006/relationships" r:id="rId18" tooltip=" "/>
              <a:extLst>
                <a:ext uri="{FF2B5EF4-FFF2-40B4-BE49-F238E27FC236}">
                  <a16:creationId xmlns:a16="http://schemas.microsoft.com/office/drawing/2014/main" id="{00000000-0008-0000-2300-00003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Offer Form">
              <a:hlinkClick xmlns:r="http://schemas.openxmlformats.org/officeDocument/2006/relationships" r:id="rId19" tooltip=" "/>
              <a:extLst>
                <a:ext uri="{FF2B5EF4-FFF2-40B4-BE49-F238E27FC236}">
                  <a16:creationId xmlns:a16="http://schemas.microsoft.com/office/drawing/2014/main" id="{00000000-0008-0000-2300-00003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centives">
              <a:extLst>
                <a:ext uri="{FF2B5EF4-FFF2-40B4-BE49-F238E27FC236}">
                  <a16:creationId xmlns:a16="http://schemas.microsoft.com/office/drawing/2014/main" id="{00000000-0008-0000-2300-00003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7" name="Instructions">
              <a:hlinkClick xmlns:r="http://schemas.openxmlformats.org/officeDocument/2006/relationships" r:id="rId20" tooltip="Instructions"/>
              <a:extLst>
                <a:ext uri="{FF2B5EF4-FFF2-40B4-BE49-F238E27FC236}">
                  <a16:creationId xmlns:a16="http://schemas.microsoft.com/office/drawing/2014/main" id="{00000000-0008-0000-2300-00003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Welcome">
              <a:hlinkClick xmlns:r="http://schemas.openxmlformats.org/officeDocument/2006/relationships" r:id="rId21" tooltip="Welcome"/>
              <a:extLst>
                <a:ext uri="{FF2B5EF4-FFF2-40B4-BE49-F238E27FC236}">
                  <a16:creationId xmlns:a16="http://schemas.microsoft.com/office/drawing/2014/main" id="{00000000-0008-0000-2300-00003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9" name="Evergy Logo">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0" name="State">
              <a:extLst>
                <a:ext uri="{FF2B5EF4-FFF2-40B4-BE49-F238E27FC236}">
                  <a16:creationId xmlns:a16="http://schemas.microsoft.com/office/drawing/2014/main" id="{00000000-0008-0000-2300-00003C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2300-000028000000}"/>
              </a:ext>
            </a:extLst>
          </xdr:cNvPr>
          <xdr:cNvGrpSpPr/>
        </xdr:nvGrpSpPr>
        <xdr:grpSpPr>
          <a:xfrm>
            <a:off x="1613405" y="1537433"/>
            <a:ext cx="11616513" cy="423049"/>
            <a:chOff x="1612951" y="85725"/>
            <a:chExt cx="11618931" cy="423022"/>
          </a:xfrm>
        </xdr:grpSpPr>
        <xdr:cxnSp macro="">
          <xdr:nvCxnSpPr>
            <xdr:cNvPr id="41" name="Divider 4">
              <a:extLst>
                <a:ext uri="{FF2B5EF4-FFF2-40B4-BE49-F238E27FC236}">
                  <a16:creationId xmlns:a16="http://schemas.microsoft.com/office/drawing/2014/main" id="{00000000-0008-0000-23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23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23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23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79459</xdr:rowOff>
    </xdr:to>
    <xdr:grpSp>
      <xdr:nvGrpSpPr>
        <xdr:cNvPr id="2" name="Select 3">
          <a:extLst>
            <a:ext uri="{FF2B5EF4-FFF2-40B4-BE49-F238E27FC236}">
              <a16:creationId xmlns:a16="http://schemas.microsoft.com/office/drawing/2014/main" id="{00000000-0008-0000-2400-000002000000}"/>
            </a:ext>
          </a:extLst>
        </xdr:cNvPr>
        <xdr:cNvGrpSpPr/>
      </xdr:nvGrpSpPr>
      <xdr:grpSpPr>
        <a:xfrm>
          <a:off x="1882588" y="2622176"/>
          <a:ext cx="3439496" cy="281165"/>
          <a:chOff x="1037447" y="2413275"/>
          <a:chExt cx="3529144" cy="276137"/>
        </a:xfrm>
      </xdr:grpSpPr>
      <xdr:cxnSp macro="">
        <xdr:nvCxnSpPr>
          <xdr:cNvPr id="3" name="Reference - V">
            <a:extLst>
              <a:ext uri="{FF2B5EF4-FFF2-40B4-BE49-F238E27FC236}">
                <a16:creationId xmlns:a16="http://schemas.microsoft.com/office/drawing/2014/main" id="{00000000-0008-0000-24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24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2400-000005000000}"/>
              </a:ext>
            </a:extLst>
          </xdr:cNvPr>
          <xdr:cNvGrpSpPr/>
        </xdr:nvGrpSpPr>
        <xdr:grpSpPr>
          <a:xfrm>
            <a:off x="1219200" y="2510935"/>
            <a:ext cx="3347391" cy="178477"/>
            <a:chOff x="1219200" y="2510935"/>
            <a:chExt cx="3347391" cy="178477"/>
          </a:xfrm>
        </xdr:grpSpPr>
        <xdr:sp macro="" textlink="">
          <xdr:nvSpPr>
            <xdr:cNvPr id="6" name="Custom">
              <a:hlinkClick xmlns:r="http://schemas.openxmlformats.org/officeDocument/2006/relationships" r:id="rId1"/>
              <a:extLst>
                <a:ext uri="{FF2B5EF4-FFF2-40B4-BE49-F238E27FC236}">
                  <a16:creationId xmlns:a16="http://schemas.microsoft.com/office/drawing/2014/main" id="{00000000-0008-0000-2400-000006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Custom Lite">
              <a:hlinkClick xmlns:r="http://schemas.openxmlformats.org/officeDocument/2006/relationships" r:id="rId2"/>
              <a:extLst>
                <a:ext uri="{FF2B5EF4-FFF2-40B4-BE49-F238E27FC236}">
                  <a16:creationId xmlns:a16="http://schemas.microsoft.com/office/drawing/2014/main" id="{00000000-0008-0000-2400-000007000000}"/>
                </a:ext>
              </a:extLst>
            </xdr:cNvPr>
            <xdr:cNvSpPr/>
          </xdr:nvSpPr>
          <xdr:spPr>
            <a:xfrm>
              <a:off x="2339939"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bg1"/>
                  </a:solidFill>
                  <a:latin typeface="Arial" panose="020B0604020202020204" pitchFamily="34" charset="0"/>
                  <a:ea typeface="+mn-ea"/>
                  <a:cs typeface="Arial" panose="020B0604020202020204" pitchFamily="34" charset="0"/>
                </a:rPr>
                <a:t>Custom Lite</a:t>
              </a: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24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9" name="Arrow: Left M4S2">
          <a:hlinkClick xmlns:r="http://schemas.openxmlformats.org/officeDocument/2006/relationships" r:id="rId4" tooltip="Back: Equipment Type"/>
          <a:extLst>
            <a:ext uri="{FF2B5EF4-FFF2-40B4-BE49-F238E27FC236}">
              <a16:creationId xmlns:a16="http://schemas.microsoft.com/office/drawing/2014/main" id="{00000000-0008-0000-2400-000009000000}"/>
            </a:ext>
          </a:extLst>
        </xdr:cNvPr>
        <xdr:cNvSpPr/>
      </xdr:nvSpPr>
      <xdr:spPr>
        <a:xfrm>
          <a:off x="414840" y="1680099"/>
          <a:ext cx="547676" cy="4024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10" name="Arrow: Right M4S2">
          <a:hlinkClick xmlns:r="http://schemas.openxmlformats.org/officeDocument/2006/relationships" r:id="rId5" tooltip="Foward: Lighting Controls"/>
          <a:extLst>
            <a:ext uri="{FF2B5EF4-FFF2-40B4-BE49-F238E27FC236}">
              <a16:creationId xmlns:a16="http://schemas.microsoft.com/office/drawing/2014/main" id="{00000000-0008-0000-2400-00000A000000}"/>
            </a:ext>
          </a:extLst>
        </xdr:cNvPr>
        <xdr:cNvSpPr/>
      </xdr:nvSpPr>
      <xdr:spPr>
        <a:xfrm>
          <a:off x="14730356" y="1680099"/>
          <a:ext cx="539496" cy="4024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11" name="Measure Categories">
          <a:extLst>
            <a:ext uri="{FF2B5EF4-FFF2-40B4-BE49-F238E27FC236}">
              <a16:creationId xmlns:a16="http://schemas.microsoft.com/office/drawing/2014/main" id="{00000000-0008-0000-2400-00000B000000}"/>
            </a:ext>
          </a:extLst>
        </xdr:cNvPr>
        <xdr:cNvGrpSpPr/>
      </xdr:nvGrpSpPr>
      <xdr:grpSpPr>
        <a:xfrm>
          <a:off x="2823882" y="1613647"/>
          <a:ext cx="10040472" cy="607535"/>
          <a:chOff x="2240280" y="1582544"/>
          <a:chExt cx="10241281" cy="596777"/>
        </a:xfrm>
      </xdr:grpSpPr>
      <xdr:grpSp>
        <xdr:nvGrpSpPr>
          <xdr:cNvPr id="12" name="Categories">
            <a:extLst>
              <a:ext uri="{FF2B5EF4-FFF2-40B4-BE49-F238E27FC236}">
                <a16:creationId xmlns:a16="http://schemas.microsoft.com/office/drawing/2014/main" id="{00000000-0008-0000-2400-00000C000000}"/>
              </a:ext>
            </a:extLst>
          </xdr:cNvPr>
          <xdr:cNvGrpSpPr/>
        </xdr:nvGrpSpPr>
        <xdr:grpSpPr>
          <a:xfrm>
            <a:off x="2240280" y="1584961"/>
            <a:ext cx="10241281" cy="594360"/>
            <a:chOff x="2240280" y="1584961"/>
            <a:chExt cx="10241281" cy="594360"/>
          </a:xfrm>
        </xdr:grpSpPr>
        <xdr:sp macro="" textlink="">
          <xdr:nvSpPr>
            <xdr:cNvPr id="21" name="Lighting">
              <a:hlinkClick xmlns:r="http://schemas.openxmlformats.org/officeDocument/2006/relationships" r:id="rId2" tooltip="Lighting"/>
              <a:extLst>
                <a:ext uri="{FF2B5EF4-FFF2-40B4-BE49-F238E27FC236}">
                  <a16:creationId xmlns:a16="http://schemas.microsoft.com/office/drawing/2014/main" id="{00000000-0008-0000-2400-00001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Lighting Controls">
              <a:extLst>
                <a:ext uri="{FF2B5EF4-FFF2-40B4-BE49-F238E27FC236}">
                  <a16:creationId xmlns:a16="http://schemas.microsoft.com/office/drawing/2014/main" id="{00000000-0008-0000-2400-00001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Refrigeration">
              <a:extLst>
                <a:ext uri="{FF2B5EF4-FFF2-40B4-BE49-F238E27FC236}">
                  <a16:creationId xmlns:a16="http://schemas.microsoft.com/office/drawing/2014/main" id="{00000000-0008-0000-2400-000017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HVAC">
              <a:hlinkClick xmlns:r="http://schemas.openxmlformats.org/officeDocument/2006/relationships" r:id="rId6" tooltip="HVAC"/>
              <a:extLst>
                <a:ext uri="{FF2B5EF4-FFF2-40B4-BE49-F238E27FC236}">
                  <a16:creationId xmlns:a16="http://schemas.microsoft.com/office/drawing/2014/main" id="{00000000-0008-0000-2400-000018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Motors and Drives">
              <a:extLst>
                <a:ext uri="{FF2B5EF4-FFF2-40B4-BE49-F238E27FC236}">
                  <a16:creationId xmlns:a16="http://schemas.microsoft.com/office/drawing/2014/main" id="{00000000-0008-0000-2400-000019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AP">
              <a:extLst>
                <a:ext uri="{FF2B5EF4-FFF2-40B4-BE49-F238E27FC236}">
                  <a16:creationId xmlns:a16="http://schemas.microsoft.com/office/drawing/2014/main" id="{00000000-0008-0000-2400-00001A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WHFS">
              <a:extLst>
                <a:ext uri="{FF2B5EF4-FFF2-40B4-BE49-F238E27FC236}">
                  <a16:creationId xmlns:a16="http://schemas.microsoft.com/office/drawing/2014/main" id="{00000000-0008-0000-2400-00001B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Miscellaneous">
              <a:extLst>
                <a:ext uri="{FF2B5EF4-FFF2-40B4-BE49-F238E27FC236}">
                  <a16:creationId xmlns:a16="http://schemas.microsoft.com/office/drawing/2014/main" id="{00000000-0008-0000-2400-00001C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3" name="Dividers">
            <a:extLst>
              <a:ext uri="{FF2B5EF4-FFF2-40B4-BE49-F238E27FC236}">
                <a16:creationId xmlns:a16="http://schemas.microsoft.com/office/drawing/2014/main" id="{00000000-0008-0000-2400-00000D000000}"/>
              </a:ext>
            </a:extLst>
          </xdr:cNvPr>
          <xdr:cNvGrpSpPr/>
        </xdr:nvGrpSpPr>
        <xdr:grpSpPr>
          <a:xfrm>
            <a:off x="3521022" y="1582544"/>
            <a:ext cx="7680961" cy="551056"/>
            <a:chOff x="3520440" y="1580822"/>
            <a:chExt cx="7680960" cy="552779"/>
          </a:xfrm>
        </xdr:grpSpPr>
        <xdr:cxnSp macro="">
          <xdr:nvCxnSpPr>
            <xdr:cNvPr id="14" name="Divider 7">
              <a:extLst>
                <a:ext uri="{FF2B5EF4-FFF2-40B4-BE49-F238E27FC236}">
                  <a16:creationId xmlns:a16="http://schemas.microsoft.com/office/drawing/2014/main" id="{00000000-0008-0000-2400-00000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6">
              <a:extLst>
                <a:ext uri="{FF2B5EF4-FFF2-40B4-BE49-F238E27FC236}">
                  <a16:creationId xmlns:a16="http://schemas.microsoft.com/office/drawing/2014/main" id="{00000000-0008-0000-2400-00000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5">
              <a:extLst>
                <a:ext uri="{FF2B5EF4-FFF2-40B4-BE49-F238E27FC236}">
                  <a16:creationId xmlns:a16="http://schemas.microsoft.com/office/drawing/2014/main" id="{00000000-0008-0000-2400-00001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4">
              <a:extLst>
                <a:ext uri="{FF2B5EF4-FFF2-40B4-BE49-F238E27FC236}">
                  <a16:creationId xmlns:a16="http://schemas.microsoft.com/office/drawing/2014/main" id="{00000000-0008-0000-2400-00001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3">
              <a:extLst>
                <a:ext uri="{FF2B5EF4-FFF2-40B4-BE49-F238E27FC236}">
                  <a16:creationId xmlns:a16="http://schemas.microsoft.com/office/drawing/2014/main" id="{00000000-0008-0000-2400-00001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2">
              <a:extLst>
                <a:ext uri="{FF2B5EF4-FFF2-40B4-BE49-F238E27FC236}">
                  <a16:creationId xmlns:a16="http://schemas.microsoft.com/office/drawing/2014/main" id="{00000000-0008-0000-2400-00001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1">
              <a:extLst>
                <a:ext uri="{FF2B5EF4-FFF2-40B4-BE49-F238E27FC236}">
                  <a16:creationId xmlns:a16="http://schemas.microsoft.com/office/drawing/2014/main" id="{00000000-0008-0000-2400-00001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9" name="Navigation">
          <a:extLst>
            <a:ext uri="{FF2B5EF4-FFF2-40B4-BE49-F238E27FC236}">
              <a16:creationId xmlns:a16="http://schemas.microsoft.com/office/drawing/2014/main" id="{00000000-0008-0000-2400-00001D000000}"/>
            </a:ext>
          </a:extLst>
        </xdr:cNvPr>
        <xdr:cNvGrpSpPr/>
      </xdr:nvGrpSpPr>
      <xdr:grpSpPr>
        <a:xfrm>
          <a:off x="2196353" y="605118"/>
          <a:ext cx="11219890" cy="1008529"/>
          <a:chOff x="1610956" y="594360"/>
          <a:chExt cx="11437620" cy="990600"/>
        </a:xfrm>
      </xdr:grpSpPr>
      <xdr:cxnSp macro="">
        <xdr:nvCxnSpPr>
          <xdr:cNvPr id="30" name="Reference">
            <a:extLst>
              <a:ext uri="{FF2B5EF4-FFF2-40B4-BE49-F238E27FC236}">
                <a16:creationId xmlns:a16="http://schemas.microsoft.com/office/drawing/2014/main" id="{00000000-0008-0000-2400-00001E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1" name="7: Project Review">
            <a:hlinkClick xmlns:r="http://schemas.openxmlformats.org/officeDocument/2006/relationships" r:id="rId7" tooltip="Project Review"/>
            <a:extLst>
              <a:ext uri="{FF2B5EF4-FFF2-40B4-BE49-F238E27FC236}">
                <a16:creationId xmlns:a16="http://schemas.microsoft.com/office/drawing/2014/main" id="{00000000-0008-0000-2400-00001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2" name="6: Payment">
            <a:hlinkClick xmlns:r="http://schemas.openxmlformats.org/officeDocument/2006/relationships" r:id="rId8" tooltip="Payment"/>
            <a:extLst>
              <a:ext uri="{FF2B5EF4-FFF2-40B4-BE49-F238E27FC236}">
                <a16:creationId xmlns:a16="http://schemas.microsoft.com/office/drawing/2014/main" id="{00000000-0008-0000-2400-000020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3" name="5: Equipment Input">
            <a:hlinkClick xmlns:r="http://schemas.openxmlformats.org/officeDocument/2006/relationships" r:id="rId4" tooltip="Equipment Input"/>
            <a:extLst>
              <a:ext uri="{FF2B5EF4-FFF2-40B4-BE49-F238E27FC236}">
                <a16:creationId xmlns:a16="http://schemas.microsoft.com/office/drawing/2014/main" id="{00000000-0008-0000-2400-000021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4" name="4: Building Information">
            <a:hlinkClick xmlns:r="http://schemas.openxmlformats.org/officeDocument/2006/relationships" r:id="rId9" tooltip="Building Information"/>
            <a:extLst>
              <a:ext uri="{FF2B5EF4-FFF2-40B4-BE49-F238E27FC236}">
                <a16:creationId xmlns:a16="http://schemas.microsoft.com/office/drawing/2014/main" id="{00000000-0008-0000-2400-000022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5" name="3: Customer Information">
            <a:hlinkClick xmlns:r="http://schemas.openxmlformats.org/officeDocument/2006/relationships" r:id="rId10" tooltip="Customer Information"/>
            <a:extLst>
              <a:ext uri="{FF2B5EF4-FFF2-40B4-BE49-F238E27FC236}">
                <a16:creationId xmlns:a16="http://schemas.microsoft.com/office/drawing/2014/main" id="{00000000-0008-0000-2400-000023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6" name="2: Trade Ally Info">
            <a:hlinkClick xmlns:r="http://schemas.openxmlformats.org/officeDocument/2006/relationships" r:id="rId11" tooltip="Trade Ally/Vendor Information"/>
            <a:extLst>
              <a:ext uri="{FF2B5EF4-FFF2-40B4-BE49-F238E27FC236}">
                <a16:creationId xmlns:a16="http://schemas.microsoft.com/office/drawing/2014/main" id="{00000000-0008-0000-2400-000024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7" name="1: T&amp;C's">
            <a:hlinkClick xmlns:r="http://schemas.openxmlformats.org/officeDocument/2006/relationships" r:id="rId12" tooltip="Terms &amp; Conditions"/>
            <a:extLst>
              <a:ext uri="{FF2B5EF4-FFF2-40B4-BE49-F238E27FC236}">
                <a16:creationId xmlns:a16="http://schemas.microsoft.com/office/drawing/2014/main" id="{00000000-0008-0000-2400-000025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8" name="Header">
          <a:extLst>
            <a:ext uri="{FF2B5EF4-FFF2-40B4-BE49-F238E27FC236}">
              <a16:creationId xmlns:a16="http://schemas.microsoft.com/office/drawing/2014/main" id="{00000000-0008-0000-2400-000026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2400-000027000000}"/>
              </a:ext>
            </a:extLst>
          </xdr:cNvPr>
          <xdr:cNvGrpSpPr/>
        </xdr:nvGrpSpPr>
        <xdr:grpSpPr>
          <a:xfrm>
            <a:off x="0" y="1452064"/>
            <a:ext cx="15813740" cy="591889"/>
            <a:chOff x="0" y="1452064"/>
            <a:chExt cx="15813740" cy="591889"/>
          </a:xfrm>
        </xdr:grpSpPr>
        <xdr:sp macro="" textlink="">
          <xdr:nvSpPr>
            <xdr:cNvPr id="45" name="Reference">
              <a:extLst>
                <a:ext uri="{FF2B5EF4-FFF2-40B4-BE49-F238E27FC236}">
                  <a16:creationId xmlns:a16="http://schemas.microsoft.com/office/drawing/2014/main" id="{00000000-0008-0000-2400-00002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ontact">
              <a:hlinkClick xmlns:r="http://schemas.openxmlformats.org/officeDocument/2006/relationships" r:id="rId13" tooltip="Contact"/>
              <a:extLst>
                <a:ext uri="{FF2B5EF4-FFF2-40B4-BE49-F238E27FC236}">
                  <a16:creationId xmlns:a16="http://schemas.microsoft.com/office/drawing/2014/main" id="{00000000-0008-0000-2400-00002E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mpletion Form">
              <a:hlinkClick xmlns:r="http://schemas.openxmlformats.org/officeDocument/2006/relationships" r:id="rId14" tooltip=" "/>
              <a:extLst>
                <a:ext uri="{FF2B5EF4-FFF2-40B4-BE49-F238E27FC236}">
                  <a16:creationId xmlns:a16="http://schemas.microsoft.com/office/drawing/2014/main" id="{00000000-0008-0000-2400-00002F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Offer Form">
              <a:hlinkClick xmlns:r="http://schemas.openxmlformats.org/officeDocument/2006/relationships" r:id="rId15" tooltip=" "/>
              <a:extLst>
                <a:ext uri="{FF2B5EF4-FFF2-40B4-BE49-F238E27FC236}">
                  <a16:creationId xmlns:a16="http://schemas.microsoft.com/office/drawing/2014/main" id="{00000000-0008-0000-2400-000030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Incentives">
              <a:extLst>
                <a:ext uri="{FF2B5EF4-FFF2-40B4-BE49-F238E27FC236}">
                  <a16:creationId xmlns:a16="http://schemas.microsoft.com/office/drawing/2014/main" id="{00000000-0008-0000-2400-00003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0" name="Instructions">
              <a:hlinkClick xmlns:r="http://schemas.openxmlformats.org/officeDocument/2006/relationships" r:id="rId16" tooltip="Instructions"/>
              <a:extLst>
                <a:ext uri="{FF2B5EF4-FFF2-40B4-BE49-F238E27FC236}">
                  <a16:creationId xmlns:a16="http://schemas.microsoft.com/office/drawing/2014/main" id="{00000000-0008-0000-2400-00003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elcome">
              <a:hlinkClick xmlns:r="http://schemas.openxmlformats.org/officeDocument/2006/relationships" r:id="rId17" tooltip="Welcome"/>
              <a:extLst>
                <a:ext uri="{FF2B5EF4-FFF2-40B4-BE49-F238E27FC236}">
                  <a16:creationId xmlns:a16="http://schemas.microsoft.com/office/drawing/2014/main" id="{00000000-0008-0000-2400-00003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 name="Evergy Logo">
              <a:extLst>
                <a:ext uri="{FF2B5EF4-FFF2-40B4-BE49-F238E27FC236}">
                  <a16:creationId xmlns:a16="http://schemas.microsoft.com/office/drawing/2014/main" id="{00000000-0008-0000-2400-00003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3" name="State">
              <a:extLst>
                <a:ext uri="{FF2B5EF4-FFF2-40B4-BE49-F238E27FC236}">
                  <a16:creationId xmlns:a16="http://schemas.microsoft.com/office/drawing/2014/main" id="{00000000-0008-0000-2400-00003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2400-000028000000}"/>
              </a:ext>
            </a:extLst>
          </xdr:cNvPr>
          <xdr:cNvGrpSpPr/>
        </xdr:nvGrpSpPr>
        <xdr:grpSpPr>
          <a:xfrm>
            <a:off x="1613405" y="1537433"/>
            <a:ext cx="11616513" cy="423049"/>
            <a:chOff x="1612951" y="85725"/>
            <a:chExt cx="11618931" cy="423022"/>
          </a:xfrm>
        </xdr:grpSpPr>
        <xdr:cxnSp macro="">
          <xdr:nvCxnSpPr>
            <xdr:cNvPr id="41" name="Divider 4">
              <a:extLst>
                <a:ext uri="{FF2B5EF4-FFF2-40B4-BE49-F238E27FC236}">
                  <a16:creationId xmlns:a16="http://schemas.microsoft.com/office/drawing/2014/main" id="{00000000-0008-0000-24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24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24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24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2" name="Select 4">
          <a:extLst>
            <a:ext uri="{FF2B5EF4-FFF2-40B4-BE49-F238E27FC236}">
              <a16:creationId xmlns:a16="http://schemas.microsoft.com/office/drawing/2014/main" id="{00000000-0008-0000-2500-000002000000}"/>
            </a:ext>
          </a:extLst>
        </xdr:cNvPr>
        <xdr:cNvGrpSpPr/>
      </xdr:nvGrpSpPr>
      <xdr:grpSpPr>
        <a:xfrm>
          <a:off x="1882588" y="2622176"/>
          <a:ext cx="3439496" cy="280852"/>
          <a:chOff x="1037447" y="2413275"/>
          <a:chExt cx="3529144" cy="276369"/>
        </a:xfrm>
      </xdr:grpSpPr>
      <xdr:cxnSp macro="">
        <xdr:nvCxnSpPr>
          <xdr:cNvPr id="3" name="Reference - V">
            <a:extLst>
              <a:ext uri="{FF2B5EF4-FFF2-40B4-BE49-F238E27FC236}">
                <a16:creationId xmlns:a16="http://schemas.microsoft.com/office/drawing/2014/main" id="{00000000-0008-0000-25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25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2500-000005000000}"/>
              </a:ext>
            </a:extLst>
          </xdr:cNvPr>
          <xdr:cNvGrpSpPr/>
        </xdr:nvGrpSpPr>
        <xdr:grpSpPr>
          <a:xfrm>
            <a:off x="1217865" y="2510935"/>
            <a:ext cx="3348726" cy="178709"/>
            <a:chOff x="1217865" y="2510935"/>
            <a:chExt cx="3348726" cy="178709"/>
          </a:xfrm>
        </xdr:grpSpPr>
        <xdr:sp macro="" textlink="">
          <xdr:nvSpPr>
            <xdr:cNvPr id="6" name="Custom">
              <a:hlinkClick xmlns:r="http://schemas.openxmlformats.org/officeDocument/2006/relationships" r:id="rId1"/>
              <a:extLst>
                <a:ext uri="{FF2B5EF4-FFF2-40B4-BE49-F238E27FC236}">
                  <a16:creationId xmlns:a16="http://schemas.microsoft.com/office/drawing/2014/main" id="{00000000-0008-0000-2500-000006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Custom Lite">
              <a:hlinkClick xmlns:r="http://schemas.openxmlformats.org/officeDocument/2006/relationships" r:id="rId2"/>
              <a:extLst>
                <a:ext uri="{FF2B5EF4-FFF2-40B4-BE49-F238E27FC236}">
                  <a16:creationId xmlns:a16="http://schemas.microsoft.com/office/drawing/2014/main" id="{00000000-0008-0000-2500-000007000000}"/>
                </a:ext>
              </a:extLst>
            </xdr:cNvPr>
            <xdr:cNvSpPr/>
          </xdr:nvSpPr>
          <xdr:spPr>
            <a:xfrm>
              <a:off x="2339939"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bg1"/>
                  </a:solidFill>
                  <a:latin typeface="Arial" panose="020B0604020202020204" pitchFamily="34" charset="0"/>
                  <a:ea typeface="+mn-ea"/>
                  <a:cs typeface="Arial" panose="020B0604020202020204" pitchFamily="34" charset="0"/>
                </a:rPr>
                <a:t>Custom Lite</a:t>
              </a:r>
            </a:p>
          </xdr:txBody>
        </xdr:sp>
        <xdr:sp macro="" textlink="">
          <xdr:nvSpPr>
            <xdr:cNvPr id="8" name="Standard">
              <a:extLst>
                <a:ext uri="{FF2B5EF4-FFF2-40B4-BE49-F238E27FC236}">
                  <a16:creationId xmlns:a16="http://schemas.microsoft.com/office/drawing/2014/main" id="{00000000-0008-0000-2500-000008000000}"/>
                </a:ext>
              </a:extLst>
            </xdr:cNvPr>
            <xdr:cNvSpPr/>
          </xdr:nvSpPr>
          <xdr:spPr>
            <a:xfrm>
              <a:off x="1219200"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rgbClr val="7F7F7F"/>
                  </a:solidFill>
                  <a:latin typeface="Arial" panose="020B0604020202020204" pitchFamily="34" charset="0"/>
                  <a:cs typeface="Arial" panose="020B0604020202020204" pitchFamily="34" charset="0"/>
                </a:rPr>
                <a:t>Standard</a:t>
              </a:r>
            </a:p>
          </xdr:txBody>
        </xdr:sp>
        <xdr:grpSp>
          <xdr:nvGrpSpPr>
            <xdr:cNvPr id="9" name="X">
              <a:extLst>
                <a:ext uri="{FF2B5EF4-FFF2-40B4-BE49-F238E27FC236}">
                  <a16:creationId xmlns:a16="http://schemas.microsoft.com/office/drawing/2014/main" id="{00000000-0008-0000-2500-000009000000}"/>
                </a:ext>
              </a:extLst>
            </xdr:cNvPr>
            <xdr:cNvGrpSpPr/>
          </xdr:nvGrpSpPr>
          <xdr:grpSpPr>
            <a:xfrm>
              <a:off x="1217865" y="2513472"/>
              <a:ext cx="1107759" cy="176172"/>
              <a:chOff x="3460050" y="2560088"/>
              <a:chExt cx="1107759" cy="183344"/>
            </a:xfrm>
          </xdr:grpSpPr>
          <xdr:cxnSp macro="">
            <xdr:nvCxnSpPr>
              <xdr:cNvPr id="10" name="2">
                <a:extLst>
                  <a:ext uri="{FF2B5EF4-FFF2-40B4-BE49-F238E27FC236}">
                    <a16:creationId xmlns:a16="http://schemas.microsoft.com/office/drawing/2014/main" id="{00000000-0008-0000-2500-00000A000000}"/>
                  </a:ext>
                </a:extLst>
              </xdr:cNvPr>
              <xdr:cNvCxnSpPr/>
            </xdr:nvCxnSpPr>
            <xdr:spPr>
              <a:xfrm>
                <a:off x="3460050" y="2560088"/>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11" name="1">
                <a:extLst>
                  <a:ext uri="{FF2B5EF4-FFF2-40B4-BE49-F238E27FC236}">
                    <a16:creationId xmlns:a16="http://schemas.microsoft.com/office/drawing/2014/main" id="{00000000-0008-0000-2500-00000B000000}"/>
                  </a:ext>
                </a:extLst>
              </xdr:cNvPr>
              <xdr:cNvCxnSpPr/>
            </xdr:nvCxnSpPr>
            <xdr:spPr>
              <a:xfrm flipH="1">
                <a:off x="3461385" y="2560320"/>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93234</xdr:rowOff>
    </xdr:from>
    <xdr:to>
      <xdr:col>3</xdr:col>
      <xdr:colOff>1836</xdr:colOff>
      <xdr:row>10</xdr:row>
      <xdr:rowOff>97492</xdr:rowOff>
    </xdr:to>
    <xdr:sp macro="" textlink="">
      <xdr:nvSpPr>
        <xdr:cNvPr id="12" name="Arrow: Left 11">
          <a:hlinkClick xmlns:r="http://schemas.openxmlformats.org/officeDocument/2006/relationships" r:id="rId3" tooltip="Back: Refrigeration"/>
          <a:extLst>
            <a:ext uri="{FF2B5EF4-FFF2-40B4-BE49-F238E27FC236}">
              <a16:creationId xmlns:a16="http://schemas.microsoft.com/office/drawing/2014/main" id="{00000000-0008-0000-2500-00000C000000}"/>
            </a:ext>
          </a:extLst>
        </xdr:cNvPr>
        <xdr:cNvSpPr/>
      </xdr:nvSpPr>
      <xdr:spPr>
        <a:xfrm>
          <a:off x="414840" y="1678194"/>
          <a:ext cx="547116" cy="40049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13" name="Arrow: Right 12">
          <a:hlinkClick xmlns:r="http://schemas.openxmlformats.org/officeDocument/2006/relationships" r:id="rId4" tooltip="Forward: Motors and Drives"/>
          <a:extLst>
            <a:ext uri="{FF2B5EF4-FFF2-40B4-BE49-F238E27FC236}">
              <a16:creationId xmlns:a16="http://schemas.microsoft.com/office/drawing/2014/main" id="{00000000-0008-0000-2500-00000D000000}"/>
            </a:ext>
          </a:extLst>
        </xdr:cNvPr>
        <xdr:cNvSpPr/>
      </xdr:nvSpPr>
      <xdr:spPr>
        <a:xfrm>
          <a:off x="14730356" y="1680099"/>
          <a:ext cx="539496" cy="4024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14" name="Measure Categories">
          <a:extLst>
            <a:ext uri="{FF2B5EF4-FFF2-40B4-BE49-F238E27FC236}">
              <a16:creationId xmlns:a16="http://schemas.microsoft.com/office/drawing/2014/main" id="{00000000-0008-0000-2500-00000E000000}"/>
            </a:ext>
          </a:extLst>
        </xdr:cNvPr>
        <xdr:cNvGrpSpPr/>
      </xdr:nvGrpSpPr>
      <xdr:grpSpPr>
        <a:xfrm>
          <a:off x="2823882" y="1613647"/>
          <a:ext cx="10040472" cy="607535"/>
          <a:chOff x="2240280" y="1582544"/>
          <a:chExt cx="10241281" cy="596777"/>
        </a:xfrm>
      </xdr:grpSpPr>
      <xdr:grpSp>
        <xdr:nvGrpSpPr>
          <xdr:cNvPr id="15" name="Categories">
            <a:extLst>
              <a:ext uri="{FF2B5EF4-FFF2-40B4-BE49-F238E27FC236}">
                <a16:creationId xmlns:a16="http://schemas.microsoft.com/office/drawing/2014/main" id="{00000000-0008-0000-2500-00000F000000}"/>
              </a:ext>
            </a:extLst>
          </xdr:cNvPr>
          <xdr:cNvGrpSpPr/>
        </xdr:nvGrpSpPr>
        <xdr:grpSpPr>
          <a:xfrm>
            <a:off x="2240280" y="1584961"/>
            <a:ext cx="10241281" cy="594360"/>
            <a:chOff x="2240280" y="1584961"/>
            <a:chExt cx="10241281" cy="594360"/>
          </a:xfrm>
        </xdr:grpSpPr>
        <xdr:sp macro="" textlink="">
          <xdr:nvSpPr>
            <xdr:cNvPr id="24" name="Lighting">
              <a:hlinkClick xmlns:r="http://schemas.openxmlformats.org/officeDocument/2006/relationships" r:id="rId5" tooltip="Lighting"/>
              <a:extLst>
                <a:ext uri="{FF2B5EF4-FFF2-40B4-BE49-F238E27FC236}">
                  <a16:creationId xmlns:a16="http://schemas.microsoft.com/office/drawing/2014/main" id="{00000000-0008-0000-2500-000018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Lighting Controls">
              <a:extLst>
                <a:ext uri="{FF2B5EF4-FFF2-40B4-BE49-F238E27FC236}">
                  <a16:creationId xmlns:a16="http://schemas.microsoft.com/office/drawing/2014/main" id="{00000000-0008-0000-2500-000019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Refrigeration">
              <a:extLst>
                <a:ext uri="{FF2B5EF4-FFF2-40B4-BE49-F238E27FC236}">
                  <a16:creationId xmlns:a16="http://schemas.microsoft.com/office/drawing/2014/main" id="{00000000-0008-0000-2500-00001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HVAC">
              <a:hlinkClick xmlns:r="http://schemas.openxmlformats.org/officeDocument/2006/relationships" r:id="rId2" tooltip="HVAC"/>
              <a:extLst>
                <a:ext uri="{FF2B5EF4-FFF2-40B4-BE49-F238E27FC236}">
                  <a16:creationId xmlns:a16="http://schemas.microsoft.com/office/drawing/2014/main" id="{00000000-0008-0000-2500-00001B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Motors and Drives">
              <a:extLst>
                <a:ext uri="{FF2B5EF4-FFF2-40B4-BE49-F238E27FC236}">
                  <a16:creationId xmlns:a16="http://schemas.microsoft.com/office/drawing/2014/main" id="{00000000-0008-0000-2500-00001C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CAP">
              <a:extLst>
                <a:ext uri="{FF2B5EF4-FFF2-40B4-BE49-F238E27FC236}">
                  <a16:creationId xmlns:a16="http://schemas.microsoft.com/office/drawing/2014/main" id="{00000000-0008-0000-2500-00001D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HFS">
              <a:extLst>
                <a:ext uri="{FF2B5EF4-FFF2-40B4-BE49-F238E27FC236}">
                  <a16:creationId xmlns:a16="http://schemas.microsoft.com/office/drawing/2014/main" id="{00000000-0008-0000-2500-00001E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Miscellaneous">
              <a:extLst>
                <a:ext uri="{FF2B5EF4-FFF2-40B4-BE49-F238E27FC236}">
                  <a16:creationId xmlns:a16="http://schemas.microsoft.com/office/drawing/2014/main" id="{00000000-0008-0000-2500-00001F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6" name="Dividers">
            <a:extLst>
              <a:ext uri="{FF2B5EF4-FFF2-40B4-BE49-F238E27FC236}">
                <a16:creationId xmlns:a16="http://schemas.microsoft.com/office/drawing/2014/main" id="{00000000-0008-0000-2500-000010000000}"/>
              </a:ext>
            </a:extLst>
          </xdr:cNvPr>
          <xdr:cNvGrpSpPr/>
        </xdr:nvGrpSpPr>
        <xdr:grpSpPr>
          <a:xfrm>
            <a:off x="3521022" y="1582544"/>
            <a:ext cx="7680961" cy="551056"/>
            <a:chOff x="3520440" y="1580822"/>
            <a:chExt cx="7680960" cy="552779"/>
          </a:xfrm>
        </xdr:grpSpPr>
        <xdr:cxnSp macro="">
          <xdr:nvCxnSpPr>
            <xdr:cNvPr id="17" name="Divider 7">
              <a:extLst>
                <a:ext uri="{FF2B5EF4-FFF2-40B4-BE49-F238E27FC236}">
                  <a16:creationId xmlns:a16="http://schemas.microsoft.com/office/drawing/2014/main" id="{00000000-0008-0000-2500-000011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6">
              <a:extLst>
                <a:ext uri="{FF2B5EF4-FFF2-40B4-BE49-F238E27FC236}">
                  <a16:creationId xmlns:a16="http://schemas.microsoft.com/office/drawing/2014/main" id="{00000000-0008-0000-2500-000012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5">
              <a:extLst>
                <a:ext uri="{FF2B5EF4-FFF2-40B4-BE49-F238E27FC236}">
                  <a16:creationId xmlns:a16="http://schemas.microsoft.com/office/drawing/2014/main" id="{00000000-0008-0000-2500-000013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4">
              <a:extLst>
                <a:ext uri="{FF2B5EF4-FFF2-40B4-BE49-F238E27FC236}">
                  <a16:creationId xmlns:a16="http://schemas.microsoft.com/office/drawing/2014/main" id="{00000000-0008-0000-2500-000014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500-000015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500-000016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500-00001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32" name="Navigation">
          <a:extLst>
            <a:ext uri="{FF2B5EF4-FFF2-40B4-BE49-F238E27FC236}">
              <a16:creationId xmlns:a16="http://schemas.microsoft.com/office/drawing/2014/main" id="{00000000-0008-0000-2500-000020000000}"/>
            </a:ext>
          </a:extLst>
        </xdr:cNvPr>
        <xdr:cNvGrpSpPr/>
      </xdr:nvGrpSpPr>
      <xdr:grpSpPr>
        <a:xfrm>
          <a:off x="2196353" y="605118"/>
          <a:ext cx="11219890" cy="1008529"/>
          <a:chOff x="1610956" y="594360"/>
          <a:chExt cx="11437620" cy="990600"/>
        </a:xfrm>
      </xdr:grpSpPr>
      <xdr:cxnSp macro="">
        <xdr:nvCxnSpPr>
          <xdr:cNvPr id="33" name="Reference">
            <a:extLst>
              <a:ext uri="{FF2B5EF4-FFF2-40B4-BE49-F238E27FC236}">
                <a16:creationId xmlns:a16="http://schemas.microsoft.com/office/drawing/2014/main" id="{00000000-0008-0000-2500-00002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4" name="7: Project Review">
            <a:hlinkClick xmlns:r="http://schemas.openxmlformats.org/officeDocument/2006/relationships" r:id="rId6" tooltip="Project Review"/>
            <a:extLst>
              <a:ext uri="{FF2B5EF4-FFF2-40B4-BE49-F238E27FC236}">
                <a16:creationId xmlns:a16="http://schemas.microsoft.com/office/drawing/2014/main" id="{00000000-0008-0000-2500-00002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5" name="6: Payment">
            <a:hlinkClick xmlns:r="http://schemas.openxmlformats.org/officeDocument/2006/relationships" r:id="rId7" tooltip="Payment"/>
            <a:extLst>
              <a:ext uri="{FF2B5EF4-FFF2-40B4-BE49-F238E27FC236}">
                <a16:creationId xmlns:a16="http://schemas.microsoft.com/office/drawing/2014/main" id="{00000000-0008-0000-2500-00002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6" name="5: Equipment Input">
            <a:hlinkClick xmlns:r="http://schemas.openxmlformats.org/officeDocument/2006/relationships" r:id="rId8" tooltip="Equipment Input"/>
            <a:extLst>
              <a:ext uri="{FF2B5EF4-FFF2-40B4-BE49-F238E27FC236}">
                <a16:creationId xmlns:a16="http://schemas.microsoft.com/office/drawing/2014/main" id="{00000000-0008-0000-2500-00002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7" name="4: Building Information">
            <a:hlinkClick xmlns:r="http://schemas.openxmlformats.org/officeDocument/2006/relationships" r:id="rId9" tooltip="Building Information"/>
            <a:extLst>
              <a:ext uri="{FF2B5EF4-FFF2-40B4-BE49-F238E27FC236}">
                <a16:creationId xmlns:a16="http://schemas.microsoft.com/office/drawing/2014/main" id="{00000000-0008-0000-2500-00002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8" name="3: Customer Information">
            <a:hlinkClick xmlns:r="http://schemas.openxmlformats.org/officeDocument/2006/relationships" r:id="rId10" tooltip="Customer Information"/>
            <a:extLst>
              <a:ext uri="{FF2B5EF4-FFF2-40B4-BE49-F238E27FC236}">
                <a16:creationId xmlns:a16="http://schemas.microsoft.com/office/drawing/2014/main" id="{00000000-0008-0000-2500-00002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9" name="2: Trade Ally Info">
            <a:hlinkClick xmlns:r="http://schemas.openxmlformats.org/officeDocument/2006/relationships" r:id="rId11" tooltip="Trade Ally/Vendor Information"/>
            <a:extLst>
              <a:ext uri="{FF2B5EF4-FFF2-40B4-BE49-F238E27FC236}">
                <a16:creationId xmlns:a16="http://schemas.microsoft.com/office/drawing/2014/main" id="{00000000-0008-0000-2500-00002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0" name="1: T&amp;C's">
            <a:hlinkClick xmlns:r="http://schemas.openxmlformats.org/officeDocument/2006/relationships" r:id="rId12" tooltip="Terms &amp; Conditions"/>
            <a:extLst>
              <a:ext uri="{FF2B5EF4-FFF2-40B4-BE49-F238E27FC236}">
                <a16:creationId xmlns:a16="http://schemas.microsoft.com/office/drawing/2014/main" id="{00000000-0008-0000-2500-00002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41" name="Header">
          <a:extLst>
            <a:ext uri="{FF2B5EF4-FFF2-40B4-BE49-F238E27FC236}">
              <a16:creationId xmlns:a16="http://schemas.microsoft.com/office/drawing/2014/main" id="{00000000-0008-0000-2500-000029000000}"/>
            </a:ext>
          </a:extLst>
        </xdr:cNvPr>
        <xdr:cNvGrpSpPr/>
      </xdr:nvGrpSpPr>
      <xdr:grpSpPr>
        <a:xfrm>
          <a:off x="0" y="0"/>
          <a:ext cx="15374471" cy="605336"/>
          <a:chOff x="0" y="1452064"/>
          <a:chExt cx="15813740" cy="591889"/>
        </a:xfrm>
      </xdr:grpSpPr>
      <xdr:grpSp>
        <xdr:nvGrpSpPr>
          <xdr:cNvPr id="42" name="Header">
            <a:extLst>
              <a:ext uri="{FF2B5EF4-FFF2-40B4-BE49-F238E27FC236}">
                <a16:creationId xmlns:a16="http://schemas.microsoft.com/office/drawing/2014/main" id="{00000000-0008-0000-2500-00002A000000}"/>
              </a:ext>
            </a:extLst>
          </xdr:cNvPr>
          <xdr:cNvGrpSpPr/>
        </xdr:nvGrpSpPr>
        <xdr:grpSpPr>
          <a:xfrm>
            <a:off x="0" y="1452064"/>
            <a:ext cx="15813740" cy="591889"/>
            <a:chOff x="0" y="1452064"/>
            <a:chExt cx="15813740" cy="591889"/>
          </a:xfrm>
        </xdr:grpSpPr>
        <xdr:sp macro="" textlink="">
          <xdr:nvSpPr>
            <xdr:cNvPr id="48" name="Reference">
              <a:extLst>
                <a:ext uri="{FF2B5EF4-FFF2-40B4-BE49-F238E27FC236}">
                  <a16:creationId xmlns:a16="http://schemas.microsoft.com/office/drawing/2014/main" id="{00000000-0008-0000-2500-000030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ntact">
              <a:hlinkClick xmlns:r="http://schemas.openxmlformats.org/officeDocument/2006/relationships" r:id="rId13" tooltip="Contact"/>
              <a:extLst>
                <a:ext uri="{FF2B5EF4-FFF2-40B4-BE49-F238E27FC236}">
                  <a16:creationId xmlns:a16="http://schemas.microsoft.com/office/drawing/2014/main" id="{00000000-0008-0000-2500-000031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mpletion Form">
              <a:hlinkClick xmlns:r="http://schemas.openxmlformats.org/officeDocument/2006/relationships" r:id="rId14" tooltip=" "/>
              <a:extLst>
                <a:ext uri="{FF2B5EF4-FFF2-40B4-BE49-F238E27FC236}">
                  <a16:creationId xmlns:a16="http://schemas.microsoft.com/office/drawing/2014/main" id="{00000000-0008-0000-2500-000032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Offer Form">
              <a:hlinkClick xmlns:r="http://schemas.openxmlformats.org/officeDocument/2006/relationships" r:id="rId15" tooltip=" "/>
              <a:extLst>
                <a:ext uri="{FF2B5EF4-FFF2-40B4-BE49-F238E27FC236}">
                  <a16:creationId xmlns:a16="http://schemas.microsoft.com/office/drawing/2014/main" id="{00000000-0008-0000-2500-000033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Incentives">
              <a:extLst>
                <a:ext uri="{FF2B5EF4-FFF2-40B4-BE49-F238E27FC236}">
                  <a16:creationId xmlns:a16="http://schemas.microsoft.com/office/drawing/2014/main" id="{00000000-0008-0000-2500-000034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3" name="Instructions">
              <a:hlinkClick xmlns:r="http://schemas.openxmlformats.org/officeDocument/2006/relationships" r:id="rId16" tooltip="Instructions"/>
              <a:extLst>
                <a:ext uri="{FF2B5EF4-FFF2-40B4-BE49-F238E27FC236}">
                  <a16:creationId xmlns:a16="http://schemas.microsoft.com/office/drawing/2014/main" id="{00000000-0008-0000-2500-000035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17" tooltip="Welcome"/>
              <a:extLst>
                <a:ext uri="{FF2B5EF4-FFF2-40B4-BE49-F238E27FC236}">
                  <a16:creationId xmlns:a16="http://schemas.microsoft.com/office/drawing/2014/main" id="{00000000-0008-0000-2500-000036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2500-00003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6" name="State">
              <a:extLst>
                <a:ext uri="{FF2B5EF4-FFF2-40B4-BE49-F238E27FC236}">
                  <a16:creationId xmlns:a16="http://schemas.microsoft.com/office/drawing/2014/main" id="{00000000-0008-0000-2500-000038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3" name="Dividers">
            <a:extLst>
              <a:ext uri="{FF2B5EF4-FFF2-40B4-BE49-F238E27FC236}">
                <a16:creationId xmlns:a16="http://schemas.microsoft.com/office/drawing/2014/main" id="{00000000-0008-0000-2500-00002B000000}"/>
              </a:ext>
            </a:extLst>
          </xdr:cNvPr>
          <xdr:cNvGrpSpPr/>
        </xdr:nvGrpSpPr>
        <xdr:grpSpPr>
          <a:xfrm>
            <a:off x="1613405" y="1537433"/>
            <a:ext cx="11616513" cy="423049"/>
            <a:chOff x="1612951" y="85725"/>
            <a:chExt cx="11618931" cy="423022"/>
          </a:xfrm>
        </xdr:grpSpPr>
        <xdr:cxnSp macro="">
          <xdr:nvCxnSpPr>
            <xdr:cNvPr id="44" name="Divider 4">
              <a:extLst>
                <a:ext uri="{FF2B5EF4-FFF2-40B4-BE49-F238E27FC236}">
                  <a16:creationId xmlns:a16="http://schemas.microsoft.com/office/drawing/2014/main" id="{00000000-0008-0000-25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3">
              <a:extLst>
                <a:ext uri="{FF2B5EF4-FFF2-40B4-BE49-F238E27FC236}">
                  <a16:creationId xmlns:a16="http://schemas.microsoft.com/office/drawing/2014/main" id="{00000000-0008-0000-2500-00002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2">
              <a:extLst>
                <a:ext uri="{FF2B5EF4-FFF2-40B4-BE49-F238E27FC236}">
                  <a16:creationId xmlns:a16="http://schemas.microsoft.com/office/drawing/2014/main" id="{00000000-0008-0000-2500-00002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1">
              <a:extLst>
                <a:ext uri="{FF2B5EF4-FFF2-40B4-BE49-F238E27FC236}">
                  <a16:creationId xmlns:a16="http://schemas.microsoft.com/office/drawing/2014/main" id="{00000000-0008-0000-2500-00002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19</xdr:row>
          <xdr:rowOff>171450</xdr:rowOff>
        </xdr:from>
        <xdr:to>
          <xdr:col>7</xdr:col>
          <xdr:colOff>209550</xdr:colOff>
          <xdr:row>22</xdr:row>
          <xdr:rowOff>28575</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5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46</xdr:col>
      <xdr:colOff>8516</xdr:colOff>
      <xdr:row>8</xdr:row>
      <xdr:rowOff>97044</xdr:rowOff>
    </xdr:from>
    <xdr:to>
      <xdr:col>47</xdr:col>
      <xdr:colOff>227972</xdr:colOff>
      <xdr:row>10</xdr:row>
      <xdr:rowOff>101302</xdr:rowOff>
    </xdr:to>
    <xdr:sp macro="" textlink="">
      <xdr:nvSpPr>
        <xdr:cNvPr id="15" name="Arrow: Right M5S1">
          <a:hlinkClick xmlns:r="http://schemas.openxmlformats.org/officeDocument/2006/relationships" r:id="rId1" tooltip="Forward: Project Review"/>
          <a:extLst>
            <a:ext uri="{FF2B5EF4-FFF2-40B4-BE49-F238E27FC236}">
              <a16:creationId xmlns:a16="http://schemas.microsoft.com/office/drawing/2014/main" id="{00000000-0008-0000-2600-00000F000000}"/>
            </a:ext>
          </a:extLst>
        </xdr:cNvPr>
        <xdr:cNvSpPr/>
      </xdr:nvSpPr>
      <xdr:spPr>
        <a:xfrm>
          <a:off x="13450196"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99087</xdr:colOff>
      <xdr:row>8</xdr:row>
      <xdr:rowOff>93711</xdr:rowOff>
    </xdr:from>
    <xdr:to>
      <xdr:col>3</xdr:col>
      <xdr:colOff>4218</xdr:colOff>
      <xdr:row>10</xdr:row>
      <xdr:rowOff>95997</xdr:rowOff>
    </xdr:to>
    <xdr:sp macro="" textlink="">
      <xdr:nvSpPr>
        <xdr:cNvPr id="16" name="Arrow: Left M5S1">
          <a:hlinkClick xmlns:r="http://schemas.openxmlformats.org/officeDocument/2006/relationships" r:id="rId2" tooltip="Back: Equipment Input"/>
          <a:extLst>
            <a:ext uri="{FF2B5EF4-FFF2-40B4-BE49-F238E27FC236}">
              <a16:creationId xmlns:a16="http://schemas.microsoft.com/office/drawing/2014/main" id="{00000000-0008-0000-2600-000010000000}"/>
            </a:ext>
          </a:extLst>
        </xdr:cNvPr>
        <xdr:cNvSpPr/>
      </xdr:nvSpPr>
      <xdr:spPr>
        <a:xfrm>
          <a:off x="422937" y="1693911"/>
          <a:ext cx="543306" cy="40233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2600-000011000000}"/>
            </a:ext>
          </a:extLst>
        </xdr:cNvPr>
        <xdr:cNvGrpSpPr/>
      </xdr:nvGrpSpPr>
      <xdr:grpSpPr>
        <a:xfrm>
          <a:off x="2196353" y="605118"/>
          <a:ext cx="11217985" cy="1008529"/>
          <a:chOff x="1610956" y="594360"/>
          <a:chExt cx="11437620" cy="990600"/>
        </a:xfrm>
      </xdr:grpSpPr>
      <xdr:cxnSp macro="">
        <xdr:nvCxnSpPr>
          <xdr:cNvPr id="18" name="Reference">
            <a:extLst>
              <a:ext uri="{FF2B5EF4-FFF2-40B4-BE49-F238E27FC236}">
                <a16:creationId xmlns:a16="http://schemas.microsoft.com/office/drawing/2014/main" id="{00000000-0008-0000-26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26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4" tooltip="Payment"/>
            <a:extLst>
              <a:ext uri="{FF2B5EF4-FFF2-40B4-BE49-F238E27FC236}">
                <a16:creationId xmlns:a16="http://schemas.microsoft.com/office/drawing/2014/main" id="{00000000-0008-0000-2600-000015000000}"/>
              </a:ext>
            </a:extLst>
          </xdr:cNvPr>
          <xdr:cNvSpPr/>
        </xdr:nvSpPr>
        <xdr:spPr>
          <a:xfrm>
            <a:off x="962719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5" tooltip="Equipment Input"/>
            <a:extLst>
              <a:ext uri="{FF2B5EF4-FFF2-40B4-BE49-F238E27FC236}">
                <a16:creationId xmlns:a16="http://schemas.microsoft.com/office/drawing/2014/main" id="{00000000-0008-0000-2600-00001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6" tooltip="Building Information"/>
            <a:extLst>
              <a:ext uri="{FF2B5EF4-FFF2-40B4-BE49-F238E27FC236}">
                <a16:creationId xmlns:a16="http://schemas.microsoft.com/office/drawing/2014/main" id="{00000000-0008-0000-26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1" name="3: Customer Information">
            <a:hlinkClick xmlns:r="http://schemas.openxmlformats.org/officeDocument/2006/relationships" r:id="rId7" tooltip="Customer Information"/>
            <a:extLst>
              <a:ext uri="{FF2B5EF4-FFF2-40B4-BE49-F238E27FC236}">
                <a16:creationId xmlns:a16="http://schemas.microsoft.com/office/drawing/2014/main" id="{00000000-0008-0000-2600-00001F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2"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600-000020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3" name="1: T&amp;C's">
            <a:hlinkClick xmlns:r="http://schemas.openxmlformats.org/officeDocument/2006/relationships" r:id="rId9" tooltip="Terms &amp; Conditions"/>
            <a:extLst>
              <a:ext uri="{FF2B5EF4-FFF2-40B4-BE49-F238E27FC236}">
                <a16:creationId xmlns:a16="http://schemas.microsoft.com/office/drawing/2014/main" id="{00000000-0008-0000-2600-000021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4" name="Header">
          <a:extLst>
            <a:ext uri="{FF2B5EF4-FFF2-40B4-BE49-F238E27FC236}">
              <a16:creationId xmlns:a16="http://schemas.microsoft.com/office/drawing/2014/main" id="{00000000-0008-0000-2600-000018000000}"/>
            </a:ext>
          </a:extLst>
        </xdr:cNvPr>
        <xdr:cNvGrpSpPr/>
      </xdr:nvGrpSpPr>
      <xdr:grpSpPr>
        <a:xfrm>
          <a:off x="0" y="0"/>
          <a:ext cx="15374471" cy="605336"/>
          <a:chOff x="0" y="1452064"/>
          <a:chExt cx="15813740" cy="591889"/>
        </a:xfrm>
      </xdr:grpSpPr>
      <xdr:grpSp>
        <xdr:nvGrpSpPr>
          <xdr:cNvPr id="25" name="Header">
            <a:extLst>
              <a:ext uri="{FF2B5EF4-FFF2-40B4-BE49-F238E27FC236}">
                <a16:creationId xmlns:a16="http://schemas.microsoft.com/office/drawing/2014/main" id="{00000000-0008-0000-2600-000019000000}"/>
              </a:ext>
            </a:extLst>
          </xdr:cNvPr>
          <xdr:cNvGrpSpPr/>
        </xdr:nvGrpSpPr>
        <xdr:grpSpPr>
          <a:xfrm>
            <a:off x="0" y="1452064"/>
            <a:ext cx="15813740" cy="591889"/>
            <a:chOff x="0" y="1452064"/>
            <a:chExt cx="15813740" cy="591889"/>
          </a:xfrm>
        </xdr:grpSpPr>
        <xdr:sp macro="" textlink="">
          <xdr:nvSpPr>
            <xdr:cNvPr id="34" name="Reference">
              <a:extLst>
                <a:ext uri="{FF2B5EF4-FFF2-40B4-BE49-F238E27FC236}">
                  <a16:creationId xmlns:a16="http://schemas.microsoft.com/office/drawing/2014/main" id="{00000000-0008-0000-2600-00002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10" tooltip="Contact"/>
              <a:extLst>
                <a:ext uri="{FF2B5EF4-FFF2-40B4-BE49-F238E27FC236}">
                  <a16:creationId xmlns:a16="http://schemas.microsoft.com/office/drawing/2014/main" id="{00000000-0008-0000-2600-00002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1" tooltip=" "/>
              <a:extLst>
                <a:ext uri="{FF2B5EF4-FFF2-40B4-BE49-F238E27FC236}">
                  <a16:creationId xmlns:a16="http://schemas.microsoft.com/office/drawing/2014/main" id="{00000000-0008-0000-2600-00002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2" tooltip=" "/>
              <a:extLst>
                <a:ext uri="{FF2B5EF4-FFF2-40B4-BE49-F238E27FC236}">
                  <a16:creationId xmlns:a16="http://schemas.microsoft.com/office/drawing/2014/main" id="{00000000-0008-0000-2600-000025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centives">
              <a:extLst>
                <a:ext uri="{FF2B5EF4-FFF2-40B4-BE49-F238E27FC236}">
                  <a16:creationId xmlns:a16="http://schemas.microsoft.com/office/drawing/2014/main" id="{00000000-0008-0000-2600-000026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9" name="Instructions">
              <a:hlinkClick xmlns:r="http://schemas.openxmlformats.org/officeDocument/2006/relationships" r:id="rId13" tooltip="Instructions"/>
              <a:extLst>
                <a:ext uri="{FF2B5EF4-FFF2-40B4-BE49-F238E27FC236}">
                  <a16:creationId xmlns:a16="http://schemas.microsoft.com/office/drawing/2014/main" id="{00000000-0008-0000-2600-00002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4" tooltip="Welcome"/>
              <a:extLst>
                <a:ext uri="{FF2B5EF4-FFF2-40B4-BE49-F238E27FC236}">
                  <a16:creationId xmlns:a16="http://schemas.microsoft.com/office/drawing/2014/main" id="{00000000-0008-0000-2600-000028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26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26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6" name="Dividers">
            <a:extLst>
              <a:ext uri="{FF2B5EF4-FFF2-40B4-BE49-F238E27FC236}">
                <a16:creationId xmlns:a16="http://schemas.microsoft.com/office/drawing/2014/main" id="{00000000-0008-0000-2600-00001A000000}"/>
              </a:ext>
            </a:extLst>
          </xdr:cNvPr>
          <xdr:cNvGrpSpPr/>
        </xdr:nvGrpSpPr>
        <xdr:grpSpPr>
          <a:xfrm>
            <a:off x="1613405" y="1537433"/>
            <a:ext cx="11616513" cy="423049"/>
            <a:chOff x="1612951" y="85725"/>
            <a:chExt cx="11618931" cy="423022"/>
          </a:xfrm>
        </xdr:grpSpPr>
        <xdr:cxnSp macro="">
          <xdr:nvCxnSpPr>
            <xdr:cNvPr id="27" name="Divider 4">
              <a:extLst>
                <a:ext uri="{FF2B5EF4-FFF2-40B4-BE49-F238E27FC236}">
                  <a16:creationId xmlns:a16="http://schemas.microsoft.com/office/drawing/2014/main" id="{00000000-0008-0000-26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6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6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1">
              <a:extLst>
                <a:ext uri="{FF2B5EF4-FFF2-40B4-BE49-F238E27FC236}">
                  <a16:creationId xmlns:a16="http://schemas.microsoft.com/office/drawing/2014/main" id="{00000000-0008-0000-2600-00001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8</xdr:row>
      <xdr:rowOff>0</xdr:rowOff>
    </xdr:from>
    <xdr:to>
      <xdr:col>37</xdr:col>
      <xdr:colOff>33617</xdr:colOff>
      <xdr:row>9</xdr:row>
      <xdr:rowOff>30032</xdr:rowOff>
    </xdr:to>
    <xdr:sp macro="" textlink="">
      <xdr:nvSpPr>
        <xdr:cNvPr id="20" name="Email">
          <a:hlinkClick xmlns:r="http://schemas.openxmlformats.org/officeDocument/2006/relationships" r:id="rId1"/>
          <a:extLst>
            <a:ext uri="{FF2B5EF4-FFF2-40B4-BE49-F238E27FC236}">
              <a16:creationId xmlns:a16="http://schemas.microsoft.com/office/drawing/2014/main" id="{00000000-0008-0000-0B00-000014000000}"/>
            </a:ext>
          </a:extLst>
        </xdr:cNvPr>
        <xdr:cNvSpPr/>
      </xdr:nvSpPr>
      <xdr:spPr>
        <a:xfrm>
          <a:off x="9601200" y="1577340"/>
          <a:ext cx="2273897" cy="2281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0B00-000002000000}"/>
            </a:ext>
          </a:extLst>
        </xdr:cNvPr>
        <xdr:cNvGrpSpPr/>
      </xdr:nvGrpSpPr>
      <xdr:grpSpPr>
        <a:xfrm>
          <a:off x="0" y="0"/>
          <a:ext cx="15374471" cy="605336"/>
          <a:chOff x="0" y="1452064"/>
          <a:chExt cx="15813740" cy="591889"/>
        </a:xfrm>
      </xdr:grpSpPr>
      <xdr:grpSp>
        <xdr:nvGrpSpPr>
          <xdr:cNvPr id="3" name="Header">
            <a:extLst>
              <a:ext uri="{FF2B5EF4-FFF2-40B4-BE49-F238E27FC236}">
                <a16:creationId xmlns:a16="http://schemas.microsoft.com/office/drawing/2014/main" id="{00000000-0008-0000-0B00-000003000000}"/>
              </a:ext>
            </a:extLst>
          </xdr:cNvPr>
          <xdr:cNvGrpSpPr/>
        </xdr:nvGrpSpPr>
        <xdr:grpSpPr>
          <a:xfrm>
            <a:off x="0" y="1452064"/>
            <a:ext cx="15813740" cy="591889"/>
            <a:chOff x="0" y="1452064"/>
            <a:chExt cx="15813740" cy="591889"/>
          </a:xfrm>
        </xdr:grpSpPr>
        <xdr:sp macro="" textlink="">
          <xdr:nvSpPr>
            <xdr:cNvPr id="10" name="Reference">
              <a:extLst>
                <a:ext uri="{FF2B5EF4-FFF2-40B4-BE49-F238E27FC236}">
                  <a16:creationId xmlns:a16="http://schemas.microsoft.com/office/drawing/2014/main" id="{00000000-0008-0000-0B00-00000A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ntact">
              <a:hlinkClick xmlns:r="http://schemas.openxmlformats.org/officeDocument/2006/relationships" r:id="rId2" tooltip="Contact"/>
              <a:extLst>
                <a:ext uri="{FF2B5EF4-FFF2-40B4-BE49-F238E27FC236}">
                  <a16:creationId xmlns:a16="http://schemas.microsoft.com/office/drawing/2014/main" id="{00000000-0008-0000-0B00-00000B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Completion Form">
              <a:hlinkClick xmlns:r="http://schemas.openxmlformats.org/officeDocument/2006/relationships" r:id="rId3" tooltip=" "/>
              <a:extLst>
                <a:ext uri="{FF2B5EF4-FFF2-40B4-BE49-F238E27FC236}">
                  <a16:creationId xmlns:a16="http://schemas.microsoft.com/office/drawing/2014/main" id="{00000000-0008-0000-0B00-000015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ffer Form">
              <a:hlinkClick xmlns:r="http://schemas.openxmlformats.org/officeDocument/2006/relationships" r:id="rId4" tooltip=" "/>
              <a:extLst>
                <a:ext uri="{FF2B5EF4-FFF2-40B4-BE49-F238E27FC236}">
                  <a16:creationId xmlns:a16="http://schemas.microsoft.com/office/drawing/2014/main" id="{00000000-0008-0000-0B00-00001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Incentives">
              <a:extLst>
                <a:ext uri="{FF2B5EF4-FFF2-40B4-BE49-F238E27FC236}">
                  <a16:creationId xmlns:a16="http://schemas.microsoft.com/office/drawing/2014/main" id="{00000000-0008-0000-0B00-00001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5" name="Instructions">
              <a:hlinkClick xmlns:r="http://schemas.openxmlformats.org/officeDocument/2006/relationships" r:id="rId5" tooltip="Instructions"/>
              <a:extLst>
                <a:ext uri="{FF2B5EF4-FFF2-40B4-BE49-F238E27FC236}">
                  <a16:creationId xmlns:a16="http://schemas.microsoft.com/office/drawing/2014/main" id="{00000000-0008-0000-0B00-00001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Welcome">
              <a:hlinkClick xmlns:r="http://schemas.openxmlformats.org/officeDocument/2006/relationships" r:id="rId6" tooltip="Welcome"/>
              <a:extLst>
                <a:ext uri="{FF2B5EF4-FFF2-40B4-BE49-F238E27FC236}">
                  <a16:creationId xmlns:a16="http://schemas.microsoft.com/office/drawing/2014/main" id="{00000000-0008-0000-0B00-00001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2" name="State">
              <a:extLst>
                <a:ext uri="{FF2B5EF4-FFF2-40B4-BE49-F238E27FC236}">
                  <a16:creationId xmlns:a16="http://schemas.microsoft.com/office/drawing/2014/main" id="{00000000-0008-0000-0B00-000020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0B00-000004000000}"/>
              </a:ext>
            </a:extLst>
          </xdr:cNvPr>
          <xdr:cNvGrpSpPr/>
        </xdr:nvGrpSpPr>
        <xdr:grpSpPr>
          <a:xfrm>
            <a:off x="1613405" y="1537433"/>
            <a:ext cx="11616513" cy="423049"/>
            <a:chOff x="1612951" y="85725"/>
            <a:chExt cx="11618931" cy="423022"/>
          </a:xfrm>
        </xdr:grpSpPr>
        <xdr:cxnSp macro="">
          <xdr:nvCxnSpPr>
            <xdr:cNvPr id="5" name="Divider 4">
              <a:extLst>
                <a:ext uri="{FF2B5EF4-FFF2-40B4-BE49-F238E27FC236}">
                  <a16:creationId xmlns:a16="http://schemas.microsoft.com/office/drawing/2014/main" id="{00000000-0008-0000-0B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0B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0B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1">
              <a:extLst>
                <a:ext uri="{FF2B5EF4-FFF2-40B4-BE49-F238E27FC236}">
                  <a16:creationId xmlns:a16="http://schemas.microsoft.com/office/drawing/2014/main" id="{00000000-0008-0000-0B00-00000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28</xdr:col>
      <xdr:colOff>0</xdr:colOff>
      <xdr:row>27</xdr:row>
      <xdr:rowOff>0</xdr:rowOff>
    </xdr:from>
    <xdr:to>
      <xdr:col>35</xdr:col>
      <xdr:colOff>1</xdr:colOff>
      <xdr:row>35</xdr:row>
      <xdr:rowOff>1905</xdr:rowOff>
    </xdr:to>
    <xdr:grpSp>
      <xdr:nvGrpSpPr>
        <xdr:cNvPr id="28" name="Custom Categories">
          <a:extLst>
            <a:ext uri="{FF2B5EF4-FFF2-40B4-BE49-F238E27FC236}">
              <a16:creationId xmlns:a16="http://schemas.microsoft.com/office/drawing/2014/main" id="{00000000-0008-0000-2700-00001C000000}"/>
            </a:ext>
          </a:extLst>
        </xdr:cNvPr>
        <xdr:cNvGrpSpPr/>
      </xdr:nvGrpSpPr>
      <xdr:grpSpPr>
        <a:xfrm>
          <a:off x="8785412" y="5446059"/>
          <a:ext cx="2196354" cy="1615552"/>
          <a:chOff x="8420100" y="5000625"/>
          <a:chExt cx="2266951" cy="1602105"/>
        </a:xfrm>
      </xdr:grpSpPr>
      <xdr:sp macro="" textlink="">
        <xdr:nvSpPr>
          <xdr:cNvPr id="54" name="Custom Misc">
            <a:hlinkClick xmlns:r="http://schemas.openxmlformats.org/officeDocument/2006/relationships" r:id="rId1" tooltip="View: Custom Miscellaneous"/>
            <a:extLst>
              <a:ext uri="{FF2B5EF4-FFF2-40B4-BE49-F238E27FC236}">
                <a16:creationId xmlns:a16="http://schemas.microsoft.com/office/drawing/2014/main" id="{00000000-0008-0000-2700-000036000000}"/>
              </a:ext>
            </a:extLst>
          </xdr:cNvPr>
          <xdr:cNvSpPr/>
        </xdr:nvSpPr>
        <xdr:spPr>
          <a:xfrm>
            <a:off x="8420101" y="6402705"/>
            <a:ext cx="971549"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ustom WHFS">
            <a:hlinkClick xmlns:r="http://schemas.openxmlformats.org/officeDocument/2006/relationships" r:id="rId2" tooltip="View: Custom Water Heating / Cooking"/>
            <a:extLst>
              <a:ext uri="{FF2B5EF4-FFF2-40B4-BE49-F238E27FC236}">
                <a16:creationId xmlns:a16="http://schemas.microsoft.com/office/drawing/2014/main" id="{00000000-0008-0000-2700-000035000000}"/>
              </a:ext>
            </a:extLst>
          </xdr:cNvPr>
          <xdr:cNvSpPr/>
        </xdr:nvSpPr>
        <xdr:spPr>
          <a:xfrm>
            <a:off x="8420101" y="6200775"/>
            <a:ext cx="22669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ustom CAP">
            <a:hlinkClick xmlns:r="http://schemas.openxmlformats.org/officeDocument/2006/relationships" r:id="rId3" tooltip="View: Custom Compressed Air / Process"/>
            <a:extLst>
              <a:ext uri="{FF2B5EF4-FFF2-40B4-BE49-F238E27FC236}">
                <a16:creationId xmlns:a16="http://schemas.microsoft.com/office/drawing/2014/main" id="{00000000-0008-0000-2700-000034000000}"/>
              </a:ext>
            </a:extLst>
          </xdr:cNvPr>
          <xdr:cNvSpPr/>
        </xdr:nvSpPr>
        <xdr:spPr>
          <a:xfrm>
            <a:off x="8420100" y="6000751"/>
            <a:ext cx="1945996"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ustom Motors">
            <a:hlinkClick xmlns:r="http://schemas.openxmlformats.org/officeDocument/2006/relationships" r:id="rId4" tooltip="View: Custom Motors and Drives"/>
            <a:extLst>
              <a:ext uri="{FF2B5EF4-FFF2-40B4-BE49-F238E27FC236}">
                <a16:creationId xmlns:a16="http://schemas.microsoft.com/office/drawing/2014/main" id="{00000000-0008-0000-2700-000033000000}"/>
              </a:ext>
            </a:extLst>
          </xdr:cNvPr>
          <xdr:cNvSpPr/>
        </xdr:nvSpPr>
        <xdr:spPr>
          <a:xfrm>
            <a:off x="8420101" y="5800725"/>
            <a:ext cx="129829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ustom HVAC">
            <a:hlinkClick xmlns:r="http://schemas.openxmlformats.org/officeDocument/2006/relationships" r:id="rId5" tooltip="View: Custom HVAC"/>
            <a:extLst>
              <a:ext uri="{FF2B5EF4-FFF2-40B4-BE49-F238E27FC236}">
                <a16:creationId xmlns:a16="http://schemas.microsoft.com/office/drawing/2014/main" id="{00000000-0008-0000-2700-000032000000}"/>
              </a:ext>
            </a:extLst>
          </xdr:cNvPr>
          <xdr:cNvSpPr/>
        </xdr:nvSpPr>
        <xdr:spPr>
          <a:xfrm>
            <a:off x="8420101" y="5600701"/>
            <a:ext cx="647699"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ustom Refrigeration">
            <a:hlinkClick xmlns:r="http://schemas.openxmlformats.org/officeDocument/2006/relationships" r:id="rId6" tooltip="View: Custom Refrigeration"/>
            <a:extLst>
              <a:ext uri="{FF2B5EF4-FFF2-40B4-BE49-F238E27FC236}">
                <a16:creationId xmlns:a16="http://schemas.microsoft.com/office/drawing/2014/main" id="{00000000-0008-0000-2700-000031000000}"/>
              </a:ext>
            </a:extLst>
          </xdr:cNvPr>
          <xdr:cNvSpPr/>
        </xdr:nvSpPr>
        <xdr:spPr>
          <a:xfrm>
            <a:off x="8420101" y="5402580"/>
            <a:ext cx="971549"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ustom LC">
            <a:hlinkClick xmlns:r="http://schemas.openxmlformats.org/officeDocument/2006/relationships" r:id="rId7" tooltip="View: Custom Lighting Controls"/>
            <a:extLst>
              <a:ext uri="{FF2B5EF4-FFF2-40B4-BE49-F238E27FC236}">
                <a16:creationId xmlns:a16="http://schemas.microsoft.com/office/drawing/2014/main" id="{00000000-0008-0000-2700-000030000000}"/>
              </a:ext>
            </a:extLst>
          </xdr:cNvPr>
          <xdr:cNvSpPr/>
        </xdr:nvSpPr>
        <xdr:spPr>
          <a:xfrm>
            <a:off x="8420101" y="5200651"/>
            <a:ext cx="1298295" cy="201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ustom Lighting">
            <a:hlinkClick xmlns:r="http://schemas.openxmlformats.org/officeDocument/2006/relationships" r:id="rId8" tooltip="View: Custom Lighting"/>
            <a:extLst>
              <a:ext uri="{FF2B5EF4-FFF2-40B4-BE49-F238E27FC236}">
                <a16:creationId xmlns:a16="http://schemas.microsoft.com/office/drawing/2014/main" id="{00000000-0008-0000-2700-00002F000000}"/>
              </a:ext>
            </a:extLst>
          </xdr:cNvPr>
          <xdr:cNvSpPr/>
        </xdr:nvSpPr>
        <xdr:spPr>
          <a:xfrm>
            <a:off x="8420101" y="5000625"/>
            <a:ext cx="647699" cy="2008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0</xdr:colOff>
      <xdr:row>24</xdr:row>
      <xdr:rowOff>0</xdr:rowOff>
    </xdr:from>
    <xdr:to>
      <xdr:col>30</xdr:col>
      <xdr:colOff>0</xdr:colOff>
      <xdr:row>26</xdr:row>
      <xdr:rowOff>0</xdr:rowOff>
    </xdr:to>
    <xdr:grpSp>
      <xdr:nvGrpSpPr>
        <xdr:cNvPr id="7" name="Custom Lite Categories">
          <a:extLst>
            <a:ext uri="{FF2B5EF4-FFF2-40B4-BE49-F238E27FC236}">
              <a16:creationId xmlns:a16="http://schemas.microsoft.com/office/drawing/2014/main" id="{00000000-0008-0000-2700-000007000000}"/>
            </a:ext>
          </a:extLst>
        </xdr:cNvPr>
        <xdr:cNvGrpSpPr/>
      </xdr:nvGrpSpPr>
      <xdr:grpSpPr>
        <a:xfrm>
          <a:off x="8785412" y="4840941"/>
          <a:ext cx="627529" cy="403412"/>
          <a:chOff x="9036424" y="4733365"/>
          <a:chExt cx="645458" cy="394447"/>
        </a:xfrm>
      </xdr:grpSpPr>
      <xdr:sp macro="" textlink="">
        <xdr:nvSpPr>
          <xdr:cNvPr id="3" name="CL HVAC">
            <a:hlinkClick xmlns:r="http://schemas.openxmlformats.org/officeDocument/2006/relationships" r:id="rId9" tooltip="View: Custom Lighting"/>
            <a:extLst>
              <a:ext uri="{FF2B5EF4-FFF2-40B4-BE49-F238E27FC236}">
                <a16:creationId xmlns:a16="http://schemas.microsoft.com/office/drawing/2014/main" id="{00000000-0008-0000-2700-000003000000}"/>
              </a:ext>
            </a:extLst>
          </xdr:cNvPr>
          <xdr:cNvSpPr/>
        </xdr:nvSpPr>
        <xdr:spPr>
          <a:xfrm>
            <a:off x="9036424" y="4930588"/>
            <a:ext cx="645458" cy="1972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CL Lighting">
            <a:hlinkClick xmlns:r="http://schemas.openxmlformats.org/officeDocument/2006/relationships" r:id="rId10" tooltip="View: Custom Lighting"/>
            <a:extLst>
              <a:ext uri="{FF2B5EF4-FFF2-40B4-BE49-F238E27FC236}">
                <a16:creationId xmlns:a16="http://schemas.microsoft.com/office/drawing/2014/main" id="{00000000-0008-0000-2700-000006000000}"/>
              </a:ext>
            </a:extLst>
          </xdr:cNvPr>
          <xdr:cNvSpPr/>
        </xdr:nvSpPr>
        <xdr:spPr>
          <a:xfrm>
            <a:off x="9036424" y="4733365"/>
            <a:ext cx="645458" cy="1980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27</xdr:col>
      <xdr:colOff>322722</xdr:colOff>
      <xdr:row>17</xdr:row>
      <xdr:rowOff>1904</xdr:rowOff>
    </xdr:from>
    <xdr:to>
      <xdr:col>35</xdr:col>
      <xdr:colOff>2896</xdr:colOff>
      <xdr:row>22</xdr:row>
      <xdr:rowOff>197220</xdr:rowOff>
    </xdr:to>
    <xdr:grpSp>
      <xdr:nvGrpSpPr>
        <xdr:cNvPr id="27" name="Standard Categories">
          <a:extLst>
            <a:ext uri="{FF2B5EF4-FFF2-40B4-BE49-F238E27FC236}">
              <a16:creationId xmlns:a16="http://schemas.microsoft.com/office/drawing/2014/main" id="{00000000-0008-0000-2700-00001B000000}"/>
            </a:ext>
          </a:extLst>
        </xdr:cNvPr>
        <xdr:cNvGrpSpPr/>
      </xdr:nvGrpSpPr>
      <xdr:grpSpPr>
        <a:xfrm>
          <a:off x="8784844" y="3430904"/>
          <a:ext cx="2199817" cy="1203845"/>
          <a:chOff x="8420092" y="3402330"/>
          <a:chExt cx="2269854" cy="1198239"/>
        </a:xfrm>
      </xdr:grpSpPr>
      <xdr:sp macro="" textlink="">
        <xdr:nvSpPr>
          <xdr:cNvPr id="45" name="Standard WHFS">
            <a:hlinkClick xmlns:r="http://schemas.openxmlformats.org/officeDocument/2006/relationships" r:id="rId11" tooltip="View: Standard Water Heating / Cooking"/>
            <a:extLst>
              <a:ext uri="{FF2B5EF4-FFF2-40B4-BE49-F238E27FC236}">
                <a16:creationId xmlns:a16="http://schemas.microsoft.com/office/drawing/2014/main" id="{00000000-0008-0000-2700-00002D000000}"/>
              </a:ext>
            </a:extLst>
          </xdr:cNvPr>
          <xdr:cNvSpPr/>
        </xdr:nvSpPr>
        <xdr:spPr>
          <a:xfrm>
            <a:off x="8420100" y="4400544"/>
            <a:ext cx="226984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Standard CAP">
            <a:hlinkClick xmlns:r="http://schemas.openxmlformats.org/officeDocument/2006/relationships" r:id="rId12" tooltip="View: Standard Compressed Air / Process"/>
            <a:extLst>
              <a:ext uri="{FF2B5EF4-FFF2-40B4-BE49-F238E27FC236}">
                <a16:creationId xmlns:a16="http://schemas.microsoft.com/office/drawing/2014/main" id="{00000000-0008-0000-2700-00002C000000}"/>
              </a:ext>
            </a:extLst>
          </xdr:cNvPr>
          <xdr:cNvSpPr/>
        </xdr:nvSpPr>
        <xdr:spPr>
          <a:xfrm>
            <a:off x="8420092" y="4200517"/>
            <a:ext cx="1943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Standard Motors">
            <a:hlinkClick xmlns:r="http://schemas.openxmlformats.org/officeDocument/2006/relationships" r:id="rId13" tooltip="View: Standard Motors and Drives"/>
            <a:extLst>
              <a:ext uri="{FF2B5EF4-FFF2-40B4-BE49-F238E27FC236}">
                <a16:creationId xmlns:a16="http://schemas.microsoft.com/office/drawing/2014/main" id="{00000000-0008-0000-2700-00002B000000}"/>
              </a:ext>
            </a:extLst>
          </xdr:cNvPr>
          <xdr:cNvSpPr/>
        </xdr:nvSpPr>
        <xdr:spPr>
          <a:xfrm>
            <a:off x="8420094" y="4011486"/>
            <a:ext cx="12954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Standard Refrigeration">
            <a:hlinkClick xmlns:r="http://schemas.openxmlformats.org/officeDocument/2006/relationships" r:id="rId14" tooltip="View: Standard Refrigeration"/>
            <a:extLst>
              <a:ext uri="{FF2B5EF4-FFF2-40B4-BE49-F238E27FC236}">
                <a16:creationId xmlns:a16="http://schemas.microsoft.com/office/drawing/2014/main" id="{00000000-0008-0000-2700-000029000000}"/>
              </a:ext>
            </a:extLst>
          </xdr:cNvPr>
          <xdr:cNvSpPr/>
        </xdr:nvSpPr>
        <xdr:spPr>
          <a:xfrm>
            <a:off x="8420101" y="3800475"/>
            <a:ext cx="9715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Standard LC">
            <a:hlinkClick xmlns:r="http://schemas.openxmlformats.org/officeDocument/2006/relationships" r:id="rId15" tooltip="View: Standard Lighting Controls"/>
            <a:extLst>
              <a:ext uri="{FF2B5EF4-FFF2-40B4-BE49-F238E27FC236}">
                <a16:creationId xmlns:a16="http://schemas.microsoft.com/office/drawing/2014/main" id="{00000000-0008-0000-2700-000028000000}"/>
              </a:ext>
            </a:extLst>
          </xdr:cNvPr>
          <xdr:cNvSpPr/>
        </xdr:nvSpPr>
        <xdr:spPr>
          <a:xfrm>
            <a:off x="8420101" y="3600450"/>
            <a:ext cx="12954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tandard Lighting">
            <a:hlinkClick xmlns:r="http://schemas.openxmlformats.org/officeDocument/2006/relationships" r:id="rId16" tooltip="View: Standard Lighting"/>
            <a:extLst>
              <a:ext uri="{FF2B5EF4-FFF2-40B4-BE49-F238E27FC236}">
                <a16:creationId xmlns:a16="http://schemas.microsoft.com/office/drawing/2014/main" id="{00000000-0008-0000-2700-000004000000}"/>
              </a:ext>
            </a:extLst>
          </xdr:cNvPr>
          <xdr:cNvSpPr/>
        </xdr:nvSpPr>
        <xdr:spPr>
          <a:xfrm>
            <a:off x="8420100" y="3402330"/>
            <a:ext cx="6477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3413</xdr:colOff>
      <xdr:row>12</xdr:row>
      <xdr:rowOff>115722</xdr:rowOff>
    </xdr:from>
    <xdr:to>
      <xdr:col>36</xdr:col>
      <xdr:colOff>145279</xdr:colOff>
      <xdr:row>14</xdr:row>
      <xdr:rowOff>78071</xdr:rowOff>
    </xdr:to>
    <xdr:grpSp>
      <xdr:nvGrpSpPr>
        <xdr:cNvPr id="69" name="Incentive Report">
          <a:extLst>
            <a:ext uri="{FF2B5EF4-FFF2-40B4-BE49-F238E27FC236}">
              <a16:creationId xmlns:a16="http://schemas.microsoft.com/office/drawing/2014/main" id="{00000000-0008-0000-2700-000045000000}"/>
            </a:ext>
          </a:extLst>
        </xdr:cNvPr>
        <xdr:cNvGrpSpPr/>
      </xdr:nvGrpSpPr>
      <xdr:grpSpPr>
        <a:xfrm>
          <a:off x="8788825" y="2536193"/>
          <a:ext cx="2651983" cy="365760"/>
          <a:chOff x="8165387" y="2581256"/>
          <a:chExt cx="2657644" cy="363641"/>
        </a:xfrm>
      </xdr:grpSpPr>
      <xdr:sp macro="" textlink="">
        <xdr:nvSpPr>
          <xdr:cNvPr id="2" name="Button">
            <a:hlinkClick xmlns:r="http://schemas.openxmlformats.org/officeDocument/2006/relationships" r:id="rId17" tooltip="View Incentive Report"/>
            <a:extLst>
              <a:ext uri="{FF2B5EF4-FFF2-40B4-BE49-F238E27FC236}">
                <a16:creationId xmlns:a16="http://schemas.microsoft.com/office/drawing/2014/main" id="{00000000-0008-0000-2700-000002000000}"/>
              </a:ext>
            </a:extLst>
          </xdr:cNvPr>
          <xdr:cNvSpPr/>
        </xdr:nvSpPr>
        <xdr:spPr>
          <a:xfrm>
            <a:off x="8165387" y="2581256"/>
            <a:ext cx="2657644" cy="363641"/>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8" name="Arrow 2" descr="Play">
            <a:hlinkClick xmlns:r="http://schemas.openxmlformats.org/officeDocument/2006/relationships" r:id="rId17" tooltip="View Incentive Report"/>
            <a:extLst>
              <a:ext uri="{FF2B5EF4-FFF2-40B4-BE49-F238E27FC236}">
                <a16:creationId xmlns:a16="http://schemas.microsoft.com/office/drawing/2014/main" id="{00000000-0008-0000-2700-00004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a:off x="10614212" y="2635626"/>
            <a:ext cx="179293" cy="268938"/>
          </a:xfrm>
          <a:prstGeom prst="rect">
            <a:avLst/>
          </a:prstGeom>
        </xdr:spPr>
      </xdr:pic>
      <xdr:pic>
        <xdr:nvPicPr>
          <xdr:cNvPr id="64" name="Arrow 1" descr="Play">
            <a:hlinkClick xmlns:r="http://schemas.openxmlformats.org/officeDocument/2006/relationships" r:id="rId17" tooltip="View Incentive Report"/>
            <a:extLst>
              <a:ext uri="{FF2B5EF4-FFF2-40B4-BE49-F238E27FC236}">
                <a16:creationId xmlns:a16="http://schemas.microsoft.com/office/drawing/2014/main" id="{00000000-0008-0000-2700-000040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a:off x="10450606" y="2628902"/>
            <a:ext cx="179293" cy="268938"/>
          </a:xfrm>
          <a:prstGeom prst="rect">
            <a:avLst/>
          </a:prstGeom>
        </xdr:spPr>
      </xdr:pic>
    </xdr:grpSp>
    <xdr:clientData/>
  </xdr:twoCellAnchor>
  <xdr:twoCellAnchor>
    <xdr:from>
      <xdr:col>24</xdr:col>
      <xdr:colOff>237228</xdr:colOff>
      <xdr:row>13</xdr:row>
      <xdr:rowOff>0</xdr:rowOff>
    </xdr:from>
    <xdr:to>
      <xdr:col>26</xdr:col>
      <xdr:colOff>302558</xdr:colOff>
      <xdr:row>34</xdr:row>
      <xdr:rowOff>19498</xdr:rowOff>
    </xdr:to>
    <xdr:grpSp>
      <xdr:nvGrpSpPr>
        <xdr:cNvPr id="10" name="Update Buttons">
          <a:extLst>
            <a:ext uri="{FF2B5EF4-FFF2-40B4-BE49-F238E27FC236}">
              <a16:creationId xmlns:a16="http://schemas.microsoft.com/office/drawing/2014/main" id="{00000000-0008-0000-2700-00000A000000}"/>
            </a:ext>
          </a:extLst>
        </xdr:cNvPr>
        <xdr:cNvGrpSpPr/>
      </xdr:nvGrpSpPr>
      <xdr:grpSpPr>
        <a:xfrm>
          <a:off x="7767581" y="2622176"/>
          <a:ext cx="692859" cy="4255322"/>
          <a:chOff x="7361928" y="2600325"/>
          <a:chExt cx="713030" cy="4220023"/>
        </a:xfrm>
      </xdr:grpSpPr>
      <xdr:sp macro="" textlink="">
        <xdr:nvSpPr>
          <xdr:cNvPr id="60" name="Update: Payment">
            <a:hlinkClick xmlns:r="http://schemas.openxmlformats.org/officeDocument/2006/relationships" r:id="rId20" tooltip="Update: Payment Information"/>
            <a:extLst>
              <a:ext uri="{FF2B5EF4-FFF2-40B4-BE49-F238E27FC236}">
                <a16:creationId xmlns:a16="http://schemas.microsoft.com/office/drawing/2014/main" id="{00000000-0008-0000-2700-00003C000000}"/>
              </a:ext>
            </a:extLst>
          </xdr:cNvPr>
          <xdr:cNvSpPr/>
        </xdr:nvSpPr>
        <xdr:spPr>
          <a:xfrm>
            <a:off x="7361928" y="6620324"/>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Update: Building">
            <a:hlinkClick xmlns:r="http://schemas.openxmlformats.org/officeDocument/2006/relationships" r:id="rId21" tooltip="Update: Building Information"/>
            <a:extLst>
              <a:ext uri="{FF2B5EF4-FFF2-40B4-BE49-F238E27FC236}">
                <a16:creationId xmlns:a16="http://schemas.microsoft.com/office/drawing/2014/main" id="{00000000-0008-0000-2700-00003B000000}"/>
              </a:ext>
            </a:extLst>
          </xdr:cNvPr>
          <xdr:cNvSpPr/>
        </xdr:nvSpPr>
        <xdr:spPr>
          <a:xfrm>
            <a:off x="7361928" y="4788833"/>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Update: Customer">
            <a:hlinkClick xmlns:r="http://schemas.openxmlformats.org/officeDocument/2006/relationships" r:id="rId22" tooltip="Update: Customer Information"/>
            <a:extLst>
              <a:ext uri="{FF2B5EF4-FFF2-40B4-BE49-F238E27FC236}">
                <a16:creationId xmlns:a16="http://schemas.microsoft.com/office/drawing/2014/main" id="{00000000-0008-0000-2700-00002E000000}"/>
              </a:ext>
            </a:extLst>
          </xdr:cNvPr>
          <xdr:cNvSpPr/>
        </xdr:nvSpPr>
        <xdr:spPr>
          <a:xfrm>
            <a:off x="7361928" y="3993216"/>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Update: TA">
            <a:hlinkClick xmlns:r="http://schemas.openxmlformats.org/officeDocument/2006/relationships" r:id="rId23" tooltip="Update: Trade Ally / Contractor Information"/>
            <a:extLst>
              <a:ext uri="{FF2B5EF4-FFF2-40B4-BE49-F238E27FC236}">
                <a16:creationId xmlns:a16="http://schemas.microsoft.com/office/drawing/2014/main" id="{00000000-0008-0000-2700-000037000000}"/>
              </a:ext>
            </a:extLst>
          </xdr:cNvPr>
          <xdr:cNvSpPr/>
        </xdr:nvSpPr>
        <xdr:spPr>
          <a:xfrm>
            <a:off x="7361928" y="2999479"/>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Update: T&amp;C's">
            <a:hlinkClick xmlns:r="http://schemas.openxmlformats.org/officeDocument/2006/relationships" r:id="rId24" tooltip="Update: Terms and Condtions"/>
            <a:extLst>
              <a:ext uri="{FF2B5EF4-FFF2-40B4-BE49-F238E27FC236}">
                <a16:creationId xmlns:a16="http://schemas.microsoft.com/office/drawing/2014/main" id="{00000000-0008-0000-2700-000005000000}"/>
              </a:ext>
            </a:extLst>
          </xdr:cNvPr>
          <xdr:cNvSpPr/>
        </xdr:nvSpPr>
        <xdr:spPr>
          <a:xfrm>
            <a:off x="7361928" y="2600325"/>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42</xdr:col>
      <xdr:colOff>24304</xdr:colOff>
      <xdr:row>8</xdr:row>
      <xdr:rowOff>66571</xdr:rowOff>
    </xdr:from>
    <xdr:to>
      <xdr:col>47</xdr:col>
      <xdr:colOff>301093</xdr:colOff>
      <xdr:row>11</xdr:row>
      <xdr:rowOff>137818</xdr:rowOff>
    </xdr:to>
    <xdr:grpSp>
      <xdr:nvGrpSpPr>
        <xdr:cNvPr id="29" name="Submission">
          <a:extLst>
            <a:ext uri="{FF2B5EF4-FFF2-40B4-BE49-F238E27FC236}">
              <a16:creationId xmlns:a16="http://schemas.microsoft.com/office/drawing/2014/main" id="{00000000-0008-0000-2700-00001D000000}"/>
            </a:ext>
          </a:extLst>
        </xdr:cNvPr>
        <xdr:cNvGrpSpPr/>
      </xdr:nvGrpSpPr>
      <xdr:grpSpPr>
        <a:xfrm>
          <a:off x="13202422" y="1680218"/>
          <a:ext cx="1845612" cy="676365"/>
          <a:chOff x="13578939" y="1644359"/>
          <a:chExt cx="1890436" cy="662918"/>
        </a:xfrm>
      </xdr:grpSpPr>
      <xdr:sp macro="" textlink="">
        <xdr:nvSpPr>
          <xdr:cNvPr id="61" name="Submission">
            <a:hlinkClick xmlns:r="http://schemas.openxmlformats.org/officeDocument/2006/relationships" r:id="rId25" tooltip="Submission Instructions"/>
            <a:extLst>
              <a:ext uri="{FF2B5EF4-FFF2-40B4-BE49-F238E27FC236}">
                <a16:creationId xmlns:a16="http://schemas.microsoft.com/office/drawing/2014/main" id="{00000000-0008-0000-2700-00003D000000}"/>
              </a:ext>
            </a:extLst>
          </xdr:cNvPr>
          <xdr:cNvSpPr/>
        </xdr:nvSpPr>
        <xdr:spPr>
          <a:xfrm>
            <a:off x="13578939" y="1644359"/>
            <a:ext cx="1890436" cy="66291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M5S2">
            <a:hlinkClick xmlns:r="http://schemas.openxmlformats.org/officeDocument/2006/relationships" r:id="rId25" tooltip="Submission Instructions"/>
            <a:extLst>
              <a:ext uri="{FF2B5EF4-FFF2-40B4-BE49-F238E27FC236}">
                <a16:creationId xmlns:a16="http://schemas.microsoft.com/office/drawing/2014/main" id="{00000000-0008-0000-2700-00003F000000}"/>
              </a:ext>
            </a:extLst>
          </xdr:cNvPr>
          <xdr:cNvSpPr/>
        </xdr:nvSpPr>
        <xdr:spPr>
          <a:xfrm>
            <a:off x="14848589" y="1762695"/>
            <a:ext cx="542810" cy="406112"/>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94800</xdr:colOff>
      <xdr:row>8</xdr:row>
      <xdr:rowOff>98949</xdr:rowOff>
    </xdr:from>
    <xdr:to>
      <xdr:col>2</xdr:col>
      <xdr:colOff>310446</xdr:colOff>
      <xdr:row>10</xdr:row>
      <xdr:rowOff>97492</xdr:rowOff>
    </xdr:to>
    <xdr:sp macro="" textlink="">
      <xdr:nvSpPr>
        <xdr:cNvPr id="16" name="Arrow: Left M5S2">
          <a:hlinkClick xmlns:r="http://schemas.openxmlformats.org/officeDocument/2006/relationships" r:id="rId26" tooltip="Back: Payment"/>
          <a:extLst>
            <a:ext uri="{FF2B5EF4-FFF2-40B4-BE49-F238E27FC236}">
              <a16:creationId xmlns:a16="http://schemas.microsoft.com/office/drawing/2014/main" id="{00000000-0008-0000-2700-000010000000}"/>
            </a:ext>
          </a:extLst>
        </xdr:cNvPr>
        <xdr:cNvSpPr/>
      </xdr:nvSpPr>
      <xdr:spPr>
        <a:xfrm>
          <a:off x="418650" y="1699149"/>
          <a:ext cx="539496" cy="39859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1" name="Navigation">
          <a:extLst>
            <a:ext uri="{FF2B5EF4-FFF2-40B4-BE49-F238E27FC236}">
              <a16:creationId xmlns:a16="http://schemas.microsoft.com/office/drawing/2014/main" id="{00000000-0008-0000-2700-000015000000}"/>
            </a:ext>
          </a:extLst>
        </xdr:cNvPr>
        <xdr:cNvGrpSpPr/>
      </xdr:nvGrpSpPr>
      <xdr:grpSpPr>
        <a:xfrm>
          <a:off x="2196353" y="605118"/>
          <a:ext cx="11217985" cy="1008529"/>
          <a:chOff x="1610956" y="594360"/>
          <a:chExt cx="11437620" cy="990600"/>
        </a:xfrm>
      </xdr:grpSpPr>
      <xdr:cxnSp macro="">
        <xdr:nvCxnSpPr>
          <xdr:cNvPr id="22" name="Reference">
            <a:extLst>
              <a:ext uri="{FF2B5EF4-FFF2-40B4-BE49-F238E27FC236}">
                <a16:creationId xmlns:a16="http://schemas.microsoft.com/office/drawing/2014/main" id="{00000000-0008-0000-2700-000016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3" name="7: Project Review">
            <a:hlinkClick xmlns:r="http://schemas.openxmlformats.org/officeDocument/2006/relationships" r:id="rId27" tooltip="Project Review"/>
            <a:extLst>
              <a:ext uri="{FF2B5EF4-FFF2-40B4-BE49-F238E27FC236}">
                <a16:creationId xmlns:a16="http://schemas.microsoft.com/office/drawing/2014/main" id="{00000000-0008-0000-2700-000017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4" name="6: Payment">
            <a:hlinkClick xmlns:r="http://schemas.openxmlformats.org/officeDocument/2006/relationships" r:id="rId26" tooltip="Payment"/>
            <a:extLst>
              <a:ext uri="{FF2B5EF4-FFF2-40B4-BE49-F238E27FC236}">
                <a16:creationId xmlns:a16="http://schemas.microsoft.com/office/drawing/2014/main" id="{00000000-0008-0000-2700-000018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5" name="5: Equipment Input">
            <a:hlinkClick xmlns:r="http://schemas.openxmlformats.org/officeDocument/2006/relationships" r:id="rId28" tooltip="Equipment Input"/>
            <a:extLst>
              <a:ext uri="{FF2B5EF4-FFF2-40B4-BE49-F238E27FC236}">
                <a16:creationId xmlns:a16="http://schemas.microsoft.com/office/drawing/2014/main" id="{00000000-0008-0000-2700-000019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3" name="4: Building Information">
            <a:hlinkClick xmlns:r="http://schemas.openxmlformats.org/officeDocument/2006/relationships" r:id="rId29" tooltip="Building Information"/>
            <a:extLst>
              <a:ext uri="{FF2B5EF4-FFF2-40B4-BE49-F238E27FC236}">
                <a16:creationId xmlns:a16="http://schemas.microsoft.com/office/drawing/2014/main" id="{00000000-0008-0000-2700-00002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4" name="3: Customer Information">
            <a:hlinkClick xmlns:r="http://schemas.openxmlformats.org/officeDocument/2006/relationships" r:id="rId30" tooltip="Customer Information"/>
            <a:extLst>
              <a:ext uri="{FF2B5EF4-FFF2-40B4-BE49-F238E27FC236}">
                <a16:creationId xmlns:a16="http://schemas.microsoft.com/office/drawing/2014/main" id="{00000000-0008-0000-2700-00002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5" name="2: Trade Ally Info">
            <a:hlinkClick xmlns:r="http://schemas.openxmlformats.org/officeDocument/2006/relationships" r:id="rId31" tooltip="Trade Ally/Vendor Information"/>
            <a:extLst>
              <a:ext uri="{FF2B5EF4-FFF2-40B4-BE49-F238E27FC236}">
                <a16:creationId xmlns:a16="http://schemas.microsoft.com/office/drawing/2014/main" id="{00000000-0008-0000-2700-00002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6" name="1: T&amp;C's">
            <a:hlinkClick xmlns:r="http://schemas.openxmlformats.org/officeDocument/2006/relationships" r:id="rId32" tooltip="Terms &amp; Conditions"/>
            <a:extLst>
              <a:ext uri="{FF2B5EF4-FFF2-40B4-BE49-F238E27FC236}">
                <a16:creationId xmlns:a16="http://schemas.microsoft.com/office/drawing/2014/main" id="{00000000-0008-0000-2700-00002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6" name="Header">
          <a:extLst>
            <a:ext uri="{FF2B5EF4-FFF2-40B4-BE49-F238E27FC236}">
              <a16:creationId xmlns:a16="http://schemas.microsoft.com/office/drawing/2014/main" id="{00000000-0008-0000-2700-00001A000000}"/>
            </a:ext>
          </a:extLst>
        </xdr:cNvPr>
        <xdr:cNvGrpSpPr/>
      </xdr:nvGrpSpPr>
      <xdr:grpSpPr>
        <a:xfrm>
          <a:off x="0" y="0"/>
          <a:ext cx="15374471" cy="605336"/>
          <a:chOff x="0" y="1452064"/>
          <a:chExt cx="15813740" cy="591889"/>
        </a:xfrm>
      </xdr:grpSpPr>
      <xdr:grpSp>
        <xdr:nvGrpSpPr>
          <xdr:cNvPr id="30" name="Header">
            <a:extLst>
              <a:ext uri="{FF2B5EF4-FFF2-40B4-BE49-F238E27FC236}">
                <a16:creationId xmlns:a16="http://schemas.microsoft.com/office/drawing/2014/main" id="{00000000-0008-0000-2700-00001E000000}"/>
              </a:ext>
            </a:extLst>
          </xdr:cNvPr>
          <xdr:cNvGrpSpPr/>
        </xdr:nvGrpSpPr>
        <xdr:grpSpPr>
          <a:xfrm>
            <a:off x="0" y="1452064"/>
            <a:ext cx="15813740" cy="591889"/>
            <a:chOff x="0" y="1452064"/>
            <a:chExt cx="15813740" cy="591889"/>
          </a:xfrm>
        </xdr:grpSpPr>
        <xdr:sp macro="" textlink="">
          <xdr:nvSpPr>
            <xdr:cNvPr id="56" name="Reference">
              <a:extLst>
                <a:ext uri="{FF2B5EF4-FFF2-40B4-BE49-F238E27FC236}">
                  <a16:creationId xmlns:a16="http://schemas.microsoft.com/office/drawing/2014/main" id="{00000000-0008-0000-2700-000038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33" tooltip="Contact"/>
              <a:extLst>
                <a:ext uri="{FF2B5EF4-FFF2-40B4-BE49-F238E27FC236}">
                  <a16:creationId xmlns:a16="http://schemas.microsoft.com/office/drawing/2014/main" id="{00000000-0008-0000-2700-000039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34" tooltip=" "/>
              <a:extLst>
                <a:ext uri="{FF2B5EF4-FFF2-40B4-BE49-F238E27FC236}">
                  <a16:creationId xmlns:a16="http://schemas.microsoft.com/office/drawing/2014/main" id="{00000000-0008-0000-2700-00003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Offer Form">
              <a:hlinkClick xmlns:r="http://schemas.openxmlformats.org/officeDocument/2006/relationships" r:id="rId35" tooltip=" "/>
              <a:extLst>
                <a:ext uri="{FF2B5EF4-FFF2-40B4-BE49-F238E27FC236}">
                  <a16:creationId xmlns:a16="http://schemas.microsoft.com/office/drawing/2014/main" id="{00000000-0008-0000-2700-00003E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Incentives">
              <a:extLst>
                <a:ext uri="{FF2B5EF4-FFF2-40B4-BE49-F238E27FC236}">
                  <a16:creationId xmlns:a16="http://schemas.microsoft.com/office/drawing/2014/main" id="{00000000-0008-0000-2700-00004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6" name="Instructions">
              <a:hlinkClick xmlns:r="http://schemas.openxmlformats.org/officeDocument/2006/relationships" r:id="rId36" tooltip="Instructions"/>
              <a:extLst>
                <a:ext uri="{FF2B5EF4-FFF2-40B4-BE49-F238E27FC236}">
                  <a16:creationId xmlns:a16="http://schemas.microsoft.com/office/drawing/2014/main" id="{00000000-0008-0000-2700-00004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Welcome">
              <a:hlinkClick xmlns:r="http://schemas.openxmlformats.org/officeDocument/2006/relationships" r:id="rId37" tooltip="Welcome"/>
              <a:extLst>
                <a:ext uri="{FF2B5EF4-FFF2-40B4-BE49-F238E27FC236}">
                  <a16:creationId xmlns:a16="http://schemas.microsoft.com/office/drawing/2014/main" id="{00000000-0008-0000-2700-00004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0" name="Evergy Logo">
              <a:extLst>
                <a:ext uri="{FF2B5EF4-FFF2-40B4-BE49-F238E27FC236}">
                  <a16:creationId xmlns:a16="http://schemas.microsoft.com/office/drawing/2014/main" id="{00000000-0008-0000-2700-00004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71" name="State">
              <a:extLst>
                <a:ext uri="{FF2B5EF4-FFF2-40B4-BE49-F238E27FC236}">
                  <a16:creationId xmlns:a16="http://schemas.microsoft.com/office/drawing/2014/main" id="{00000000-0008-0000-2700-000047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700-00001F000000}"/>
              </a:ext>
            </a:extLst>
          </xdr:cNvPr>
          <xdr:cNvGrpSpPr/>
        </xdr:nvGrpSpPr>
        <xdr:grpSpPr>
          <a:xfrm>
            <a:off x="1613405" y="1537433"/>
            <a:ext cx="11616513" cy="423049"/>
            <a:chOff x="1612951" y="85725"/>
            <a:chExt cx="11618931" cy="423022"/>
          </a:xfrm>
        </xdr:grpSpPr>
        <xdr:cxnSp macro="">
          <xdr:nvCxnSpPr>
            <xdr:cNvPr id="32" name="Divider 4">
              <a:extLst>
                <a:ext uri="{FF2B5EF4-FFF2-40B4-BE49-F238E27FC236}">
                  <a16:creationId xmlns:a16="http://schemas.microsoft.com/office/drawing/2014/main" id="{00000000-0008-0000-27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3">
              <a:extLst>
                <a:ext uri="{FF2B5EF4-FFF2-40B4-BE49-F238E27FC236}">
                  <a16:creationId xmlns:a16="http://schemas.microsoft.com/office/drawing/2014/main" id="{00000000-0008-0000-2700-00002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2">
              <a:extLst>
                <a:ext uri="{FF2B5EF4-FFF2-40B4-BE49-F238E27FC236}">
                  <a16:creationId xmlns:a16="http://schemas.microsoft.com/office/drawing/2014/main" id="{00000000-0008-0000-2700-00002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1">
              <a:extLst>
                <a:ext uri="{FF2B5EF4-FFF2-40B4-BE49-F238E27FC236}">
                  <a16:creationId xmlns:a16="http://schemas.microsoft.com/office/drawing/2014/main" id="{00000000-0008-0000-2700-00002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93843</xdr:colOff>
      <xdr:row>8</xdr:row>
      <xdr:rowOff>92758</xdr:rowOff>
    </xdr:from>
    <xdr:to>
      <xdr:col>3</xdr:col>
      <xdr:colOff>2515</xdr:colOff>
      <xdr:row>10</xdr:row>
      <xdr:rowOff>94831</xdr:rowOff>
    </xdr:to>
    <xdr:sp macro="" textlink="">
      <xdr:nvSpPr>
        <xdr:cNvPr id="32" name="Arrow: Left M5S2-1">
          <a:hlinkClick xmlns:r="http://schemas.openxmlformats.org/officeDocument/2006/relationships" r:id="rId1" tooltip="Back: Project Review"/>
          <a:extLst>
            <a:ext uri="{FF2B5EF4-FFF2-40B4-BE49-F238E27FC236}">
              <a16:creationId xmlns:a16="http://schemas.microsoft.com/office/drawing/2014/main" id="{00000000-0008-0000-2800-000020000000}"/>
            </a:ext>
          </a:extLst>
        </xdr:cNvPr>
        <xdr:cNvSpPr/>
      </xdr:nvSpPr>
      <xdr:spPr>
        <a:xfrm>
          <a:off x="417693" y="1692958"/>
          <a:ext cx="552562" cy="40212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34" name="Navigation">
          <a:extLst>
            <a:ext uri="{FF2B5EF4-FFF2-40B4-BE49-F238E27FC236}">
              <a16:creationId xmlns:a16="http://schemas.microsoft.com/office/drawing/2014/main" id="{00000000-0008-0000-2800-000022000000}"/>
            </a:ext>
          </a:extLst>
        </xdr:cNvPr>
        <xdr:cNvGrpSpPr/>
      </xdr:nvGrpSpPr>
      <xdr:grpSpPr>
        <a:xfrm>
          <a:off x="2196353" y="605118"/>
          <a:ext cx="11217985" cy="1008529"/>
          <a:chOff x="1610956" y="594360"/>
          <a:chExt cx="11437620" cy="990600"/>
        </a:xfrm>
      </xdr:grpSpPr>
      <xdr:cxnSp macro="">
        <xdr:nvCxnSpPr>
          <xdr:cNvPr id="35" name="Reference">
            <a:extLst>
              <a:ext uri="{FF2B5EF4-FFF2-40B4-BE49-F238E27FC236}">
                <a16:creationId xmlns:a16="http://schemas.microsoft.com/office/drawing/2014/main" id="{00000000-0008-0000-2800-00002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6" name="7: Project Review">
            <a:hlinkClick xmlns:r="http://schemas.openxmlformats.org/officeDocument/2006/relationships" r:id="rId2" tooltip="Project Review"/>
            <a:extLst>
              <a:ext uri="{FF2B5EF4-FFF2-40B4-BE49-F238E27FC236}">
                <a16:creationId xmlns:a16="http://schemas.microsoft.com/office/drawing/2014/main" id="{00000000-0008-0000-2800-00002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7" name="6: Payment">
            <a:hlinkClick xmlns:r="http://schemas.openxmlformats.org/officeDocument/2006/relationships" r:id="rId3" tooltip="Payment"/>
            <a:extLst>
              <a:ext uri="{FF2B5EF4-FFF2-40B4-BE49-F238E27FC236}">
                <a16:creationId xmlns:a16="http://schemas.microsoft.com/office/drawing/2014/main" id="{00000000-0008-0000-2800-00002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8" name="5: Equipment Input">
            <a:hlinkClick xmlns:r="http://schemas.openxmlformats.org/officeDocument/2006/relationships" r:id="rId4" tooltip="Equipment Input"/>
            <a:extLst>
              <a:ext uri="{FF2B5EF4-FFF2-40B4-BE49-F238E27FC236}">
                <a16:creationId xmlns:a16="http://schemas.microsoft.com/office/drawing/2014/main" id="{00000000-0008-0000-2800-00002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9" name="4: Building Information">
            <a:hlinkClick xmlns:r="http://schemas.openxmlformats.org/officeDocument/2006/relationships" r:id="rId5" tooltip="Building Information"/>
            <a:extLst>
              <a:ext uri="{FF2B5EF4-FFF2-40B4-BE49-F238E27FC236}">
                <a16:creationId xmlns:a16="http://schemas.microsoft.com/office/drawing/2014/main" id="{00000000-0008-0000-2800-00002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40" name="3: Customer Information">
            <a:hlinkClick xmlns:r="http://schemas.openxmlformats.org/officeDocument/2006/relationships" r:id="rId6" tooltip="Customer Information"/>
            <a:extLst>
              <a:ext uri="{FF2B5EF4-FFF2-40B4-BE49-F238E27FC236}">
                <a16:creationId xmlns:a16="http://schemas.microsoft.com/office/drawing/2014/main" id="{00000000-0008-0000-2800-00002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41"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800-00002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2" name="1: T&amp;C's">
            <a:hlinkClick xmlns:r="http://schemas.openxmlformats.org/officeDocument/2006/relationships" r:id="rId8" tooltip="Terms &amp; Conditions"/>
            <a:extLst>
              <a:ext uri="{FF2B5EF4-FFF2-40B4-BE49-F238E27FC236}">
                <a16:creationId xmlns:a16="http://schemas.microsoft.com/office/drawing/2014/main" id="{00000000-0008-0000-2800-00002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6" name="Header">
          <a:extLst>
            <a:ext uri="{FF2B5EF4-FFF2-40B4-BE49-F238E27FC236}">
              <a16:creationId xmlns:a16="http://schemas.microsoft.com/office/drawing/2014/main" id="{00000000-0008-0000-2800-000010000000}"/>
            </a:ext>
          </a:extLst>
        </xdr:cNvPr>
        <xdr:cNvGrpSpPr/>
      </xdr:nvGrpSpPr>
      <xdr:grpSpPr>
        <a:xfrm>
          <a:off x="0" y="0"/>
          <a:ext cx="15374471" cy="605336"/>
          <a:chOff x="0" y="1452064"/>
          <a:chExt cx="15813740" cy="591889"/>
        </a:xfrm>
      </xdr:grpSpPr>
      <xdr:grpSp>
        <xdr:nvGrpSpPr>
          <xdr:cNvPr id="17" name="Header">
            <a:extLst>
              <a:ext uri="{FF2B5EF4-FFF2-40B4-BE49-F238E27FC236}">
                <a16:creationId xmlns:a16="http://schemas.microsoft.com/office/drawing/2014/main" id="{00000000-0008-0000-2800-000011000000}"/>
              </a:ext>
            </a:extLst>
          </xdr:cNvPr>
          <xdr:cNvGrpSpPr/>
        </xdr:nvGrpSpPr>
        <xdr:grpSpPr>
          <a:xfrm>
            <a:off x="0" y="1452064"/>
            <a:ext cx="15813740" cy="591889"/>
            <a:chOff x="0" y="1452064"/>
            <a:chExt cx="15813740" cy="591889"/>
          </a:xfrm>
        </xdr:grpSpPr>
        <xdr:sp macro="" textlink="">
          <xdr:nvSpPr>
            <xdr:cNvPr id="24" name="Reference">
              <a:extLst>
                <a:ext uri="{FF2B5EF4-FFF2-40B4-BE49-F238E27FC236}">
                  <a16:creationId xmlns:a16="http://schemas.microsoft.com/office/drawing/2014/main" id="{00000000-0008-0000-2800-000018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ntact">
              <a:hlinkClick xmlns:r="http://schemas.openxmlformats.org/officeDocument/2006/relationships" r:id="rId9" tooltip="Contact"/>
              <a:extLst>
                <a:ext uri="{FF2B5EF4-FFF2-40B4-BE49-F238E27FC236}">
                  <a16:creationId xmlns:a16="http://schemas.microsoft.com/office/drawing/2014/main" id="{00000000-0008-0000-2800-000019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Form">
              <a:hlinkClick xmlns:r="http://schemas.openxmlformats.org/officeDocument/2006/relationships" r:id="rId10" tooltip=" "/>
              <a:extLst>
                <a:ext uri="{FF2B5EF4-FFF2-40B4-BE49-F238E27FC236}">
                  <a16:creationId xmlns:a16="http://schemas.microsoft.com/office/drawing/2014/main" id="{00000000-0008-0000-2800-00001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11" tooltip=" "/>
              <a:extLst>
                <a:ext uri="{FF2B5EF4-FFF2-40B4-BE49-F238E27FC236}">
                  <a16:creationId xmlns:a16="http://schemas.microsoft.com/office/drawing/2014/main" id="{00000000-0008-0000-2800-00001B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centives">
              <a:extLst>
                <a:ext uri="{FF2B5EF4-FFF2-40B4-BE49-F238E27FC236}">
                  <a16:creationId xmlns:a16="http://schemas.microsoft.com/office/drawing/2014/main" id="{00000000-0008-0000-2800-00001C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9" name="Instructions">
              <a:hlinkClick xmlns:r="http://schemas.openxmlformats.org/officeDocument/2006/relationships" r:id="rId12" tooltip="Instructions"/>
              <a:extLst>
                <a:ext uri="{FF2B5EF4-FFF2-40B4-BE49-F238E27FC236}">
                  <a16:creationId xmlns:a16="http://schemas.microsoft.com/office/drawing/2014/main" id="{00000000-0008-0000-2800-00001D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13" tooltip="Welcome"/>
              <a:extLst>
                <a:ext uri="{FF2B5EF4-FFF2-40B4-BE49-F238E27FC236}">
                  <a16:creationId xmlns:a16="http://schemas.microsoft.com/office/drawing/2014/main" id="{00000000-0008-0000-2800-00001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28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3" name="State">
              <a:extLst>
                <a:ext uri="{FF2B5EF4-FFF2-40B4-BE49-F238E27FC236}">
                  <a16:creationId xmlns:a16="http://schemas.microsoft.com/office/drawing/2014/main" id="{00000000-0008-0000-2800-00002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8" name="Dividers">
            <a:extLst>
              <a:ext uri="{FF2B5EF4-FFF2-40B4-BE49-F238E27FC236}">
                <a16:creationId xmlns:a16="http://schemas.microsoft.com/office/drawing/2014/main" id="{00000000-0008-0000-2800-000012000000}"/>
              </a:ext>
            </a:extLst>
          </xdr:cNvPr>
          <xdr:cNvGrpSpPr/>
        </xdr:nvGrpSpPr>
        <xdr:grpSpPr>
          <a:xfrm>
            <a:off x="1613405" y="1537433"/>
            <a:ext cx="11616513" cy="423049"/>
            <a:chOff x="1612951" y="85725"/>
            <a:chExt cx="11618931" cy="423022"/>
          </a:xfrm>
        </xdr:grpSpPr>
        <xdr:cxnSp macro="">
          <xdr:nvCxnSpPr>
            <xdr:cNvPr id="20" name="Divider 4">
              <a:extLst>
                <a:ext uri="{FF2B5EF4-FFF2-40B4-BE49-F238E27FC236}">
                  <a16:creationId xmlns:a16="http://schemas.microsoft.com/office/drawing/2014/main" id="{00000000-0008-0000-2800-00001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800-00001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800-00001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800-00001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17076</xdr:colOff>
      <xdr:row>15</xdr:row>
      <xdr:rowOff>0</xdr:rowOff>
    </xdr:from>
    <xdr:to>
      <xdr:col>37</xdr:col>
      <xdr:colOff>134694</xdr:colOff>
      <xdr:row>76</xdr:row>
      <xdr:rowOff>132890</xdr:rowOff>
    </xdr:to>
    <xdr:grpSp>
      <xdr:nvGrpSpPr>
        <xdr:cNvPr id="29" name="Report">
          <a:extLst>
            <a:ext uri="{FF2B5EF4-FFF2-40B4-BE49-F238E27FC236}">
              <a16:creationId xmlns:a16="http://schemas.microsoft.com/office/drawing/2014/main" id="{00000000-0008-0000-2900-00001D000000}"/>
            </a:ext>
          </a:extLst>
        </xdr:cNvPr>
        <xdr:cNvGrpSpPr/>
      </xdr:nvGrpSpPr>
      <xdr:grpSpPr>
        <a:xfrm>
          <a:off x="3468488" y="3025588"/>
          <a:ext cx="8275500" cy="12470567"/>
          <a:chOff x="3567100" y="2958353"/>
          <a:chExt cx="8508582" cy="12199384"/>
        </a:xfrm>
      </xdr:grpSpPr>
      <xdr:pic>
        <xdr:nvPicPr>
          <xdr:cNvPr id="56" name="TRC">
            <a:extLst>
              <a:ext uri="{FF2B5EF4-FFF2-40B4-BE49-F238E27FC236}">
                <a16:creationId xmlns:a16="http://schemas.microsoft.com/office/drawing/2014/main" id="{00000000-0008-0000-29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067837" y="14883654"/>
            <a:ext cx="1007845" cy="274083"/>
          </a:xfrm>
          <a:prstGeom prst="rect">
            <a:avLst/>
          </a:prstGeom>
        </xdr:spPr>
      </xdr:pic>
      <xdr:pic>
        <xdr:nvPicPr>
          <xdr:cNvPr id="60" name="Truck">
            <a:extLst>
              <a:ext uri="{FF2B5EF4-FFF2-40B4-BE49-F238E27FC236}">
                <a16:creationId xmlns:a16="http://schemas.microsoft.com/office/drawing/2014/main" id="{00000000-0008-0000-2900-00003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559230" y="12257478"/>
            <a:ext cx="785576" cy="798162"/>
          </a:xfrm>
          <a:prstGeom prst="rect">
            <a:avLst/>
          </a:prstGeom>
        </xdr:spPr>
      </xdr:pic>
      <xdr:pic>
        <xdr:nvPicPr>
          <xdr:cNvPr id="59" name="House">
            <a:extLst>
              <a:ext uri="{FF2B5EF4-FFF2-40B4-BE49-F238E27FC236}">
                <a16:creationId xmlns:a16="http://schemas.microsoft.com/office/drawing/2014/main" id="{00000000-0008-0000-2900-00003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72627" y="12093011"/>
            <a:ext cx="934031" cy="935543"/>
          </a:xfrm>
          <a:prstGeom prst="rect">
            <a:avLst/>
          </a:prstGeom>
        </xdr:spPr>
      </xdr:pic>
      <xdr:pic>
        <xdr:nvPicPr>
          <xdr:cNvPr id="58" name="Car">
            <a:extLst>
              <a:ext uri="{FF2B5EF4-FFF2-40B4-BE49-F238E27FC236}">
                <a16:creationId xmlns:a16="http://schemas.microsoft.com/office/drawing/2014/main" id="{00000000-0008-0000-2900-00003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863295" y="12219398"/>
            <a:ext cx="923856" cy="851667"/>
          </a:xfrm>
          <a:prstGeom prst="rect">
            <a:avLst/>
          </a:prstGeom>
        </xdr:spPr>
      </xdr:pic>
      <xdr:pic>
        <xdr:nvPicPr>
          <xdr:cNvPr id="51" name="City">
            <a:extLst>
              <a:ext uri="{FF2B5EF4-FFF2-40B4-BE49-F238E27FC236}">
                <a16:creationId xmlns:a16="http://schemas.microsoft.com/office/drawing/2014/main" id="{00000000-0008-0000-2900-00003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68351" y="10260857"/>
            <a:ext cx="5245811" cy="1269887"/>
          </a:xfrm>
          <a:prstGeom prst="rect">
            <a:avLst/>
          </a:prstGeom>
        </xdr:spPr>
      </xdr:pic>
      <xdr:pic>
        <xdr:nvPicPr>
          <xdr:cNvPr id="52" name="Piggy Bank">
            <a:extLst>
              <a:ext uri="{FF2B5EF4-FFF2-40B4-BE49-F238E27FC236}">
                <a16:creationId xmlns:a16="http://schemas.microsoft.com/office/drawing/2014/main" id="{00000000-0008-0000-2900-00003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7213230" y="6434418"/>
            <a:ext cx="1751806" cy="1670349"/>
          </a:xfrm>
          <a:prstGeom prst="rect">
            <a:avLst/>
          </a:prstGeom>
        </xdr:spPr>
      </xdr:pic>
      <xdr:sp macro="" textlink="">
        <xdr:nvSpPr>
          <xdr:cNvPr id="57" name="Bar">
            <a:extLst>
              <a:ext uri="{FF2B5EF4-FFF2-40B4-BE49-F238E27FC236}">
                <a16:creationId xmlns:a16="http://schemas.microsoft.com/office/drawing/2014/main" id="{00000000-0008-0000-2900-000039000000}"/>
              </a:ext>
            </a:extLst>
          </xdr:cNvPr>
          <xdr:cNvSpPr/>
        </xdr:nvSpPr>
        <xdr:spPr>
          <a:xfrm flipV="1">
            <a:off x="3567100" y="3737212"/>
            <a:ext cx="6099978" cy="24129"/>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2">
            <a:extLst>
              <a:ext uri="{FF2B5EF4-FFF2-40B4-BE49-F238E27FC236}">
                <a16:creationId xmlns:a16="http://schemas.microsoft.com/office/drawing/2014/main" id="{00000000-0008-0000-2900-00002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907829" y="2958353"/>
            <a:ext cx="2165802" cy="791001"/>
          </a:xfrm>
          <a:prstGeom prst="rect">
            <a:avLst/>
          </a:prstGeom>
        </xdr:spPr>
      </xdr:pic>
    </xdr:grpSp>
    <xdr:clientData/>
  </xdr:twoCellAnchor>
  <xdr:twoCellAnchor>
    <xdr:from>
      <xdr:col>11</xdr:col>
      <xdr:colOff>100852</xdr:colOff>
      <xdr:row>10</xdr:row>
      <xdr:rowOff>100855</xdr:rowOff>
    </xdr:from>
    <xdr:to>
      <xdr:col>12</xdr:col>
      <xdr:colOff>257734</xdr:colOff>
      <xdr:row>12</xdr:row>
      <xdr:rowOff>112060</xdr:rowOff>
    </xdr:to>
    <xdr:grpSp>
      <xdr:nvGrpSpPr>
        <xdr:cNvPr id="28" name="Print">
          <a:extLst>
            <a:ext uri="{FF2B5EF4-FFF2-40B4-BE49-F238E27FC236}">
              <a16:creationId xmlns:a16="http://schemas.microsoft.com/office/drawing/2014/main" id="{00000000-0008-0000-2900-00001C000000}"/>
            </a:ext>
          </a:extLst>
        </xdr:cNvPr>
        <xdr:cNvGrpSpPr/>
      </xdr:nvGrpSpPr>
      <xdr:grpSpPr>
        <a:xfrm>
          <a:off x="3552264" y="2117914"/>
          <a:ext cx="470646" cy="414617"/>
          <a:chOff x="3650876" y="2073090"/>
          <a:chExt cx="479611" cy="405652"/>
        </a:xfrm>
      </xdr:grpSpPr>
      <xdr:pic>
        <xdr:nvPicPr>
          <xdr:cNvPr id="5" name="Char" descr="Exclamation mark">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3717205" y="2132247"/>
            <a:ext cx="346953" cy="287336"/>
          </a:xfrm>
          <a:prstGeom prst="rect">
            <a:avLst/>
          </a:prstGeom>
        </xdr:spPr>
      </xdr:pic>
      <xdr:sp macro="" textlink="">
        <xdr:nvSpPr>
          <xdr:cNvPr id="7" name="Oval">
            <a:extLst>
              <a:ext uri="{FF2B5EF4-FFF2-40B4-BE49-F238E27FC236}">
                <a16:creationId xmlns:a16="http://schemas.microsoft.com/office/drawing/2014/main" id="{00000000-0008-0000-2900-000007000000}"/>
              </a:ext>
            </a:extLst>
          </xdr:cNvPr>
          <xdr:cNvSpPr/>
        </xdr:nvSpPr>
        <xdr:spPr>
          <a:xfrm>
            <a:off x="3650876" y="2073090"/>
            <a:ext cx="479611" cy="405652"/>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42</xdr:col>
      <xdr:colOff>17323</xdr:colOff>
      <xdr:row>8</xdr:row>
      <xdr:rowOff>70718</xdr:rowOff>
    </xdr:from>
    <xdr:to>
      <xdr:col>47</xdr:col>
      <xdr:colOff>306681</xdr:colOff>
      <xdr:row>11</xdr:row>
      <xdr:rowOff>138827</xdr:rowOff>
    </xdr:to>
    <xdr:grpSp>
      <xdr:nvGrpSpPr>
        <xdr:cNvPr id="53" name="Submission">
          <a:extLst>
            <a:ext uri="{FF2B5EF4-FFF2-40B4-BE49-F238E27FC236}">
              <a16:creationId xmlns:a16="http://schemas.microsoft.com/office/drawing/2014/main" id="{00000000-0008-0000-2900-000035000000}"/>
            </a:ext>
          </a:extLst>
        </xdr:cNvPr>
        <xdr:cNvGrpSpPr/>
      </xdr:nvGrpSpPr>
      <xdr:grpSpPr>
        <a:xfrm>
          <a:off x="13195441" y="1684365"/>
          <a:ext cx="1858181" cy="673227"/>
          <a:chOff x="11900637" y="1692088"/>
          <a:chExt cx="1841241" cy="667513"/>
        </a:xfrm>
      </xdr:grpSpPr>
      <xdr:sp macro="" textlink="">
        <xdr:nvSpPr>
          <xdr:cNvPr id="54" name="Submission">
            <a:hlinkClick xmlns:r="http://schemas.openxmlformats.org/officeDocument/2006/relationships" r:id="rId10" tooltip="Submission Instructions"/>
            <a:extLst>
              <a:ext uri="{FF2B5EF4-FFF2-40B4-BE49-F238E27FC236}">
                <a16:creationId xmlns:a16="http://schemas.microsoft.com/office/drawing/2014/main" id="{00000000-0008-0000-2900-000036000000}"/>
              </a:ext>
            </a:extLst>
          </xdr:cNvPr>
          <xdr:cNvSpPr/>
        </xdr:nvSpPr>
        <xdr:spPr>
          <a:xfrm>
            <a:off x="11900637" y="1692088"/>
            <a:ext cx="1841241" cy="667513"/>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M5S3">
            <a:hlinkClick xmlns:r="http://schemas.openxmlformats.org/officeDocument/2006/relationships" r:id="rId10" tooltip="Submission Instructions"/>
            <a:extLst>
              <a:ext uri="{FF2B5EF4-FFF2-40B4-BE49-F238E27FC236}">
                <a16:creationId xmlns:a16="http://schemas.microsoft.com/office/drawing/2014/main" id="{00000000-0008-0000-29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2" name="Arrow: Left M5S3">
          <a:hlinkClick xmlns:r="http://schemas.openxmlformats.org/officeDocument/2006/relationships" r:id="rId11" tooltip="Back: Project Review"/>
          <a:extLst>
            <a:ext uri="{FF2B5EF4-FFF2-40B4-BE49-F238E27FC236}">
              <a16:creationId xmlns:a16="http://schemas.microsoft.com/office/drawing/2014/main" id="{00000000-0008-0000-29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 name="Navigation">
          <a:extLst>
            <a:ext uri="{FF2B5EF4-FFF2-40B4-BE49-F238E27FC236}">
              <a16:creationId xmlns:a16="http://schemas.microsoft.com/office/drawing/2014/main" id="{00000000-0008-0000-2900-000002000000}"/>
            </a:ext>
          </a:extLst>
        </xdr:cNvPr>
        <xdr:cNvGrpSpPr/>
      </xdr:nvGrpSpPr>
      <xdr:grpSpPr>
        <a:xfrm>
          <a:off x="2196353" y="605118"/>
          <a:ext cx="11217985" cy="1008529"/>
          <a:chOff x="1610956" y="594360"/>
          <a:chExt cx="11437620" cy="990600"/>
        </a:xfrm>
      </xdr:grpSpPr>
      <xdr:cxnSp macro="">
        <xdr:nvCxnSpPr>
          <xdr:cNvPr id="3" name="Reference">
            <a:extLst>
              <a:ext uri="{FF2B5EF4-FFF2-40B4-BE49-F238E27FC236}">
                <a16:creationId xmlns:a16="http://schemas.microsoft.com/office/drawing/2014/main" id="{00000000-0008-0000-29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2900-00000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6" name="6: Payment">
            <a:hlinkClick xmlns:r="http://schemas.openxmlformats.org/officeDocument/2006/relationships" r:id="rId13" tooltip="Payment"/>
            <a:extLst>
              <a:ext uri="{FF2B5EF4-FFF2-40B4-BE49-F238E27FC236}">
                <a16:creationId xmlns:a16="http://schemas.microsoft.com/office/drawing/2014/main" id="{00000000-0008-0000-2900-000006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3" name="5: Equipment Input">
            <a:hlinkClick xmlns:r="http://schemas.openxmlformats.org/officeDocument/2006/relationships" r:id="rId14" tooltip="Equipment Input"/>
            <a:extLst>
              <a:ext uri="{FF2B5EF4-FFF2-40B4-BE49-F238E27FC236}">
                <a16:creationId xmlns:a16="http://schemas.microsoft.com/office/drawing/2014/main" id="{00000000-0008-0000-2900-000017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4" name="4: Building Information">
            <a:hlinkClick xmlns:r="http://schemas.openxmlformats.org/officeDocument/2006/relationships" r:id="rId15" tooltip="Building Information"/>
            <a:extLst>
              <a:ext uri="{FF2B5EF4-FFF2-40B4-BE49-F238E27FC236}">
                <a16:creationId xmlns:a16="http://schemas.microsoft.com/office/drawing/2014/main" id="{00000000-0008-0000-2900-000018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5" name="3: Customer Information">
            <a:hlinkClick xmlns:r="http://schemas.openxmlformats.org/officeDocument/2006/relationships" r:id="rId16" tooltip="Customer Information"/>
            <a:extLst>
              <a:ext uri="{FF2B5EF4-FFF2-40B4-BE49-F238E27FC236}">
                <a16:creationId xmlns:a16="http://schemas.microsoft.com/office/drawing/2014/main" id="{00000000-0008-0000-2900-000019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9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7" name="1: T&amp;C's">
            <a:hlinkClick xmlns:r="http://schemas.openxmlformats.org/officeDocument/2006/relationships" r:id="rId18" tooltip="Terms &amp; Conditions"/>
            <a:extLst>
              <a:ext uri="{FF2B5EF4-FFF2-40B4-BE49-F238E27FC236}">
                <a16:creationId xmlns:a16="http://schemas.microsoft.com/office/drawing/2014/main" id="{00000000-0008-0000-2900-00001B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8" name="Header">
          <a:extLst>
            <a:ext uri="{FF2B5EF4-FFF2-40B4-BE49-F238E27FC236}">
              <a16:creationId xmlns:a16="http://schemas.microsoft.com/office/drawing/2014/main" id="{00000000-0008-0000-2900-000008000000}"/>
            </a:ext>
          </a:extLst>
        </xdr:cNvPr>
        <xdr:cNvGrpSpPr/>
      </xdr:nvGrpSpPr>
      <xdr:grpSpPr>
        <a:xfrm>
          <a:off x="0" y="0"/>
          <a:ext cx="15374471" cy="605336"/>
          <a:chOff x="0" y="1452064"/>
          <a:chExt cx="15813740" cy="591889"/>
        </a:xfrm>
      </xdr:grpSpPr>
      <xdr:grpSp>
        <xdr:nvGrpSpPr>
          <xdr:cNvPr id="30" name="Header">
            <a:extLst>
              <a:ext uri="{FF2B5EF4-FFF2-40B4-BE49-F238E27FC236}">
                <a16:creationId xmlns:a16="http://schemas.microsoft.com/office/drawing/2014/main" id="{00000000-0008-0000-2900-00001E000000}"/>
              </a:ext>
            </a:extLst>
          </xdr:cNvPr>
          <xdr:cNvGrpSpPr/>
        </xdr:nvGrpSpPr>
        <xdr:grpSpPr>
          <a:xfrm>
            <a:off x="0" y="1452064"/>
            <a:ext cx="15813740" cy="591889"/>
            <a:chOff x="0" y="1452064"/>
            <a:chExt cx="15813740" cy="591889"/>
          </a:xfrm>
        </xdr:grpSpPr>
        <xdr:sp macro="" textlink="">
          <xdr:nvSpPr>
            <xdr:cNvPr id="38" name="Reference">
              <a:extLst>
                <a:ext uri="{FF2B5EF4-FFF2-40B4-BE49-F238E27FC236}">
                  <a16:creationId xmlns:a16="http://schemas.microsoft.com/office/drawing/2014/main" id="{00000000-0008-0000-2900-000026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2900-000027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Completion Form">
              <a:hlinkClick xmlns:r="http://schemas.openxmlformats.org/officeDocument/2006/relationships" r:id="rId20" tooltip=" "/>
              <a:extLst>
                <a:ext uri="{FF2B5EF4-FFF2-40B4-BE49-F238E27FC236}">
                  <a16:creationId xmlns:a16="http://schemas.microsoft.com/office/drawing/2014/main" id="{00000000-0008-0000-2900-000028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ffer Form">
              <a:hlinkClick xmlns:r="http://schemas.openxmlformats.org/officeDocument/2006/relationships" r:id="rId21" tooltip=" "/>
              <a:extLst>
                <a:ext uri="{FF2B5EF4-FFF2-40B4-BE49-F238E27FC236}">
                  <a16:creationId xmlns:a16="http://schemas.microsoft.com/office/drawing/2014/main" id="{00000000-0008-0000-2900-000029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centives">
              <a:extLst>
                <a:ext uri="{FF2B5EF4-FFF2-40B4-BE49-F238E27FC236}">
                  <a16:creationId xmlns:a16="http://schemas.microsoft.com/office/drawing/2014/main" id="{00000000-0008-0000-2900-00002A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3" name="Instructions">
              <a:hlinkClick xmlns:r="http://schemas.openxmlformats.org/officeDocument/2006/relationships" r:id="rId22" tooltip="Instructions"/>
              <a:extLst>
                <a:ext uri="{FF2B5EF4-FFF2-40B4-BE49-F238E27FC236}">
                  <a16:creationId xmlns:a16="http://schemas.microsoft.com/office/drawing/2014/main" id="{00000000-0008-0000-2900-00002B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Welcome">
              <a:hlinkClick xmlns:r="http://schemas.openxmlformats.org/officeDocument/2006/relationships" r:id="rId23" tooltip="Welcome"/>
              <a:extLst>
                <a:ext uri="{FF2B5EF4-FFF2-40B4-BE49-F238E27FC236}">
                  <a16:creationId xmlns:a16="http://schemas.microsoft.com/office/drawing/2014/main" id="{00000000-0008-0000-2900-00002C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Evergy Logo">
              <a:extLst>
                <a:ext uri="{FF2B5EF4-FFF2-40B4-BE49-F238E27FC236}">
                  <a16:creationId xmlns:a16="http://schemas.microsoft.com/office/drawing/2014/main" id="{00000000-0008-0000-2900-00002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6" name="State">
              <a:extLst>
                <a:ext uri="{FF2B5EF4-FFF2-40B4-BE49-F238E27FC236}">
                  <a16:creationId xmlns:a16="http://schemas.microsoft.com/office/drawing/2014/main" id="{00000000-0008-0000-2900-00002E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900-00001F000000}"/>
              </a:ext>
            </a:extLst>
          </xdr:cNvPr>
          <xdr:cNvGrpSpPr/>
        </xdr:nvGrpSpPr>
        <xdr:grpSpPr>
          <a:xfrm>
            <a:off x="1613405" y="1537433"/>
            <a:ext cx="11616513" cy="423049"/>
            <a:chOff x="1612951" y="85725"/>
            <a:chExt cx="11618931" cy="423022"/>
          </a:xfrm>
        </xdr:grpSpPr>
        <xdr:cxnSp macro="">
          <xdr:nvCxnSpPr>
            <xdr:cNvPr id="33" name="Divider 4">
              <a:extLst>
                <a:ext uri="{FF2B5EF4-FFF2-40B4-BE49-F238E27FC236}">
                  <a16:creationId xmlns:a16="http://schemas.microsoft.com/office/drawing/2014/main" id="{00000000-0008-0000-2900-00002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2900-00002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9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9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31</xdr:col>
      <xdr:colOff>119530</xdr:colOff>
      <xdr:row>13</xdr:row>
      <xdr:rowOff>164353</xdr:rowOff>
    </xdr:from>
    <xdr:to>
      <xdr:col>38</xdr:col>
      <xdr:colOff>19503</xdr:colOff>
      <xdr:row>17</xdr:row>
      <xdr:rowOff>135026</xdr:rowOff>
    </xdr:to>
    <xdr:pic>
      <xdr:nvPicPr>
        <xdr:cNvPr id="28" name="Evergy 2">
          <a:extLst>
            <a:ext uri="{FF2B5EF4-FFF2-40B4-BE49-F238E27FC236}">
              <a16:creationId xmlns:a16="http://schemas.microsoft.com/office/drawing/2014/main" id="{00000000-0008-0000-2A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A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A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2" tooltip="Project Review"/>
            <a:extLst>
              <a:ext uri="{FF2B5EF4-FFF2-40B4-BE49-F238E27FC236}">
                <a16:creationId xmlns:a16="http://schemas.microsoft.com/office/drawing/2014/main" id="{00000000-0008-0000-2A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3" tooltip="Payment"/>
            <a:extLst>
              <a:ext uri="{FF2B5EF4-FFF2-40B4-BE49-F238E27FC236}">
                <a16:creationId xmlns:a16="http://schemas.microsoft.com/office/drawing/2014/main" id="{00000000-0008-0000-2A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4" tooltip="Equipment Input"/>
            <a:extLst>
              <a:ext uri="{FF2B5EF4-FFF2-40B4-BE49-F238E27FC236}">
                <a16:creationId xmlns:a16="http://schemas.microsoft.com/office/drawing/2014/main" id="{00000000-0008-0000-2A00-00001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5" tooltip="Building Information"/>
            <a:extLst>
              <a:ext uri="{FF2B5EF4-FFF2-40B4-BE49-F238E27FC236}">
                <a16:creationId xmlns:a16="http://schemas.microsoft.com/office/drawing/2014/main" id="{00000000-0008-0000-2A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6" tooltip="Customer Information"/>
            <a:extLst>
              <a:ext uri="{FF2B5EF4-FFF2-40B4-BE49-F238E27FC236}">
                <a16:creationId xmlns:a16="http://schemas.microsoft.com/office/drawing/2014/main" id="{00000000-0008-0000-2A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A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8" tooltip="Terms &amp; Conditions"/>
            <a:extLst>
              <a:ext uri="{FF2B5EF4-FFF2-40B4-BE49-F238E27FC236}">
                <a16:creationId xmlns:a16="http://schemas.microsoft.com/office/drawing/2014/main" id="{00000000-0008-0000-2A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5" name="Header">
          <a:extLst>
            <a:ext uri="{FF2B5EF4-FFF2-40B4-BE49-F238E27FC236}">
              <a16:creationId xmlns:a16="http://schemas.microsoft.com/office/drawing/2014/main" id="{00000000-0008-0000-2A00-000019000000}"/>
            </a:ext>
          </a:extLst>
        </xdr:cNvPr>
        <xdr:cNvGrpSpPr/>
      </xdr:nvGrpSpPr>
      <xdr:grpSpPr>
        <a:xfrm>
          <a:off x="0" y="0"/>
          <a:ext cx="15374471" cy="605336"/>
          <a:chOff x="0" y="1452064"/>
          <a:chExt cx="15813740" cy="591889"/>
        </a:xfrm>
      </xdr:grpSpPr>
      <xdr:grpSp>
        <xdr:nvGrpSpPr>
          <xdr:cNvPr id="26" name="Header">
            <a:extLst>
              <a:ext uri="{FF2B5EF4-FFF2-40B4-BE49-F238E27FC236}">
                <a16:creationId xmlns:a16="http://schemas.microsoft.com/office/drawing/2014/main" id="{00000000-0008-0000-2A00-00001A000000}"/>
              </a:ext>
            </a:extLst>
          </xdr:cNvPr>
          <xdr:cNvGrpSpPr/>
        </xdr:nvGrpSpPr>
        <xdr:grpSpPr>
          <a:xfrm>
            <a:off x="0" y="1452064"/>
            <a:ext cx="15813740" cy="591889"/>
            <a:chOff x="0" y="1452064"/>
            <a:chExt cx="15813740" cy="591889"/>
          </a:xfrm>
        </xdr:grpSpPr>
        <xdr:sp macro="" textlink="">
          <xdr:nvSpPr>
            <xdr:cNvPr id="33" name="Reference">
              <a:extLst>
                <a:ext uri="{FF2B5EF4-FFF2-40B4-BE49-F238E27FC236}">
                  <a16:creationId xmlns:a16="http://schemas.microsoft.com/office/drawing/2014/main" id="{00000000-0008-0000-2A00-000021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ntact">
              <a:hlinkClick xmlns:r="http://schemas.openxmlformats.org/officeDocument/2006/relationships" r:id="rId9" tooltip="Contact"/>
              <a:extLst>
                <a:ext uri="{FF2B5EF4-FFF2-40B4-BE49-F238E27FC236}">
                  <a16:creationId xmlns:a16="http://schemas.microsoft.com/office/drawing/2014/main" id="{00000000-0008-0000-2A00-00002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mpletion Form">
              <a:hlinkClick xmlns:r="http://schemas.openxmlformats.org/officeDocument/2006/relationships" r:id="rId10" tooltip=" "/>
              <a:extLst>
                <a:ext uri="{FF2B5EF4-FFF2-40B4-BE49-F238E27FC236}">
                  <a16:creationId xmlns:a16="http://schemas.microsoft.com/office/drawing/2014/main" id="{00000000-0008-0000-2A00-00002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ffer Form">
              <a:hlinkClick xmlns:r="http://schemas.openxmlformats.org/officeDocument/2006/relationships" r:id="rId11" tooltip=" "/>
              <a:extLst>
                <a:ext uri="{FF2B5EF4-FFF2-40B4-BE49-F238E27FC236}">
                  <a16:creationId xmlns:a16="http://schemas.microsoft.com/office/drawing/2014/main" id="{00000000-0008-0000-2A00-00002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Incentives">
              <a:extLst>
                <a:ext uri="{FF2B5EF4-FFF2-40B4-BE49-F238E27FC236}">
                  <a16:creationId xmlns:a16="http://schemas.microsoft.com/office/drawing/2014/main" id="{00000000-0008-0000-2A00-000025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8" name="Instructions">
              <a:hlinkClick xmlns:r="http://schemas.openxmlformats.org/officeDocument/2006/relationships" r:id="rId12" tooltip="Instructions"/>
              <a:extLst>
                <a:ext uri="{FF2B5EF4-FFF2-40B4-BE49-F238E27FC236}">
                  <a16:creationId xmlns:a16="http://schemas.microsoft.com/office/drawing/2014/main" id="{00000000-0008-0000-2A00-000026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3" tooltip="Welcome"/>
              <a:extLst>
                <a:ext uri="{FF2B5EF4-FFF2-40B4-BE49-F238E27FC236}">
                  <a16:creationId xmlns:a16="http://schemas.microsoft.com/office/drawing/2014/main" id="{00000000-0008-0000-2A00-000027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2A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1" name="State">
              <a:extLst>
                <a:ext uri="{FF2B5EF4-FFF2-40B4-BE49-F238E27FC236}">
                  <a16:creationId xmlns:a16="http://schemas.microsoft.com/office/drawing/2014/main" id="{00000000-0008-0000-2A00-000029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A00-00001B000000}"/>
              </a:ext>
            </a:extLst>
          </xdr:cNvPr>
          <xdr:cNvGrpSpPr/>
        </xdr:nvGrpSpPr>
        <xdr:grpSpPr>
          <a:xfrm>
            <a:off x="1613405" y="1537433"/>
            <a:ext cx="11616513" cy="423049"/>
            <a:chOff x="1612951" y="85725"/>
            <a:chExt cx="11618931" cy="423022"/>
          </a:xfrm>
        </xdr:grpSpPr>
        <xdr:cxnSp macro="">
          <xdr:nvCxnSpPr>
            <xdr:cNvPr id="29" name="Divider 4">
              <a:extLst>
                <a:ext uri="{FF2B5EF4-FFF2-40B4-BE49-F238E27FC236}">
                  <a16:creationId xmlns:a16="http://schemas.microsoft.com/office/drawing/2014/main" id="{00000000-0008-0000-2A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2A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2A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2A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30480</xdr:colOff>
          <xdr:row>44</xdr:row>
          <xdr:rowOff>106680</xdr:rowOff>
        </xdr:from>
        <xdr:to>
          <xdr:col>12</xdr:col>
          <xdr:colOff>259080</xdr:colOff>
          <xdr:row>47</xdr:row>
          <xdr:rowOff>30480</xdr:rowOff>
        </xdr:to>
        <xdr:grpSp>
          <xdr:nvGrpSpPr>
            <xdr:cNvPr id="27" name="Review">
              <a:extLst>
                <a:ext uri="{FF2B5EF4-FFF2-40B4-BE49-F238E27FC236}">
                  <a16:creationId xmlns:a16="http://schemas.microsoft.com/office/drawing/2014/main" id="{00000000-0008-0000-2B00-00001B000000}"/>
                </a:ext>
              </a:extLst>
            </xdr:cNvPr>
            <xdr:cNvGrpSpPr/>
          </xdr:nvGrpSpPr>
          <xdr:grpSpPr>
            <a:xfrm>
              <a:off x="3795656" y="8981739"/>
              <a:ext cx="228600" cy="528917"/>
              <a:chOff x="3903233" y="8784316"/>
              <a:chExt cx="228600" cy="515505"/>
            </a:xfrm>
          </xdr:grpSpPr>
          <xdr:sp macro="" textlink="">
            <xdr:nvSpPr>
              <xdr:cNvPr id="59394" name="Review: Custom" hidden="1">
                <a:extLst>
                  <a:ext uri="{63B3BB69-23CF-44E3-9099-C40C66FF867C}">
                    <a14:compatExt spid="_x0000_s59394"/>
                  </a:ext>
                  <a:ext uri="{FF2B5EF4-FFF2-40B4-BE49-F238E27FC236}">
                    <a16:creationId xmlns:a16="http://schemas.microsoft.com/office/drawing/2014/main" id="{00000000-0008-0000-2A00-000002E80000}"/>
                  </a:ext>
                </a:extLst>
              </xdr:cNvPr>
              <xdr:cNvSpPr/>
            </xdr:nvSpPr>
            <xdr:spPr bwMode="auto">
              <a:xfrm>
                <a:off x="3903233" y="9079737"/>
                <a:ext cx="228600" cy="22008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59393" name="Review Std" hidden="1">
                <a:extLst>
                  <a:ext uri="{63B3BB69-23CF-44E3-9099-C40C66FF867C}">
                    <a14:compatExt spid="_x0000_s59393"/>
                  </a:ext>
                  <a:ext uri="{FF2B5EF4-FFF2-40B4-BE49-F238E27FC236}">
                    <a16:creationId xmlns:a16="http://schemas.microsoft.com/office/drawing/2014/main" id="{00000000-0008-0000-2A00-000001E80000}"/>
                  </a:ext>
                </a:extLst>
              </xdr:cNvPr>
              <xdr:cNvSpPr/>
            </xdr:nvSpPr>
            <xdr:spPr bwMode="auto">
              <a:xfrm>
                <a:off x="3903233" y="8784316"/>
                <a:ext cx="228600" cy="20484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xdr:from>
      <xdr:col>28</xdr:col>
      <xdr:colOff>29134</xdr:colOff>
      <xdr:row>40</xdr:row>
      <xdr:rowOff>197224</xdr:rowOff>
    </xdr:from>
    <xdr:to>
      <xdr:col>30</xdr:col>
      <xdr:colOff>0</xdr:colOff>
      <xdr:row>41</xdr:row>
      <xdr:rowOff>156883</xdr:rowOff>
    </xdr:to>
    <xdr:sp macro="" textlink="">
      <xdr:nvSpPr>
        <xdr:cNvPr id="20" name="Payment">
          <a:hlinkClick xmlns:r="http://schemas.openxmlformats.org/officeDocument/2006/relationships" r:id="rId1" tooltip="Payment"/>
          <a:extLst>
            <a:ext uri="{FF2B5EF4-FFF2-40B4-BE49-F238E27FC236}">
              <a16:creationId xmlns:a16="http://schemas.microsoft.com/office/drawing/2014/main" id="{00000000-0008-0000-2B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119530</xdr:colOff>
      <xdr:row>13</xdr:row>
      <xdr:rowOff>164353</xdr:rowOff>
    </xdr:from>
    <xdr:to>
      <xdr:col>38</xdr:col>
      <xdr:colOff>19503</xdr:colOff>
      <xdr:row>17</xdr:row>
      <xdr:rowOff>135026</xdr:rowOff>
    </xdr:to>
    <xdr:pic>
      <xdr:nvPicPr>
        <xdr:cNvPr id="30" name="Evergy 2">
          <a:extLst>
            <a:ext uri="{FF2B5EF4-FFF2-40B4-BE49-F238E27FC236}">
              <a16:creationId xmlns:a16="http://schemas.microsoft.com/office/drawing/2014/main" id="{00000000-0008-0000-2B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28</xdr:col>
      <xdr:colOff>197223</xdr:colOff>
      <xdr:row>10</xdr:row>
      <xdr:rowOff>22412</xdr:rowOff>
    </xdr:from>
    <xdr:to>
      <xdr:col>32</xdr:col>
      <xdr:colOff>197223</xdr:colOff>
      <xdr:row>11</xdr:row>
      <xdr:rowOff>11206</xdr:rowOff>
    </xdr:to>
    <xdr:sp macro="" textlink="">
      <xdr:nvSpPr>
        <xdr:cNvPr id="26" name="Equipment Input">
          <a:hlinkClick xmlns:r="http://schemas.openxmlformats.org/officeDocument/2006/relationships" r:id="rId3" tooltip="Equipment Input"/>
          <a:extLst>
            <a:ext uri="{FF2B5EF4-FFF2-40B4-BE49-F238E27FC236}">
              <a16:creationId xmlns:a16="http://schemas.microsoft.com/office/drawing/2014/main" id="{00000000-0008-0000-2B00-00001A000000}"/>
            </a:ext>
          </a:extLst>
        </xdr:cNvPr>
        <xdr:cNvSpPr/>
      </xdr:nvSpPr>
      <xdr:spPr>
        <a:xfrm>
          <a:off x="9233647" y="1994647"/>
          <a:ext cx="1290917" cy="1860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B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B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4" tooltip="Project Review"/>
            <a:extLst>
              <a:ext uri="{FF2B5EF4-FFF2-40B4-BE49-F238E27FC236}">
                <a16:creationId xmlns:a16="http://schemas.microsoft.com/office/drawing/2014/main" id="{00000000-0008-0000-2B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5" tooltip="Payment"/>
            <a:extLst>
              <a:ext uri="{FF2B5EF4-FFF2-40B4-BE49-F238E27FC236}">
                <a16:creationId xmlns:a16="http://schemas.microsoft.com/office/drawing/2014/main" id="{00000000-0008-0000-2B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6" tooltip="Equipment Input"/>
            <a:extLst>
              <a:ext uri="{FF2B5EF4-FFF2-40B4-BE49-F238E27FC236}">
                <a16:creationId xmlns:a16="http://schemas.microsoft.com/office/drawing/2014/main" id="{00000000-0008-0000-2B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7" tooltip="Building Information"/>
            <a:extLst>
              <a:ext uri="{FF2B5EF4-FFF2-40B4-BE49-F238E27FC236}">
                <a16:creationId xmlns:a16="http://schemas.microsoft.com/office/drawing/2014/main" id="{00000000-0008-0000-2B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8" tooltip="Customer Information"/>
            <a:extLst>
              <a:ext uri="{FF2B5EF4-FFF2-40B4-BE49-F238E27FC236}">
                <a16:creationId xmlns:a16="http://schemas.microsoft.com/office/drawing/2014/main" id="{00000000-0008-0000-2B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9" tooltip="Trade Ally/Vendor Information"/>
            <a:extLst>
              <a:ext uri="{FF2B5EF4-FFF2-40B4-BE49-F238E27FC236}">
                <a16:creationId xmlns:a16="http://schemas.microsoft.com/office/drawing/2014/main" id="{00000000-0008-0000-2B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0" tooltip="Terms &amp; Conditions"/>
            <a:extLst>
              <a:ext uri="{FF2B5EF4-FFF2-40B4-BE49-F238E27FC236}">
                <a16:creationId xmlns:a16="http://schemas.microsoft.com/office/drawing/2014/main" id="{00000000-0008-0000-2B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8" name="Header">
          <a:extLst>
            <a:ext uri="{FF2B5EF4-FFF2-40B4-BE49-F238E27FC236}">
              <a16:creationId xmlns:a16="http://schemas.microsoft.com/office/drawing/2014/main" id="{00000000-0008-0000-2B00-00001C000000}"/>
            </a:ext>
          </a:extLst>
        </xdr:cNvPr>
        <xdr:cNvGrpSpPr/>
      </xdr:nvGrpSpPr>
      <xdr:grpSpPr>
        <a:xfrm>
          <a:off x="0" y="0"/>
          <a:ext cx="15374471" cy="605336"/>
          <a:chOff x="0" y="1452064"/>
          <a:chExt cx="15813740" cy="591889"/>
        </a:xfrm>
      </xdr:grpSpPr>
      <xdr:grpSp>
        <xdr:nvGrpSpPr>
          <xdr:cNvPr id="29" name="Header">
            <a:extLst>
              <a:ext uri="{FF2B5EF4-FFF2-40B4-BE49-F238E27FC236}">
                <a16:creationId xmlns:a16="http://schemas.microsoft.com/office/drawing/2014/main" id="{00000000-0008-0000-2B00-00001D000000}"/>
              </a:ext>
            </a:extLst>
          </xdr:cNvPr>
          <xdr:cNvGrpSpPr/>
        </xdr:nvGrpSpPr>
        <xdr:grpSpPr>
          <a:xfrm>
            <a:off x="0" y="1452064"/>
            <a:ext cx="15813740" cy="591889"/>
            <a:chOff x="0" y="1452064"/>
            <a:chExt cx="15813740" cy="591889"/>
          </a:xfrm>
        </xdr:grpSpPr>
        <xdr:sp macro="" textlink="">
          <xdr:nvSpPr>
            <xdr:cNvPr id="36" name="Reference">
              <a:extLst>
                <a:ext uri="{FF2B5EF4-FFF2-40B4-BE49-F238E27FC236}">
                  <a16:creationId xmlns:a16="http://schemas.microsoft.com/office/drawing/2014/main" id="{00000000-0008-0000-2B00-000024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1" tooltip="Contact"/>
              <a:extLst>
                <a:ext uri="{FF2B5EF4-FFF2-40B4-BE49-F238E27FC236}">
                  <a16:creationId xmlns:a16="http://schemas.microsoft.com/office/drawing/2014/main" id="{00000000-0008-0000-2B00-00002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2" tooltip=" "/>
              <a:extLst>
                <a:ext uri="{FF2B5EF4-FFF2-40B4-BE49-F238E27FC236}">
                  <a16:creationId xmlns:a16="http://schemas.microsoft.com/office/drawing/2014/main" id="{00000000-0008-0000-2B00-00002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3" tooltip=" "/>
              <a:extLst>
                <a:ext uri="{FF2B5EF4-FFF2-40B4-BE49-F238E27FC236}">
                  <a16:creationId xmlns:a16="http://schemas.microsoft.com/office/drawing/2014/main" id="{00000000-0008-0000-2B00-00002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centives">
              <a:extLst>
                <a:ext uri="{FF2B5EF4-FFF2-40B4-BE49-F238E27FC236}">
                  <a16:creationId xmlns:a16="http://schemas.microsoft.com/office/drawing/2014/main" id="{00000000-0008-0000-2B00-00002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1" name="Instructions">
              <a:hlinkClick xmlns:r="http://schemas.openxmlformats.org/officeDocument/2006/relationships" r:id="rId14" tooltip="Instructions"/>
              <a:extLst>
                <a:ext uri="{FF2B5EF4-FFF2-40B4-BE49-F238E27FC236}">
                  <a16:creationId xmlns:a16="http://schemas.microsoft.com/office/drawing/2014/main" id="{00000000-0008-0000-2B00-00002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Welcome">
              <a:hlinkClick xmlns:r="http://schemas.openxmlformats.org/officeDocument/2006/relationships" r:id="rId15" tooltip="Welcome"/>
              <a:extLst>
                <a:ext uri="{FF2B5EF4-FFF2-40B4-BE49-F238E27FC236}">
                  <a16:creationId xmlns:a16="http://schemas.microsoft.com/office/drawing/2014/main" id="{00000000-0008-0000-2B00-00002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3" name="Evergy Logo">
              <a:extLst>
                <a:ext uri="{FF2B5EF4-FFF2-40B4-BE49-F238E27FC236}">
                  <a16:creationId xmlns:a16="http://schemas.microsoft.com/office/drawing/2014/main" id="{00000000-0008-0000-2B00-00002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4" name="State">
              <a:extLst>
                <a:ext uri="{FF2B5EF4-FFF2-40B4-BE49-F238E27FC236}">
                  <a16:creationId xmlns:a16="http://schemas.microsoft.com/office/drawing/2014/main" id="{00000000-0008-0000-2B00-00002C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B00-00001F000000}"/>
              </a:ext>
            </a:extLst>
          </xdr:cNvPr>
          <xdr:cNvGrpSpPr/>
        </xdr:nvGrpSpPr>
        <xdr:grpSpPr>
          <a:xfrm>
            <a:off x="1613405" y="1537433"/>
            <a:ext cx="11616513" cy="423049"/>
            <a:chOff x="1612951" y="85725"/>
            <a:chExt cx="11618931" cy="423022"/>
          </a:xfrm>
        </xdr:grpSpPr>
        <xdr:cxnSp macro="">
          <xdr:nvCxnSpPr>
            <xdr:cNvPr id="32" name="Divider 4">
              <a:extLst>
                <a:ext uri="{FF2B5EF4-FFF2-40B4-BE49-F238E27FC236}">
                  <a16:creationId xmlns:a16="http://schemas.microsoft.com/office/drawing/2014/main" id="{00000000-0008-0000-2B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2B00-00002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2B00-00002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2B00-00002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3</xdr:row>
      <xdr:rowOff>0</xdr:rowOff>
    </xdr:from>
    <xdr:to>
      <xdr:col>42</xdr:col>
      <xdr:colOff>236220</xdr:colOff>
      <xdr:row>8</xdr:row>
      <xdr:rowOff>0</xdr:rowOff>
    </xdr:to>
    <xdr:grpSp>
      <xdr:nvGrpSpPr>
        <xdr:cNvPr id="14" name="Navigation">
          <a:extLst>
            <a:ext uri="{FF2B5EF4-FFF2-40B4-BE49-F238E27FC236}">
              <a16:creationId xmlns:a16="http://schemas.microsoft.com/office/drawing/2014/main" id="{00000000-0008-0000-2C00-00000E000000}"/>
            </a:ext>
          </a:extLst>
        </xdr:cNvPr>
        <xdr:cNvGrpSpPr/>
      </xdr:nvGrpSpPr>
      <xdr:grpSpPr>
        <a:xfrm>
          <a:off x="2196353" y="605118"/>
          <a:ext cx="11217985" cy="1008529"/>
          <a:chOff x="1610956" y="594360"/>
          <a:chExt cx="11437620" cy="990600"/>
        </a:xfrm>
      </xdr:grpSpPr>
      <xdr:cxnSp macro="">
        <xdr:nvCxnSpPr>
          <xdr:cNvPr id="15" name="Reference">
            <a:extLst>
              <a:ext uri="{FF2B5EF4-FFF2-40B4-BE49-F238E27FC236}">
                <a16:creationId xmlns:a16="http://schemas.microsoft.com/office/drawing/2014/main" id="{00000000-0008-0000-2C00-00000F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6" name="7: Project Review">
            <a:hlinkClick xmlns:r="http://schemas.openxmlformats.org/officeDocument/2006/relationships" r:id="rId1" tooltip="Project Review"/>
            <a:extLst>
              <a:ext uri="{FF2B5EF4-FFF2-40B4-BE49-F238E27FC236}">
                <a16:creationId xmlns:a16="http://schemas.microsoft.com/office/drawing/2014/main" id="{00000000-0008-0000-2C00-000010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7" name="6: Payment">
            <a:hlinkClick xmlns:r="http://schemas.openxmlformats.org/officeDocument/2006/relationships" r:id="rId2" tooltip="Payment"/>
            <a:extLst>
              <a:ext uri="{FF2B5EF4-FFF2-40B4-BE49-F238E27FC236}">
                <a16:creationId xmlns:a16="http://schemas.microsoft.com/office/drawing/2014/main" id="{00000000-0008-0000-2C00-000011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9" name="5: Equipment Input">
            <a:hlinkClick xmlns:r="http://schemas.openxmlformats.org/officeDocument/2006/relationships" r:id="rId3" tooltip="Equipment Input"/>
            <a:extLst>
              <a:ext uri="{FF2B5EF4-FFF2-40B4-BE49-F238E27FC236}">
                <a16:creationId xmlns:a16="http://schemas.microsoft.com/office/drawing/2014/main" id="{00000000-0008-0000-2C00-000013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0" name="4: Building Information">
            <a:hlinkClick xmlns:r="http://schemas.openxmlformats.org/officeDocument/2006/relationships" r:id="rId4" tooltip="Building Information"/>
            <a:extLst>
              <a:ext uri="{FF2B5EF4-FFF2-40B4-BE49-F238E27FC236}">
                <a16:creationId xmlns:a16="http://schemas.microsoft.com/office/drawing/2014/main" id="{00000000-0008-0000-2C00-000014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5" tooltip="Customer Information"/>
            <a:extLst>
              <a:ext uri="{FF2B5EF4-FFF2-40B4-BE49-F238E27FC236}">
                <a16:creationId xmlns:a16="http://schemas.microsoft.com/office/drawing/2014/main" id="{00000000-0008-0000-2C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6" tooltip="Trade Ally/Vendor Information"/>
            <a:extLst>
              <a:ext uri="{FF2B5EF4-FFF2-40B4-BE49-F238E27FC236}">
                <a16:creationId xmlns:a16="http://schemas.microsoft.com/office/drawing/2014/main" id="{00000000-0008-0000-2C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0" name="1: T&amp;C's">
            <a:hlinkClick xmlns:r="http://schemas.openxmlformats.org/officeDocument/2006/relationships" r:id="rId7" tooltip="Terms &amp; Conditions"/>
            <a:extLst>
              <a:ext uri="{FF2B5EF4-FFF2-40B4-BE49-F238E27FC236}">
                <a16:creationId xmlns:a16="http://schemas.microsoft.com/office/drawing/2014/main" id="{00000000-0008-0000-2C00-00001E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2C00-000002000000}"/>
            </a:ext>
          </a:extLst>
        </xdr:cNvPr>
        <xdr:cNvGrpSpPr/>
      </xdr:nvGrpSpPr>
      <xdr:grpSpPr>
        <a:xfrm>
          <a:off x="0" y="0"/>
          <a:ext cx="15374471" cy="605336"/>
          <a:chOff x="0" y="1452064"/>
          <a:chExt cx="15813740" cy="591889"/>
        </a:xfrm>
      </xdr:grpSpPr>
      <xdr:grpSp>
        <xdr:nvGrpSpPr>
          <xdr:cNvPr id="3" name="Header">
            <a:extLst>
              <a:ext uri="{FF2B5EF4-FFF2-40B4-BE49-F238E27FC236}">
                <a16:creationId xmlns:a16="http://schemas.microsoft.com/office/drawing/2014/main" id="{00000000-0008-0000-2C00-000003000000}"/>
              </a:ext>
            </a:extLst>
          </xdr:cNvPr>
          <xdr:cNvGrpSpPr/>
        </xdr:nvGrpSpPr>
        <xdr:grpSpPr>
          <a:xfrm>
            <a:off x="0" y="1452064"/>
            <a:ext cx="15813740" cy="591889"/>
            <a:chOff x="0" y="1452064"/>
            <a:chExt cx="15813740" cy="591889"/>
          </a:xfrm>
        </xdr:grpSpPr>
        <xdr:sp macro="" textlink="">
          <xdr:nvSpPr>
            <xdr:cNvPr id="9" name="Reference">
              <a:extLst>
                <a:ext uri="{FF2B5EF4-FFF2-40B4-BE49-F238E27FC236}">
                  <a16:creationId xmlns:a16="http://schemas.microsoft.com/office/drawing/2014/main" id="{00000000-0008-0000-2C00-000009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8" tooltip="Contact"/>
              <a:extLst>
                <a:ext uri="{FF2B5EF4-FFF2-40B4-BE49-F238E27FC236}">
                  <a16:creationId xmlns:a16="http://schemas.microsoft.com/office/drawing/2014/main" id="{00000000-0008-0000-2C00-00000A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9" tooltip=" "/>
              <a:extLst>
                <a:ext uri="{FF2B5EF4-FFF2-40B4-BE49-F238E27FC236}">
                  <a16:creationId xmlns:a16="http://schemas.microsoft.com/office/drawing/2014/main" id="{00000000-0008-0000-2C00-00000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10" tooltip=" "/>
              <a:extLst>
                <a:ext uri="{FF2B5EF4-FFF2-40B4-BE49-F238E27FC236}">
                  <a16:creationId xmlns:a16="http://schemas.microsoft.com/office/drawing/2014/main" id="{00000000-0008-0000-2C00-00000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centives">
              <a:extLst>
                <a:ext uri="{FF2B5EF4-FFF2-40B4-BE49-F238E27FC236}">
                  <a16:creationId xmlns:a16="http://schemas.microsoft.com/office/drawing/2014/main" id="{00000000-0008-0000-2C00-00000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18" name="Instructions">
              <a:hlinkClick xmlns:r="http://schemas.openxmlformats.org/officeDocument/2006/relationships" r:id="rId11" tooltip="Instructions"/>
              <a:extLst>
                <a:ext uri="{FF2B5EF4-FFF2-40B4-BE49-F238E27FC236}">
                  <a16:creationId xmlns:a16="http://schemas.microsoft.com/office/drawing/2014/main" id="{00000000-0008-0000-2C00-00001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Welcome">
              <a:hlinkClick xmlns:r="http://schemas.openxmlformats.org/officeDocument/2006/relationships" r:id="rId12" tooltip="Welcome"/>
              <a:extLst>
                <a:ext uri="{FF2B5EF4-FFF2-40B4-BE49-F238E27FC236}">
                  <a16:creationId xmlns:a16="http://schemas.microsoft.com/office/drawing/2014/main" id="{00000000-0008-0000-2C00-000015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2C00-00002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2C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2C00-000004000000}"/>
              </a:ext>
            </a:extLst>
          </xdr:cNvPr>
          <xdr:cNvGrpSpPr/>
        </xdr:nvGrpSpPr>
        <xdr:grpSpPr>
          <a:xfrm>
            <a:off x="1613405" y="1537433"/>
            <a:ext cx="11616513" cy="423049"/>
            <a:chOff x="1612951" y="85725"/>
            <a:chExt cx="11618931" cy="423022"/>
          </a:xfrm>
        </xdr:grpSpPr>
        <xdr:cxnSp macro="">
          <xdr:nvCxnSpPr>
            <xdr:cNvPr id="5" name="Divider 4">
              <a:extLst>
                <a:ext uri="{FF2B5EF4-FFF2-40B4-BE49-F238E27FC236}">
                  <a16:creationId xmlns:a16="http://schemas.microsoft.com/office/drawing/2014/main" id="{00000000-0008-0000-2C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2C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2C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2C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46</xdr:col>
      <xdr:colOff>0</xdr:colOff>
      <xdr:row>8</xdr:row>
      <xdr:rowOff>189318</xdr:rowOff>
    </xdr:from>
    <xdr:ext cx="544188" cy="405042"/>
    <xdr:sp macro="" textlink="">
      <xdr:nvSpPr>
        <xdr:cNvPr id="2" name="Arrow: Right M2S1">
          <a:hlinkClick xmlns:r="http://schemas.openxmlformats.org/officeDocument/2006/relationships" r:id="rId1" tooltip="Forward: Trade Ally/Vendor Information"/>
          <a:extLst>
            <a:ext uri="{FF2B5EF4-FFF2-40B4-BE49-F238E27FC236}">
              <a16:creationId xmlns:a16="http://schemas.microsoft.com/office/drawing/2014/main" id="{00000000-0008-0000-0C00-000002000000}"/>
            </a:ext>
          </a:extLst>
        </xdr:cNvPr>
        <xdr:cNvSpPr/>
      </xdr:nvSpPr>
      <xdr:spPr>
        <a:xfrm>
          <a:off x="13495663" y="1768402"/>
          <a:ext cx="545473" cy="402839"/>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100853</xdr:colOff>
      <xdr:row>8</xdr:row>
      <xdr:rowOff>189318</xdr:rowOff>
    </xdr:from>
    <xdr:ext cx="539227" cy="405042"/>
    <xdr:sp macro="" textlink="">
      <xdr:nvSpPr>
        <xdr:cNvPr id="25" name="Arrow: Left M2S1">
          <a:hlinkClick xmlns:r="http://schemas.openxmlformats.org/officeDocument/2006/relationships" r:id="rId2" tooltip="Back: Instructions"/>
          <a:extLst>
            <a:ext uri="{FF2B5EF4-FFF2-40B4-BE49-F238E27FC236}">
              <a16:creationId xmlns:a16="http://schemas.microsoft.com/office/drawing/2014/main" id="{00000000-0008-0000-0C00-000019000000}"/>
            </a:ext>
          </a:extLst>
        </xdr:cNvPr>
        <xdr:cNvSpPr/>
      </xdr:nvSpPr>
      <xdr:spPr>
        <a:xfrm>
          <a:off x="422178" y="1768402"/>
          <a:ext cx="541798"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6</xdr:col>
      <xdr:colOff>302558</xdr:colOff>
      <xdr:row>13</xdr:row>
      <xdr:rowOff>145677</xdr:rowOff>
    </xdr:from>
    <xdr:to>
      <xdr:col>15</xdr:col>
      <xdr:colOff>257736</xdr:colOff>
      <xdr:row>14</xdr:row>
      <xdr:rowOff>179294</xdr:rowOff>
    </xdr:to>
    <xdr:sp macro="" textlink="">
      <xdr:nvSpPr>
        <xdr:cNvPr id="18" name="Download">
          <a:hlinkClick xmlns:r="http://schemas.openxmlformats.org/officeDocument/2006/relationships" r:id="rId3"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24" name="Navigation">
          <a:extLst>
            <a:ext uri="{FF2B5EF4-FFF2-40B4-BE49-F238E27FC236}">
              <a16:creationId xmlns:a16="http://schemas.microsoft.com/office/drawing/2014/main" id="{00000000-0008-0000-0C00-000018000000}"/>
            </a:ext>
          </a:extLst>
        </xdr:cNvPr>
        <xdr:cNvGrpSpPr/>
      </xdr:nvGrpSpPr>
      <xdr:grpSpPr>
        <a:xfrm>
          <a:off x="2196353" y="605118"/>
          <a:ext cx="11217985" cy="1008529"/>
          <a:chOff x="1610956" y="594360"/>
          <a:chExt cx="11437620" cy="990600"/>
        </a:xfrm>
      </xdr:grpSpPr>
      <xdr:cxnSp macro="">
        <xdr:nvCxnSpPr>
          <xdr:cNvPr id="21" name="Reference">
            <a:extLst>
              <a:ext uri="{FF2B5EF4-FFF2-40B4-BE49-F238E27FC236}">
                <a16:creationId xmlns:a16="http://schemas.microsoft.com/office/drawing/2014/main" id="{00000000-0008-0000-0C00-000015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4" tooltip="Project Review"/>
            <a:extLst>
              <a:ext uri="{FF2B5EF4-FFF2-40B4-BE49-F238E27FC236}">
                <a16:creationId xmlns:a16="http://schemas.microsoft.com/office/drawing/2014/main" id="{00000000-0008-0000-0C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4" name="6: Payment">
            <a:hlinkClick xmlns:r="http://schemas.openxmlformats.org/officeDocument/2006/relationships" r:id="rId5" tooltip="Payment"/>
            <a:extLst>
              <a:ext uri="{FF2B5EF4-FFF2-40B4-BE49-F238E27FC236}">
                <a16:creationId xmlns:a16="http://schemas.microsoft.com/office/drawing/2014/main" id="{00000000-0008-0000-0C00-00000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3" name="5: Equipment Input">
            <a:hlinkClick xmlns:r="http://schemas.openxmlformats.org/officeDocument/2006/relationships" r:id="rId6" tooltip="Equipment Input"/>
            <a:extLst>
              <a:ext uri="{FF2B5EF4-FFF2-40B4-BE49-F238E27FC236}">
                <a16:creationId xmlns:a16="http://schemas.microsoft.com/office/drawing/2014/main" id="{00000000-0008-0000-0C00-00000D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2" name="4: Building Information">
            <a:hlinkClick xmlns:r="http://schemas.openxmlformats.org/officeDocument/2006/relationships" r:id="rId7" tooltip="Building Information"/>
            <a:extLst>
              <a:ext uri="{FF2B5EF4-FFF2-40B4-BE49-F238E27FC236}">
                <a16:creationId xmlns:a16="http://schemas.microsoft.com/office/drawing/2014/main" id="{00000000-0008-0000-0C00-00000C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1" name="3: Customer Information">
            <a:hlinkClick xmlns:r="http://schemas.openxmlformats.org/officeDocument/2006/relationships" r:id="rId8" tooltip="Customer Information"/>
            <a:extLst>
              <a:ext uri="{FF2B5EF4-FFF2-40B4-BE49-F238E27FC236}">
                <a16:creationId xmlns:a16="http://schemas.microsoft.com/office/drawing/2014/main" id="{00000000-0008-0000-0C00-00000B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0" name="2: Trade Ally Info">
            <a:hlinkClick xmlns:r="http://schemas.openxmlformats.org/officeDocument/2006/relationships" r:id="rId1" tooltip="Trade Ally/Vendor Information"/>
            <a:extLst>
              <a:ext uri="{FF2B5EF4-FFF2-40B4-BE49-F238E27FC236}">
                <a16:creationId xmlns:a16="http://schemas.microsoft.com/office/drawing/2014/main" id="{00000000-0008-0000-0C00-00000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9" name="1: T&amp;C's">
            <a:hlinkClick xmlns:r="http://schemas.openxmlformats.org/officeDocument/2006/relationships" r:id="rId9" tooltip="Terms &amp; Conditions"/>
            <a:extLst>
              <a:ext uri="{FF2B5EF4-FFF2-40B4-BE49-F238E27FC236}">
                <a16:creationId xmlns:a16="http://schemas.microsoft.com/office/drawing/2014/main" id="{00000000-0008-0000-0C00-000009000000}"/>
              </a:ext>
            </a:extLst>
          </xdr:cNvPr>
          <xdr:cNvSpPr/>
        </xdr:nvSpPr>
        <xdr:spPr>
          <a:xfrm>
            <a:off x="161095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8" name="Header">
          <a:extLst>
            <a:ext uri="{FF2B5EF4-FFF2-40B4-BE49-F238E27FC236}">
              <a16:creationId xmlns:a16="http://schemas.microsoft.com/office/drawing/2014/main" id="{00000000-0008-0000-0C00-00001C000000}"/>
            </a:ext>
          </a:extLst>
        </xdr:cNvPr>
        <xdr:cNvGrpSpPr/>
      </xdr:nvGrpSpPr>
      <xdr:grpSpPr>
        <a:xfrm>
          <a:off x="0" y="0"/>
          <a:ext cx="15374471" cy="605336"/>
          <a:chOff x="0" y="1452064"/>
          <a:chExt cx="15813740" cy="591889"/>
        </a:xfrm>
      </xdr:grpSpPr>
      <xdr:grpSp>
        <xdr:nvGrpSpPr>
          <xdr:cNvPr id="29" name="Header">
            <a:extLst>
              <a:ext uri="{FF2B5EF4-FFF2-40B4-BE49-F238E27FC236}">
                <a16:creationId xmlns:a16="http://schemas.microsoft.com/office/drawing/2014/main" id="{00000000-0008-0000-0C00-00001D000000}"/>
              </a:ext>
            </a:extLst>
          </xdr:cNvPr>
          <xdr:cNvGrpSpPr/>
        </xdr:nvGrpSpPr>
        <xdr:grpSpPr>
          <a:xfrm>
            <a:off x="0" y="1452064"/>
            <a:ext cx="15813740" cy="591889"/>
            <a:chOff x="0" y="1452064"/>
            <a:chExt cx="15813740" cy="591889"/>
          </a:xfrm>
        </xdr:grpSpPr>
        <xdr:sp macro="" textlink="">
          <xdr:nvSpPr>
            <xdr:cNvPr id="35" name="Reference">
              <a:extLst>
                <a:ext uri="{FF2B5EF4-FFF2-40B4-BE49-F238E27FC236}">
                  <a16:creationId xmlns:a16="http://schemas.microsoft.com/office/drawing/2014/main" id="{00000000-0008-0000-0C00-000023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0C00-000024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Form">
              <a:hlinkClick xmlns:r="http://schemas.openxmlformats.org/officeDocument/2006/relationships" r:id="rId11" tooltip=" "/>
              <a:extLst>
                <a:ext uri="{FF2B5EF4-FFF2-40B4-BE49-F238E27FC236}">
                  <a16:creationId xmlns:a16="http://schemas.microsoft.com/office/drawing/2014/main" id="{00000000-0008-0000-0C00-000025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Form">
              <a:hlinkClick xmlns:r="http://schemas.openxmlformats.org/officeDocument/2006/relationships" r:id="rId12" tooltip=" "/>
              <a:extLst>
                <a:ext uri="{FF2B5EF4-FFF2-40B4-BE49-F238E27FC236}">
                  <a16:creationId xmlns:a16="http://schemas.microsoft.com/office/drawing/2014/main" id="{00000000-0008-0000-0C00-000026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centives">
              <a:extLst>
                <a:ext uri="{FF2B5EF4-FFF2-40B4-BE49-F238E27FC236}">
                  <a16:creationId xmlns:a16="http://schemas.microsoft.com/office/drawing/2014/main" id="{00000000-0008-0000-0C00-00002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0" name="Instructions">
              <a:hlinkClick xmlns:r="http://schemas.openxmlformats.org/officeDocument/2006/relationships" r:id="rId2" tooltip="Instructions"/>
              <a:extLst>
                <a:ext uri="{FF2B5EF4-FFF2-40B4-BE49-F238E27FC236}">
                  <a16:creationId xmlns:a16="http://schemas.microsoft.com/office/drawing/2014/main" id="{00000000-0008-0000-0C00-000028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13" tooltip="Welcome"/>
              <a:extLst>
                <a:ext uri="{FF2B5EF4-FFF2-40B4-BE49-F238E27FC236}">
                  <a16:creationId xmlns:a16="http://schemas.microsoft.com/office/drawing/2014/main" id="{00000000-0008-0000-0C00-000029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3" name="State">
              <a:extLst>
                <a:ext uri="{FF2B5EF4-FFF2-40B4-BE49-F238E27FC236}">
                  <a16:creationId xmlns:a16="http://schemas.microsoft.com/office/drawing/2014/main" id="{00000000-0008-0000-0C00-00002B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0" name="Dividers">
            <a:extLst>
              <a:ext uri="{FF2B5EF4-FFF2-40B4-BE49-F238E27FC236}">
                <a16:creationId xmlns:a16="http://schemas.microsoft.com/office/drawing/2014/main" id="{00000000-0008-0000-0C00-00001E000000}"/>
              </a:ext>
            </a:extLst>
          </xdr:cNvPr>
          <xdr:cNvGrpSpPr/>
        </xdr:nvGrpSpPr>
        <xdr:grpSpPr>
          <a:xfrm>
            <a:off x="1613405" y="1537433"/>
            <a:ext cx="11616513" cy="423049"/>
            <a:chOff x="1612951" y="85725"/>
            <a:chExt cx="11618931" cy="423022"/>
          </a:xfrm>
        </xdr:grpSpPr>
        <xdr:cxnSp macro="">
          <xdr:nvCxnSpPr>
            <xdr:cNvPr id="31" name="Divider 4">
              <a:extLst>
                <a:ext uri="{FF2B5EF4-FFF2-40B4-BE49-F238E27FC236}">
                  <a16:creationId xmlns:a16="http://schemas.microsoft.com/office/drawing/2014/main" id="{00000000-0008-0000-0C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0C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0C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0C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oneCellAnchor>
    <xdr:from>
      <xdr:col>46</xdr:col>
      <xdr:colOff>5602</xdr:colOff>
      <xdr:row>8</xdr:row>
      <xdr:rowOff>194311</xdr:rowOff>
    </xdr:from>
    <xdr:ext cx="539496" cy="404308"/>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D00-00000F000000}"/>
            </a:ext>
          </a:extLst>
        </xdr:cNvPr>
        <xdr:cNvSpPr/>
      </xdr:nvSpPr>
      <xdr:spPr>
        <a:xfrm>
          <a:off x="13447282" y="1779271"/>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94869</xdr:colOff>
      <xdr:row>8</xdr:row>
      <xdr:rowOff>193862</xdr:rowOff>
    </xdr:from>
    <xdr:ext cx="539496" cy="404308"/>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D00-000010000000}"/>
            </a:ext>
          </a:extLst>
        </xdr:cNvPr>
        <xdr:cNvSpPr/>
      </xdr:nvSpPr>
      <xdr:spPr>
        <a:xfrm>
          <a:off x="414909" y="1778822"/>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236220</xdr:colOff>
      <xdr:row>8</xdr:row>
      <xdr:rowOff>0</xdr:rowOff>
    </xdr:to>
    <xdr:grpSp>
      <xdr:nvGrpSpPr>
        <xdr:cNvPr id="49" name="Navigation">
          <a:extLst>
            <a:ext uri="{FF2B5EF4-FFF2-40B4-BE49-F238E27FC236}">
              <a16:creationId xmlns:a16="http://schemas.microsoft.com/office/drawing/2014/main" id="{00000000-0008-0000-0D00-000031000000}"/>
            </a:ext>
          </a:extLst>
        </xdr:cNvPr>
        <xdr:cNvGrpSpPr/>
      </xdr:nvGrpSpPr>
      <xdr:grpSpPr>
        <a:xfrm>
          <a:off x="2196353" y="605118"/>
          <a:ext cx="11217985" cy="1008529"/>
          <a:chOff x="1610956" y="594360"/>
          <a:chExt cx="11437620" cy="990600"/>
        </a:xfrm>
      </xdr:grpSpPr>
      <xdr:cxnSp macro="">
        <xdr:nvCxnSpPr>
          <xdr:cNvPr id="57" name="Reference">
            <a:extLst>
              <a:ext uri="{FF2B5EF4-FFF2-40B4-BE49-F238E27FC236}">
                <a16:creationId xmlns:a16="http://schemas.microsoft.com/office/drawing/2014/main" id="{00000000-0008-0000-0D00-000039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50" name="7: Project Review">
            <a:hlinkClick xmlns:r="http://schemas.openxmlformats.org/officeDocument/2006/relationships" r:id="rId3" tooltip="Project Review"/>
            <a:extLst>
              <a:ext uri="{FF2B5EF4-FFF2-40B4-BE49-F238E27FC236}">
                <a16:creationId xmlns:a16="http://schemas.microsoft.com/office/drawing/2014/main" id="{00000000-0008-0000-0D00-00003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1" name="6: Payment">
            <a:hlinkClick xmlns:r="http://schemas.openxmlformats.org/officeDocument/2006/relationships" r:id="rId4" tooltip="Payment"/>
            <a:extLst>
              <a:ext uri="{FF2B5EF4-FFF2-40B4-BE49-F238E27FC236}">
                <a16:creationId xmlns:a16="http://schemas.microsoft.com/office/drawing/2014/main" id="{00000000-0008-0000-0D00-00003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52" name="5: Equipment Input">
            <a:hlinkClick xmlns:r="http://schemas.openxmlformats.org/officeDocument/2006/relationships" r:id="rId5" tooltip="Equipment Input"/>
            <a:extLst>
              <a:ext uri="{FF2B5EF4-FFF2-40B4-BE49-F238E27FC236}">
                <a16:creationId xmlns:a16="http://schemas.microsoft.com/office/drawing/2014/main" id="{00000000-0008-0000-0D00-00003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53" name="4: Building Information">
            <a:hlinkClick xmlns:r="http://schemas.openxmlformats.org/officeDocument/2006/relationships" r:id="rId6" tooltip="Building Information"/>
            <a:extLst>
              <a:ext uri="{FF2B5EF4-FFF2-40B4-BE49-F238E27FC236}">
                <a16:creationId xmlns:a16="http://schemas.microsoft.com/office/drawing/2014/main" id="{00000000-0008-0000-0D00-00003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54" name="3: Customer Information">
            <a:hlinkClick xmlns:r="http://schemas.openxmlformats.org/officeDocument/2006/relationships" r:id="rId1" tooltip="Customer Information"/>
            <a:extLst>
              <a:ext uri="{FF2B5EF4-FFF2-40B4-BE49-F238E27FC236}">
                <a16:creationId xmlns:a16="http://schemas.microsoft.com/office/drawing/2014/main" id="{00000000-0008-0000-0D00-00003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5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D00-000037000000}"/>
              </a:ext>
            </a:extLst>
          </xdr:cNvPr>
          <xdr:cNvSpPr/>
        </xdr:nvSpPr>
        <xdr:spPr>
          <a:xfrm>
            <a:off x="320353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56" name="1: T&amp;C's">
            <a:hlinkClick xmlns:r="http://schemas.openxmlformats.org/officeDocument/2006/relationships" r:id="rId2" tooltip="Terms &amp; Conditions"/>
            <a:extLst>
              <a:ext uri="{FF2B5EF4-FFF2-40B4-BE49-F238E27FC236}">
                <a16:creationId xmlns:a16="http://schemas.microsoft.com/office/drawing/2014/main" id="{00000000-0008-0000-0D00-00003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8" name="Header">
          <a:extLst>
            <a:ext uri="{FF2B5EF4-FFF2-40B4-BE49-F238E27FC236}">
              <a16:creationId xmlns:a16="http://schemas.microsoft.com/office/drawing/2014/main" id="{00000000-0008-0000-0D00-000012000000}"/>
            </a:ext>
          </a:extLst>
        </xdr:cNvPr>
        <xdr:cNvGrpSpPr/>
      </xdr:nvGrpSpPr>
      <xdr:grpSpPr>
        <a:xfrm>
          <a:off x="0" y="0"/>
          <a:ext cx="15374471" cy="605336"/>
          <a:chOff x="0" y="1452064"/>
          <a:chExt cx="15813740" cy="591889"/>
        </a:xfrm>
      </xdr:grpSpPr>
      <xdr:grpSp>
        <xdr:nvGrpSpPr>
          <xdr:cNvPr id="19" name="Header">
            <a:extLst>
              <a:ext uri="{FF2B5EF4-FFF2-40B4-BE49-F238E27FC236}">
                <a16:creationId xmlns:a16="http://schemas.microsoft.com/office/drawing/2014/main" id="{00000000-0008-0000-0D00-000013000000}"/>
              </a:ext>
            </a:extLst>
          </xdr:cNvPr>
          <xdr:cNvGrpSpPr/>
        </xdr:nvGrpSpPr>
        <xdr:grpSpPr>
          <a:xfrm>
            <a:off x="0" y="1452064"/>
            <a:ext cx="15813740" cy="591889"/>
            <a:chOff x="0" y="1452064"/>
            <a:chExt cx="15813740" cy="591889"/>
          </a:xfrm>
        </xdr:grpSpPr>
        <xdr:sp macro="" textlink="">
          <xdr:nvSpPr>
            <xdr:cNvPr id="25" name="Reference">
              <a:extLst>
                <a:ext uri="{FF2B5EF4-FFF2-40B4-BE49-F238E27FC236}">
                  <a16:creationId xmlns:a16="http://schemas.microsoft.com/office/drawing/2014/main" id="{00000000-0008-0000-0D00-000019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ntact">
              <a:hlinkClick xmlns:r="http://schemas.openxmlformats.org/officeDocument/2006/relationships" r:id="rId8" tooltip="Contact"/>
              <a:extLst>
                <a:ext uri="{FF2B5EF4-FFF2-40B4-BE49-F238E27FC236}">
                  <a16:creationId xmlns:a16="http://schemas.microsoft.com/office/drawing/2014/main" id="{00000000-0008-0000-0D00-00001A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mpletion Form">
              <a:hlinkClick xmlns:r="http://schemas.openxmlformats.org/officeDocument/2006/relationships" r:id="rId9" tooltip=" "/>
              <a:extLst>
                <a:ext uri="{FF2B5EF4-FFF2-40B4-BE49-F238E27FC236}">
                  <a16:creationId xmlns:a16="http://schemas.microsoft.com/office/drawing/2014/main" id="{00000000-0008-0000-0D00-00001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ffer Form">
              <a:hlinkClick xmlns:r="http://schemas.openxmlformats.org/officeDocument/2006/relationships" r:id="rId10" tooltip=" "/>
              <a:extLst>
                <a:ext uri="{FF2B5EF4-FFF2-40B4-BE49-F238E27FC236}">
                  <a16:creationId xmlns:a16="http://schemas.microsoft.com/office/drawing/2014/main" id="{00000000-0008-0000-0D00-00001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Incentives">
              <a:extLst>
                <a:ext uri="{FF2B5EF4-FFF2-40B4-BE49-F238E27FC236}">
                  <a16:creationId xmlns:a16="http://schemas.microsoft.com/office/drawing/2014/main" id="{00000000-0008-0000-0D00-00001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0" name="Instructions">
              <a:hlinkClick xmlns:r="http://schemas.openxmlformats.org/officeDocument/2006/relationships" r:id="rId11" tooltip="Instructions"/>
              <a:extLst>
                <a:ext uri="{FF2B5EF4-FFF2-40B4-BE49-F238E27FC236}">
                  <a16:creationId xmlns:a16="http://schemas.microsoft.com/office/drawing/2014/main" id="{00000000-0008-0000-0D00-00001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Welcome">
              <a:hlinkClick xmlns:r="http://schemas.openxmlformats.org/officeDocument/2006/relationships" r:id="rId12" tooltip="Welcome"/>
              <a:extLst>
                <a:ext uri="{FF2B5EF4-FFF2-40B4-BE49-F238E27FC236}">
                  <a16:creationId xmlns:a16="http://schemas.microsoft.com/office/drawing/2014/main" id="{00000000-0008-0000-0D00-00001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2" name="Evergy Logo">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3" name="State">
              <a:extLst>
                <a:ext uri="{FF2B5EF4-FFF2-40B4-BE49-F238E27FC236}">
                  <a16:creationId xmlns:a16="http://schemas.microsoft.com/office/drawing/2014/main" id="{00000000-0008-0000-0D00-00002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0" name="Dividers">
            <a:extLst>
              <a:ext uri="{FF2B5EF4-FFF2-40B4-BE49-F238E27FC236}">
                <a16:creationId xmlns:a16="http://schemas.microsoft.com/office/drawing/2014/main" id="{00000000-0008-0000-0D00-000014000000}"/>
              </a:ext>
            </a:extLst>
          </xdr:cNvPr>
          <xdr:cNvGrpSpPr/>
        </xdr:nvGrpSpPr>
        <xdr:grpSpPr>
          <a:xfrm>
            <a:off x="1613405" y="1537433"/>
            <a:ext cx="11616513" cy="423049"/>
            <a:chOff x="1612951" y="85725"/>
            <a:chExt cx="11618931" cy="423022"/>
          </a:xfrm>
        </xdr:grpSpPr>
        <xdr:cxnSp macro="">
          <xdr:nvCxnSpPr>
            <xdr:cNvPr id="21" name="Divider 4">
              <a:extLst>
                <a:ext uri="{FF2B5EF4-FFF2-40B4-BE49-F238E27FC236}">
                  <a16:creationId xmlns:a16="http://schemas.microsoft.com/office/drawing/2014/main" id="{00000000-0008-0000-0D00-00001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3">
              <a:extLst>
                <a:ext uri="{FF2B5EF4-FFF2-40B4-BE49-F238E27FC236}">
                  <a16:creationId xmlns:a16="http://schemas.microsoft.com/office/drawing/2014/main" id="{00000000-0008-0000-0D00-00001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0D00-00001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1">
              <a:extLst>
                <a:ext uri="{FF2B5EF4-FFF2-40B4-BE49-F238E27FC236}">
                  <a16:creationId xmlns:a16="http://schemas.microsoft.com/office/drawing/2014/main" id="{00000000-0008-0000-0D00-00001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46</xdr:col>
      <xdr:colOff>8004</xdr:colOff>
      <xdr:row>8</xdr:row>
      <xdr:rowOff>196904</xdr:rowOff>
    </xdr:from>
    <xdr:to>
      <xdr:col>47</xdr:col>
      <xdr:colOff>227588</xdr:colOff>
      <xdr:row>11</xdr:row>
      <xdr:rowOff>6468</xdr:rowOff>
    </xdr:to>
    <xdr:sp macro="" textlink="">
      <xdr:nvSpPr>
        <xdr:cNvPr id="15" name="Arrow: Right M2S3">
          <a:hlinkClick xmlns:r="http://schemas.openxmlformats.org/officeDocument/2006/relationships" r:id="rId1" tooltip="Forward: Building Information"/>
          <a:extLst>
            <a:ext uri="{FF2B5EF4-FFF2-40B4-BE49-F238E27FC236}">
              <a16:creationId xmlns:a16="http://schemas.microsoft.com/office/drawing/2014/main" id="{00000000-0008-0000-0E00-00000F000000}"/>
            </a:ext>
          </a:extLst>
        </xdr:cNvPr>
        <xdr:cNvSpPr/>
      </xdr:nvSpPr>
      <xdr:spPr>
        <a:xfrm>
          <a:off x="13455063" y="1784938"/>
          <a:ext cx="539752" cy="405076"/>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94448</xdr:colOff>
      <xdr:row>8</xdr:row>
      <xdr:rowOff>196905</xdr:rowOff>
    </xdr:from>
    <xdr:to>
      <xdr:col>3</xdr:col>
      <xdr:colOff>267</xdr:colOff>
      <xdr:row>11</xdr:row>
      <xdr:rowOff>6469</xdr:rowOff>
    </xdr:to>
    <xdr:sp macro="" textlink="">
      <xdr:nvSpPr>
        <xdr:cNvPr id="16" name="Arrow: Left M2S3">
          <a:hlinkClick xmlns:r="http://schemas.openxmlformats.org/officeDocument/2006/relationships" r:id="rId2" tooltip="Back: Trade Ally/Vendor Information"/>
          <a:extLst>
            <a:ext uri="{FF2B5EF4-FFF2-40B4-BE49-F238E27FC236}">
              <a16:creationId xmlns:a16="http://schemas.microsoft.com/office/drawing/2014/main" id="{00000000-0008-0000-0E00-000010000000}"/>
            </a:ext>
          </a:extLst>
        </xdr:cNvPr>
        <xdr:cNvSpPr/>
      </xdr:nvSpPr>
      <xdr:spPr>
        <a:xfrm>
          <a:off x="414616" y="1784939"/>
          <a:ext cx="539752" cy="40507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0E00-000011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E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3" tooltip="Project Review"/>
            <a:extLst>
              <a:ext uri="{FF2B5EF4-FFF2-40B4-BE49-F238E27FC236}">
                <a16:creationId xmlns:a16="http://schemas.microsoft.com/office/drawing/2014/main" id="{00000000-0008-0000-0E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4" tooltip="Payment"/>
            <a:extLst>
              <a:ext uri="{FF2B5EF4-FFF2-40B4-BE49-F238E27FC236}">
                <a16:creationId xmlns:a16="http://schemas.microsoft.com/office/drawing/2014/main" id="{00000000-0008-0000-0E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E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 tooltip="Building Information"/>
            <a:extLst>
              <a:ext uri="{FF2B5EF4-FFF2-40B4-BE49-F238E27FC236}">
                <a16:creationId xmlns:a16="http://schemas.microsoft.com/office/drawing/2014/main" id="{00000000-0008-0000-0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6" tooltip="Customer Information"/>
            <a:extLst>
              <a:ext uri="{FF2B5EF4-FFF2-40B4-BE49-F238E27FC236}">
                <a16:creationId xmlns:a16="http://schemas.microsoft.com/office/drawing/2014/main" id="{00000000-0008-0000-0E00-000017000000}"/>
              </a:ext>
            </a:extLst>
          </xdr:cNvPr>
          <xdr:cNvSpPr/>
        </xdr:nvSpPr>
        <xdr:spPr>
          <a:xfrm>
            <a:off x="4792542" y="653805"/>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 tooltip="Trade Ally/Vendor Information"/>
            <a:extLst>
              <a:ext uri="{FF2B5EF4-FFF2-40B4-BE49-F238E27FC236}">
                <a16:creationId xmlns:a16="http://schemas.microsoft.com/office/drawing/2014/main" id="{00000000-0008-0000-0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7" name="Header">
          <a:extLst>
            <a:ext uri="{FF2B5EF4-FFF2-40B4-BE49-F238E27FC236}">
              <a16:creationId xmlns:a16="http://schemas.microsoft.com/office/drawing/2014/main" id="{00000000-0008-0000-0E00-00001B000000}"/>
            </a:ext>
          </a:extLst>
        </xdr:cNvPr>
        <xdr:cNvGrpSpPr/>
      </xdr:nvGrpSpPr>
      <xdr:grpSpPr>
        <a:xfrm>
          <a:off x="0" y="0"/>
          <a:ext cx="15374471" cy="605336"/>
          <a:chOff x="0" y="1452064"/>
          <a:chExt cx="15813740" cy="591889"/>
        </a:xfrm>
      </xdr:grpSpPr>
      <xdr:grpSp>
        <xdr:nvGrpSpPr>
          <xdr:cNvPr id="28" name="Header">
            <a:extLst>
              <a:ext uri="{FF2B5EF4-FFF2-40B4-BE49-F238E27FC236}">
                <a16:creationId xmlns:a16="http://schemas.microsoft.com/office/drawing/2014/main" id="{00000000-0008-0000-0E00-00001C000000}"/>
              </a:ext>
            </a:extLst>
          </xdr:cNvPr>
          <xdr:cNvGrpSpPr/>
        </xdr:nvGrpSpPr>
        <xdr:grpSpPr>
          <a:xfrm>
            <a:off x="0" y="1452064"/>
            <a:ext cx="15813740" cy="591889"/>
            <a:chOff x="0" y="1452064"/>
            <a:chExt cx="15813740" cy="591889"/>
          </a:xfrm>
        </xdr:grpSpPr>
        <xdr:sp macro="" textlink="">
          <xdr:nvSpPr>
            <xdr:cNvPr id="34" name="Reference">
              <a:extLst>
                <a:ext uri="{FF2B5EF4-FFF2-40B4-BE49-F238E27FC236}">
                  <a16:creationId xmlns:a16="http://schemas.microsoft.com/office/drawing/2014/main" id="{00000000-0008-0000-0E00-00002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E00-00002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E00-00002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E00-000025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centives">
              <a:extLst>
                <a:ext uri="{FF2B5EF4-FFF2-40B4-BE49-F238E27FC236}">
                  <a16:creationId xmlns:a16="http://schemas.microsoft.com/office/drawing/2014/main" id="{00000000-0008-0000-0E00-000026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9" name="Instructions">
              <a:hlinkClick xmlns:r="http://schemas.openxmlformats.org/officeDocument/2006/relationships" r:id="rId11" tooltip="Instructions"/>
              <a:extLst>
                <a:ext uri="{FF2B5EF4-FFF2-40B4-BE49-F238E27FC236}">
                  <a16:creationId xmlns:a16="http://schemas.microsoft.com/office/drawing/2014/main" id="{00000000-0008-0000-0E00-00002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2" tooltip="Welcome"/>
              <a:extLst>
                <a:ext uri="{FF2B5EF4-FFF2-40B4-BE49-F238E27FC236}">
                  <a16:creationId xmlns:a16="http://schemas.microsoft.com/office/drawing/2014/main" id="{00000000-0008-0000-0E00-000028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0E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E00-00001D000000}"/>
              </a:ext>
            </a:extLst>
          </xdr:cNvPr>
          <xdr:cNvGrpSpPr/>
        </xdr:nvGrpSpPr>
        <xdr:grpSpPr>
          <a:xfrm>
            <a:off x="1613405" y="1537433"/>
            <a:ext cx="11616513" cy="423049"/>
            <a:chOff x="1612951" y="85725"/>
            <a:chExt cx="11618931" cy="423022"/>
          </a:xfrm>
        </xdr:grpSpPr>
        <xdr:cxnSp macro="">
          <xdr:nvCxnSpPr>
            <xdr:cNvPr id="30" name="Divider 4">
              <a:extLst>
                <a:ext uri="{FF2B5EF4-FFF2-40B4-BE49-F238E27FC236}">
                  <a16:creationId xmlns:a16="http://schemas.microsoft.com/office/drawing/2014/main" id="{00000000-0008-0000-0E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E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E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E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46</xdr:col>
      <xdr:colOff>5602</xdr:colOff>
      <xdr:row>8</xdr:row>
      <xdr:rowOff>193303</xdr:rowOff>
    </xdr:from>
    <xdr:to>
      <xdr:col>47</xdr:col>
      <xdr:colOff>224385</xdr:colOff>
      <xdr:row>11</xdr:row>
      <xdr:rowOff>2466</xdr:rowOff>
    </xdr:to>
    <xdr:sp macro="" textlink="">
      <xdr:nvSpPr>
        <xdr:cNvPr id="15" name="Arrow: Right M2S4">
          <a:hlinkClick xmlns:r="http://schemas.openxmlformats.org/officeDocument/2006/relationships" r:id="rId1" tooltip="Forward: Equipment Input"/>
          <a:extLst>
            <a:ext uri="{FF2B5EF4-FFF2-40B4-BE49-F238E27FC236}">
              <a16:creationId xmlns:a16="http://schemas.microsoft.com/office/drawing/2014/main" id="{00000000-0008-0000-0F00-00000F000000}"/>
            </a:ext>
          </a:extLst>
        </xdr:cNvPr>
        <xdr:cNvSpPr/>
      </xdr:nvSpPr>
      <xdr:spPr>
        <a:xfrm>
          <a:off x="13419043" y="1784538"/>
          <a:ext cx="538151" cy="405877"/>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95248</xdr:colOff>
      <xdr:row>8</xdr:row>
      <xdr:rowOff>193302</xdr:rowOff>
    </xdr:from>
    <xdr:to>
      <xdr:col>3</xdr:col>
      <xdr:colOff>267</xdr:colOff>
      <xdr:row>11</xdr:row>
      <xdr:rowOff>2465</xdr:rowOff>
    </xdr:to>
    <xdr:sp macro="" textlink="">
      <xdr:nvSpPr>
        <xdr:cNvPr id="16" name="Arrow: Left M2S4">
          <a:hlinkClick xmlns:r="http://schemas.openxmlformats.org/officeDocument/2006/relationships" r:id="rId2" tooltip="Back: Customer Information"/>
          <a:extLst>
            <a:ext uri="{FF2B5EF4-FFF2-40B4-BE49-F238E27FC236}">
              <a16:creationId xmlns:a16="http://schemas.microsoft.com/office/drawing/2014/main" id="{00000000-0008-0000-0F00-000010000000}"/>
            </a:ext>
          </a:extLst>
        </xdr:cNvPr>
        <xdr:cNvSpPr/>
      </xdr:nvSpPr>
      <xdr:spPr>
        <a:xfrm>
          <a:off x="414616" y="1784537"/>
          <a:ext cx="538151" cy="405877"/>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8" name="Navigation">
          <a:extLst>
            <a:ext uri="{FF2B5EF4-FFF2-40B4-BE49-F238E27FC236}">
              <a16:creationId xmlns:a16="http://schemas.microsoft.com/office/drawing/2014/main" id="{00000000-0008-0000-0F00-000012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F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3" tooltip="Project Review"/>
            <a:extLst>
              <a:ext uri="{FF2B5EF4-FFF2-40B4-BE49-F238E27FC236}">
                <a16:creationId xmlns:a16="http://schemas.microsoft.com/office/drawing/2014/main" id="{00000000-0008-0000-0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4" tooltip="Payment"/>
            <a:extLst>
              <a:ext uri="{FF2B5EF4-FFF2-40B4-BE49-F238E27FC236}">
                <a16:creationId xmlns:a16="http://schemas.microsoft.com/office/drawing/2014/main" id="{00000000-0008-0000-0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F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6" tooltip="Building Information"/>
            <a:extLst>
              <a:ext uri="{FF2B5EF4-FFF2-40B4-BE49-F238E27FC236}">
                <a16:creationId xmlns:a16="http://schemas.microsoft.com/office/drawing/2014/main" id="{00000000-0008-0000-0F00-000016000000}"/>
              </a:ext>
            </a:extLst>
          </xdr:cNvPr>
          <xdr:cNvSpPr/>
        </xdr:nvSpPr>
        <xdr:spPr>
          <a:xfrm>
            <a:off x="6406868"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 tooltip="Customer Information"/>
            <a:extLst>
              <a:ext uri="{FF2B5EF4-FFF2-40B4-BE49-F238E27FC236}">
                <a16:creationId xmlns:a16="http://schemas.microsoft.com/office/drawing/2014/main" id="{00000000-0008-0000-0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8" tooltip="Terms &amp; Conditions"/>
            <a:extLst>
              <a:ext uri="{FF2B5EF4-FFF2-40B4-BE49-F238E27FC236}">
                <a16:creationId xmlns:a16="http://schemas.microsoft.com/office/drawing/2014/main" id="{00000000-0008-0000-0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7" name="Header">
          <a:extLst>
            <a:ext uri="{FF2B5EF4-FFF2-40B4-BE49-F238E27FC236}">
              <a16:creationId xmlns:a16="http://schemas.microsoft.com/office/drawing/2014/main" id="{00000000-0008-0000-0F00-00001B000000}"/>
            </a:ext>
          </a:extLst>
        </xdr:cNvPr>
        <xdr:cNvGrpSpPr/>
      </xdr:nvGrpSpPr>
      <xdr:grpSpPr>
        <a:xfrm>
          <a:off x="0" y="0"/>
          <a:ext cx="15374471" cy="605336"/>
          <a:chOff x="0" y="1452064"/>
          <a:chExt cx="15813740" cy="591889"/>
        </a:xfrm>
      </xdr:grpSpPr>
      <xdr:grpSp>
        <xdr:nvGrpSpPr>
          <xdr:cNvPr id="28" name="Header">
            <a:extLst>
              <a:ext uri="{FF2B5EF4-FFF2-40B4-BE49-F238E27FC236}">
                <a16:creationId xmlns:a16="http://schemas.microsoft.com/office/drawing/2014/main" id="{00000000-0008-0000-0F00-00001C000000}"/>
              </a:ext>
            </a:extLst>
          </xdr:cNvPr>
          <xdr:cNvGrpSpPr/>
        </xdr:nvGrpSpPr>
        <xdr:grpSpPr>
          <a:xfrm>
            <a:off x="0" y="1452064"/>
            <a:ext cx="15813740" cy="591889"/>
            <a:chOff x="0" y="1452064"/>
            <a:chExt cx="15813740" cy="591889"/>
          </a:xfrm>
        </xdr:grpSpPr>
        <xdr:sp macro="" textlink="">
          <xdr:nvSpPr>
            <xdr:cNvPr id="34" name="Reference">
              <a:extLst>
                <a:ext uri="{FF2B5EF4-FFF2-40B4-BE49-F238E27FC236}">
                  <a16:creationId xmlns:a16="http://schemas.microsoft.com/office/drawing/2014/main" id="{00000000-0008-0000-0F00-00002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9" tooltip="Contact"/>
              <a:extLst>
                <a:ext uri="{FF2B5EF4-FFF2-40B4-BE49-F238E27FC236}">
                  <a16:creationId xmlns:a16="http://schemas.microsoft.com/office/drawing/2014/main" id="{00000000-0008-0000-0F00-00002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0" tooltip=" "/>
              <a:extLst>
                <a:ext uri="{FF2B5EF4-FFF2-40B4-BE49-F238E27FC236}">
                  <a16:creationId xmlns:a16="http://schemas.microsoft.com/office/drawing/2014/main" id="{00000000-0008-0000-0F00-00002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1" tooltip=" "/>
              <a:extLst>
                <a:ext uri="{FF2B5EF4-FFF2-40B4-BE49-F238E27FC236}">
                  <a16:creationId xmlns:a16="http://schemas.microsoft.com/office/drawing/2014/main" id="{00000000-0008-0000-0F00-000025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centives">
              <a:extLst>
                <a:ext uri="{FF2B5EF4-FFF2-40B4-BE49-F238E27FC236}">
                  <a16:creationId xmlns:a16="http://schemas.microsoft.com/office/drawing/2014/main" id="{00000000-0008-0000-0F00-000026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9" name="Instructions">
              <a:hlinkClick xmlns:r="http://schemas.openxmlformats.org/officeDocument/2006/relationships" r:id="rId12" tooltip="Instructions"/>
              <a:extLst>
                <a:ext uri="{FF2B5EF4-FFF2-40B4-BE49-F238E27FC236}">
                  <a16:creationId xmlns:a16="http://schemas.microsoft.com/office/drawing/2014/main" id="{00000000-0008-0000-0F00-00002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3" tooltip="Welcome"/>
              <a:extLst>
                <a:ext uri="{FF2B5EF4-FFF2-40B4-BE49-F238E27FC236}">
                  <a16:creationId xmlns:a16="http://schemas.microsoft.com/office/drawing/2014/main" id="{00000000-0008-0000-0F00-000028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0F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F00-00001D000000}"/>
              </a:ext>
            </a:extLst>
          </xdr:cNvPr>
          <xdr:cNvGrpSpPr/>
        </xdr:nvGrpSpPr>
        <xdr:grpSpPr>
          <a:xfrm>
            <a:off x="1613405" y="1537433"/>
            <a:ext cx="11616513" cy="423049"/>
            <a:chOff x="1612951" y="85725"/>
            <a:chExt cx="11618931" cy="423022"/>
          </a:xfrm>
        </xdr:grpSpPr>
        <xdr:cxnSp macro="">
          <xdr:nvCxnSpPr>
            <xdr:cNvPr id="30" name="Divider 4">
              <a:extLst>
                <a:ext uri="{FF2B5EF4-FFF2-40B4-BE49-F238E27FC236}">
                  <a16:creationId xmlns:a16="http://schemas.microsoft.com/office/drawing/2014/main" id="{00000000-0008-0000-0F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F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F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F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1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1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238125</xdr:colOff>
      <xdr:row>8</xdr:row>
      <xdr:rowOff>0</xdr:rowOff>
    </xdr:to>
    <xdr:grpSp>
      <xdr:nvGrpSpPr>
        <xdr:cNvPr id="4" name="Navigation">
          <a:extLst>
            <a:ext uri="{FF2B5EF4-FFF2-40B4-BE49-F238E27FC236}">
              <a16:creationId xmlns:a16="http://schemas.microsoft.com/office/drawing/2014/main" id="{00000000-0008-0000-1100-000004000000}"/>
            </a:ext>
          </a:extLst>
        </xdr:cNvPr>
        <xdr:cNvGrpSpPr/>
      </xdr:nvGrpSpPr>
      <xdr:grpSpPr>
        <a:xfrm>
          <a:off x="2196353" y="605118"/>
          <a:ext cx="11219890" cy="1008529"/>
          <a:chOff x="1610956" y="594360"/>
          <a:chExt cx="11437620" cy="990600"/>
        </a:xfrm>
      </xdr:grpSpPr>
      <xdr:cxnSp macro="">
        <xdr:nvCxnSpPr>
          <xdr:cNvPr id="5" name="Reference">
            <a:extLst>
              <a:ext uri="{FF2B5EF4-FFF2-40B4-BE49-F238E27FC236}">
                <a16:creationId xmlns:a16="http://schemas.microsoft.com/office/drawing/2014/main" id="{00000000-0008-0000-1100-000005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6" name="7: Project Review">
            <a:hlinkClick xmlns:r="http://schemas.openxmlformats.org/officeDocument/2006/relationships" r:id="rId3" tooltip="Project Review"/>
            <a:extLst>
              <a:ext uri="{FF2B5EF4-FFF2-40B4-BE49-F238E27FC236}">
                <a16:creationId xmlns:a16="http://schemas.microsoft.com/office/drawing/2014/main" id="{00000000-0008-0000-1100-000006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7" name="6: Payment">
            <a:hlinkClick xmlns:r="http://schemas.openxmlformats.org/officeDocument/2006/relationships" r:id="rId4" tooltip="Payment"/>
            <a:extLst>
              <a:ext uri="{FF2B5EF4-FFF2-40B4-BE49-F238E27FC236}">
                <a16:creationId xmlns:a16="http://schemas.microsoft.com/office/drawing/2014/main" id="{00000000-0008-0000-1100-000007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8" name="5: Equipment Input">
            <a:hlinkClick xmlns:r="http://schemas.openxmlformats.org/officeDocument/2006/relationships" r:id="rId5" tooltip="Equipment Input"/>
            <a:extLst>
              <a:ext uri="{FF2B5EF4-FFF2-40B4-BE49-F238E27FC236}">
                <a16:creationId xmlns:a16="http://schemas.microsoft.com/office/drawing/2014/main" id="{00000000-0008-0000-1100-000008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9" name="4: Building Information">
            <a:hlinkClick xmlns:r="http://schemas.openxmlformats.org/officeDocument/2006/relationships" r:id="rId6" tooltip="Building Information"/>
            <a:extLst>
              <a:ext uri="{FF2B5EF4-FFF2-40B4-BE49-F238E27FC236}">
                <a16:creationId xmlns:a16="http://schemas.microsoft.com/office/drawing/2014/main" id="{00000000-0008-0000-1100-000009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0" name="3: Customer Information">
            <a:hlinkClick xmlns:r="http://schemas.openxmlformats.org/officeDocument/2006/relationships" r:id="rId7" tooltip="Customer Information"/>
            <a:extLst>
              <a:ext uri="{FF2B5EF4-FFF2-40B4-BE49-F238E27FC236}">
                <a16:creationId xmlns:a16="http://schemas.microsoft.com/office/drawing/2014/main" id="{00000000-0008-0000-1100-00000A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1" name="2: Trade Ally Info">
            <a:hlinkClick xmlns:r="http://schemas.openxmlformats.org/officeDocument/2006/relationships" r:id="rId8" tooltip="Trade Ally/Vendor Information"/>
            <a:extLst>
              <a:ext uri="{FF2B5EF4-FFF2-40B4-BE49-F238E27FC236}">
                <a16:creationId xmlns:a16="http://schemas.microsoft.com/office/drawing/2014/main" id="{00000000-0008-0000-1100-00000B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2" name="1: T&amp;C's">
            <a:hlinkClick xmlns:r="http://schemas.openxmlformats.org/officeDocument/2006/relationships" r:id="rId9" tooltip="Terms &amp; Conditions"/>
            <a:extLst>
              <a:ext uri="{FF2B5EF4-FFF2-40B4-BE49-F238E27FC236}">
                <a16:creationId xmlns:a16="http://schemas.microsoft.com/office/drawing/2014/main" id="{00000000-0008-0000-1100-00000C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3" name="Header">
          <a:extLst>
            <a:ext uri="{FF2B5EF4-FFF2-40B4-BE49-F238E27FC236}">
              <a16:creationId xmlns:a16="http://schemas.microsoft.com/office/drawing/2014/main" id="{00000000-0008-0000-1100-00000D000000}"/>
            </a:ext>
          </a:extLst>
        </xdr:cNvPr>
        <xdr:cNvGrpSpPr/>
      </xdr:nvGrpSpPr>
      <xdr:grpSpPr>
        <a:xfrm>
          <a:off x="0" y="0"/>
          <a:ext cx="15374471" cy="605336"/>
          <a:chOff x="0" y="1452064"/>
          <a:chExt cx="15813740" cy="591889"/>
        </a:xfrm>
      </xdr:grpSpPr>
      <xdr:grpSp>
        <xdr:nvGrpSpPr>
          <xdr:cNvPr id="14" name="Header">
            <a:extLst>
              <a:ext uri="{FF2B5EF4-FFF2-40B4-BE49-F238E27FC236}">
                <a16:creationId xmlns:a16="http://schemas.microsoft.com/office/drawing/2014/main" id="{00000000-0008-0000-1100-00000E000000}"/>
              </a:ext>
            </a:extLst>
          </xdr:cNvPr>
          <xdr:cNvGrpSpPr/>
        </xdr:nvGrpSpPr>
        <xdr:grpSpPr>
          <a:xfrm>
            <a:off x="0" y="1452064"/>
            <a:ext cx="15813740" cy="591889"/>
            <a:chOff x="0" y="1452064"/>
            <a:chExt cx="15813740" cy="591889"/>
          </a:xfrm>
        </xdr:grpSpPr>
        <xdr:sp macro="" textlink="">
          <xdr:nvSpPr>
            <xdr:cNvPr id="20" name="Reference">
              <a:extLst>
                <a:ext uri="{FF2B5EF4-FFF2-40B4-BE49-F238E27FC236}">
                  <a16:creationId xmlns:a16="http://schemas.microsoft.com/office/drawing/2014/main" id="{00000000-0008-0000-1100-000014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Contact">
              <a:hlinkClick xmlns:r="http://schemas.openxmlformats.org/officeDocument/2006/relationships" r:id="rId10" tooltip="Contact"/>
              <a:extLst>
                <a:ext uri="{FF2B5EF4-FFF2-40B4-BE49-F238E27FC236}">
                  <a16:creationId xmlns:a16="http://schemas.microsoft.com/office/drawing/2014/main" id="{00000000-0008-0000-1100-00001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Form">
              <a:hlinkClick xmlns:r="http://schemas.openxmlformats.org/officeDocument/2006/relationships" r:id="rId11" tooltip=" "/>
              <a:extLst>
                <a:ext uri="{FF2B5EF4-FFF2-40B4-BE49-F238E27FC236}">
                  <a16:creationId xmlns:a16="http://schemas.microsoft.com/office/drawing/2014/main" id="{00000000-0008-0000-1100-00001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ffer Form">
              <a:hlinkClick xmlns:r="http://schemas.openxmlformats.org/officeDocument/2006/relationships" r:id="rId12" tooltip=" "/>
              <a:extLst>
                <a:ext uri="{FF2B5EF4-FFF2-40B4-BE49-F238E27FC236}">
                  <a16:creationId xmlns:a16="http://schemas.microsoft.com/office/drawing/2014/main" id="{00000000-0008-0000-1100-00001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Incentives">
              <a:extLst>
                <a:ext uri="{FF2B5EF4-FFF2-40B4-BE49-F238E27FC236}">
                  <a16:creationId xmlns:a16="http://schemas.microsoft.com/office/drawing/2014/main" id="{00000000-0008-0000-1100-00001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5" name="Instructions">
              <a:hlinkClick xmlns:r="http://schemas.openxmlformats.org/officeDocument/2006/relationships" r:id="rId13" tooltip="Instructions"/>
              <a:extLst>
                <a:ext uri="{FF2B5EF4-FFF2-40B4-BE49-F238E27FC236}">
                  <a16:creationId xmlns:a16="http://schemas.microsoft.com/office/drawing/2014/main" id="{00000000-0008-0000-1100-00001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Welcome">
              <a:hlinkClick xmlns:r="http://schemas.openxmlformats.org/officeDocument/2006/relationships" r:id="rId14" tooltip="Welcome"/>
              <a:extLst>
                <a:ext uri="{FF2B5EF4-FFF2-40B4-BE49-F238E27FC236}">
                  <a16:creationId xmlns:a16="http://schemas.microsoft.com/office/drawing/2014/main" id="{00000000-0008-0000-1100-00001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7" name="Evergy Logo">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28" name="State">
              <a:extLst>
                <a:ext uri="{FF2B5EF4-FFF2-40B4-BE49-F238E27FC236}">
                  <a16:creationId xmlns:a16="http://schemas.microsoft.com/office/drawing/2014/main" id="{00000000-0008-0000-1100-00001C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100-00000F000000}"/>
              </a:ext>
            </a:extLst>
          </xdr:cNvPr>
          <xdr:cNvGrpSpPr/>
        </xdr:nvGrpSpPr>
        <xdr:grpSpPr>
          <a:xfrm>
            <a:off x="1613405" y="1537433"/>
            <a:ext cx="11616513" cy="423049"/>
            <a:chOff x="1612951" y="85725"/>
            <a:chExt cx="11618931" cy="423022"/>
          </a:xfrm>
        </xdr:grpSpPr>
        <xdr:cxnSp macro="">
          <xdr:nvCxnSpPr>
            <xdr:cNvPr id="16" name="Divider 4">
              <a:extLst>
                <a:ext uri="{FF2B5EF4-FFF2-40B4-BE49-F238E27FC236}">
                  <a16:creationId xmlns:a16="http://schemas.microsoft.com/office/drawing/2014/main" id="{00000000-0008-0000-11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1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1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1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21</xdr:col>
      <xdr:colOff>259977</xdr:colOff>
      <xdr:row>12</xdr:row>
      <xdr:rowOff>134471</xdr:rowOff>
    </xdr:from>
    <xdr:to>
      <xdr:col>25</xdr:col>
      <xdr:colOff>66340</xdr:colOff>
      <xdr:row>18</xdr:row>
      <xdr:rowOff>48409</xdr:rowOff>
    </xdr:to>
    <xdr:pic>
      <xdr:nvPicPr>
        <xdr:cNvPr id="29" name="Picture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980817" y="2511911"/>
          <a:ext cx="1086523" cy="1102658"/>
        </a:xfrm>
        <a:prstGeom prst="rect">
          <a:avLst/>
        </a:prstGeom>
      </xdr:spPr>
    </xdr:pic>
    <xdr:clientData/>
  </xdr:twoCellAnchor>
  <xdr:twoCellAnchor editAs="oneCell">
    <xdr:from>
      <xdr:col>32</xdr:col>
      <xdr:colOff>132064</xdr:colOff>
      <xdr:row>12</xdr:row>
      <xdr:rowOff>5905</xdr:rowOff>
    </xdr:from>
    <xdr:to>
      <xdr:col>36</xdr:col>
      <xdr:colOff>212746</xdr:colOff>
      <xdr:row>18</xdr:row>
      <xdr:rowOff>194163</xdr:rowOff>
    </xdr:to>
    <xdr:pic>
      <xdr:nvPicPr>
        <xdr:cNvPr id="30" name="Picture 29">
          <a:extLst>
            <a:ext uri="{FF2B5EF4-FFF2-40B4-BE49-F238E27FC236}">
              <a16:creationId xmlns:a16="http://schemas.microsoft.com/office/drawing/2014/main" id="{00000000-0008-0000-11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373344" y="2383345"/>
          <a:ext cx="1360842" cy="1376978"/>
        </a:xfrm>
        <a:prstGeom prst="rect">
          <a:avLst/>
        </a:prstGeom>
      </xdr:spPr>
    </xdr:pic>
    <xdr:clientData/>
  </xdr:twoCellAnchor>
  <xdr:twoCellAnchor editAs="oneCell">
    <xdr:from>
      <xdr:col>10</xdr:col>
      <xdr:colOff>80683</xdr:colOff>
      <xdr:row>11</xdr:row>
      <xdr:rowOff>44824</xdr:rowOff>
    </xdr:from>
    <xdr:to>
      <xdr:col>14</xdr:col>
      <xdr:colOff>252805</xdr:colOff>
      <xdr:row>18</xdr:row>
      <xdr:rowOff>127299</xdr:rowOff>
    </xdr:to>
    <xdr:pic>
      <xdr:nvPicPr>
        <xdr:cNvPr id="31" name="Picture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281083" y="2224144"/>
          <a:ext cx="1452282" cy="1469315"/>
        </a:xfrm>
        <a:prstGeom prst="rect">
          <a:avLst/>
        </a:prstGeom>
      </xdr:spPr>
    </xdr:pic>
    <xdr:clientData/>
  </xdr:twoCellAnchor>
  <xdr:twoCellAnchor>
    <xdr:from>
      <xdr:col>12</xdr:col>
      <xdr:colOff>0</xdr:colOff>
      <xdr:row>25</xdr:row>
      <xdr:rowOff>170331</xdr:rowOff>
    </xdr:from>
    <xdr:to>
      <xdr:col>35</xdr:col>
      <xdr:colOff>0</xdr:colOff>
      <xdr:row>25</xdr:row>
      <xdr:rowOff>170331</xdr:rowOff>
    </xdr:to>
    <xdr:cxnSp macro="">
      <xdr:nvCxnSpPr>
        <xdr:cNvPr id="32" name="Straight Arrow Connector 31">
          <a:extLst>
            <a:ext uri="{FF2B5EF4-FFF2-40B4-BE49-F238E27FC236}">
              <a16:creationId xmlns:a16="http://schemas.microsoft.com/office/drawing/2014/main" id="{00000000-0008-0000-1100-000020000000}"/>
            </a:ext>
          </a:extLst>
        </xdr:cNvPr>
        <xdr:cNvCxnSpPr/>
      </xdr:nvCxnSpPr>
      <xdr:spPr>
        <a:xfrm>
          <a:off x="3840480" y="5123331"/>
          <a:ext cx="7360920" cy="0"/>
        </a:xfrm>
        <a:prstGeom prst="straightConnector1">
          <a:avLst/>
        </a:prstGeom>
        <a:ln w="76200">
          <a:gradFill flip="none" rotWithShape="1">
            <a:gsLst>
              <a:gs pos="0">
                <a:srgbClr val="00B050"/>
              </a:gs>
              <a:gs pos="100000">
                <a:srgbClr val="FFC000"/>
              </a:gs>
            </a:gsLst>
            <a:lin ang="0" scaled="1"/>
            <a:tileRect/>
          </a:gra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12</xdr:row>
      <xdr:rowOff>0</xdr:rowOff>
    </xdr:from>
    <xdr:to>
      <xdr:col>37</xdr:col>
      <xdr:colOff>0</xdr:colOff>
      <xdr:row>20</xdr:row>
      <xdr:rowOff>0</xdr:rowOff>
    </xdr:to>
    <xdr:grpSp>
      <xdr:nvGrpSpPr>
        <xdr:cNvPr id="33" name="Categories">
          <a:extLst>
            <a:ext uri="{FF2B5EF4-FFF2-40B4-BE49-F238E27FC236}">
              <a16:creationId xmlns:a16="http://schemas.microsoft.com/office/drawing/2014/main" id="{00000000-0008-0000-1100-000021000000}"/>
            </a:ext>
          </a:extLst>
        </xdr:cNvPr>
        <xdr:cNvGrpSpPr/>
      </xdr:nvGrpSpPr>
      <xdr:grpSpPr>
        <a:xfrm>
          <a:off x="3137647" y="2420471"/>
          <a:ext cx="8471647" cy="1613647"/>
          <a:chOff x="3227294" y="2366682"/>
          <a:chExt cx="8713694" cy="1577789"/>
        </a:xfrm>
      </xdr:grpSpPr>
      <xdr:sp macro="" textlink="">
        <xdr:nvSpPr>
          <xdr:cNvPr id="34" name="Custom">
            <a:hlinkClick xmlns:r="http://schemas.openxmlformats.org/officeDocument/2006/relationships" r:id="rId19"/>
            <a:extLst>
              <a:ext uri="{FF2B5EF4-FFF2-40B4-BE49-F238E27FC236}">
                <a16:creationId xmlns:a16="http://schemas.microsoft.com/office/drawing/2014/main" id="{00000000-0008-0000-1100-000022000000}"/>
              </a:ext>
            </a:extLst>
          </xdr:cNvPr>
          <xdr:cNvSpPr txBox="1"/>
        </xdr:nvSpPr>
        <xdr:spPr>
          <a:xfrm>
            <a:off x="10327341" y="2366682"/>
            <a:ext cx="1613647" cy="1577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35" name="Custom Lite">
            <a:hlinkClick xmlns:r="http://schemas.openxmlformats.org/officeDocument/2006/relationships" r:id="rId20"/>
            <a:extLst>
              <a:ext uri="{FF2B5EF4-FFF2-40B4-BE49-F238E27FC236}">
                <a16:creationId xmlns:a16="http://schemas.microsoft.com/office/drawing/2014/main" id="{00000000-0008-0000-1100-000023000000}"/>
              </a:ext>
            </a:extLst>
          </xdr:cNvPr>
          <xdr:cNvSpPr txBox="1"/>
        </xdr:nvSpPr>
        <xdr:spPr>
          <a:xfrm>
            <a:off x="6777318" y="2366682"/>
            <a:ext cx="1613647" cy="1577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36" name="Standard">
            <a:hlinkClick xmlns:r="http://schemas.openxmlformats.org/officeDocument/2006/relationships" r:id="rId21"/>
            <a:extLst>
              <a:ext uri="{FF2B5EF4-FFF2-40B4-BE49-F238E27FC236}">
                <a16:creationId xmlns:a16="http://schemas.microsoft.com/office/drawing/2014/main" id="{00000000-0008-0000-1100-000024000000}"/>
              </a:ext>
            </a:extLst>
          </xdr:cNvPr>
          <xdr:cNvSpPr txBox="1"/>
        </xdr:nvSpPr>
        <xdr:spPr>
          <a:xfrm>
            <a:off x="3227294" y="2366682"/>
            <a:ext cx="1613647" cy="1577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2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2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84026</xdr:rowOff>
    </xdr:from>
    <xdr:to>
      <xdr:col>40</xdr:col>
      <xdr:colOff>93210</xdr:colOff>
      <xdr:row>28</xdr:row>
      <xdr:rowOff>91655</xdr:rowOff>
    </xdr:to>
    <xdr:grpSp>
      <xdr:nvGrpSpPr>
        <xdr:cNvPr id="4" name="Measure Categories">
          <a:extLst>
            <a:ext uri="{FF2B5EF4-FFF2-40B4-BE49-F238E27FC236}">
              <a16:creationId xmlns:a16="http://schemas.microsoft.com/office/drawing/2014/main" id="{00000000-0008-0000-1200-000004000000}"/>
            </a:ext>
          </a:extLst>
        </xdr:cNvPr>
        <xdr:cNvGrpSpPr/>
      </xdr:nvGrpSpPr>
      <xdr:grpSpPr>
        <a:xfrm>
          <a:off x="2995897" y="2504497"/>
          <a:ext cx="9647901" cy="3234923"/>
          <a:chOff x="3052375" y="2461466"/>
          <a:chExt cx="9842457" cy="3177549"/>
        </a:xfrm>
      </xdr:grpSpPr>
      <xdr:pic>
        <xdr:nvPicPr>
          <xdr:cNvPr id="5" name="WHFS">
            <a:hlinkClick xmlns:r="http://schemas.openxmlformats.org/officeDocument/2006/relationships" r:id="rId3" tooltip="Water Heating / Cooking"/>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24977" y="4426415"/>
            <a:ext cx="1211986" cy="1174824"/>
          </a:xfrm>
          <a:prstGeom prst="rect">
            <a:avLst/>
          </a:prstGeom>
        </xdr:spPr>
      </xdr:pic>
      <xdr:pic>
        <xdr:nvPicPr>
          <xdr:cNvPr id="6" name="CAP">
            <a:hlinkClick xmlns:r="http://schemas.openxmlformats.org/officeDocument/2006/relationships" r:id="rId5" tooltip="Compressed Air / Process"/>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46708" y="4438538"/>
            <a:ext cx="1186414" cy="1130272"/>
          </a:xfrm>
          <a:prstGeom prst="rect">
            <a:avLst/>
          </a:prstGeom>
        </xdr:spPr>
      </xdr:pic>
      <xdr:pic>
        <xdr:nvPicPr>
          <xdr:cNvPr id="7" name="Motors">
            <a:hlinkClick xmlns:r="http://schemas.openxmlformats.org/officeDocument/2006/relationships" r:id="rId7" tooltip="Motors and Drives"/>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53010" y="4469906"/>
            <a:ext cx="1204296" cy="1169109"/>
          </a:xfrm>
          <a:prstGeom prst="rect">
            <a:avLst/>
          </a:prstGeom>
        </xdr:spPr>
      </xdr:pic>
      <xdr:pic>
        <xdr:nvPicPr>
          <xdr:cNvPr id="8" name="HVAC" hidden="1">
            <a:hlinkClick xmlns:r="http://schemas.openxmlformats.org/officeDocument/2006/relationships" r:id="rId9" tooltip="HVAC"/>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707806" y="2461466"/>
            <a:ext cx="1187026" cy="1127097"/>
          </a:xfrm>
          <a:prstGeom prst="rect">
            <a:avLst/>
          </a:prstGeom>
        </xdr:spPr>
      </xdr:pic>
      <xdr:pic>
        <xdr:nvPicPr>
          <xdr:cNvPr id="9" name="Refrigeration">
            <a:hlinkClick xmlns:r="http://schemas.openxmlformats.org/officeDocument/2006/relationships" r:id="rId11" tooltip="Refrigeration"/>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827233" y="2465215"/>
            <a:ext cx="1208743" cy="1156478"/>
          </a:xfrm>
          <a:prstGeom prst="rect">
            <a:avLst/>
          </a:prstGeom>
        </xdr:spPr>
      </xdr:pic>
      <xdr:pic>
        <xdr:nvPicPr>
          <xdr:cNvPr id="10" name="LC">
            <a:hlinkClick xmlns:r="http://schemas.openxmlformats.org/officeDocument/2006/relationships" r:id="rId13" tooltip="Lighting Controls"/>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35102" y="2467185"/>
            <a:ext cx="1203028" cy="1154442"/>
          </a:xfrm>
          <a:prstGeom prst="rect">
            <a:avLst/>
          </a:prstGeom>
        </xdr:spPr>
      </xdr:pic>
      <xdr:pic>
        <xdr:nvPicPr>
          <xdr:cNvPr id="11" name="Lighting">
            <a:hlinkClick xmlns:r="http://schemas.openxmlformats.org/officeDocument/2006/relationships" r:id="rId15" tooltip="Lighting"/>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52375"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2" name="Navigation">
          <a:extLst>
            <a:ext uri="{FF2B5EF4-FFF2-40B4-BE49-F238E27FC236}">
              <a16:creationId xmlns:a16="http://schemas.microsoft.com/office/drawing/2014/main" id="{00000000-0008-0000-1200-00000C000000}"/>
            </a:ext>
          </a:extLst>
        </xdr:cNvPr>
        <xdr:cNvGrpSpPr/>
      </xdr:nvGrpSpPr>
      <xdr:grpSpPr>
        <a:xfrm>
          <a:off x="2196353" y="605118"/>
          <a:ext cx="11219890" cy="1008529"/>
          <a:chOff x="1610956" y="594360"/>
          <a:chExt cx="11437620" cy="990600"/>
        </a:xfrm>
      </xdr:grpSpPr>
      <xdr:cxnSp macro="">
        <xdr:nvCxnSpPr>
          <xdr:cNvPr id="13" name="Reference">
            <a:extLst>
              <a:ext uri="{FF2B5EF4-FFF2-40B4-BE49-F238E27FC236}">
                <a16:creationId xmlns:a16="http://schemas.microsoft.com/office/drawing/2014/main" id="{00000000-0008-0000-1200-00000D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4" name="7: Project Review">
            <a:hlinkClick xmlns:r="http://schemas.openxmlformats.org/officeDocument/2006/relationships" r:id="rId17" tooltip="Project Review"/>
            <a:extLst>
              <a:ext uri="{FF2B5EF4-FFF2-40B4-BE49-F238E27FC236}">
                <a16:creationId xmlns:a16="http://schemas.microsoft.com/office/drawing/2014/main" id="{00000000-0008-0000-1200-00000E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5" name="6: Payment">
            <a:hlinkClick xmlns:r="http://schemas.openxmlformats.org/officeDocument/2006/relationships" r:id="rId18" tooltip="Payment"/>
            <a:extLst>
              <a:ext uri="{FF2B5EF4-FFF2-40B4-BE49-F238E27FC236}">
                <a16:creationId xmlns:a16="http://schemas.microsoft.com/office/drawing/2014/main" id="{00000000-0008-0000-1200-00000F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6" name="5: Equipment Input">
            <a:hlinkClick xmlns:r="http://schemas.openxmlformats.org/officeDocument/2006/relationships" r:id="rId19" tooltip="Equipment Input"/>
            <a:extLst>
              <a:ext uri="{FF2B5EF4-FFF2-40B4-BE49-F238E27FC236}">
                <a16:creationId xmlns:a16="http://schemas.microsoft.com/office/drawing/2014/main" id="{00000000-0008-0000-1200-000010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7" name="4: Building Information">
            <a:hlinkClick xmlns:r="http://schemas.openxmlformats.org/officeDocument/2006/relationships" r:id="rId20" tooltip="Building Information"/>
            <a:extLst>
              <a:ext uri="{FF2B5EF4-FFF2-40B4-BE49-F238E27FC236}">
                <a16:creationId xmlns:a16="http://schemas.microsoft.com/office/drawing/2014/main" id="{00000000-0008-0000-1200-00001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8" name="3: Customer Information">
            <a:hlinkClick xmlns:r="http://schemas.openxmlformats.org/officeDocument/2006/relationships" r:id="rId21" tooltip="Customer Information"/>
            <a:extLst>
              <a:ext uri="{FF2B5EF4-FFF2-40B4-BE49-F238E27FC236}">
                <a16:creationId xmlns:a16="http://schemas.microsoft.com/office/drawing/2014/main" id="{00000000-0008-0000-1200-00001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9" name="2: Trade Ally Info">
            <a:hlinkClick xmlns:r="http://schemas.openxmlformats.org/officeDocument/2006/relationships" r:id="rId22" tooltip="Trade Ally/Vendor Information"/>
            <a:extLst>
              <a:ext uri="{FF2B5EF4-FFF2-40B4-BE49-F238E27FC236}">
                <a16:creationId xmlns:a16="http://schemas.microsoft.com/office/drawing/2014/main" id="{00000000-0008-0000-1200-00001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0" name="1: T&amp;C's">
            <a:hlinkClick xmlns:r="http://schemas.openxmlformats.org/officeDocument/2006/relationships" r:id="rId23" tooltip="Terms &amp; Conditions"/>
            <a:extLst>
              <a:ext uri="{FF2B5EF4-FFF2-40B4-BE49-F238E27FC236}">
                <a16:creationId xmlns:a16="http://schemas.microsoft.com/office/drawing/2014/main" id="{00000000-0008-0000-1200-00001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1" name="Header">
          <a:extLst>
            <a:ext uri="{FF2B5EF4-FFF2-40B4-BE49-F238E27FC236}">
              <a16:creationId xmlns:a16="http://schemas.microsoft.com/office/drawing/2014/main" id="{00000000-0008-0000-1200-000015000000}"/>
            </a:ext>
          </a:extLst>
        </xdr:cNvPr>
        <xdr:cNvGrpSpPr/>
      </xdr:nvGrpSpPr>
      <xdr:grpSpPr>
        <a:xfrm>
          <a:off x="0" y="0"/>
          <a:ext cx="15374471" cy="605336"/>
          <a:chOff x="0" y="1452064"/>
          <a:chExt cx="15813740" cy="591889"/>
        </a:xfrm>
      </xdr:grpSpPr>
      <xdr:grpSp>
        <xdr:nvGrpSpPr>
          <xdr:cNvPr id="22" name="Header">
            <a:extLst>
              <a:ext uri="{FF2B5EF4-FFF2-40B4-BE49-F238E27FC236}">
                <a16:creationId xmlns:a16="http://schemas.microsoft.com/office/drawing/2014/main" id="{00000000-0008-0000-1200-000016000000}"/>
              </a:ext>
            </a:extLst>
          </xdr:cNvPr>
          <xdr:cNvGrpSpPr/>
        </xdr:nvGrpSpPr>
        <xdr:grpSpPr>
          <a:xfrm>
            <a:off x="0" y="1452064"/>
            <a:ext cx="15813740" cy="591889"/>
            <a:chOff x="0" y="1452064"/>
            <a:chExt cx="15813740" cy="591889"/>
          </a:xfrm>
        </xdr:grpSpPr>
        <xdr:sp macro="" textlink="">
          <xdr:nvSpPr>
            <xdr:cNvPr id="28" name="Reference">
              <a:extLst>
                <a:ext uri="{FF2B5EF4-FFF2-40B4-BE49-F238E27FC236}">
                  <a16:creationId xmlns:a16="http://schemas.microsoft.com/office/drawing/2014/main" id="{00000000-0008-0000-1200-00001C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Contact">
              <a:hlinkClick xmlns:r="http://schemas.openxmlformats.org/officeDocument/2006/relationships" r:id="rId24" tooltip="Contact"/>
              <a:extLst>
                <a:ext uri="{FF2B5EF4-FFF2-40B4-BE49-F238E27FC236}">
                  <a16:creationId xmlns:a16="http://schemas.microsoft.com/office/drawing/2014/main" id="{00000000-0008-0000-1200-00001D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ompletion Form">
              <a:hlinkClick xmlns:r="http://schemas.openxmlformats.org/officeDocument/2006/relationships" r:id="rId25" tooltip=" "/>
              <a:extLst>
                <a:ext uri="{FF2B5EF4-FFF2-40B4-BE49-F238E27FC236}">
                  <a16:creationId xmlns:a16="http://schemas.microsoft.com/office/drawing/2014/main" id="{00000000-0008-0000-1200-00001E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Offer Form">
              <a:hlinkClick xmlns:r="http://schemas.openxmlformats.org/officeDocument/2006/relationships" r:id="rId26" tooltip=" "/>
              <a:extLst>
                <a:ext uri="{FF2B5EF4-FFF2-40B4-BE49-F238E27FC236}">
                  <a16:creationId xmlns:a16="http://schemas.microsoft.com/office/drawing/2014/main" id="{00000000-0008-0000-1200-00001F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Incentives">
              <a:extLst>
                <a:ext uri="{FF2B5EF4-FFF2-40B4-BE49-F238E27FC236}">
                  <a16:creationId xmlns:a16="http://schemas.microsoft.com/office/drawing/2014/main" id="{00000000-0008-0000-1200-000020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3" name="Instructions">
              <a:hlinkClick xmlns:r="http://schemas.openxmlformats.org/officeDocument/2006/relationships" r:id="rId27" tooltip="Instructions"/>
              <a:extLst>
                <a:ext uri="{FF2B5EF4-FFF2-40B4-BE49-F238E27FC236}">
                  <a16:creationId xmlns:a16="http://schemas.microsoft.com/office/drawing/2014/main" id="{00000000-0008-0000-1200-000021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Welcome">
              <a:hlinkClick xmlns:r="http://schemas.openxmlformats.org/officeDocument/2006/relationships" r:id="rId28" tooltip="Welcome"/>
              <a:extLst>
                <a:ext uri="{FF2B5EF4-FFF2-40B4-BE49-F238E27FC236}">
                  <a16:creationId xmlns:a16="http://schemas.microsoft.com/office/drawing/2014/main" id="{00000000-0008-0000-1200-000022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Logo">
              <a:extLst>
                <a:ext uri="{FF2B5EF4-FFF2-40B4-BE49-F238E27FC236}">
                  <a16:creationId xmlns:a16="http://schemas.microsoft.com/office/drawing/2014/main" id="{00000000-0008-0000-12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6" name="State">
              <a:extLst>
                <a:ext uri="{FF2B5EF4-FFF2-40B4-BE49-F238E27FC236}">
                  <a16:creationId xmlns:a16="http://schemas.microsoft.com/office/drawing/2014/main" id="{00000000-0008-0000-1200-000024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3" name="Dividers">
            <a:extLst>
              <a:ext uri="{FF2B5EF4-FFF2-40B4-BE49-F238E27FC236}">
                <a16:creationId xmlns:a16="http://schemas.microsoft.com/office/drawing/2014/main" id="{00000000-0008-0000-1200-000017000000}"/>
              </a:ext>
            </a:extLst>
          </xdr:cNvPr>
          <xdr:cNvGrpSpPr/>
        </xdr:nvGrpSpPr>
        <xdr:grpSpPr>
          <a:xfrm>
            <a:off x="1613405" y="1537433"/>
            <a:ext cx="11616513" cy="423049"/>
            <a:chOff x="1612951" y="85725"/>
            <a:chExt cx="11618931" cy="423022"/>
          </a:xfrm>
        </xdr:grpSpPr>
        <xdr:cxnSp macro="">
          <xdr:nvCxnSpPr>
            <xdr:cNvPr id="24" name="Divider 4">
              <a:extLst>
                <a:ext uri="{FF2B5EF4-FFF2-40B4-BE49-F238E27FC236}">
                  <a16:creationId xmlns:a16="http://schemas.microsoft.com/office/drawing/2014/main" id="{00000000-0008-0000-1200-00001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3">
              <a:extLst>
                <a:ext uri="{FF2B5EF4-FFF2-40B4-BE49-F238E27FC236}">
                  <a16:creationId xmlns:a16="http://schemas.microsoft.com/office/drawing/2014/main" id="{00000000-0008-0000-1200-00001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2">
              <a:extLst>
                <a:ext uri="{FF2B5EF4-FFF2-40B4-BE49-F238E27FC236}">
                  <a16:creationId xmlns:a16="http://schemas.microsoft.com/office/drawing/2014/main" id="{00000000-0008-0000-1200-00001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1">
              <a:extLst>
                <a:ext uri="{FF2B5EF4-FFF2-40B4-BE49-F238E27FC236}">
                  <a16:creationId xmlns:a16="http://schemas.microsoft.com/office/drawing/2014/main" id="{00000000-0008-0000-1200-00001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816"/>
    <tableColumn id="5" xr3:uid="{EF282AF5-C332-4CBC-8A51-7039730A0F86}" name="Transformer LF" dataDxfId="81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78:D95" totalsRowShown="0">
  <autoFilter ref="C78:D95"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4:H34" totalsRowShown="0" dataDxfId="806">
  <autoFilter ref="F24:H34" xr:uid="{00000000-0009-0000-0100-00002B000000}"/>
  <tableColumns count="3">
    <tableColumn id="1" xr3:uid="{00000000-0010-0000-1C00-000001000000}" name="Rate Schedules" dataDxfId="805"/>
    <tableColumn id="2" xr3:uid="{00000000-0010-0000-1C00-000002000000}" name="Rate" dataDxfId="804"/>
    <tableColumn id="3" xr3:uid="{F75EC826-F983-4249-BE3A-444641AAD133}" name="Territory" dataDxfId="80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9" totalsRowShown="0">
  <autoFilter ref="A60:A69" xr:uid="{00000000-0009-0000-0100-00002C000000}"/>
  <sortState xmlns:xlrd2="http://schemas.microsoft.com/office/spreadsheetml/2017/richdata2" ref="A61:A69">
    <sortCondition ref="A60:A69"/>
  </sortState>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22" totalsRowShown="0">
  <autoFilter ref="F11:H22" xr:uid="{00000000-0009-0000-0100-00002E000000}"/>
  <sortState xmlns:xlrd2="http://schemas.microsoft.com/office/spreadsheetml/2017/richdata2" ref="F12:H22">
    <sortCondition ref="F11:F22"/>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2:A79" totalsRowShown="0">
  <autoFilter ref="A72:A79" xr:uid="{00000000-0009-0000-0100-00002F000000}"/>
  <sortState xmlns:xlrd2="http://schemas.microsoft.com/office/spreadsheetml/2017/richdata2" ref="A73:A79">
    <sortCondition ref="A72:A79"/>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97:D111" totalsRowShown="0">
  <autoFilter ref="C97:D111" xr:uid="{9919102D-53DA-4750-B123-AE16CB929FEB}"/>
  <tableColumns count="2">
    <tableColumn id="1" xr3:uid="{E971C422-A0DF-407A-810E-59EFF0DE1F82}" name="Tests/Rates/Caps"/>
    <tableColumn id="2" xr3:uid="{E6B94532-F98C-4B3E-9352-D56CE4FDE74E}" name="Value" dataDxfId="80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81:A83" totalsRowShown="0">
  <autoFilter ref="A81:A83"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BI18:BT23" totalsRowShown="0">
  <autoFilter ref="BI18:BT23" xr:uid="{0862F6BE-6689-4E94-8380-725C6AE2599D}"/>
  <tableColumns count="12">
    <tableColumn id="1" xr3:uid="{43EF493E-3768-4697-B4AF-0A98C71A925F}" name="Payment to"/>
    <tableColumn id="2" xr3:uid="{D3318855-A63D-4387-BA7E-ABEDEDD244B4}" name="Company" dataDxfId="801">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800">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76" totalsRowShown="0">
  <autoFilter ref="C22:D76" xr:uid="{00000000-0009-0000-0100-000018000000}"/>
  <sortState xmlns:xlrd2="http://schemas.microsoft.com/office/spreadsheetml/2017/richdata2" ref="C23:D76">
    <sortCondition ref="D22:D76"/>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5:A88" totalsRowShown="0">
  <autoFilter ref="A85:A88"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12:D114" totalsRowShown="0" headerRowDxfId="799" dataDxfId="798">
  <autoFilter ref="C112:D114" xr:uid="{4006C8D3-4E41-433A-8082-3DB838C080D7}"/>
  <tableColumns count="2">
    <tableColumn id="1" xr3:uid="{3AD87508-FC4D-4B42-BB18-789A39A72F02}" name="WBP Energy Savings % Below Baseline" dataDxfId="797"/>
    <tableColumn id="2" xr3:uid="{C53A8002-A38F-4660-BAB0-2CC0907E8BCF}" name="Incentive Rate" dataDxfId="796"/>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90:A98" totalsRowShown="0">
  <autoFilter ref="A90:A98" xr:uid="{6F283F39-100C-4495-8665-57CDBE2EA3EC}"/>
  <sortState xmlns:xlrd2="http://schemas.microsoft.com/office/spreadsheetml/2017/richdata2" ref="A91:A97">
    <sortCondition ref="A90:A97"/>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BI25:BT30" totalsRowShown="0">
  <autoFilter ref="BI25:BT30" xr:uid="{E444B727-113C-49A4-A17A-A8E783547E95}"/>
  <tableColumns count="12">
    <tableColumn id="1" xr3:uid="{B0D78A6C-B16B-4DF1-9AF4-5EDD28F0FE92}" name="Payment to"/>
    <tableColumn id="2" xr3:uid="{54FBAF29-726F-4651-950F-D2488E8A4A8E}" name="Company" dataDxfId="795">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794">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3:A119" totalsRowShown="0">
  <autoFilter ref="A113:A119"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16:D134" totalsRowShown="0" tableBorderDxfId="793">
  <autoFilter ref="C116:D134"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100:A104" totalsRowShown="0">
  <autoFilter ref="A100:A104" xr:uid="{00000000-0009-0000-0100-000003000000}"/>
  <sortState xmlns:xlrd2="http://schemas.microsoft.com/office/spreadsheetml/2017/richdata2" ref="A101:B103">
    <sortCondition descending="1" ref="A100:A103"/>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6:A108" totalsRowShown="0">
  <autoFilter ref="A106:A108" xr:uid="{0E4FDCE4-66D1-4FBA-BDDA-ECA15BC8AF84}"/>
  <sortState xmlns:xlrd2="http://schemas.microsoft.com/office/spreadsheetml/2017/richdata2" ref="A107:B109">
    <sortCondition descending="1" ref="A100:A104"/>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21:A124" totalsRowShown="0">
  <autoFilter ref="A121:A124"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26:A128" totalsRowShown="0">
  <autoFilter ref="A126:A128"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36:D142" totalsRowShown="0">
  <autoFilter ref="C136:D142"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N13:AV38" totalsRowShown="0" headerRowDxfId="792" dataDxfId="791" dataCellStyle="Percent">
  <autoFilter ref="AN13:AV38" xr:uid="{BE6CC59E-0933-48A0-8E64-368F16B1652D}"/>
  <tableColumns count="9">
    <tableColumn id="1" xr3:uid="{0863B01B-5915-4103-8AC1-7C0175172BAB}" name="kVA"/>
    <tableColumn id="2" xr3:uid="{40E4E194-7CDB-48F6-B9DA-EBD5436DD718}" name="1PH_Eff" dataDxfId="790"/>
    <tableColumn id="3" xr3:uid="{6E5A86E2-0FF8-48FD-9CB7-5CBEF96E5900}" name="20-45 kV" dataDxfId="789" dataCellStyle="Percent"/>
    <tableColumn id="4" xr3:uid="{DA54A620-DFE9-4C24-99E6-1D1C0EE45DAA}" name="46-95 kV" dataDxfId="788" dataCellStyle="Percent"/>
    <tableColumn id="5" xr3:uid="{1141E23A-AEE1-4456-9C69-B3C556662268}" name="≥96 kV" dataDxfId="787" dataCellStyle="Percent"/>
    <tableColumn id="6" xr3:uid="{AD7CD83F-2368-4BDA-A2C2-6313D87A7DFF}" name="3PH_Eff" dataDxfId="786">
      <calculatedColumnFormula>ROUND(AVERAGE(AT14:AV14), 4)</calculatedColumnFormula>
    </tableColumn>
    <tableColumn id="7" xr3:uid="{FC02E669-E655-4666-AEC1-FFA46170FBBC}" name="20-45 kV2" dataDxfId="785" dataCellStyle="Percent"/>
    <tableColumn id="8" xr3:uid="{67CBA67F-A367-4069-BD68-74A5939D5F3D}" name="46-95 kV3" dataDxfId="784" dataCellStyle="Percent"/>
    <tableColumn id="9" xr3:uid="{3B09A59C-5B8E-4B0D-9A44-D88751CE437E}" name="≥96 kV4" dataDxfId="783"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N41:AP66" totalsRowShown="0">
  <autoFilter ref="AN41:AP66" xr:uid="{BFFAD7E3-F985-4300-8052-F01864ABB8DF}"/>
  <tableColumns count="3">
    <tableColumn id="1" xr3:uid="{8A63B8C1-C9A9-483C-B1B2-07CAB769DB5F}" name="kVA"/>
    <tableColumn id="2" xr3:uid="{F9DB6AE8-3886-4792-9335-9FA07F6848E2}" name="1PH_Eff" dataDxfId="782"/>
    <tableColumn id="3" xr3:uid="{EF213BCE-96DA-405F-AED4-20017A0EBF19}" name="3PH_Eff" dataDxfId="781"/>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R41:AT60" totalsRowShown="0">
  <autoFilter ref="AR41:AT60" xr:uid="{DBA06B36-C4F0-4743-A07E-E24D3F36C70D}"/>
  <tableColumns count="3">
    <tableColumn id="1" xr3:uid="{C3E46C6A-4A4C-48A7-8E6B-913E7AF57D9E}" name="kVA"/>
    <tableColumn id="2" xr3:uid="{C2C7666A-DB37-4569-B3C6-AEB0D708C0B5}" name="1PH_Eff" dataDxfId="780"/>
    <tableColumn id="3" xr3:uid="{52B8B3F3-84C8-4520-9658-F7E1002DEA91}" name="3PH_Eff" dataDxfId="779"/>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U11:Z589" totalsRowShown="0" dataDxfId="778" dataCellStyle="Normal 2 4 17">
  <autoFilter ref="U11:Z589" xr:uid="{00000000-0009-0000-0100-000012000000}"/>
  <sortState xmlns:xlrd2="http://schemas.microsoft.com/office/spreadsheetml/2017/richdata2" ref="U12:Z518">
    <sortCondition ref="V11:V518"/>
  </sortState>
  <tableColumns count="6">
    <tableColumn id="1" xr3:uid="{00000000-0010-0000-2700-000001000000}" name="ZIP Code" dataDxfId="777"/>
    <tableColumn id="2" xr3:uid="{00000000-0010-0000-2700-000002000000}" name="City" dataDxfId="776"/>
    <tableColumn id="4" xr3:uid="{00000000-0010-0000-2700-000004000000}" name="NC City Code" dataDxfId="775" dataCellStyle="Normal 2 4 17"/>
    <tableColumn id="5" xr3:uid="{00000000-0010-0000-2700-000005000000}" name="County" dataDxfId="774"/>
    <tableColumn id="7" xr3:uid="{00000000-0010-0000-2700-000007000000}" name="NC County Code" dataDxfId="773" dataCellStyle="Normal 2 4 17"/>
    <tableColumn id="9" xr3:uid="{00000000-0010-0000-2700-000009000000}" name="No Code" dataDxfId="772" dataCellStyle="Normal 2 4 17"/>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B11:AB432" totalsRowShown="0" dataCellStyle="Normal 2 4 17">
  <autoFilter ref="AB11:AB432" xr:uid="{00000000-0009-0000-0100-000039000000}"/>
  <sortState xmlns:xlrd2="http://schemas.microsoft.com/office/spreadsheetml/2017/richdata2" ref="AB12:AB394">
    <sortCondition ref="AB11:AB394"/>
  </sortState>
  <tableColumns count="1">
    <tableColumn id="1" xr3:uid="{00000000-0010-0000-2800-000001000000}" name="City" dataCellStyle="Normal 2 4 17"/>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771" dataDxfId="770">
  <autoFilter ref="J11:M12" xr:uid="{EAC5BECC-A2D0-4E4C-A8C6-2AB5BB0CA4FB}"/>
  <tableColumns count="4">
    <tableColumn id="1" xr3:uid="{3E38C536-C4D4-418F-B3ED-DE3084AA7A71}" name="Acknowledge" dataDxfId="769"/>
    <tableColumn id="2" xr3:uid="{60F03FC8-D543-4D16-A94E-0C87CFDA9861}" name="Main" dataDxfId="768">
      <calculatedColumnFormula>IF(Excel_Ack[[#This Row],[Acknowledge]]=TRUE, "'M02-S01'!A1", "'M01-S02'!A1")</calculatedColumnFormula>
    </tableColumn>
    <tableColumn id="3" xr3:uid="{58B1A54D-DF56-485D-8035-9B921404930D}" name="NC" dataDxfId="767">
      <calculatedColumnFormula>IF(Excel_Ack[[#This Row],[Acknowledge]]=TRUE, "'N02-S01'!A1", "'N01-S02'!A1")</calculatedColumnFormula>
    </tableColumn>
    <tableColumn id="4" xr3:uid="{F08F5BB1-80DC-4A2D-95C9-BEC51B3F2BFF}" name="RCx" dataDxfId="766">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4421653-27C1-430D-98BB-82B415E9E41F}" name="Excel_Ack_Contact" displayName="Excel_Ack_Contact" ref="J15:M16" totalsRowShown="0" headerRowDxfId="765" dataDxfId="764">
  <autoFilter ref="J15:M16" xr:uid="{A4421653-27C1-430D-98BB-82B415E9E41F}"/>
  <tableColumns count="4">
    <tableColumn id="1" xr3:uid="{6F4E75C1-BF62-4B50-ACF6-8D59B8006D08}" name="Acknowledge" dataDxfId="763"/>
    <tableColumn id="2" xr3:uid="{2CF075DA-FE4D-4AA5-96EC-EC901D15BC33}" name="Main" dataDxfId="762">
      <calculatedColumnFormula>"'M01-S03'!A1"</calculatedColumnFormula>
    </tableColumn>
    <tableColumn id="3" xr3:uid="{02CA9CC4-3799-49E0-A145-3C8F9F73D6EE}" name="NC" dataDxfId="761">
      <calculatedColumnFormula>"'N01-S03'!A1"</calculatedColumnFormula>
    </tableColumn>
    <tableColumn id="4" xr3:uid="{39220E7E-FDBF-4BC7-8EB6-C47EAAD69605}" name="RCx" dataDxfId="760">
      <calculatedColumnFormula>"'X01-S03'!A1"</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7F1A01E-56B7-4744-997F-4B52A5140371}" name="Excel_Ack_Offer" displayName="Excel_Ack_Offer" ref="J19:M20" totalsRowShown="0" headerRowDxfId="759" dataDxfId="758">
  <autoFilter ref="J19:M20" xr:uid="{07F1A01E-56B7-4744-997F-4B52A5140371}"/>
  <tableColumns count="4">
    <tableColumn id="1" xr3:uid="{978C0DD2-D78D-4FA3-8EA9-23C6635A9CC2}" name="Acknowledge" dataDxfId="757"/>
    <tableColumn id="2" xr3:uid="{2DE8BA7B-D248-41C6-BE6A-22D4B0F0F090}" name="Main" dataDxfId="756">
      <calculatedColumnFormula>IF(Excel_Ack_Offer[[#This Row],[Acknowledge]]=TRUE, IF(ACTIVEOFFER="Yes", "'M05-S04'!A1", ""), "'M01-S02'!A1")</calculatedColumnFormula>
    </tableColumn>
    <tableColumn id="3" xr3:uid="{C91E2005-7400-403C-BB08-2B99E14B74C3}" name="NC" dataDxfId="755">
      <calculatedColumnFormula>IF(Excel_Ack_Offer[[#This Row],[Acknowledge]]=TRUE, IF(ACTIVEOFFER_N="Yes", "'N05-S04'!A1", ""), "'N01-S02'!A1")</calculatedColumnFormula>
    </tableColumn>
    <tableColumn id="4" xr3:uid="{AC2E7D63-05E2-422F-A9B6-4A22C6B206E9}" name="RCx" dataDxfId="754">
      <calculatedColumnFormula>IF(Excel_Ack_Offer[[#This Row],[Acknowledge]]=TRUE, IF(ACTIVEOFFER_X="Yes", "'X05-S04'!A1", ""), "'X01-S02'!A1")</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3E2BBE-2CC2-40CB-94E7-43C7F5D6D796}" name="Excel_Ack_Compl" displayName="Excel_Ack_Compl" ref="J23:M24" totalsRowShown="0" headerRowDxfId="753" dataDxfId="752">
  <autoFilter ref="J23:M24" xr:uid="{FD3E2BBE-2CC2-40CB-94E7-43C7F5D6D796}"/>
  <tableColumns count="4">
    <tableColumn id="1" xr3:uid="{50D22192-F5D8-4B9F-B9A9-D8C7A853E92A}" name="Acknowledge" dataDxfId="751"/>
    <tableColumn id="2" xr3:uid="{9AA68F65-E5EE-49C4-9910-7F809573A3A1}" name="Main" dataDxfId="750">
      <calculatedColumnFormula>IF(Excel_Ack_Compl[[#This Row],[Acknowledge]]=TRUE, IF(ACTIVECOMPL="Yes", "'M05-S05'!A1", ""), "'M01-S02'!A1")</calculatedColumnFormula>
    </tableColumn>
    <tableColumn id="3" xr3:uid="{CCFDC59F-4192-4D8E-A07D-C8D020ED8FE8}" name="NC" dataDxfId="749">
      <calculatedColumnFormula>IF(Excel_Ack_Compl[[#This Row],[Acknowledge]]=TRUE, IF(ACTIVECOMPL_N="Yes", "'N05-S05'!A1", ""), "'N01-S02'!A1")</calculatedColumnFormula>
    </tableColumn>
    <tableColumn id="4" xr3:uid="{8300F579-E711-4EA3-BB36-0C0A92AC7479}" name="RCx" dataDxfId="748">
      <calculatedColumnFormula>IF(Excel_Ack_Compl[[#This Row],[Acknowledge]]=TRUE, IF(ACTIVECOMPL_X="Yes", "'X05-S05'!A1", ""), "'X01-S02'!A1")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2AC8749-EE9D-4A32-A701-ABD2C78FD077}" name="NCHVACCODE_Detail" displayName="NCHVACCODE_Detail" ref="AY73:BF82" totalsRowShown="0" headerRowDxfId="747" dataDxfId="746">
  <autoFilter ref="AY73:BF82" xr:uid="{E4D1576D-381A-47A5-B8BA-574B183D46EF}"/>
  <tableColumns count="8">
    <tableColumn id="1" xr3:uid="{BD63F6C1-FBE3-4722-97E7-44D9B8E74F4C}" name="Measure Name" dataDxfId="745"/>
    <tableColumn id="2" xr3:uid="{A0A69401-C183-4E25-AB9E-26C17FF9862F}" name="Efficiency Type" dataDxfId="744"/>
    <tableColumn id="3" xr3:uid="{766F5613-82F9-4DA3-ABA7-6068644CCA67}" name="IECC 2009" dataDxfId="743"/>
    <tableColumn id="4" xr3:uid="{C0F95D94-1D03-4235-A238-3C8DF4234699}" name="IECC 2012" dataDxfId="742"/>
    <tableColumn id="5" xr3:uid="{343D691B-904D-4E61-A427-CD105C14AC3F}" name="IECC 2015" dataDxfId="741"/>
    <tableColumn id="6" xr3:uid="{FCAF414D-CE28-404F-8C4C-83CF9AB63D5B}" name="IECC 2018" dataDxfId="740"/>
    <tableColumn id="7" xr3:uid="{DDF7CDAC-1DCD-4B5E-9470-0B314492D017}" name="IECC 2021" dataDxfId="739"/>
    <tableColumn id="8" xr3:uid="{F2F1AEEB-245D-43CF-8BF8-EFA9EE2ABE85}" name="DOE" dataDxfId="738"/>
  </tableColumns>
  <tableStyleInfo name="TableStyleMedium7"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5BDF374-A7C9-49CA-8A21-CC8DC07F6344}" name="NCHVACCODE_Other" displayName="NCHVACCODE_Other" ref="AY42:BF70" totalsRowShown="0" headerRowDxfId="737" dataDxfId="736">
  <autoFilter ref="AY42:BF70" xr:uid="{9C877139-869F-424C-9DB4-D8973DE2A478}"/>
  <tableColumns count="8">
    <tableColumn id="1" xr3:uid="{643A681A-90E3-4E76-BD70-C421DF15A67A}" name="Measure Name" dataDxfId="735"/>
    <tableColumn id="2" xr3:uid="{CB3E24E3-BE7F-4A31-A24F-D4C49D32BA75}" name="Efficiency Type" dataDxfId="734"/>
    <tableColumn id="3" xr3:uid="{D5E8B53C-4CB2-41FD-ACFB-83F44FAB3123}" name="IECC 2009" dataDxfId="733"/>
    <tableColumn id="4" xr3:uid="{080A71AE-F6FD-4D51-B000-75B48D7427C8}" name="IECC 2012" dataDxfId="732"/>
    <tableColumn id="5" xr3:uid="{1526B4D7-CC1E-4488-A945-7397E317FBF1}" name="IECC 2015" dataDxfId="731"/>
    <tableColumn id="6" xr3:uid="{9CFA3A63-990E-4980-B5F0-8627E90AB9B5}" name="IECC 2018" dataDxfId="730"/>
    <tableColumn id="7" xr3:uid="{F3E3F450-FB85-4DE5-8BBB-4B498D548C09}" name="IECC 2021" dataDxfId="729"/>
    <tableColumn id="8" xr3:uid="{B9889118-446E-48A6-8C2A-86855CC80B82}" name="DOE" dataDxfId="728"/>
  </tableColumns>
  <tableStyleInfo name="TableStyleMedium7"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E1EA24E-C30C-4BD8-948A-035329AF7E50}" name="NCHVACCODE_PLC" displayName="NCHVACCODE_PLC" ref="AY11:BF39" totalsRowShown="0" headerRowDxfId="727" dataDxfId="726">
  <autoFilter ref="AY11:BF39" xr:uid="{5E9EB2BF-449E-4B9E-9964-8C2BA4177906}"/>
  <tableColumns count="8">
    <tableColumn id="1" xr3:uid="{7B9B84A8-0B21-4C8E-B5E2-9595266E99ED}" name="Measure Name" dataDxfId="725"/>
    <tableColumn id="2" xr3:uid="{8C217322-0372-4ACC-AF1C-74590BA0C157}" name="Efficiency Type" dataDxfId="724"/>
    <tableColumn id="3" xr3:uid="{76C493A0-764E-4822-9442-A0C1AD96BEB5}" name="IECC 2009" dataDxfId="723"/>
    <tableColumn id="4" xr3:uid="{142992F7-6912-4DE8-B041-2A3A7FC57684}" name="IECC 2012" dataDxfId="722"/>
    <tableColumn id="5" xr3:uid="{9089D26F-88FF-4036-BB22-3408F6A5DC9D}" name="IECC 2015" dataDxfId="721"/>
    <tableColumn id="6" xr3:uid="{7F1E9F0F-409C-43AE-8301-E3E7756CD60B}" name="IECC 2018" dataDxfId="720"/>
    <tableColumn id="7" xr3:uid="{14D43DB8-5FA9-40B0-859E-EC24A88EF570}" name="IECC 2021" dataDxfId="719"/>
    <tableColumn id="8" xr3:uid="{C65836C7-BAA9-4457-9840-4CF807DB53B6}" name="DOE" dataDxfId="718"/>
  </tableColumns>
  <tableStyleInfo name="TableStyleMedium7"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6" totalsRowShown="0" headerRowDxfId="717" dataDxfId="716">
  <autoFilter ref="A11:G36" xr:uid="{00000000-0009-0000-0100-000011000000}"/>
  <tableColumns count="7">
    <tableColumn id="1" xr3:uid="{00000000-0010-0000-0E00-000001000000}" name="Year" dataDxfId="715"/>
    <tableColumn id="2" xr3:uid="{00000000-0010-0000-0E00-000002000000}" name="Year Number" dataDxfId="714"/>
    <tableColumn id="5" xr3:uid="{D4726E79-2B04-4F69-A6F9-BED1C7AC43FB}" name="Capacity Reserve Margin" dataDxfId="713"/>
    <tableColumn id="4" xr3:uid="{1937B239-7B7E-4712-B404-9637E1920678}" name="Avoided Capacity Cost $/kW" dataDxfId="712"/>
    <tableColumn id="3" xr3:uid="{28B6BC17-76FA-4DE4-B822-2631A6E4B9D6}" name="Avoided T&amp;D $/kW" dataDxfId="711"/>
    <tableColumn id="9" xr3:uid="{00000000-0010-0000-0E00-000009000000}" name="NPV AEC $/kWh" dataDxfId="710">
      <calculatedColumnFormula>M50</calculatedColumnFormula>
    </tableColumn>
    <tableColumn id="10" xr3:uid="{00000000-0010-0000-0E00-00000A000000}" name="NPV ACC $/kW" dataDxfId="709">
      <calculatedColumnFormula>N50</calculatedColumnFormula>
    </tableColumn>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L49:P74" totalsRowShown="0" headerRowDxfId="708" dataDxfId="706" headerRowBorderDxfId="707" tableBorderDxfId="705" totalsRowBorderDxfId="704" headerRowCellStyle="Normal 23" dataCellStyle="Normal 23">
  <autoFilter ref="L49:P74" xr:uid="{AB7D8CF8-70CE-4B46-B609-9F929D47C05F}"/>
  <tableColumns count="5">
    <tableColumn id="1" xr3:uid="{8458E4E7-D605-4A21-AE72-8CC4813417FA}" name="Measure Life" dataDxfId="703" dataCellStyle="Normal 23">
      <calculatedColumnFormula>IF(A53=YEAR(TODAY()),1,IF(L49&lt;&gt;"",L49+1,""))</calculatedColumnFormula>
    </tableColumn>
    <tableColumn id="2" xr3:uid="{19377D27-711C-46EF-BAB0-A1647EAADA1F}" name="$/kWh" dataDxfId="702" dataCellStyle="Normal 23">
      <calculatedColumnFormula>C53*(1+$C$7)^-(B53-1)</calculatedColumnFormula>
    </tableColumn>
    <tableColumn id="3" xr3:uid="{90BD78C4-F1B1-48FD-9BBA-6910903D0141}" name="$/kW-yr" dataDxfId="701" dataCellStyle="Normal 23">
      <calculatedColumnFormula>D53*(1+$C$7)^-(B53-1)</calculatedColumnFormula>
    </tableColumn>
    <tableColumn id="4" xr3:uid="{6D2E97D2-4C1D-4A48-884A-323DB0C5A2FE}" name="$/kWh " dataDxfId="700" dataCellStyle="Normal 23">
      <calculatedColumnFormula>F53*(1+$C$9)^-(B53-1)</calculatedColumnFormula>
    </tableColumn>
    <tableColumn id="5" xr3:uid="{06DA1FE7-5501-4970-A746-2B0992933A9E}" name="$/kW-yr " dataDxfId="699" dataCellStyle="Normal 23">
      <calculatedColumnFormula>G53*(1+$C$9)^-(B53-1)</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I35" totalsRowShown="0" headerRowDxfId="698" dataDxfId="696" headerRowBorderDxfId="697" tableBorderDxfId="695" totalsRowBorderDxfId="694">
  <autoFilter ref="B2:AI35" xr:uid="{4895173A-855F-4E2D-AC5D-F9E9E41D1188}"/>
  <sortState xmlns:xlrd2="http://schemas.microsoft.com/office/spreadsheetml/2017/richdata2" ref="B3:AI35">
    <sortCondition ref="Z2:Z35"/>
  </sortState>
  <tableColumns count="34">
    <tableColumn id="4" xr3:uid="{B50287D4-9A5B-4479-9E21-9768FB203FF4}" name="Measure Number" dataDxfId="693">
      <calculatedColumnFormula array="1">LEFT(A3, 2) &amp; IF(Program_Banner= "Business Energy Savings", 2, IF(Program_Banner="Small Business / Non-Profit", 3, "#")) &amp; RIGHT(A3,6)</calculatedColumnFormula>
    </tableColumn>
    <tableColumn id="6" xr3:uid="{DE98E972-897B-4C73-8D3D-EE0A0686CEA2}" name="Measure Name" dataDxfId="692"/>
    <tableColumn id="3" xr3:uid="{2B262458-0F3F-4815-848B-15794C90CBC1}" name="Primary Key WBE" dataDxfId="691"/>
    <tableColumn id="31" xr3:uid="{D49B239F-7A9E-4B38-9224-51EED51FCA95}" name="Primary Key HTRB" dataDxfId="690"/>
    <tableColumn id="2" xr3:uid="{0EBDA415-A26A-4682-947A-DADB173F14A4}" name="TRM Measure Name" dataDxfId="689"/>
    <tableColumn id="1" xr3:uid="{3DCD48CC-CC9E-4205-91D4-554261CED467}" name="Program" dataDxfId="688"/>
    <tableColumn id="5" xr3:uid="{DEB1FA13-F476-420D-BC33-2F818663C744}" name="End Use" dataDxfId="687"/>
    <tableColumn id="11" xr3:uid="{CCA66FCC-BC9C-4340-9653-BCCD965F0D38}" name="Current Unit" dataDxfId="686"/>
    <tableColumn id="12" xr3:uid="{644D938F-6D77-4172-8FB4-6EF72CEB6F61}" name="BESP Incentive" dataDxfId="685"/>
    <tableColumn id="30" xr3:uid="{E266948F-01E6-4126-94F0-2273FE17384F}" name="SBNP Incentive" dataDxfId="684"/>
    <tableColumn id="20" xr3:uid="{C722D32F-F2D5-4D38-9FEB-C3BE8C65A774}" name="Bonus Incentive" dataDxfId="683"/>
    <tableColumn id="13" xr3:uid="{20ACE862-480F-402E-9B54-D6E0F102225C}" name="Incremental Measure Cost ($/Unit)" dataDxfId="682"/>
    <tableColumn id="14" xr3:uid="{D62D38F6-2C86-4505-8031-9D230C728057}" name="Electric Energy Savings WBE (Annual kWh/unit)" dataDxfId="681" dataCellStyle="Comma"/>
    <tableColumn id="33" xr3:uid="{0DE310FE-0357-47C6-9BDD-BC77FA3F1B47}" name="Electric Energy Savings HTRB (Annual kWh/unit)" dataDxfId="680" dataCellStyle="Comma"/>
    <tableColumn id="19" xr3:uid="{3A773825-9FAB-40E4-8654-EEB5C7A2421A}" name="Coincident Peak Demand Savings WBE (kW/unit)" dataDxfId="679" dataCellStyle="Comma"/>
    <tableColumn id="34" xr3:uid="{6DE01392-DBB3-4494-89E1-44002154E090}" name="Coincident Peak Demand Savings HTRB (kW/unit)" dataDxfId="678" dataCellStyle="Comma"/>
    <tableColumn id="23" xr3:uid="{125BF0C0-72FB-4C60-A66F-3F5AF909171D}" name="Measure Life (Years)" dataDxfId="677"/>
    <tableColumn id="24" xr3:uid="{BE25DCC4-F8E9-4B93-9BD0-64509F7C090D}" name="Efficient Definition" dataDxfId="676"/>
    <tableColumn id="25" xr3:uid="{319F27B7-8902-48DB-9ACA-D9262D36F815}" name="Measure Efficiency Value" dataDxfId="675"/>
    <tableColumn id="27" xr3:uid="{3E70ADD7-1287-4B4B-BD26-1CEA755E20D1}" name="Baseline Definition" dataDxfId="674"/>
    <tableColumn id="28" xr3:uid="{775DB3FA-2FFA-423A-BFF0-54FB1617E873}" name="Baseline Efficiency Value" dataDxfId="673"/>
    <tableColumn id="32" xr3:uid="{FEBD03E6-E46F-4FED-BBF8-6C4421D4D287}" name="Effective Start Date" dataDxfId="672"/>
    <tableColumn id="8" xr3:uid="{50EACB37-426F-4542-97EC-DBD66945DA21}" name="Order" dataDxfId="671"/>
    <tableColumn id="16" xr3:uid="{934AEC36-8C2D-472F-8252-5BA37A41AB4E}" name="Reporting Methodology" dataDxfId="670"/>
    <tableColumn id="7" xr3:uid="{887277F5-3A85-4129-9AAD-19F0A9A0F81E}" name="Eff Category 1" dataDxfId="669"/>
    <tableColumn id="18" xr3:uid="{3633352C-5B73-4757-A215-6D2A537DCA68}" name="Ineff Dropdown 1" dataDxfId="668"/>
    <tableColumn id="17" xr3:uid="{0BE5747A-0C12-4BD5-9281-33646F34B7ED}" name="Ineff Dropdown 2" dataDxfId="667"/>
    <tableColumn id="9" xr3:uid="{8CE2CEB6-1F50-4401-B50D-2B2BEDDB2ED7}" name="Baseline Min Wattage" dataDxfId="666"/>
    <tableColumn id="10" xr3:uid="{F80BFA11-A03D-45F7-9E74-66400A05CAA7}" name="Baseline Max Wattage" dataDxfId="665"/>
    <tableColumn id="21" xr3:uid="{709CBDAF-D0A3-41EF-B873-D462BCBA4317}" name="Eff Min Wattage" dataDxfId="664"/>
    <tableColumn id="22" xr3:uid="{07D4AA8C-45DF-41FB-9DA8-65D461BAB30F}" name="Eff Max Wattage" dataDxfId="663"/>
    <tableColumn id="15" xr3:uid="{AE2C127F-5D54-42AB-9016-8BE2DF9E9ED1}" name="Column1" dataDxfId="662"/>
    <tableColumn id="26" xr3:uid="{9C889C39-135B-4C7C-AE6C-C72AB618D788}" name="Column2" dataDxfId="661"/>
    <tableColumn id="29" xr3:uid="{766F9479-6E77-4DB7-AF44-F804D5C1419D}" name="Column3" dataDxfId="660"/>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51:AI58" totalsRowShown="0" headerRowDxfId="659" dataDxfId="657" headerRowBorderDxfId="658" tableBorderDxfId="656" totalsRowBorderDxfId="655">
  <autoFilter ref="B51:AI58" xr:uid="{747A3E90-CEBA-4A10-8B01-EA60600CF868}"/>
  <sortState xmlns:xlrd2="http://schemas.microsoft.com/office/spreadsheetml/2017/richdata2" ref="B52:AI58">
    <sortCondition ref="X51:X58"/>
  </sortState>
  <tableColumns count="34">
    <tableColumn id="8" xr3:uid="{FDC2648E-FE9D-4DE6-800D-0A6BCFB68755}" name="Measure Number" dataDxfId="654">
      <calculatedColumnFormula array="1">LEFT(A52, 2) &amp; IF(Program_Banner= "Business Energy Savings", 2, IF(Program_Banner="Small Business / Non-Profit", 3, "#")) &amp; RIGHT(A52,6)</calculatedColumnFormula>
    </tableColumn>
    <tableColumn id="9" xr3:uid="{9443964C-4DE3-4AC9-A717-FA221537F8F7}" name="Measure Name" dataDxfId="653"/>
    <tableColumn id="2" xr3:uid="{580E1CA2-E1FE-4D5C-819C-B33F2C812C52}" name="Primary Key WBE" dataDxfId="652"/>
    <tableColumn id="32" xr3:uid="{7F12135A-898C-4D68-9195-3DDCF3731FFE}" name="Primary Key HTRB" dataDxfId="651"/>
    <tableColumn id="1" xr3:uid="{091114A7-7258-4D8E-9F19-AE34E7328ABD}" name="TRM Measure Name" dataDxfId="650"/>
    <tableColumn id="3" xr3:uid="{D7F3515E-B418-4D48-AC6D-EACF949C125D}" name="Program" dataDxfId="649"/>
    <tableColumn id="4" xr3:uid="{001A4F95-6AF4-4322-84BB-39669907A6ED}" name="End Use" dataDxfId="648"/>
    <tableColumn id="10" xr3:uid="{75AD3656-C2FC-406C-AA1C-CB765542C05A}" name="Current Unit" dataDxfId="647"/>
    <tableColumn id="11" xr3:uid="{02B27251-CDDD-405A-8CA7-AFE8CB86BC6B}" name="BESP Incentive" dataDxfId="646"/>
    <tableColumn id="30" xr3:uid="{C1244149-13B8-4573-A8DC-E232C9BC673B}" name="SBNP Incentive" dataDxfId="645"/>
    <tableColumn id="27" xr3:uid="{0576F4BF-0AB9-46B8-9F70-F9A467323224}" name="Bonus Incentive" dataDxfId="644"/>
    <tableColumn id="12" xr3:uid="{2835465A-B00B-4979-91CE-86CBCCE6D9C1}" name="Incremental Measure Cost ($/Unit)" dataDxfId="643"/>
    <tableColumn id="13" xr3:uid="{C6C9DE10-3EEE-488A-98FF-AECB4E6FB03D}" name="Electric Energy Savings WBE (Annual kWh/unit)" dataDxfId="642" dataCellStyle="Comma"/>
    <tableColumn id="33" xr3:uid="{348762A5-9354-4A0E-9FA3-C092DB282340}" name="Electric Energy Savings HTRB (Annual kWh/unit)" dataDxfId="641" dataCellStyle="Comma"/>
    <tableColumn id="18" xr3:uid="{5F6CED27-CCB8-4E5F-A5A2-E97A1C78478A}" name="Coincident Peak Demand Savings WBE (kW/unit)" dataDxfId="640" dataCellStyle="Comma"/>
    <tableColumn id="34" xr3:uid="{12F77705-C7D8-4175-8A35-6D05E7691567}" name="Coincident Peak Demand Savings HTRB (kW/unit)" dataDxfId="639" dataCellStyle="Comma"/>
    <tableColumn id="22" xr3:uid="{376B6F99-609F-41BD-BFCA-43D14987181D}" name="Measure Life (Years)" dataDxfId="638"/>
    <tableColumn id="23" xr3:uid="{2A8FB1F4-A8EC-462D-A510-718FB0830B64}" name="Efficient Definition" dataDxfId="637"/>
    <tableColumn id="6" xr3:uid="{E3AD8E3C-0072-4033-802F-BADC0200C967}" name="Measure Efficiency Value" dataDxfId="636"/>
    <tableColumn id="26" xr3:uid="{290AA83B-7B1C-4A73-A707-3D5D684105C5}" name="Baseline Definition" dataDxfId="635"/>
    <tableColumn id="7" xr3:uid="{12D03A51-588B-4F2F-AF55-06F60DB400B4}" name="Baseline Efficiency Value" dataDxfId="634"/>
    <tableColumn id="31" xr3:uid="{AD455FBC-C675-44E7-8D06-82B334C2365B}" name="Effective Start Date" dataDxfId="633"/>
    <tableColumn id="5" xr3:uid="{494F2E2F-CDC0-4ECF-8A9D-36B48C00D495}" name="Order" dataDxfId="632"/>
    <tableColumn id="25" xr3:uid="{861D363D-19E5-4248-B01F-6CEFE08F13B7}" name="Reporting Methodology" dataDxfId="631"/>
    <tableColumn id="15" xr3:uid="{69633EB4-7565-419E-8811-C29B9B35FB0B}" name="Column1" dataDxfId="630"/>
    <tableColumn id="16" xr3:uid="{64A02FF5-7829-4627-96B9-26112BF1B264}" name="Column12" dataDxfId="629"/>
    <tableColumn id="17" xr3:uid="{E60E0210-AB94-4857-9232-3E0DB1A8EDEE}" name="Column13" dataDxfId="628"/>
    <tableColumn id="19" xr3:uid="{9932F5A7-4B22-440E-B8DE-485DB36FCC73}" name="Column14" dataDxfId="627"/>
    <tableColumn id="20" xr3:uid="{BFA934FC-60B6-436A-AC0E-C7E32330C147}" name="Column15" dataDxfId="626"/>
    <tableColumn id="21" xr3:uid="{D06F08DD-328E-4B62-B9CD-E11767B47426}" name="Column16" dataDxfId="625"/>
    <tableColumn id="24" xr3:uid="{8DFE7ECF-B0E0-458C-AF57-991656F4F55A}" name="Column17" dataDxfId="624"/>
    <tableColumn id="14" xr3:uid="{0BE83C23-21CD-40AA-96CB-61389B008ED4}" name="Column18" dataDxfId="623"/>
    <tableColumn id="28" xr3:uid="{94F860FD-EA7B-4DEF-8ECE-255BA6A8C6A3}" name="Column19" dataDxfId="622"/>
    <tableColumn id="29" xr3:uid="{E53CBE95-D56F-473E-BDFC-06B454D09F7E}" name="Column20" dataDxfId="621"/>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60:AI65" totalsRowShown="0" headerRowDxfId="620" dataDxfId="618" headerRowBorderDxfId="619" tableBorderDxfId="617" totalsRowBorderDxfId="616">
  <autoFilter ref="B60:AI65" xr:uid="{4DFAC92A-2E58-4E04-8C90-2CD673C74E58}"/>
  <sortState xmlns:xlrd2="http://schemas.microsoft.com/office/spreadsheetml/2017/richdata2" ref="B61:AI65">
    <sortCondition ref="X60:X65"/>
  </sortState>
  <tableColumns count="34">
    <tableColumn id="4" xr3:uid="{7396AA55-7F22-4742-8BCA-B431911FB667}" name="Measure Number" dataDxfId="615" dataCellStyle="Currency">
      <calculatedColumnFormula array="1">LEFT(A61, 2) &amp; IF(Program_Banner= "Business Energy Savings", 2, IF(Program_Banner="Small Business / Non-Profit", 3, "#")) &amp; RIGHT(A61,6)</calculatedColumnFormula>
    </tableColumn>
    <tableColumn id="6" xr3:uid="{EF59B868-3023-424F-B661-FD996B14CAC3}" name="Measure Name" dataDxfId="614" dataCellStyle="Currency"/>
    <tableColumn id="3" xr3:uid="{EBAF61C7-EF0B-4A45-A6D0-6A9D0CECAD3B}" name="Primary Key WBE" dataDxfId="613"/>
    <tableColumn id="27" xr3:uid="{84480C33-FBF5-4A5E-8D93-E8927DD2810B}" name="Primary Key HTRB" dataDxfId="612"/>
    <tableColumn id="2" xr3:uid="{3A01A698-E800-46E3-9C02-AB1A0BF7016C}" name="TRM Measure Name" dataDxfId="611"/>
    <tableColumn id="1" xr3:uid="{6334B704-3F51-4842-BFB6-5DBF30694599}" name="Program" dataDxfId="610"/>
    <tableColumn id="5" xr3:uid="{319F8E1A-0F00-4444-8223-B42336D8E08D}" name="End Use" dataDxfId="609"/>
    <tableColumn id="11" xr3:uid="{8074B9B8-431C-4DC5-9209-B6CE88B36530}" name="Current Unit" dataDxfId="608"/>
    <tableColumn id="12" xr3:uid="{FB94462D-B4A6-4CA7-AA03-140EF8B5D3DA}" name="BESP Incentive" dataDxfId="607"/>
    <tableColumn id="26" xr3:uid="{4D763E3A-4618-45D4-8966-7F631B1080D5}" name="SBNP Incentive" dataDxfId="606"/>
    <tableColumn id="22" xr3:uid="{376B30BB-6119-40AF-865F-F11B5CE04AC1}" name="Bonus Incentive" dataDxfId="605"/>
    <tableColumn id="13" xr3:uid="{1EEBD042-0356-4850-BC09-A8D51754940A}" name="Incremental Measure Cost ($/Unit)" dataDxfId="604" dataCellStyle="Currency"/>
    <tableColumn id="14" xr3:uid="{382BC016-D2EE-46BA-808B-8E9BF6D2D965}" name="Electric Energy Savings WBE (Annual kWh/unit)" dataDxfId="603" dataCellStyle="Comma"/>
    <tableColumn id="28" xr3:uid="{ABCC52CA-327D-44C8-85EF-C08A2C60C99D}" name="Electric Energy Savings HTRB (Annual kWh/unit)" dataDxfId="602" dataCellStyle="Comma"/>
    <tableColumn id="19" xr3:uid="{BC599A20-E7CE-4D1F-AD6D-8899782513A8}" name="Coincident Peak Demand Savings WBE (kW/unit)" dataDxfId="601" dataCellStyle="Comma"/>
    <tableColumn id="29" xr3:uid="{C8DA5596-387D-4D3B-A618-860D49C88343}" name="Coincident Peak Demand Savings HTRB (kW/unit)" dataDxfId="600" dataCellStyle="Comma"/>
    <tableColumn id="23" xr3:uid="{453024FC-8B0C-4496-8297-95F7D9BB8377}" name="Measure Life (Years)" dataDxfId="599" dataCellStyle="Currency"/>
    <tableColumn id="48" xr3:uid="{66BB351A-88B6-4D25-9FCF-561DCC04EC0F}" name="Efficient Definition" dataDxfId="598" dataCellStyle="Currency"/>
    <tableColumn id="49" xr3:uid="{CC66C07E-2FAC-425B-8FA3-EB663A50489D}" name="Measure Efficiency Value" dataDxfId="597" dataCellStyle="Currency"/>
    <tableColumn id="47" xr3:uid="{F01DC29F-FB3A-4078-8162-7C4EDDE46DF1}" name="Baseline Definition" dataDxfId="596" dataCellStyle="Currency"/>
    <tableColumn id="50" xr3:uid="{8EE30D04-4CC5-40EE-89DA-E8F121829F36}" name="Baseline Efficiency Value" dataDxfId="595" dataCellStyle="Currency"/>
    <tableColumn id="32" xr3:uid="{6F7794D1-7561-4363-83C1-3A2BCCEAA0CE}" name="Effective Start Date" dataDxfId="594"/>
    <tableColumn id="8" xr3:uid="{623B4961-7F78-4163-9C64-18D8EFF544EE}" name="Order" dataDxfId="593" dataCellStyle="Currency"/>
    <tableColumn id="21" xr3:uid="{AF3B4455-19C1-47DD-8B3D-DFD5AD9E4A06}" name="Reporting Methodology" dataDxfId="592" dataCellStyle="Currency"/>
    <tableColumn id="9" xr3:uid="{5D94E84A-5241-473E-B4DF-1A5BE442FAE4}" name="Column1" dataDxfId="591"/>
    <tableColumn id="10" xr3:uid="{58F23796-2A7D-4195-A91E-C753125E9A18}" name="Column12" dataDxfId="590"/>
    <tableColumn id="15" xr3:uid="{5C29BEEB-D854-42C3-85DC-7BF657C2F9EB}" name="Column13" dataDxfId="589"/>
    <tableColumn id="16" xr3:uid="{A7BCDA7B-0595-4FBD-B15F-93A28A7FB5E4}" name="Column14" dataDxfId="588"/>
    <tableColumn id="17" xr3:uid="{7CC67657-8CAD-4520-B2CE-4DA448DA18CC}" name="Column15" dataDxfId="587"/>
    <tableColumn id="18" xr3:uid="{5A0E82A7-A7F7-4D02-A5F1-6FAA820309D5}" name="Column16" dataDxfId="586"/>
    <tableColumn id="20" xr3:uid="{59337226-7EAC-46A7-9FB9-B226BB9797D9}" name="Column17" dataDxfId="585"/>
    <tableColumn id="7" xr3:uid="{9055B788-CA1C-4A35-ABC2-4E0D60D48F07}" name="Column18" dataDxfId="584"/>
    <tableColumn id="24" xr3:uid="{5773EBB1-4674-4CC6-BA0B-18D5225E6FC1}" name="Column19" dataDxfId="583"/>
    <tableColumn id="25" xr3:uid="{30941F07-02AC-4122-ADFC-077DADEBEEFC}" name="Column20" dataDxfId="582"/>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67:AI85" totalsRowShown="0" headerRowDxfId="581" dataDxfId="579" headerRowBorderDxfId="580" tableBorderDxfId="578" totalsRowBorderDxfId="577">
  <autoFilter ref="B67:AI85" xr:uid="{529A9E0E-B2EF-4F90-83A6-B434512113B0}"/>
  <sortState xmlns:xlrd2="http://schemas.microsoft.com/office/spreadsheetml/2017/richdata2" ref="B68:AI85">
    <sortCondition ref="X67:X85"/>
  </sortState>
  <tableColumns count="34">
    <tableColumn id="4" xr3:uid="{F705076F-E71C-4ABA-A87C-FABFCB9CF780}" name="Measure Number" dataDxfId="576">
      <calculatedColumnFormula array="1">LEFT(A68, 2) &amp; IF(Program_Banner= "Business Energy Savings", 2, IF(Program_Banner="Small Business / Non-Profit", 3, "#")) &amp; RIGHT(A68,6)</calculatedColumnFormula>
    </tableColumn>
    <tableColumn id="6" xr3:uid="{54BCF062-710F-467F-92E2-43A373A0B2BD}" name="Measure Name" dataDxfId="575"/>
    <tableColumn id="3" xr3:uid="{7B6651D1-66FB-4B91-9DA6-F495F88E1C3F}" name="Primary Key WBE" dataDxfId="574"/>
    <tableColumn id="31" xr3:uid="{51CC7838-EA3E-4BAF-BF34-ED3B2AEF34B9}" name="Primary Key HTRB" dataDxfId="573"/>
    <tableColumn id="2" xr3:uid="{6BD2A3DC-2DCF-4E6B-A1FE-4F7FC958BCDB}" name="TRM Measure Name" dataDxfId="572"/>
    <tableColumn id="1" xr3:uid="{CF0477F3-7367-449C-810F-E6DE6BF2D3F0}" name="Program" dataDxfId="571"/>
    <tableColumn id="5" xr3:uid="{FCC19A53-B89B-4AA2-A665-7AE66C2B3DD0}" name="End Use" dataDxfId="570"/>
    <tableColumn id="11" xr3:uid="{16FA27E7-DBBC-45E5-89B1-22A2713EB2D9}" name="Current Unit" dataDxfId="569"/>
    <tableColumn id="12" xr3:uid="{028FFD7D-2525-4AA8-B0BC-C68C5064467A}" name="BESP Incentive" dataDxfId="568"/>
    <tableColumn id="30" xr3:uid="{2B7CE2F9-42EA-45A2-B0E1-CAD17EBBEDD2}" name="SBNP Incentive" dataDxfId="567"/>
    <tableColumn id="22" xr3:uid="{1B6708F9-6261-4838-BEC2-9221841BA8AB}" name="Bonus Incentive" dataDxfId="566"/>
    <tableColumn id="13" xr3:uid="{8ADF76B2-2B9C-4427-B151-EBC430438B4A}" name="Incremental Measure Cost ($/Unit)" dataDxfId="565" dataCellStyle="Currency"/>
    <tableColumn id="14" xr3:uid="{77A68DF0-D65C-452C-954F-D9E2B9E9DAEC}" name="Electric Energy Savings WBE (Annual kWh/unit)" dataDxfId="564" dataCellStyle="Comma"/>
    <tableColumn id="33" xr3:uid="{98F6751C-25C2-4026-9632-54AF65A40AF3}" name="Electric Energy Savings HTRB (Annual kWh/unit)" dataDxfId="563" dataCellStyle="Comma"/>
    <tableColumn id="19" xr3:uid="{B2CD3A06-0F7C-4DFC-A219-2D2D2FAE1163}" name="Coincident Peak Demand Savings WBE (kW/unit)" dataDxfId="562" dataCellStyle="Comma"/>
    <tableColumn id="34" xr3:uid="{4B68625C-0D1A-4218-9813-E5645AA77897}" name="Coincident Peak Demand Savings HTRB (kW/unit)" dataDxfId="561" dataCellStyle="Comma"/>
    <tableColumn id="23" xr3:uid="{D5A506F4-5282-4AC1-AED2-F9DD3E2CD546}" name="Measure Life (Years)" dataDxfId="560"/>
    <tableColumn id="24" xr3:uid="{665754EB-7B37-44D5-AB7E-A6C5549516D1}" name="Efficient Definition" dataDxfId="559"/>
    <tableColumn id="25" xr3:uid="{E6C77467-6BC8-4A2D-93EB-F4C29B0AE9F1}" name="Measure Efficiency Value" dataDxfId="558"/>
    <tableColumn id="27" xr3:uid="{E23D5012-011E-4365-8CAB-0DE5CCE40A82}" name="Baseline Definition" dataDxfId="557"/>
    <tableColumn id="28" xr3:uid="{FC03256C-5FD9-41A0-B3C2-F9E71FCD25C1}" name="Baseline Efficiency Value" dataDxfId="556"/>
    <tableColumn id="32" xr3:uid="{7B8995A6-90B7-4AB3-BFC0-2CE75D5A4C1A}" name="Effective Start Date" dataDxfId="555"/>
    <tableColumn id="8" xr3:uid="{22748CB9-6CD4-457A-B7A6-8DF9C908ACF3}" name="Order" dataDxfId="554" dataCellStyle="Currency"/>
    <tableColumn id="21" xr3:uid="{92EEFE38-53F7-429A-B7E0-3EA3FE80F447}" name="Reporting Methodology" dataDxfId="553" dataCellStyle="Currency"/>
    <tableColumn id="9" xr3:uid="{661938AC-0C02-4DC2-A51B-646BA53EDC8C}" name="Column1" dataDxfId="552"/>
    <tableColumn id="10" xr3:uid="{36E7BB71-7744-49CB-B7B7-6BA97EC3CB20}" name="Column12" dataDxfId="551"/>
    <tableColumn id="15" xr3:uid="{96E41E09-B918-410D-B574-7234E20D09AE}" name="Column13" dataDxfId="550"/>
    <tableColumn id="16" xr3:uid="{37C3A048-98A5-42D5-883C-FBD5B63542D9}" name="Column14" dataDxfId="549"/>
    <tableColumn id="17" xr3:uid="{BC41D72A-5E1C-49C3-9341-675EC675A9B6}" name="Column15" dataDxfId="548"/>
    <tableColumn id="18" xr3:uid="{E747ED5B-2C57-4E01-AF7B-4FCC4F3401FE}" name="Column16" dataDxfId="547"/>
    <tableColumn id="20" xr3:uid="{D7FC891E-D02A-4578-851B-D360B4931672}" name="Column17" dataDxfId="546"/>
    <tableColumn id="7" xr3:uid="{FFAE539B-C108-4CC1-9856-F459EFAAA8C2}" name="Column18" dataDxfId="545"/>
    <tableColumn id="26" xr3:uid="{7C849DEC-6655-4995-9A13-5E8B1FE7C4DF}" name="Column19" dataDxfId="544"/>
    <tableColumn id="29" xr3:uid="{FECD51D3-5408-4326-91D8-F345BA45C4D3}" name="Column20" dataDxfId="543"/>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47:AI49" totalsRowShown="0" headerRowDxfId="542" dataDxfId="540" headerRowBorderDxfId="541" tableBorderDxfId="539" totalsRowBorderDxfId="538">
  <autoFilter ref="B47:AI49" xr:uid="{0D216161-6CFE-4334-9795-10DE0EEF6234}"/>
  <sortState xmlns:xlrd2="http://schemas.microsoft.com/office/spreadsheetml/2017/richdata2" ref="B48:AI49">
    <sortCondition ref="X47:X49"/>
  </sortState>
  <tableColumns count="34">
    <tableColumn id="1" xr3:uid="{8CB526F0-71FE-4976-BC42-475D002F5066}" name="Measure Number" dataDxfId="537">
      <calculatedColumnFormula array="1">LEFT(A48, 2) &amp; IF(Program_Banner= "Business Energy Savings", 2, IF(Program_Banner="Small Business / Non-Profit", 3, "#")) &amp; RIGHT(A48,6)</calculatedColumnFormula>
    </tableColumn>
    <tableColumn id="2" xr3:uid="{36194668-B8A7-453C-876C-BF6C1DA51303}" name="Measure Name" dataDxfId="536"/>
    <tableColumn id="4" xr3:uid="{EF5B10BE-2545-46F2-B5C2-82E7DD2266DB}" name="Primary Key WBE" dataDxfId="535"/>
    <tableColumn id="32" xr3:uid="{C82AF0C0-FBE6-4FCF-B4A6-C980AF7D1D4B}" name="Primary Key HTRB" dataDxfId="534"/>
    <tableColumn id="3" xr3:uid="{89A1DAFF-7A20-49BC-BDD8-2115CA480742}" name="TRM Measure Name" dataDxfId="533"/>
    <tableColumn id="5" xr3:uid="{9BB9CE2E-F0EE-4991-8E08-FFA6913E0DA4}" name="Program" dataDxfId="532"/>
    <tableColumn id="6" xr3:uid="{E9F0243A-D7C4-43B9-B25F-A21F977CACAA}" name="End Use" dataDxfId="531"/>
    <tableColumn id="9" xr3:uid="{70D514D0-5B31-45B7-91E8-B12961604E7A}" name="Current Unit" dataDxfId="530"/>
    <tableColumn id="10" xr3:uid="{01B402E4-E126-4EB5-B3E4-7AF15E2BB23A}" name="BESP Incentive" dataDxfId="529"/>
    <tableColumn id="31" xr3:uid="{B0418A95-A0CC-4939-ACFD-E0EEFD505A5C}" name="SBNP Incentive" dataDxfId="528"/>
    <tableColumn id="28" xr3:uid="{F56B5D5D-F953-48B0-B7B8-7381C7353FE5}" name="Bonus Incentive" dataDxfId="527"/>
    <tableColumn id="11" xr3:uid="{76D948F9-45E0-473B-928F-B26B1505432F}" name="Incremental Measure Cost ($/Unit)" dataDxfId="526" dataCellStyle="Currency"/>
    <tableColumn id="12" xr3:uid="{4401BE6F-F8FD-4FF3-A9ED-13B785CAD664}" name="Electric Energy Savings WBE (Annual kWh/unit)" dataDxfId="525" dataCellStyle="Comma"/>
    <tableColumn id="33" xr3:uid="{D1976F83-E085-46A8-A41B-AAEBF13707D4}" name="Electric Energy Savings HTRB (Annual kWh/unit)" dataDxfId="524" dataCellStyle="Comma"/>
    <tableColumn id="15" xr3:uid="{E1E6D00A-77E2-4638-A4EB-CD5893EAF1EC}" name="Coincident Peak Demand Savings WBE (kW/unit)" dataDxfId="523" dataCellStyle="Comma"/>
    <tableColumn id="34" xr3:uid="{75314081-4BB5-4F87-AFA2-D3B0E3EF2F66}" name="Coincident Peak Demand Savings HTRB (kW/unit)" dataDxfId="522" dataCellStyle="Comma"/>
    <tableColumn id="16" xr3:uid="{B059D9A0-9B17-402A-A917-93923BACE2D1}" name="Measure Life (Years)" dataDxfId="521"/>
    <tableColumn id="17" xr3:uid="{76EB9592-65AF-4F61-8336-5A673D61AF42}" name="Efficient Definition" dataDxfId="520"/>
    <tableColumn id="18" xr3:uid="{C80D1ACB-7BFE-49FF-BE52-3E5D564FF917}" name="Measure Efficiency Value" dataDxfId="519"/>
    <tableColumn id="19" xr3:uid="{3D2C6735-CF8C-41AA-A935-CA2EFA3314DB}" name="Baseline Definition" dataDxfId="518"/>
    <tableColumn id="20" xr3:uid="{4B2B9CF7-D2B6-4198-8210-33E3962ACB45}" name="Baseline Efficiency Value" dataDxfId="517"/>
    <tableColumn id="21" xr3:uid="{4812D602-7483-491C-A7FE-9ECF8EF3B9BD}" name="Effective Start Date" dataDxfId="516"/>
    <tableColumn id="8" xr3:uid="{F8D968CD-440B-415E-9377-D0B9A5B04E6D}" name="Order" dataDxfId="515"/>
    <tableColumn id="27" xr3:uid="{E11253B3-5D20-47BF-8AAB-1C62C0F35313}" name="Reporting Methodology" dataDxfId="514"/>
    <tableColumn id="13" xr3:uid="{4FF4BF62-EA2B-4956-AB3F-89308ABA3D24}" name="ESF" dataDxfId="513"/>
    <tableColumn id="14" xr3:uid="{B82AD9E7-9071-4B0C-AF0A-849D2E5123A5}" name="WHFe" dataDxfId="512"/>
    <tableColumn id="23" xr3:uid="{16FB46A0-99F9-4FE2-B423-C8530F913DDB}" name="Min Watts Controlled" dataDxfId="511"/>
    <tableColumn id="22" xr3:uid="{17CB45E8-5B9A-4038-B3E0-EA9B0B16D567}" name="Column1" dataDxfId="510"/>
    <tableColumn id="24" xr3:uid="{4D0683E9-833E-4238-A0EC-036746E47E5E}" name="Column12" dataDxfId="509"/>
    <tableColumn id="25" xr3:uid="{FB63CF45-7F85-4517-90A7-1AC69CF7892D}" name="Column13" dataDxfId="508"/>
    <tableColumn id="26" xr3:uid="{76C4637E-F12E-4507-AE72-F33B476CCADA}" name="Column14" dataDxfId="507"/>
    <tableColumn id="7" xr3:uid="{704B2361-3B30-4F5E-9087-E60D7E4B1260}" name="Column15" dataDxfId="506"/>
    <tableColumn id="29" xr3:uid="{3FEB77D8-64F4-4132-8767-90AB9FAD0D60}" name="Column16" dataDxfId="505"/>
    <tableColumn id="30" xr3:uid="{C356C0D7-3888-4B97-9CBC-39B69DBDD818}" name="Column17" dataDxfId="50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CLHVAC" displayName="CLHVAC" ref="B87:AI115" totalsRowShown="0" headerRowDxfId="503" dataDxfId="501" headerRowBorderDxfId="502" tableBorderDxfId="500" totalsRowBorderDxfId="499">
  <autoFilter ref="B87:AI115" xr:uid="{15259CC4-176A-4EC4-AF98-004B1046CF1B}"/>
  <sortState xmlns:xlrd2="http://schemas.microsoft.com/office/spreadsheetml/2017/richdata2" ref="B88:AI115">
    <sortCondition ref="X87:X115"/>
  </sortState>
  <tableColumns count="34">
    <tableColumn id="4" xr3:uid="{EF1203CD-4833-4584-90C1-A285B5022572}" name="Measure Number" dataDxfId="498">
      <calculatedColumnFormula array="1">LEFT(A88, 2) &amp; IF(Program_Banner= "Business Energy Savings", 2, IF(Program_Banner="Small Business / Non-Profit", 3, "#")) &amp; RIGHT(A88,6)</calculatedColumnFormula>
    </tableColumn>
    <tableColumn id="6" xr3:uid="{2F743EF2-5DB7-41B7-A4A6-88ACFE71FD86}" name="Measure Name" dataDxfId="497"/>
    <tableColumn id="3" xr3:uid="{6B8F5FB5-EB91-4C45-9511-536B2893F3A4}" name="Primary Key WBE" dataDxfId="496"/>
    <tableColumn id="31" xr3:uid="{9A05A30A-B97C-4730-9E82-B4D951708027}" name="Primary Key HTRB" dataDxfId="495"/>
    <tableColumn id="2" xr3:uid="{D39568F2-1E25-40EF-817D-12BF53185ACB}" name="TRM Measure Name" dataDxfId="494"/>
    <tableColumn id="1" xr3:uid="{846A0C8C-DDC3-4766-848A-43B63A78F641}" name="Program" dataDxfId="493"/>
    <tableColumn id="5" xr3:uid="{8FD35228-D073-4140-8FD3-4E0EBA879A19}" name="End Use" dataDxfId="492"/>
    <tableColumn id="11" xr3:uid="{BF599330-8475-4184-9986-03BF09E97999}" name="Current Unit" dataDxfId="491"/>
    <tableColumn id="12" xr3:uid="{B404E44C-B5E0-4768-B7E4-B5F9819DBF98}" name="BESP Incentive" dataDxfId="490"/>
    <tableColumn id="30" xr3:uid="{4339C9E5-EB3F-4629-A659-286396977EFA}" name="SBNP Incentive" dataDxfId="489"/>
    <tableColumn id="22" xr3:uid="{BD85CB70-4548-42EC-8EA5-4755D379431D}" name="Bonus Incentive" dataDxfId="488"/>
    <tableColumn id="13" xr3:uid="{1C6308F4-FD23-4F88-AB2E-92DB235BC271}" name="Incremental Measure Cost ($/Unit)" dataDxfId="487" dataCellStyle="Currency"/>
    <tableColumn id="14" xr3:uid="{1D52133D-8E2B-4099-893C-CCA5E4C9DADD}" name="Electric Energy Savings WBE (Annual kWh/unit)" dataDxfId="486" dataCellStyle="Comma"/>
    <tableColumn id="33" xr3:uid="{8A8DDAAB-9609-4897-9EA6-DE553AE504EF}" name="Electric Energy Savings HTRB (Annual kWh/unit)" dataDxfId="485" dataCellStyle="Comma"/>
    <tableColumn id="19" xr3:uid="{ABC4A4B5-A19E-4490-81C9-DE2E4748A990}" name="Coincident Peak Demand Savings WBE (kW/unit)" dataDxfId="484" dataCellStyle="Comma"/>
    <tableColumn id="34" xr3:uid="{DBB6104C-2487-4D51-A303-FA0FA2274371}" name="Coincident Peak Demand Savings HTRB (kW/unit)" dataDxfId="483" dataCellStyle="Comma"/>
    <tableColumn id="23" xr3:uid="{4F003242-CFB2-4A08-8F5D-D9E190588D91}" name="Measure Life (Years)" dataDxfId="482"/>
    <tableColumn id="24" xr3:uid="{27971936-FB2A-4844-859A-F56EC8E10FBF}" name="Efficient Definition" dataDxfId="481"/>
    <tableColumn id="25" xr3:uid="{BE3A10F6-D0A9-4CCB-B0C2-0C332E8C012E}" name="Measure Efficiency Value" dataDxfId="480"/>
    <tableColumn id="27" xr3:uid="{74FA14D2-A6F9-429D-B7E4-A26795CD6AA0}" name="Baseline Definition" dataDxfId="479"/>
    <tableColumn id="28" xr3:uid="{8F226CDA-92EB-4F20-B2B8-BDA24A85422B}" name="Baseline Efficiency Value" dataDxfId="478"/>
    <tableColumn id="32" xr3:uid="{3995FF26-83A5-4865-B23C-0F0867F6A82C}" name="Effective Start Date" dataDxfId="477"/>
    <tableColumn id="8" xr3:uid="{F69F1267-64D8-4060-B813-6DE5FE31B89D}" name="Order" dataDxfId="476" dataCellStyle="Currency"/>
    <tableColumn id="21" xr3:uid="{3DEA0AC2-568C-4E8C-80FF-AC04DE9EDB85}" name="Reporting Methodology" dataDxfId="475" dataCellStyle="Currency"/>
    <tableColumn id="7" xr3:uid="{C43C561B-8F25-42F1-89F1-468597B9FE0C}" name="Eff Unit 1" dataDxfId="474"/>
    <tableColumn id="9" xr3:uid="{BCBE1F25-1843-468E-8345-4BE809BBBA36}" name="Base Efficiency 1" dataDxfId="473">
      <calculatedColumnFormula>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calculatedColumnFormula>
    </tableColumn>
    <tableColumn id="10" xr3:uid="{EB5B936F-3342-447B-83D3-E83A69FF871A}" name="Min Tons" dataDxfId="472"/>
    <tableColumn id="15" xr3:uid="{03ABD814-7760-4FAD-BB30-D55398CDAFD0}" name="Max Tons" dataDxfId="471"/>
    <tableColumn id="16" xr3:uid="{118AF807-3A93-4E5F-8ED8-FC4B05ED217E}" name="EFLHcool" dataDxfId="470"/>
    <tableColumn id="17" xr3:uid="{8B58974A-F554-4562-8038-711FFD65C51B}" name="EFLHheat" dataDxfId="469"/>
    <tableColumn id="18" xr3:uid="{2378824E-5BCF-450C-9B09-6C7AB1B0D1DF}" name="Eff Unit 2" dataDxfId="468"/>
    <tableColumn id="20" xr3:uid="{8C3491DA-AACE-4415-9D2F-50E7F58ED80B}" name="Base Efficiency 2" dataDxfId="467">
      <calculatedColumnFormula>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calculatedColumnFormula>
    </tableColumn>
    <tableColumn id="26" xr3:uid="{5A70DF36-A27C-4515-9BDC-580EAC27A464}" name="Eff Unit 3" dataDxfId="466"/>
    <tableColumn id="29" xr3:uid="{B4CB7FCE-5F97-42D8-92E0-DAFDA3E79BB1}" name="Base Efficiency 3" dataDxfId="465">
      <calculatedColumnFormula>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calculatedColumnFormula>
    </tableColumn>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117:AI122" totalsRowShown="0" headerRowDxfId="464" dataDxfId="462" headerRowBorderDxfId="463" tableBorderDxfId="461" totalsRowBorderDxfId="460">
  <autoFilter ref="B117:AI122" xr:uid="{D906B8BA-C43A-49EE-B248-99454B01BEF4}"/>
  <sortState xmlns:xlrd2="http://schemas.microsoft.com/office/spreadsheetml/2017/richdata2" ref="B118:AI122">
    <sortCondition ref="D117:D122"/>
  </sortState>
  <tableColumns count="34">
    <tableColumn id="4" xr3:uid="{225D9977-5A9B-4C07-BEEE-9F5B846832F8}" name="Measure Number" dataDxfId="459">
      <calculatedColumnFormula array="1">LEFT(A118, 2) &amp; IF(Program_Banner= "Business Energy Savings", 2, IF(Program_Banner="Small Business / Non-Profit", 3, "#")) &amp; RIGHT(A118,6)</calculatedColumnFormula>
    </tableColumn>
    <tableColumn id="6" xr3:uid="{8DDC89C3-D662-41F0-9D0C-F0D818606A1A}" name="Measure Name" dataDxfId="458"/>
    <tableColumn id="3" xr3:uid="{AA138027-E499-4B45-BA08-385F979FDCAB}" name="Primary Key WBE" dataDxfId="457"/>
    <tableColumn id="31" xr3:uid="{8C7CF310-68BE-46E4-9943-F02914B28E31}" name="Primary Key HTRB" dataDxfId="456"/>
    <tableColumn id="2" xr3:uid="{583B2FF0-5951-45F1-BF88-0FB3F4E603CD}" name="TRM Measure Name" dataDxfId="455"/>
    <tableColumn id="1" xr3:uid="{6181219D-8728-4DB4-8551-390970A39551}" name="Program" dataDxfId="454"/>
    <tableColumn id="5" xr3:uid="{E4D07A45-564F-47AB-B810-F3D38868E727}" name="End Use" dataDxfId="453"/>
    <tableColumn id="11" xr3:uid="{182B5276-718C-45E9-ABA5-D68074E2467D}" name="Current Unit" dataDxfId="452"/>
    <tableColumn id="12" xr3:uid="{838762A6-1925-4C85-AFA9-F3D4039702AA}" name="BESP Incentive" dataDxfId="451"/>
    <tableColumn id="30" xr3:uid="{9B933AAF-86A1-4492-ADEF-369AA0FEBDA4}" name="SBNP Incentive" dataDxfId="450"/>
    <tableColumn id="22" xr3:uid="{72C0B630-AA53-44CC-8CAF-8DE52A759852}" name="Bonus Incentive" dataDxfId="449"/>
    <tableColumn id="13" xr3:uid="{F84625CC-627B-421A-99AD-CE69DB824238}" name="Incremental Measure Cost ($/Unit)" dataDxfId="448" dataCellStyle="Currency"/>
    <tableColumn id="14" xr3:uid="{4B9340BD-F95C-419B-93DA-31926594EE21}" name="Electric Energy Savings WBE (Annual kWh/unit)" dataDxfId="447" dataCellStyle="Comma"/>
    <tableColumn id="33" xr3:uid="{EC7A33CF-57D3-4B1D-9DEC-3EB04FFF9B32}" name="Electric Energy Savings HTRB (Annual kWh/unit)" dataDxfId="446" dataCellStyle="Comma"/>
    <tableColumn id="19" xr3:uid="{EB3A29BC-50EB-4239-A23D-E13B0A96227B}" name="Coincident Peak Demand Savings WBE (kW/unit)" dataDxfId="445" dataCellStyle="Comma"/>
    <tableColumn id="34" xr3:uid="{2C35CA25-8D37-4C7B-925E-9CBD5D22A08D}" name="Coincident Peak Demand Savings HTRB (kW/unit)" dataDxfId="444" dataCellStyle="Comma"/>
    <tableColumn id="23" xr3:uid="{41CC8F50-C68C-4BA3-8E56-EA7F903C8C0D}" name="Measure Life (Years)" dataDxfId="443"/>
    <tableColumn id="24" xr3:uid="{81DD189B-AD2E-400A-96A2-1071E23B7144}" name="Efficient Definition" dataDxfId="442"/>
    <tableColumn id="25" xr3:uid="{543EECEF-CE84-4410-93DB-AF9CFD5788F0}" name="Measure Efficiency Value" dataDxfId="441"/>
    <tableColumn id="27" xr3:uid="{B17525EA-29A0-436A-8B4C-2D38CAD90BBA}" name="Baseline Definition" dataDxfId="440"/>
    <tableColumn id="28" xr3:uid="{8F419597-CFA6-45BD-9326-ED48265AEC59}" name="Baseline Efficiency Value" dataDxfId="439"/>
    <tableColumn id="32" xr3:uid="{55A79FAA-0012-4A82-B3A9-33B5A5B669F7}" name="Effective Start Date" dataDxfId="438"/>
    <tableColumn id="8" xr3:uid="{F19A4A45-16DD-47A6-A84A-A8DEBE5EB426}" name="Order" dataDxfId="437" dataCellStyle="Currency"/>
    <tableColumn id="21" xr3:uid="{49A73E83-8C57-4A58-9950-BF6C159BC0D6}" name="Reporting Methodology" dataDxfId="436" dataCellStyle="Currency"/>
    <tableColumn id="9" xr3:uid="{CD5863DD-BBF7-45F8-9506-AFB8E26BBA27}" name="Min Unit" dataDxfId="435"/>
    <tableColumn id="10" xr3:uid="{4A2C6D4B-AF15-4BB5-B430-399EF46D496B}" name="Max Unit" dataDxfId="434"/>
    <tableColumn id="15" xr3:uid="{1BA8D291-90D7-41F3-B896-10A545C85AD7}" name="Column13" dataDxfId="433"/>
    <tableColumn id="16" xr3:uid="{F614B735-7845-4C61-A12D-4C2C6BE1E5A0}" name="Column14" dataDxfId="432"/>
    <tableColumn id="17" xr3:uid="{074E873E-2F71-4D0A-B43F-1551134036B6}" name="Column15" dataDxfId="431"/>
    <tableColumn id="18" xr3:uid="{986AF68F-C14B-4F6A-80E4-20B434942C22}" name="Column16" dataDxfId="430"/>
    <tableColumn id="20" xr3:uid="{FF744056-AA0D-48DB-8714-9D3797CF972A}" name="Column17" dataDxfId="429"/>
    <tableColumn id="7" xr3:uid="{94F2E2D7-C902-4BAD-A53E-547FD0F13B3E}" name="Column18" dataDxfId="428"/>
    <tableColumn id="26" xr3:uid="{FD4A8C93-4BA6-4455-BD08-FB357DE7F6C0}" name="Column19" dataDxfId="427"/>
    <tableColumn id="29" xr3:uid="{ED23C37A-25A7-4202-8073-9464C4DEF3D5}" name="Column20" dataDxfId="426"/>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D9011E-9D05-42FF-9DB5-92544FBE78AB}" name="CLHVAC_Ref" displayName="CLHVAC_Ref" ref="AK87:AP115" totalsRowShown="0" dataDxfId="425">
  <autoFilter ref="AK87:AP115" xr:uid="{54D9011E-9D05-42FF-9DB5-92544FBE78AB}"/>
  <sortState xmlns:xlrd2="http://schemas.microsoft.com/office/spreadsheetml/2017/richdata2" ref="AK88:AP115">
    <sortCondition ref="AP87:AP115"/>
  </sortState>
  <tableColumns count="6">
    <tableColumn id="1" xr3:uid="{E4F7E1DB-6853-4B36-A75F-0539B6A770C0}" name="Measure Number" dataDxfId="424">
      <calculatedColumnFormula>CLHVAC[[#This Row],[Measure Number]]</calculatedColumnFormula>
    </tableColumn>
    <tableColumn id="2" xr3:uid="{DC795BE3-02E0-4592-ABE6-391CA0745B06}" name="Field1" dataDxfId="423"/>
    <tableColumn id="3" xr3:uid="{9DBBE2C3-E89F-4A3B-8A88-C6D5ADDF6A8B}" name="Field2" dataDxfId="422"/>
    <tableColumn id="4" xr3:uid="{3C7CD14B-F8AE-4942-BEB9-012AE625F197}" name="Field3" dataDxfId="421"/>
    <tableColumn id="5" xr3:uid="{83227BFA-A451-4C54-AA09-B83D7384FD75}" name="Field4" dataDxfId="420"/>
    <tableColumn id="7" xr3:uid="{786372A4-E1F2-4CF8-BABA-A81822FA032D}" name="Order" dataDxfId="419"/>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706B08A-54DB-4F1A-9FF5-4E3C02A3A9B1}" name="CLLIGHT" displayName="CLLIGHT" ref="B37:AI45" totalsRowShown="0">
  <autoFilter ref="B37:AI45" xr:uid="{A706B08A-54DB-4F1A-9FF5-4E3C02A3A9B1}"/>
  <sortState xmlns:xlrd2="http://schemas.microsoft.com/office/spreadsheetml/2017/richdata2" ref="B38:AI45">
    <sortCondition ref="Z37:Z45"/>
  </sortState>
  <tableColumns count="34">
    <tableColumn id="1" xr3:uid="{CCD377F6-AA54-4794-94A9-DBAB508D8B0E}" name="Measure Number" dataDxfId="418">
      <calculatedColumnFormula array="1">LEFT(A38, 2) &amp; IF(Program_Banner= "Business Energy Savings", 2, IF(Program_Banner="Small Business / Non-Profit", 3, "#")) &amp; RIGHT(A38,6)</calculatedColumnFormula>
    </tableColumn>
    <tableColumn id="2" xr3:uid="{576FCAD4-78B6-45BD-B6FD-CF95A379632E}" name="Measure Name"/>
    <tableColumn id="3" xr3:uid="{3C83F501-38BE-46DF-B46E-D676C3C8E5E4}" name="Primary Key WBE" dataDxfId="417"/>
    <tableColumn id="32" xr3:uid="{571CEA9F-F5A4-4471-99C5-A0B462AFD601}" name="Primary Key HTRB" dataDxfId="416"/>
    <tableColumn id="4" xr3:uid="{DF1BBB0C-95E7-45A4-8AFF-48116E08247F}" name="TRM Measure Name" dataDxfId="415"/>
    <tableColumn id="5" xr3:uid="{742BC7BB-0861-446D-AB0A-2C031C0EF265}" name="Program" dataDxfId="414"/>
    <tableColumn id="6" xr3:uid="{040BF429-C392-4218-9EE2-F0ECD23ECDBE}" name="End Use" dataDxfId="413"/>
    <tableColumn id="7" xr3:uid="{E4977CC7-6367-4717-B14B-983735A99D4C}" name="Current Unit"/>
    <tableColumn id="8" xr3:uid="{2C750C58-A51B-452B-BAC1-FDE74812EAB8}" name="BESP Incentive" dataDxfId="412"/>
    <tableColumn id="9" xr3:uid="{BD66A9DF-693F-42A4-8877-BB53C09B3909}" name="SBNP Incentive" dataDxfId="411"/>
    <tableColumn id="10" xr3:uid="{C7DF856F-DB5C-4963-BD68-59149E084957}" name="Bonus Incentive" dataDxfId="410"/>
    <tableColumn id="11" xr3:uid="{4072EE8B-A65F-45E3-93F9-0155EE9AC680}" name="Incremental Measure Cost ($/Unit)" dataDxfId="409"/>
    <tableColumn id="12" xr3:uid="{11A9DA44-AAF6-415F-B21F-C3877CB61B4D}" name="Electric Energy Savings WBE (Annual kWh/unit)" dataDxfId="408" dataCellStyle="Comma"/>
    <tableColumn id="33" xr3:uid="{1310EE6B-7256-42A9-BC28-DC560988FAF8}" name="Electric Energy Savings HTRB (Annual kWh/unit)" dataDxfId="407" dataCellStyle="Comma"/>
    <tableColumn id="13" xr3:uid="{8DE7E1BE-C10E-4A87-BFC9-3E7B97127546}" name="Coincident Peak Demand Savings WBE (kW/unit)" dataDxfId="406" dataCellStyle="Comma"/>
    <tableColumn id="34" xr3:uid="{9D8FDFCB-C3E9-4642-AF36-4178DE8D3D09}" name="Coincident Peak Demand Savings HTRB (kW/unit)" dataDxfId="405" dataCellStyle="Comma"/>
    <tableColumn id="14" xr3:uid="{C136966C-0F3D-4BBD-B47D-11EA4D45C22F}" name="Measure Life (Years)"/>
    <tableColumn id="15" xr3:uid="{BD48AC71-F9A9-473A-B1C4-EC838167C256}" name="Efficient Definition"/>
    <tableColumn id="16" xr3:uid="{167D01AB-1C75-4BBA-946C-E76A191530D6}" name="Measure Efficiency Value" dataDxfId="404"/>
    <tableColumn id="17" xr3:uid="{2EDA0C1B-7DD7-432F-8F62-CA115F75B0D8}" name="Baseline Definition"/>
    <tableColumn id="18" xr3:uid="{25E2E42A-691B-4C32-8A9D-2A2A554C9F62}" name="Baseline Efficiency Value" dataDxfId="403"/>
    <tableColumn id="19" xr3:uid="{D713636B-C166-4891-B3C8-3A65A69CD46A}" name="Effective Start Date" dataDxfId="402"/>
    <tableColumn id="20" xr3:uid="{8121946D-2296-432C-954F-471C5415E01A}" name="Order" dataDxfId="401"/>
    <tableColumn id="21" xr3:uid="{2D8FE1AF-821C-4D2D-91E9-DC5FDE2E72C3}" name="Reporting Methodology" dataDxfId="400"/>
    <tableColumn id="22" xr3:uid="{0ACE2E3B-0657-4EE1-8E40-B6DE902475FF}" name="Eff Category 1"/>
    <tableColumn id="23" xr3:uid="{EC6463CB-2AB2-4100-893A-F04A5775E758}" name="Ineff Dropdown 1" dataDxfId="399"/>
    <tableColumn id="24" xr3:uid="{0D3B6282-3C9B-4E34-A734-55AC5DA04E74}" name="Ineff Dropdown 2"/>
    <tableColumn id="25" xr3:uid="{07488095-92B8-4903-AB0D-DCE81BB22B9D}" name="Baseline Min Wattage" dataDxfId="398"/>
    <tableColumn id="26" xr3:uid="{BDA01C81-066B-4244-8D90-0ABFFE69C33B}" name="Baseline Max Wattage" dataDxfId="397"/>
    <tableColumn id="27" xr3:uid="{08ECA248-0E68-4FDA-8757-ABBB2F718D3F}" name="Eff Min Wattage" dataDxfId="396"/>
    <tableColumn id="28" xr3:uid="{ED2CABE4-25FE-4CF0-A6F2-48003B67E874}" name="Eff Max Wattage" dataDxfId="395"/>
    <tableColumn id="29" xr3:uid="{A5899ED5-3554-4957-B25C-63C725B03B30}" name="Column1" dataDxfId="394"/>
    <tableColumn id="30" xr3:uid="{8B2EF673-63A5-4838-BF2B-A1FE987B9D58}" name="Column2" dataDxfId="393"/>
    <tableColumn id="31" xr3:uid="{FAD5C407-D8AE-469C-BFD3-BE1560BD8F76}" name="Column3" dataDxfId="392"/>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1" totalsRowShown="0">
  <autoFilter ref="B2:C11" xr:uid="{1E20E6F0-0E1A-4EB1-AAEC-11267E2611DC}"/>
  <sortState xmlns:xlrd2="http://schemas.microsoft.com/office/spreadsheetml/2017/richdata2" ref="B3:C11">
    <sortCondition ref="C2:C11"/>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32" totalsRowShown="0" headerRowDxfId="391" dataDxfId="390" tableBorderDxfId="389">
  <autoFilter ref="E2:G32" xr:uid="{C2546198-7A75-4CB5-BC11-7803441FF206}"/>
  <sortState xmlns:xlrd2="http://schemas.microsoft.com/office/spreadsheetml/2017/richdata2" ref="E3:G32">
    <sortCondition ref="E2:E32"/>
  </sortState>
  <tableColumns count="3">
    <tableColumn id="1" xr3:uid="{9A034548-812C-4994-AB5F-D8EFAE6CD1AD}" name="Ineff Dropdown 1" dataDxfId="388"/>
    <tableColumn id="2" xr3:uid="{1DD21FEF-D18F-444F-864B-BAEBDAB57564}" name="Options" dataDxfId="387"/>
    <tableColumn id="3" xr3:uid="{0B87D163-CD0F-4C8B-AB64-9223D8091D4F}" name="Order" dataDxfId="386"/>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698" totalsRowShown="0" dataDxfId="385">
  <autoFilter ref="I2:P698" xr:uid="{D33AE522-11A3-40EF-8E65-141AF2247A4A}"/>
  <sortState xmlns:xlrd2="http://schemas.microsoft.com/office/spreadsheetml/2017/richdata2" ref="I3:P698">
    <sortCondition ref="J2:J698"/>
  </sortState>
  <tableColumns count="8">
    <tableColumn id="1" xr3:uid="{DDB28C97-D767-4D4B-A6A9-973711A850D0}" name="Ineff DropDown 2" dataDxfId="384"/>
    <tableColumn id="5" xr3:uid="{A473129C-F5E6-45A3-AAF5-8E386C67A188}" name="Match" dataDxfId="383">
      <calculatedColumnFormula>"HID_"&amp;STDLIGHTINEFCAT2[[#This Row],[Ineff DropDown 2]]</calculatedColumnFormula>
    </tableColumn>
    <tableColumn id="7" xr3:uid="{E4CC710B-362B-4EFA-8D08-B316DE0406A7}" name="Full Name" dataDxfId="382">
      <calculatedColumnFormula>STDLIGHTINEFCAT2[[#This Row],[Match]]&amp;"_"&amp;STDLIGHTINEFCAT2[[#This Row],[Options]]</calculatedColumnFormula>
    </tableColumn>
    <tableColumn id="2" xr3:uid="{798B8782-2C90-42E4-A461-A131AEE930CD}" name="Options" dataDxfId="381"/>
    <tableColumn id="8" xr3:uid="{A55F709E-6D14-44FD-A115-567B493A202B}" name="Nominal Wattage" dataDxfId="380"/>
    <tableColumn id="3" xr3:uid="{91566C9B-538E-4D24-BBC0-8BE3E7B5E861}" name="System Wattage" dataDxfId="379"/>
    <tableColumn id="4" xr3:uid="{F75E009F-8F20-4FA4-B435-406408865243}" name="Logic Order" dataDxfId="378"/>
    <tableColumn id="6" xr3:uid="{1086AC86-4459-44D9-83C3-D8FB64250316}" name="Notes" dataDxfId="377"/>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A303E145-F893-42AA-8644-20974EC1C575}" name="CLLIGHTCAT" displayName="CLLIGHTCAT" ref="B13:C19" totalsRowShown="0">
  <autoFilter ref="B13:C19" xr:uid="{A303E145-F893-42AA-8644-20974EC1C575}"/>
  <sortState xmlns:xlrd2="http://schemas.microsoft.com/office/spreadsheetml/2017/richdata2" ref="B14:C19">
    <sortCondition ref="C2:C11"/>
  </sortState>
  <tableColumns count="2">
    <tableColumn id="1" xr3:uid="{A8724302-8D8A-4626-9D21-DE9AB6D4B7E6}" name="Eff Category 1"/>
    <tableColumn id="2" xr3:uid="{E9E0877F-EDA5-4931-BB32-75549E8C8B7D}" name="Order"/>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R2:AC6" totalsRowShown="0" headerRowDxfId="376" dataDxfId="375" headerRowCellStyle="Normal 2">
  <autoFilter ref="R2:AC6" xr:uid="{00000000-0009-0000-0100-000002000000}"/>
  <sortState xmlns:xlrd2="http://schemas.microsoft.com/office/spreadsheetml/2017/richdata2" ref="R3:AC6">
    <sortCondition ref="AB2:AB6"/>
  </sortState>
  <tableColumns count="12">
    <tableColumn id="10" xr3:uid="{00000000-0010-0000-0000-00000A000000}" name="Measure Number" dataDxfId="374">
      <calculatedColumnFormula array="1">LEFT(Q3, 2) &amp; IF(Program_Result= "Business Energy Savings", 2, IF(Program_Result="Small Business / Non-Profit", 3, "#")) &amp; RIGHT(Q3,6)</calculatedColumnFormula>
    </tableColumn>
    <tableColumn id="1" xr3:uid="{00000000-0010-0000-0000-000001000000}" name="Eff Desc 1" dataDxfId="373"/>
    <tableColumn id="2" xr3:uid="{00000000-0010-0000-0000-000002000000}" name="Eff Desc 2" dataDxfId="372"/>
    <tableColumn id="3" xr3:uid="{00000000-0010-0000-0000-000003000000}" name="Eff Watt 1" dataDxfId="371"/>
    <tableColumn id="4" xr3:uid="{00000000-0010-0000-0000-000004000000}" name="Eff Watt 2" dataDxfId="370"/>
    <tableColumn id="5" xr3:uid="{00000000-0010-0000-0000-000005000000}" name="Measure Group" dataDxfId="369"/>
    <tableColumn id="6" xr3:uid="{00000000-0010-0000-0000-000006000000}" name="Measure Subgroup 1" dataDxfId="368"/>
    <tableColumn id="7" xr3:uid="{00000000-0010-0000-0000-000007000000}" name="Measure Subgroup 2" dataDxfId="367"/>
    <tableColumn id="8" xr3:uid="{00000000-0010-0000-0000-000008000000}" name="Unit" dataDxfId="366"/>
    <tableColumn id="12" xr3:uid="{721909E7-8ECD-450A-9641-C3EBFCD3E43D}" name="EUL" dataDxfId="365"/>
    <tableColumn id="9" xr3:uid="{00000000-0010-0000-0000-000009000000}" name="Order" dataDxfId="364" dataCellStyle="Normal 2"/>
    <tableColumn id="11" xr3:uid="{00000000-0010-0000-0000-00000B000000}" name="Source (Standard Wattage Table)" dataDxfId="363"/>
  </tableColumns>
  <tableStyleInfo name="TableStyleMedium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G50:BA60" totalsRowShown="0" headerRowDxfId="362" dataDxfId="361">
  <autoFilter ref="AG50:BA60" xr:uid="{00000000-0009-0000-0100-000022000000}"/>
  <sortState xmlns:xlrd2="http://schemas.microsoft.com/office/spreadsheetml/2017/richdata2" ref="AG51:BA60">
    <sortCondition ref="AQ50:AQ60"/>
  </sortState>
  <tableColumns count="21">
    <tableColumn id="1" xr3:uid="{00000000-0010-0000-0600-000001000000}" name="Measure Number" dataDxfId="360"/>
    <tableColumn id="14" xr3:uid="{00000000-0010-0000-0600-00000E000000}" name="Project Category" dataDxfId="359"/>
    <tableColumn id="2" xr3:uid="{00000000-0010-0000-0600-000002000000}" name="Proj Desc 1" dataDxfId="358"/>
    <tableColumn id="3" xr3:uid="{00000000-0010-0000-0600-000003000000}" name="Proj Desc 2" dataDxfId="357"/>
    <tableColumn id="4" xr3:uid="{00000000-0010-0000-0600-000004000000}" name="Inc Rate" dataDxfId="356"/>
    <tableColumn id="5" xr3:uid="{00000000-0010-0000-0600-000005000000}" name="EUL" dataDxfId="355"/>
    <tableColumn id="6" xr3:uid="{00000000-0010-0000-0600-000006000000}" name="Measure Group" dataDxfId="354"/>
    <tableColumn id="7" xr3:uid="{00000000-0010-0000-0600-000007000000}" name="Measure Subgroup 1" dataDxfId="353"/>
    <tableColumn id="8" xr3:uid="{00000000-0010-0000-0600-000008000000}" name="Measure Subgroup 2" dataDxfId="352"/>
    <tableColumn id="9" xr3:uid="{00000000-0010-0000-0600-000009000000}" name="Units" dataDxfId="351"/>
    <tableColumn id="10" xr3:uid="{00000000-0010-0000-0600-00000A000000}" name="Order" dataDxfId="350"/>
    <tableColumn id="11" xr3:uid="{00000000-0010-0000-0600-00000B000000}" name="End Use Category" dataDxfId="349"/>
    <tableColumn id="12" xr3:uid="{00000000-0010-0000-0600-00000C000000}" name="Factor" dataDxfId="348"/>
    <tableColumn id="15" xr3:uid="{00000000-0010-0000-0600-00000F000000}" name="Cost Basis" dataDxfId="347"/>
    <tableColumn id="13" xr3:uid="{00000000-0010-0000-0600-00000D000000}" name="Application Tab" dataDxfId="346"/>
    <tableColumn id="16" xr3:uid="{00000000-0010-0000-0600-000010000000}" name="Wattage Unit" dataDxfId="345"/>
    <tableColumn id="17" xr3:uid="{A7474920-BA87-4150-B94D-B0B1A3C6E855}" name="Default kW Controlled" dataDxfId="344"/>
    <tableColumn id="18" xr3:uid="{E8B503A9-8948-40F1-A918-4603F0F43A8E}" name="Energy Savings Factor" dataDxfId="343" dataCellStyle="Percent"/>
    <tableColumn id="19" xr3:uid="{97E947BC-747A-44AE-B403-30EDB9EEBED9}" name="Incremental Cost" dataDxfId="342"/>
    <tableColumn id="20" xr3:uid="{FF3572D8-144A-47BD-B415-29EA4A555FD4}" name="Hours" dataDxfId="341"/>
    <tableColumn id="21" xr3:uid="{A4AD1E76-A7BC-4A99-82CB-8915D5A1696E}" name="WHFe" dataDxfId="34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BI11:BT16" totalsRowShown="0">
  <autoFilter ref="BI11:BT16" xr:uid="{00000000-0009-0000-0100-00001D000000}"/>
  <tableColumns count="12">
    <tableColumn id="1" xr3:uid="{00000000-0010-0000-1500-000001000000}" name="Payment to"/>
    <tableColumn id="2" xr3:uid="{00000000-0010-0000-1500-000002000000}" name="Company" dataDxfId="814">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813">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G63:BA75" totalsRowShown="0" headerRowDxfId="339" dataDxfId="338">
  <autoFilter ref="AG63:BA75" xr:uid="{00000000-0009-0000-0100-000023000000}"/>
  <sortState xmlns:xlrd2="http://schemas.microsoft.com/office/spreadsheetml/2017/richdata2" ref="AG64:BA75">
    <sortCondition ref="AQ63:AQ75"/>
  </sortState>
  <tableColumns count="21">
    <tableColumn id="1" xr3:uid="{00000000-0010-0000-0700-000001000000}" name="Measure Number" dataDxfId="337">
      <calculatedColumnFormula array="1">LEFT(AF64, 2) &amp; IF(Program_Banner= "Business Energy Savings", 2, IF(Program_Banner="Small Business / Non-Profit", 3, "#")) &amp; RIGHT(AF64,6)</calculatedColumnFormula>
    </tableColumn>
    <tableColumn id="14" xr3:uid="{00000000-0010-0000-0700-00000E000000}" name="Project Category" dataDxfId="336"/>
    <tableColumn id="2" xr3:uid="{00000000-0010-0000-0700-000002000000}" name="Proj Desc 1" dataDxfId="335"/>
    <tableColumn id="3" xr3:uid="{00000000-0010-0000-0700-000003000000}" name="Proj Desc 2" dataDxfId="334"/>
    <tableColumn id="4" xr3:uid="{00000000-0010-0000-0700-000004000000}" name="Inc Rate" dataDxfId="333"/>
    <tableColumn id="5" xr3:uid="{00000000-0010-0000-0700-000005000000}" name="EUL" dataDxfId="332"/>
    <tableColumn id="6" xr3:uid="{00000000-0010-0000-0700-000006000000}" name="Measure Group" dataDxfId="331"/>
    <tableColumn id="7" xr3:uid="{00000000-0010-0000-0700-000007000000}" name="Measure Subgroup 1" dataDxfId="330"/>
    <tableColumn id="8" xr3:uid="{00000000-0010-0000-0700-000008000000}" name="Measure Subgroup 2" dataDxfId="329"/>
    <tableColumn id="9" xr3:uid="{00000000-0010-0000-0700-000009000000}" name="Units" dataDxfId="328"/>
    <tableColumn id="10" xr3:uid="{00000000-0010-0000-0700-00000A000000}" name="Order" dataDxfId="327"/>
    <tableColumn id="11" xr3:uid="{00000000-0010-0000-0700-00000B000000}" name="End Use Category" dataDxfId="326"/>
    <tableColumn id="12" xr3:uid="{00000000-0010-0000-0700-00000C000000}" name="Factor" dataDxfId="325"/>
    <tableColumn id="15" xr3:uid="{00000000-0010-0000-0700-00000F000000}" name="Cost Basis" dataDxfId="324"/>
    <tableColumn id="13" xr3:uid="{00000000-0010-0000-0700-00000D000000}" name="Application Tab" dataDxfId="323"/>
    <tableColumn id="16" xr3:uid="{00000000-0010-0000-0700-000010000000}" name="Unit of Measure" dataDxfId="322"/>
    <tableColumn id="17" xr3:uid="{860FFF12-C393-47F4-A022-D918CDC034DC}" name="Column1" dataDxfId="321"/>
    <tableColumn id="18" xr3:uid="{60B6B001-7E44-4CE9-AB1C-23C206EE021D}" name="Column2" dataDxfId="320"/>
    <tableColumn id="19" xr3:uid="{7AF5E648-9A65-409C-A037-8D0C5D623DCC}" name="Column3" dataDxfId="319"/>
    <tableColumn id="20" xr3:uid="{00B1D855-9E19-4A1A-873F-3E0D90C7F66D}" name="Column4" dataDxfId="318"/>
    <tableColumn id="21" xr3:uid="{1C08BDE9-7377-4B8F-A7EB-A69341AEDAC4}" name="Column5" dataDxfId="317"/>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G77:BA95" totalsRowShown="0" headerRowDxfId="316" dataDxfId="315">
  <autoFilter ref="AG77:BA95" xr:uid="{00000000-0009-0000-0100-000024000000}"/>
  <sortState xmlns:xlrd2="http://schemas.microsoft.com/office/spreadsheetml/2017/richdata2" ref="AG78:AV95">
    <sortCondition ref="AQ77:AQ95"/>
  </sortState>
  <tableColumns count="21">
    <tableColumn id="1" xr3:uid="{00000000-0010-0000-0800-000001000000}" name="Measure Number" dataDxfId="314">
      <calculatedColumnFormula array="1">LEFT(AF78, 2) &amp; IF(Program_Banner= "Business Energy Savings", 2, IF(Program_Banner="Small Business / Non-Profit", 3, "#")) &amp; RIGHT(AF78,6)</calculatedColumnFormula>
    </tableColumn>
    <tableColumn id="14" xr3:uid="{00000000-0010-0000-0800-00000E000000}" name="Project Category" dataDxfId="313"/>
    <tableColumn id="2" xr3:uid="{00000000-0010-0000-0800-000002000000}" name="Proj Desc 1" dataDxfId="312"/>
    <tableColumn id="3" xr3:uid="{00000000-0010-0000-0800-000003000000}" name="Proj Desc 2" dataDxfId="311"/>
    <tableColumn id="4" xr3:uid="{00000000-0010-0000-0800-000004000000}" name="Inc Rate" dataDxfId="310"/>
    <tableColumn id="5" xr3:uid="{00000000-0010-0000-0800-000005000000}" name="EUL" dataDxfId="309"/>
    <tableColumn id="6" xr3:uid="{00000000-0010-0000-0800-000006000000}" name="Measure Group" dataDxfId="308"/>
    <tableColumn id="7" xr3:uid="{00000000-0010-0000-0800-000007000000}" name="Measure Subgroup 1" dataDxfId="307"/>
    <tableColumn id="8" xr3:uid="{00000000-0010-0000-0800-000008000000}" name="Measure Subgroup 2" dataDxfId="306"/>
    <tableColumn id="9" xr3:uid="{00000000-0010-0000-0800-000009000000}" name="Units" dataDxfId="305"/>
    <tableColumn id="10" xr3:uid="{00000000-0010-0000-0800-00000A000000}" name="Order" dataDxfId="304"/>
    <tableColumn id="11" xr3:uid="{00000000-0010-0000-0800-00000B000000}" name="End Use Category" dataDxfId="303"/>
    <tableColumn id="12" xr3:uid="{00000000-0010-0000-0800-00000C000000}" name="Factor" dataDxfId="302"/>
    <tableColumn id="15" xr3:uid="{00000000-0010-0000-0800-00000F000000}" name="Cost Basis" dataDxfId="301"/>
    <tableColumn id="13" xr3:uid="{00000000-0010-0000-0800-00000D000000}" name="Application Tab" dataDxfId="300"/>
    <tableColumn id="16" xr3:uid="{00000000-0010-0000-0800-000010000000}" name="Unit of Measure" dataDxfId="299"/>
    <tableColumn id="17" xr3:uid="{93E1D749-BEF2-4F59-BCE3-D4EA863316E7}" name="Column1" dataDxfId="298"/>
    <tableColumn id="18" xr3:uid="{36A61F01-375A-41FA-B8ED-32025F27DEC8}" name="Column2" dataDxfId="297"/>
    <tableColumn id="19" xr3:uid="{DFEE06F6-1450-4EA8-A1B0-AE8FD9AE4F11}" name="Column3" dataDxfId="296"/>
    <tableColumn id="20" xr3:uid="{4B5659A9-0079-48A8-AD19-EF0F40281982}" name="Column4" dataDxfId="295"/>
    <tableColumn id="21" xr3:uid="{FB14990D-693E-42F7-A15A-AF58473BF337}" name="Column5" dataDxfId="294"/>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G97:BA117" totalsRowShown="0" headerRowDxfId="293" dataDxfId="292">
  <autoFilter ref="AG97:BA117" xr:uid="{00000000-0009-0000-0100-000025000000}"/>
  <sortState xmlns:xlrd2="http://schemas.microsoft.com/office/spreadsheetml/2017/richdata2" ref="AG98:AV117">
    <sortCondition ref="AQ97:AQ117"/>
  </sortState>
  <tableColumns count="21">
    <tableColumn id="1" xr3:uid="{00000000-0010-0000-0900-000001000000}" name="Measure Number" dataDxfId="291">
      <calculatedColumnFormula array="1">LEFT(AF98, 2) &amp; IF(Program_Banner= "Business Energy Savings", 2, IF(Program_Banner="Small Business / Non-Profit", 3, "#")) &amp; RIGHT(AF98,6)</calculatedColumnFormula>
    </tableColumn>
    <tableColumn id="14" xr3:uid="{00000000-0010-0000-0900-00000E000000}" name="Project Category" dataDxfId="290"/>
    <tableColumn id="2" xr3:uid="{00000000-0010-0000-0900-000002000000}" name="Proj Desc 1" dataDxfId="289"/>
    <tableColumn id="3" xr3:uid="{00000000-0010-0000-0900-000003000000}" name="Proj Desc 2" dataDxfId="288"/>
    <tableColumn id="4" xr3:uid="{00000000-0010-0000-0900-000004000000}" name="Inc Rate" dataDxfId="287"/>
    <tableColumn id="5" xr3:uid="{00000000-0010-0000-0900-000005000000}" name="EUL" dataDxfId="286"/>
    <tableColumn id="6" xr3:uid="{00000000-0010-0000-0900-000006000000}" name="Measure Group" dataDxfId="285"/>
    <tableColumn id="7" xr3:uid="{00000000-0010-0000-0900-000007000000}" name="Measure Subgroup 1" dataDxfId="284"/>
    <tableColumn id="8" xr3:uid="{00000000-0010-0000-0900-000008000000}" name="Measure Subgroup 2" dataDxfId="283"/>
    <tableColumn id="9" xr3:uid="{00000000-0010-0000-0900-000009000000}" name="Units" dataDxfId="282"/>
    <tableColumn id="10" xr3:uid="{00000000-0010-0000-0900-00000A000000}" name="Order" dataDxfId="281"/>
    <tableColumn id="11" xr3:uid="{00000000-0010-0000-0900-00000B000000}" name="End Use Category" dataDxfId="280"/>
    <tableColumn id="12" xr3:uid="{00000000-0010-0000-0900-00000C000000}" name="Factor" dataDxfId="279"/>
    <tableColumn id="15" xr3:uid="{00000000-0010-0000-0900-00000F000000}" name="Cost Basis" dataDxfId="278"/>
    <tableColumn id="13" xr3:uid="{00000000-0010-0000-0900-00000D000000}" name="Application Tab" dataDxfId="277"/>
    <tableColumn id="16" xr3:uid="{00000000-0010-0000-0900-000010000000}" name="Unit of Measure" dataDxfId="276"/>
    <tableColumn id="17" xr3:uid="{C704F676-1278-471D-9721-3D931E59AFB0}" name="Column1" dataDxfId="275"/>
    <tableColumn id="18" xr3:uid="{995F7C20-167B-438E-BE46-77D7D1D4DE6F}" name="Column2" dataDxfId="274"/>
    <tableColumn id="19" xr3:uid="{9159918E-61C0-4133-A7A9-F6B943AEC199}" name="Column3" dataDxfId="273"/>
    <tableColumn id="20" xr3:uid="{09A22320-4E84-479B-A447-E08474170828}" name="Column4" dataDxfId="272"/>
    <tableColumn id="21" xr3:uid="{A965E22E-F6CC-4E7F-88B5-362187A09A22}" name="Column5" dataDxfId="271"/>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G119:BA131" totalsRowShown="0" headerRowDxfId="270" dataDxfId="269">
  <autoFilter ref="AG119:BA131" xr:uid="{00000000-0009-0000-0100-000026000000}"/>
  <sortState xmlns:xlrd2="http://schemas.microsoft.com/office/spreadsheetml/2017/richdata2" ref="AG120:BA131">
    <sortCondition ref="AQ119:AQ131"/>
  </sortState>
  <tableColumns count="21">
    <tableColumn id="1" xr3:uid="{00000000-0010-0000-0A00-000001000000}" name="Measure Number" dataDxfId="268">
      <calculatedColumnFormula array="1">LEFT(AF120, 2) &amp; IF(Program_Banner= "Business Energy Savings", 2, IF(Program_Banner="Small Business / Non-Profit", 3, "#")) &amp; RIGHT(AF120,6)</calculatedColumnFormula>
    </tableColumn>
    <tableColumn id="14" xr3:uid="{00000000-0010-0000-0A00-00000E000000}" name="Project Category" dataDxfId="267"/>
    <tableColumn id="2" xr3:uid="{00000000-0010-0000-0A00-000002000000}" name="Proj Desc 1" dataDxfId="266"/>
    <tableColumn id="3" xr3:uid="{00000000-0010-0000-0A00-000003000000}" name="Proj Desc 2" dataDxfId="265"/>
    <tableColumn id="4" xr3:uid="{00000000-0010-0000-0A00-000004000000}" name="Inc Rate" dataDxfId="264"/>
    <tableColumn id="5" xr3:uid="{00000000-0010-0000-0A00-000005000000}" name="EUL" dataDxfId="263"/>
    <tableColumn id="6" xr3:uid="{00000000-0010-0000-0A00-000006000000}" name="Measure Group" dataDxfId="262"/>
    <tableColumn id="7" xr3:uid="{00000000-0010-0000-0A00-000007000000}" name="Measure Subgroup 1" dataDxfId="261"/>
    <tableColumn id="8" xr3:uid="{00000000-0010-0000-0A00-000008000000}" name="Measure Subgroup 2" dataDxfId="260"/>
    <tableColumn id="9" xr3:uid="{00000000-0010-0000-0A00-000009000000}" name="Units" dataDxfId="259"/>
    <tableColumn id="10" xr3:uid="{00000000-0010-0000-0A00-00000A000000}" name="Order" dataDxfId="258"/>
    <tableColumn id="11" xr3:uid="{00000000-0010-0000-0A00-00000B000000}" name="End Use Category" dataDxfId="257"/>
    <tableColumn id="12" xr3:uid="{00000000-0010-0000-0A00-00000C000000}" name="Factor" dataDxfId="256"/>
    <tableColumn id="15" xr3:uid="{00000000-0010-0000-0A00-00000F000000}" name="Cost Basis" dataDxfId="255"/>
    <tableColumn id="13" xr3:uid="{00000000-0010-0000-0A00-00000D000000}" name="Application Tab" dataDxfId="254"/>
    <tableColumn id="16" xr3:uid="{00000000-0010-0000-0A00-000010000000}" name="Unit of Measure" dataDxfId="253"/>
    <tableColumn id="17" xr3:uid="{0FE395D3-A9AA-4380-9017-AC0851981E69}" name="Column1" dataDxfId="252"/>
    <tableColumn id="18" xr3:uid="{E0109EE5-9041-40CE-B063-250D7125F323}" name="Column2" dataDxfId="251"/>
    <tableColumn id="19" xr3:uid="{D7E24197-C531-4ED6-95C9-883FAA0860E1}" name="Column3" dataDxfId="250"/>
    <tableColumn id="20" xr3:uid="{A66A7023-2243-4E0E-A329-74861E419093}" name="Column4" dataDxfId="249"/>
    <tableColumn id="21" xr3:uid="{DE43A767-F5F6-4E30-A28F-78D52700FFC5}" name="Column5" dataDxfId="248"/>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G133:BA143" totalsRowShown="0" headerRowDxfId="247" dataDxfId="246">
  <autoFilter ref="AG133:BA143" xr:uid="{00000000-0009-0000-0100-000027000000}"/>
  <sortState xmlns:xlrd2="http://schemas.microsoft.com/office/spreadsheetml/2017/richdata2" ref="AG134:AV141">
    <sortCondition ref="AH133:AH141"/>
  </sortState>
  <tableColumns count="21">
    <tableColumn id="1" xr3:uid="{00000000-0010-0000-0B00-000001000000}" name="Measure Number" dataDxfId="245">
      <calculatedColumnFormula array="1">LEFT(AF134, 2) &amp; IF(Program_Banner= "Business Energy Savings", 2, IF(Program_Banner="Small Business / Non-Profit", 3, "#")) &amp; RIGHT(AF134,6)</calculatedColumnFormula>
    </tableColumn>
    <tableColumn id="14" xr3:uid="{00000000-0010-0000-0B00-00000E000000}" name="Project Category" dataDxfId="244"/>
    <tableColumn id="2" xr3:uid="{00000000-0010-0000-0B00-000002000000}" name="Proj Desc 1" dataDxfId="243"/>
    <tableColumn id="3" xr3:uid="{00000000-0010-0000-0B00-000003000000}" name="Proj Desc 2" dataDxfId="242"/>
    <tableColumn id="4" xr3:uid="{00000000-0010-0000-0B00-000004000000}" name="Inc Rate" dataDxfId="241"/>
    <tableColumn id="5" xr3:uid="{00000000-0010-0000-0B00-000005000000}" name="EUL" dataDxfId="240"/>
    <tableColumn id="6" xr3:uid="{00000000-0010-0000-0B00-000006000000}" name="Measure Group" dataDxfId="239"/>
    <tableColumn id="7" xr3:uid="{00000000-0010-0000-0B00-000007000000}" name="Measure Subgroup 1" dataDxfId="238"/>
    <tableColumn id="8" xr3:uid="{00000000-0010-0000-0B00-000008000000}" name="Measure Subgroup 2" dataDxfId="237"/>
    <tableColumn id="9" xr3:uid="{00000000-0010-0000-0B00-000009000000}" name="Units" dataDxfId="236"/>
    <tableColumn id="10" xr3:uid="{00000000-0010-0000-0B00-00000A000000}" name="Order" dataDxfId="235"/>
    <tableColumn id="11" xr3:uid="{00000000-0010-0000-0B00-00000B000000}" name="End Use Category" dataDxfId="234"/>
    <tableColumn id="12" xr3:uid="{00000000-0010-0000-0B00-00000C000000}" name="Factor" dataDxfId="233"/>
    <tableColumn id="15" xr3:uid="{00000000-0010-0000-0B00-00000F000000}" name="Cost Basis" dataDxfId="232"/>
    <tableColumn id="13" xr3:uid="{00000000-0010-0000-0B00-00000D000000}" name="Application Tab" dataDxfId="231"/>
    <tableColumn id="16" xr3:uid="{00000000-0010-0000-0B00-000010000000}" name="Unit of Measure" dataDxfId="230"/>
    <tableColumn id="17" xr3:uid="{FF6E1137-D502-4FB8-B8AC-3AFB4E4E3562}" name="Column1" dataDxfId="229"/>
    <tableColumn id="18" xr3:uid="{71599747-B30F-401F-8173-E43004A2A303}" name="Column2" dataDxfId="228"/>
    <tableColumn id="19" xr3:uid="{80730337-86BF-46F6-BD3F-170643D03E96}" name="Column3" dataDxfId="227"/>
    <tableColumn id="20" xr3:uid="{3B790E0F-1ECB-435D-955B-64FD3E35BD86}" name="Column4" dataDxfId="226"/>
    <tableColumn id="21" xr3:uid="{7BCC4B07-4CB4-4214-A18C-BB0FB24CD667}" name="Column5" dataDxfId="225"/>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27" totalsRowShown="0" headerRowDxfId="224" dataDxfId="223" headerRowCellStyle="Normal 2">
  <autoFilter ref="E2:O127" xr:uid="{00000000-0009-0000-0100-000001000000}"/>
  <tableColumns count="11">
    <tableColumn id="5" xr3:uid="{00000000-0010-0000-0C00-000005000000}" name="Measure Number" dataDxfId="222"/>
    <tableColumn id="1" xr3:uid="{00000000-0010-0000-0C00-000001000000}" name="Base Desc 1" dataDxfId="221"/>
    <tableColumn id="2" xr3:uid="{00000000-0010-0000-0C00-000002000000}" name="Base Desc 2" dataDxfId="220"/>
    <tableColumn id="3" xr3:uid="{00000000-0010-0000-0C00-000003000000}" name="Base Watt 1" dataDxfId="219"/>
    <tableColumn id="4" xr3:uid="{00000000-0010-0000-0C00-000004000000}" name="Base Watt 2" dataDxfId="218"/>
    <tableColumn id="7" xr3:uid="{00000000-0010-0000-0C00-000007000000}" name="Measure Group" dataDxfId="217"/>
    <tableColumn id="8" xr3:uid="{00000000-0010-0000-0C00-000008000000}" name="Measure Subgroup 1" dataDxfId="216"/>
    <tableColumn id="6" xr3:uid="{00000000-0010-0000-0C00-000006000000}" name="Measure Subgroup 2" dataDxfId="215"/>
    <tableColumn id="9" xr3:uid="{00000000-0010-0000-0C00-000009000000}" name="Unit" dataDxfId="214"/>
    <tableColumn id="10" xr3:uid="{00000000-0010-0000-0C00-00000A000000}" name="Order" dataDxfId="213"/>
    <tableColumn id="11" xr3:uid="{00000000-0010-0000-0C00-00000B000000}" name="Source (Standard Wattage Table)" dataDxfId="212"/>
  </tableColumns>
  <tableStyleInfo name="TableStyleMedium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G2:BA46" totalsRowShown="0" headerRowDxfId="211" dataDxfId="210">
  <autoFilter ref="AG2:BA46" xr:uid="{00000000-0009-0000-0100-000020000000}"/>
  <sortState xmlns:xlrd2="http://schemas.microsoft.com/office/spreadsheetml/2017/richdata2" ref="AG3:BA46">
    <sortCondition ref="AQ2:AQ46"/>
  </sortState>
  <tableColumns count="21">
    <tableColumn id="1" xr3:uid="{00000000-0010-0000-0D00-000001000000}" name="Measure Number" dataDxfId="209">
      <calculatedColumnFormula array="1">LEFT(AF3, 2) &amp; IF(Program_Banner= "Business Energy Savings", 2, IF(Program_Banner="Small Business / Non-Profit", 3, "#")) &amp; RIGHT(AF3,6)</calculatedColumnFormula>
    </tableColumn>
    <tableColumn id="14" xr3:uid="{00000000-0010-0000-0D00-00000E000000}" name="Project Category" dataDxfId="208"/>
    <tableColumn id="2" xr3:uid="{00000000-0010-0000-0D00-000002000000}" name="Proj Desc 1" dataDxfId="207"/>
    <tableColumn id="3" xr3:uid="{00000000-0010-0000-0D00-000003000000}" name="Proj Desc 2" dataDxfId="206"/>
    <tableColumn id="5" xr3:uid="{00000000-0010-0000-0D00-000005000000}" name="Inc Rate" dataDxfId="205"/>
    <tableColumn id="4" xr3:uid="{00000000-0010-0000-0D00-000004000000}" name="EUL" dataDxfId="204"/>
    <tableColumn id="6" xr3:uid="{00000000-0010-0000-0D00-000006000000}" name="Measure Group" dataDxfId="203"/>
    <tableColumn id="7" xr3:uid="{00000000-0010-0000-0D00-000007000000}" name="Measure Subgroup 1" dataDxfId="202"/>
    <tableColumn id="8" xr3:uid="{00000000-0010-0000-0D00-000008000000}" name="Measure Subgroup 2" dataDxfId="201"/>
    <tableColumn id="9" xr3:uid="{00000000-0010-0000-0D00-000009000000}" name="Units" dataDxfId="200"/>
    <tableColumn id="10" xr3:uid="{00000000-0010-0000-0D00-00000A000000}" name="Order" dataDxfId="199"/>
    <tableColumn id="11" xr3:uid="{00000000-0010-0000-0D00-00000B000000}" name="End Use Category" dataDxfId="198"/>
    <tableColumn id="12" xr3:uid="{00000000-0010-0000-0D00-00000C000000}" name="Factor" dataDxfId="197"/>
    <tableColumn id="15" xr3:uid="{00000000-0010-0000-0D00-00000F000000}" name="Cost Basis" dataDxfId="196"/>
    <tableColumn id="13" xr3:uid="{00000000-0010-0000-0D00-00000D000000}" name="Application Tab" dataDxfId="195"/>
    <tableColumn id="16" xr3:uid="{00000000-0010-0000-0D00-000010000000}" name="Unit of Measure" dataDxfId="194"/>
    <tableColumn id="17" xr3:uid="{75641CDF-F8A0-4E47-A3B5-434F6A14BD42}" name="Column1" dataDxfId="193"/>
    <tableColumn id="18" xr3:uid="{70E5A639-029D-4D84-AD34-B84D119F16AA}" name="Column2" dataDxfId="192"/>
    <tableColumn id="19" xr3:uid="{EF60AA42-7DF7-4938-A665-AB1DBAA13AAE}" name="Column3" dataDxfId="191"/>
    <tableColumn id="20" xr3:uid="{7286DCD9-0013-4518-A174-1C0BFF44A31F}" name="Column4" dataDxfId="190"/>
    <tableColumn id="21" xr3:uid="{13F99EAB-C4D9-423E-A157-C375D610109B}" name="Column5" dataDxfId="189"/>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dataDxfId="188"/>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G146:BA147" totalsRowShown="0" headerRowDxfId="187" dataDxfId="185" headerRowBorderDxfId="186" tableBorderDxfId="184" totalsRowBorderDxfId="183">
  <autoFilter ref="AG146:BA147" xr:uid="{D4DD773A-45AB-49D9-B60E-1C66B1070B96}"/>
  <tableColumns count="21">
    <tableColumn id="1" xr3:uid="{56F3C84F-9BBA-420F-BD2F-9389365EB032}" name="Measure Number" dataDxfId="182"/>
    <tableColumn id="2" xr3:uid="{234941C6-27CB-4EEB-9113-BE1A59342E0A}" name="Project Category" dataDxfId="181"/>
    <tableColumn id="3" xr3:uid="{B8ADCC95-4E06-40AD-BF07-4405A5E1CC8E}" name="Proj Desc 1" dataDxfId="180"/>
    <tableColumn id="4" xr3:uid="{FDA6403A-FB6A-44DC-84CA-6537926D7E56}" name="Proj Desc 2" dataDxfId="179"/>
    <tableColumn id="5" xr3:uid="{B1DE5218-D25D-4D79-AFD8-9E3D0A314732}" name="Inc Rate" dataDxfId="178"/>
    <tableColumn id="6" xr3:uid="{974A0AA5-13F6-4957-AF87-54AB67458C54}" name="EUL" dataDxfId="177"/>
    <tableColumn id="7" xr3:uid="{099106BF-12AD-41C3-ADF7-3E79BD10DAC3}" name="Measure Group" dataDxfId="176"/>
    <tableColumn id="8" xr3:uid="{A21EB03A-4EFB-474C-B66D-E62E9F321A23}" name="Measure Subgroup 1" dataDxfId="175"/>
    <tableColumn id="9" xr3:uid="{B297D1ED-36F1-43A2-B1A2-51E267C20320}" name="Measure Subgroup 2" dataDxfId="174"/>
    <tableColumn id="10" xr3:uid="{6E7962DE-B1E2-465F-BB9F-66DA8EAB2BA8}" name="Units" dataDxfId="173"/>
    <tableColumn id="11" xr3:uid="{F9425AA2-F0B8-49FA-BB70-A2AF8A27C998}" name="Order" dataDxfId="172"/>
    <tableColumn id="12" xr3:uid="{E298F3F5-D9F3-4C04-BB76-B8D7E158F261}" name="End Use Category" dataDxfId="171"/>
    <tableColumn id="13" xr3:uid="{2046277B-72FE-4ED1-92C0-92893E4A88C1}" name="Factor" dataDxfId="170"/>
    <tableColumn id="14" xr3:uid="{3BDAA324-C14D-4390-BDBE-287E2790B8F0}" name="Cost Basis" dataDxfId="169"/>
    <tableColumn id="15" xr3:uid="{4FF7FE8F-6428-46E8-81FE-C564C84EB0D4}" name="Application Tab" dataDxfId="168"/>
    <tableColumn id="16" xr3:uid="{61B628D3-38B1-4077-8F37-B0A883137237}" name="Unit of Measure" dataDxfId="167"/>
    <tableColumn id="17" xr3:uid="{450FF0BC-D6AD-4577-9738-E7ABE18BB3FE}" name="Column1" dataDxfId="166"/>
    <tableColumn id="18" xr3:uid="{CDC9C354-F380-4A94-AF89-8683A359248A}" name="Column2" dataDxfId="165"/>
    <tableColumn id="19" xr3:uid="{C2C08157-F5D6-4D24-AEB5-3927625A9811}" name="Column3" dataDxfId="164"/>
    <tableColumn id="20" xr3:uid="{3DD4F2DD-05C0-4ADB-AF2E-50CC4DE01944}" name="Column4" dataDxfId="163"/>
    <tableColumn id="21" xr3:uid="{BFB8420E-2767-4DBB-93FF-0BA932708D57}" name="Column5" dataDxfId="162"/>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CMEMISC3" displayName="CMEMISC3" ref="AG149:BA155" totalsRowShown="0" headerRowDxfId="161" headerRowBorderDxfId="160" tableBorderDxfId="159">
  <autoFilter ref="AG149:BA155" xr:uid="{22468635-4B03-464B-8863-5A053ADED964}"/>
  <tableColumns count="21">
    <tableColumn id="1" xr3:uid="{2E2B33DC-4498-4FBF-AB92-E537F556B0D0}" name="Measure Number" dataDxfId="158">
      <calculatedColumnFormula array="1">LEFT(AF150, 2) &amp; IF(Program_Banner= "Business Energy Savings", 2, IF(Program_Banner="Small Business / Non-Profit", 3, "#")) &amp; RIGHT(AF150,6)</calculatedColumnFormula>
    </tableColumn>
    <tableColumn id="2" xr3:uid="{5E9FF4E7-EEF1-4C94-BCAF-E9A2B57170D3}" name="Project Category"/>
    <tableColumn id="3" xr3:uid="{2700F517-D5C2-46D3-90FF-E753167680F2}" name="Proj Desc 1"/>
    <tableColumn id="4" xr3:uid="{0011B94F-E4AE-4277-AE62-C04F070D3195}" name="Proj Desc 2"/>
    <tableColumn id="5" xr3:uid="{7B0113A2-4638-4EE4-A4AC-E483187CDF38}" name="Inc Rate"/>
    <tableColumn id="6" xr3:uid="{A72F2A4E-C495-4157-855E-B52131EF9457}" name="EUL"/>
    <tableColumn id="7" xr3:uid="{12312451-1C61-4C4C-A1EC-C9F0F134012B}" name="Measure Group"/>
    <tableColumn id="8" xr3:uid="{D4A4D66F-3881-4BB5-A35A-D83F74866B13}" name="Measure Subgroup 1"/>
    <tableColumn id="9" xr3:uid="{5E6A3828-21FD-4A20-BE0C-85CBFD3F4818}" name="Measure Subgroup 2"/>
    <tableColumn id="10" xr3:uid="{76EC676A-53E8-48CB-9962-719D6B807D33}" name="Units"/>
    <tableColumn id="11" xr3:uid="{2C351935-1381-4E1E-9D7B-57AE6F3AD4F1}" name="Order"/>
    <tableColumn id="12" xr3:uid="{BDF052DE-BBC9-4DE0-8CB0-837B2426A1A9}" name="End Use Category" dataDxfId="157"/>
    <tableColumn id="13" xr3:uid="{D681399C-0D4F-4F3F-9306-8F54B349DB0E}" name="Factor"/>
    <tableColumn id="14" xr3:uid="{3E9AB2B4-47FA-4EB1-9309-C294C3CF548C}" name="Cost Basis"/>
    <tableColumn id="15" xr3:uid="{97A5E7EC-BFB0-436F-B5A1-33AD92B81F58}" name="Application Tab"/>
    <tableColumn id="16" xr3:uid="{039319D5-CB9E-4D7B-957C-3011C78D7EEE}" name="Unit of Measure"/>
    <tableColumn id="17" xr3:uid="{94D4C5E7-AC26-43FC-88AF-65CE1772D0DE}" name="Column1"/>
    <tableColumn id="18" xr3:uid="{9C3CBC6B-7241-45C4-81E2-0A01468E95D1}" name="Column2"/>
    <tableColumn id="19" xr3:uid="{3F50B518-1C53-46B2-ABBC-7F052896A46C}" name="Column3"/>
    <tableColumn id="20" xr3:uid="{61ED0006-4D82-49A9-9AF1-80717C2B9105}" name="Column4"/>
    <tableColumn id="21" xr3:uid="{3B0CAB7E-A6D8-450A-B99B-A50EB88E131B}" name="Column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AD11:AL28" totalsRowShown="0">
  <autoFilter ref="AD11:AL28" xr:uid="{00000000-0009-0000-0100-000017000000}"/>
  <sortState xmlns:xlrd2="http://schemas.microsoft.com/office/spreadsheetml/2017/richdata2" ref="AD12:AJ28">
    <sortCondition ref="AD11:AD28"/>
  </sortState>
  <tableColumns count="9">
    <tableColumn id="1" xr3:uid="{00000000-0010-0000-1700-000001000000}" name="End Use to Coincident Peak Demand Factors"/>
    <tableColumn id="8" xr3:uid="{00000000-0010-0000-1700-000008000000}" name="Source" dataDxfId="812"/>
    <tableColumn id="2" xr3:uid="{00000000-0010-0000-1700-000002000000}" name="Factor" dataDxfId="811"/>
    <tableColumn id="3" xr3:uid="{00000000-0010-0000-1700-000003000000}" name="BESP Rate ($/kWh)" dataDxfId="810"/>
    <tableColumn id="6" xr3:uid="{33DD2F7F-F834-47FF-9F40-6C69FBA72FE3}" name="SBNP Rate ($/kWh)" dataDxfId="809"/>
    <tableColumn id="5" xr3:uid="{AC59A936-DF0C-4CD2-A15F-42718FC9360A}" name="Bonus Rate ($/kWh)" dataDxfId="808"/>
    <tableColumn id="4" xr3:uid="{CEC7DA9D-10D0-486A-95B9-ED018C6108A6}" name="Measure Number Indicator" dataDxfId="807"/>
    <tableColumn id="7" xr3:uid="{EF0C877D-153F-4DC5-81DB-8C24E04BF3E0}" name="Primary Key WBE"/>
    <tableColumn id="9" xr3:uid="{F399EF9A-0C2E-46E3-A814-BC09DEEF2B85}" name="Primary Key HTRB"/>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evergy.com/ways-to-save/incentives-link/business-energy-savings" TargetMode="External"/><Relationship Id="rId13" Type="http://schemas.openxmlformats.org/officeDocument/2006/relationships/hyperlink" Target="https://evergy.com/Ways-to-Save/Incentives" TargetMode="External"/><Relationship Id="rId18" Type="http://schemas.openxmlformats.org/officeDocument/2006/relationships/hyperlink" Target="https://www.mced.mo.gov/pace-2/" TargetMode="External"/><Relationship Id="rId3" Type="http://schemas.openxmlformats.org/officeDocument/2006/relationships/hyperlink" Target="%22%22" TargetMode="External"/><Relationship Id="rId21" Type="http://schemas.openxmlformats.org/officeDocument/2006/relationships/printerSettings" Target="../printerSettings/printerSettings9.bin"/><Relationship Id="rId7" Type="http://schemas.openxmlformats.org/officeDocument/2006/relationships/hyperlink" Target="https://evergy.com/ways-to-save/incentives-link/business-energy-savings" TargetMode="External"/><Relationship Id="rId12" Type="http://schemas.openxmlformats.org/officeDocument/2006/relationships/hyperlink" Target="https://evergy.com/-/media/documents/ways-to-save/incentives/besp/evergy-ks-incentives-brochure.pdf" TargetMode="External"/><Relationship Id="rId17" Type="http://schemas.openxmlformats.org/officeDocument/2006/relationships/hyperlink" Target="https://www.energystar.gov/buildings/resources-audience/small-biz" TargetMode="External"/><Relationship Id="rId2" Type="http://schemas.openxmlformats.org/officeDocument/2006/relationships/hyperlink" Target="%22%22" TargetMode="External"/><Relationship Id="rId16" Type="http://schemas.openxmlformats.org/officeDocument/2006/relationships/hyperlink" Target="https://www.evergybesp.com/" TargetMode="External"/><Relationship Id="rId20" Type="http://schemas.openxmlformats.org/officeDocument/2006/relationships/hyperlink" Target="https://www.designlights.org/qpl/" TargetMode="External"/><Relationship Id="rId1" Type="http://schemas.openxmlformats.org/officeDocument/2006/relationships/hyperlink" Target="mailto:businessrebates@evergy.com" TargetMode="External"/><Relationship Id="rId6" Type="http://schemas.openxmlformats.org/officeDocument/2006/relationships/hyperlink" Target="%22%22" TargetMode="External"/><Relationship Id="rId11" Type="http://schemas.openxmlformats.org/officeDocument/2006/relationships/hyperlink" Target="https://evergy.com/-/media/documents/ways-to-save/incentives/besp/evergy-ks-incentives-brochure.pdf" TargetMode="External"/><Relationship Id="rId5" Type="http://schemas.openxmlformats.org/officeDocument/2006/relationships/hyperlink" Target="%22%22" TargetMode="External"/><Relationship Id="rId15" Type="http://schemas.openxmlformats.org/officeDocument/2006/relationships/hyperlink" Target="https://www.evergyenergysolutions.com/wp-content/uploads/Evergy-KS-TERMS-FINAL.pdf" TargetMode="External"/><Relationship Id="rId10" Type="http://schemas.openxmlformats.org/officeDocument/2006/relationships/hyperlink" Target="https://evergy.com/-/media/documents/ways-to-save/incentives/besp/evergy-ks-incentives-brochure.pdf" TargetMode="External"/><Relationship Id="rId19" Type="http://schemas.openxmlformats.org/officeDocument/2006/relationships/hyperlink" Target="https://library.cee1.org/content/commercial-lighting-qualifying-products-lists" TargetMode="External"/><Relationship Id="rId4" Type="http://schemas.openxmlformats.org/officeDocument/2006/relationships/hyperlink" Target="%22%22" TargetMode="External"/><Relationship Id="rId9" Type="http://schemas.openxmlformats.org/officeDocument/2006/relationships/hyperlink" Target="https://evergy.com/ways-to-save/incentives-link/business-energy-savings" TargetMode="External"/><Relationship Id="rId14" Type="http://schemas.openxmlformats.org/officeDocument/2006/relationships/hyperlink" Target="https://www.evergy.com/log-in" TargetMode="External"/><Relationship Id="rId22"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mailto:businessrebates@evergy.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7.xml"/><Relationship Id="rId18" Type="http://schemas.openxmlformats.org/officeDocument/2006/relationships/table" Target="../tables/table12.xml"/><Relationship Id="rId26" Type="http://schemas.openxmlformats.org/officeDocument/2006/relationships/table" Target="../tables/table20.xml"/><Relationship Id="rId39" Type="http://schemas.openxmlformats.org/officeDocument/2006/relationships/table" Target="../tables/table33.xml"/><Relationship Id="rId21" Type="http://schemas.openxmlformats.org/officeDocument/2006/relationships/table" Target="../tables/table15.xml"/><Relationship Id="rId34" Type="http://schemas.openxmlformats.org/officeDocument/2006/relationships/table" Target="../tables/table28.xml"/><Relationship Id="rId42" Type="http://schemas.openxmlformats.org/officeDocument/2006/relationships/table" Target="../tables/table36.xml"/><Relationship Id="rId47" Type="http://schemas.openxmlformats.org/officeDocument/2006/relationships/table" Target="../tables/table41.xml"/><Relationship Id="rId7" Type="http://schemas.openxmlformats.org/officeDocument/2006/relationships/table" Target="../tables/table1.xml"/><Relationship Id="rId2" Type="http://schemas.openxmlformats.org/officeDocument/2006/relationships/hyperlink" Target="mailto:Dgordon@trccompanies.com" TargetMode="External"/><Relationship Id="rId16" Type="http://schemas.openxmlformats.org/officeDocument/2006/relationships/table" Target="../tables/table10.xml"/><Relationship Id="rId29" Type="http://schemas.openxmlformats.org/officeDocument/2006/relationships/table" Target="../tables/table23.xml"/><Relationship Id="rId11" Type="http://schemas.openxmlformats.org/officeDocument/2006/relationships/table" Target="../tables/table5.xml"/><Relationship Id="rId24" Type="http://schemas.openxmlformats.org/officeDocument/2006/relationships/table" Target="../tables/table18.xml"/><Relationship Id="rId32" Type="http://schemas.openxmlformats.org/officeDocument/2006/relationships/table" Target="../tables/table26.xml"/><Relationship Id="rId37" Type="http://schemas.openxmlformats.org/officeDocument/2006/relationships/table" Target="../tables/table31.xml"/><Relationship Id="rId40" Type="http://schemas.openxmlformats.org/officeDocument/2006/relationships/table" Target="../tables/table34.xml"/><Relationship Id="rId45" Type="http://schemas.openxmlformats.org/officeDocument/2006/relationships/table" Target="../tables/table39.xml"/><Relationship Id="rId5" Type="http://schemas.openxmlformats.org/officeDocument/2006/relationships/printerSettings" Target="../printerSettings/printerSettings3.bin"/><Relationship Id="rId15" Type="http://schemas.openxmlformats.org/officeDocument/2006/relationships/table" Target="../tables/table9.xml"/><Relationship Id="rId23" Type="http://schemas.openxmlformats.org/officeDocument/2006/relationships/table" Target="../tables/table17.xml"/><Relationship Id="rId28" Type="http://schemas.openxmlformats.org/officeDocument/2006/relationships/table" Target="../tables/table22.xml"/><Relationship Id="rId36" Type="http://schemas.openxmlformats.org/officeDocument/2006/relationships/table" Target="../tables/table30.xml"/><Relationship Id="rId49" Type="http://schemas.openxmlformats.org/officeDocument/2006/relationships/comments" Target="../comments1.xml"/><Relationship Id="rId10" Type="http://schemas.openxmlformats.org/officeDocument/2006/relationships/table" Target="../tables/table4.xml"/><Relationship Id="rId19" Type="http://schemas.openxmlformats.org/officeDocument/2006/relationships/table" Target="../tables/table13.xml"/><Relationship Id="rId31" Type="http://schemas.openxmlformats.org/officeDocument/2006/relationships/table" Target="../tables/table25.xml"/><Relationship Id="rId44" Type="http://schemas.openxmlformats.org/officeDocument/2006/relationships/table" Target="../tables/table38.xml"/><Relationship Id="rId4" Type="http://schemas.openxmlformats.org/officeDocument/2006/relationships/hyperlink" Target="mailto:tscott@trcompanies.com" TargetMode="External"/><Relationship Id="rId9" Type="http://schemas.openxmlformats.org/officeDocument/2006/relationships/table" Target="../tables/table3.xml"/><Relationship Id="rId14" Type="http://schemas.openxmlformats.org/officeDocument/2006/relationships/table" Target="../tables/table8.xml"/><Relationship Id="rId22" Type="http://schemas.openxmlformats.org/officeDocument/2006/relationships/table" Target="../tables/table16.xml"/><Relationship Id="rId27" Type="http://schemas.openxmlformats.org/officeDocument/2006/relationships/table" Target="../tables/table21.xml"/><Relationship Id="rId30" Type="http://schemas.openxmlformats.org/officeDocument/2006/relationships/table" Target="../tables/table24.xml"/><Relationship Id="rId35" Type="http://schemas.openxmlformats.org/officeDocument/2006/relationships/table" Target="../tables/table29.xml"/><Relationship Id="rId43" Type="http://schemas.openxmlformats.org/officeDocument/2006/relationships/table" Target="../tables/table37.xml"/><Relationship Id="rId48" Type="http://schemas.openxmlformats.org/officeDocument/2006/relationships/table" Target="../tables/table42.xml"/><Relationship Id="rId8" Type="http://schemas.openxmlformats.org/officeDocument/2006/relationships/table" Target="../tables/table2.xml"/><Relationship Id="rId3" Type="http://schemas.openxmlformats.org/officeDocument/2006/relationships/hyperlink" Target="mailto:corey.moore@trccompanies.com" TargetMode="External"/><Relationship Id="rId12" Type="http://schemas.openxmlformats.org/officeDocument/2006/relationships/table" Target="../tables/table6.xml"/><Relationship Id="rId17" Type="http://schemas.openxmlformats.org/officeDocument/2006/relationships/table" Target="../tables/table11.xml"/><Relationship Id="rId25" Type="http://schemas.openxmlformats.org/officeDocument/2006/relationships/table" Target="../tables/table19.xml"/><Relationship Id="rId33" Type="http://schemas.openxmlformats.org/officeDocument/2006/relationships/table" Target="../tables/table27.xml"/><Relationship Id="rId38" Type="http://schemas.openxmlformats.org/officeDocument/2006/relationships/table" Target="../tables/table32.xml"/><Relationship Id="rId46" Type="http://schemas.openxmlformats.org/officeDocument/2006/relationships/table" Target="../tables/table40.xml"/><Relationship Id="rId20" Type="http://schemas.openxmlformats.org/officeDocument/2006/relationships/table" Target="../tables/table14.xml"/><Relationship Id="rId41" Type="http://schemas.openxmlformats.org/officeDocument/2006/relationships/table" Target="../tables/table35.xml"/><Relationship Id="rId1" Type="http://schemas.openxmlformats.org/officeDocument/2006/relationships/hyperlink" Target="mailto:MBSharp@trccompanies.com" TargetMode="External"/><Relationship Id="rId6"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5.bin"/><Relationship Id="rId1"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6.bin"/><Relationship Id="rId1" Type="http://schemas.openxmlformats.org/officeDocument/2006/relationships/hyperlink" Target="mailto:businessrebates@evergy.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7.bin"/><Relationship Id="rId1" Type="http://schemas.openxmlformats.org/officeDocument/2006/relationships/hyperlink" Target="mailto:businessrebates@evergy.com" TargetMode="External"/><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8.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mailto:businessrebates@evergy.com?subject=Evergy%20Standard/Custom%20Incentive%20Application%20Submission" TargetMode="External"/><Relationship Id="rId1" Type="http://schemas.openxmlformats.org/officeDocument/2006/relationships/hyperlink" Target="mailto:businessrebates@evergy.com" TargetMode="External"/><Relationship Id="rId4" Type="http://schemas.openxmlformats.org/officeDocument/2006/relationships/drawing" Target="../drawings/drawing31.xml"/></Relationships>
</file>

<file path=xl/worksheets/_rels/sheet41.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32.xml"/><Relationship Id="rId5" Type="http://schemas.openxmlformats.org/officeDocument/2006/relationships/printerSettings" Target="../printerSettings/printerSettings40.bin"/><Relationship Id="rId4" Type="http://schemas.openxmlformats.org/officeDocument/2006/relationships/hyperlink" Target="mailto:businessrebates@evergy.com"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33.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ctrlProp" Target="../ctrlProps/ctrlProp4.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3.xml"/><Relationship Id="rId5" Type="http://schemas.openxmlformats.org/officeDocument/2006/relationships/vmlDrawing" Target="../drawings/vmlDrawing5.vml"/><Relationship Id="rId4" Type="http://schemas.openxmlformats.org/officeDocument/2006/relationships/drawing" Target="../drawings/drawing34.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3.bin"/><Relationship Id="rId1" Type="http://schemas.openxmlformats.org/officeDocument/2006/relationships/hyperlink" Target="mailto:businessrebates@evergy.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50.xml"/><Relationship Id="rId3" Type="http://schemas.openxmlformats.org/officeDocument/2006/relationships/table" Target="../tables/table45.xml"/><Relationship Id="rId7" Type="http://schemas.openxmlformats.org/officeDocument/2006/relationships/table" Target="../tables/table49.xml"/><Relationship Id="rId12"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6" Type="http://schemas.openxmlformats.org/officeDocument/2006/relationships/table" Target="../tables/table48.xml"/><Relationship Id="rId11" Type="http://schemas.openxmlformats.org/officeDocument/2006/relationships/table" Target="../tables/table53.xml"/><Relationship Id="rId5" Type="http://schemas.openxmlformats.org/officeDocument/2006/relationships/table" Target="../tables/table47.xml"/><Relationship Id="rId10" Type="http://schemas.openxmlformats.org/officeDocument/2006/relationships/table" Target="../tables/table52.xml"/><Relationship Id="rId4" Type="http://schemas.openxmlformats.org/officeDocument/2006/relationships/table" Target="../tables/table46.xml"/><Relationship Id="rId9" Type="http://schemas.openxmlformats.org/officeDocument/2006/relationships/table" Target="../tables/table5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table" Target="../tables/table54.xml"/><Relationship Id="rId1" Type="http://schemas.openxmlformats.org/officeDocument/2006/relationships/printerSettings" Target="../printerSettings/printerSettings7.bin"/><Relationship Id="rId5" Type="http://schemas.openxmlformats.org/officeDocument/2006/relationships/table" Target="../tables/table57.xml"/><Relationship Id="rId4" Type="http://schemas.openxmlformats.org/officeDocument/2006/relationships/table" Target="../tables/table56.xml"/></Relationships>
</file>

<file path=xl/worksheets/_rels/sheet8.xml.rels><?xml version="1.0" encoding="UTF-8" standalone="yes"?>
<Relationships xmlns="http://schemas.openxmlformats.org/package/2006/relationships"><Relationship Id="rId8" Type="http://schemas.openxmlformats.org/officeDocument/2006/relationships/table" Target="../tables/table64.xml"/><Relationship Id="rId13" Type="http://schemas.openxmlformats.org/officeDocument/2006/relationships/table" Target="../tables/table69.xml"/><Relationship Id="rId3" Type="http://schemas.openxmlformats.org/officeDocument/2006/relationships/table" Target="../tables/table59.xml"/><Relationship Id="rId7" Type="http://schemas.openxmlformats.org/officeDocument/2006/relationships/table" Target="../tables/table63.xml"/><Relationship Id="rId12" Type="http://schemas.openxmlformats.org/officeDocument/2006/relationships/table" Target="../tables/table68.xml"/><Relationship Id="rId2" Type="http://schemas.openxmlformats.org/officeDocument/2006/relationships/table" Target="../tables/table58.xml"/><Relationship Id="rId1" Type="http://schemas.openxmlformats.org/officeDocument/2006/relationships/printerSettings" Target="../printerSettings/printerSettings8.bin"/><Relationship Id="rId6" Type="http://schemas.openxmlformats.org/officeDocument/2006/relationships/table" Target="../tables/table62.xml"/><Relationship Id="rId11" Type="http://schemas.openxmlformats.org/officeDocument/2006/relationships/table" Target="../tables/table67.xml"/><Relationship Id="rId5" Type="http://schemas.openxmlformats.org/officeDocument/2006/relationships/table" Target="../tables/table61.xml"/><Relationship Id="rId10" Type="http://schemas.openxmlformats.org/officeDocument/2006/relationships/table" Target="../tables/table66.xml"/><Relationship Id="rId4" Type="http://schemas.openxmlformats.org/officeDocument/2006/relationships/table" Target="../tables/table60.xml"/><Relationship Id="rId9" Type="http://schemas.openxmlformats.org/officeDocument/2006/relationships/table" Target="../tables/table6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134"/>
  <sheetViews>
    <sheetView zoomScaleNormal="100" workbookViewId="0">
      <pane ySplit="4" topLeftCell="A26" activePane="bottomLeft" state="frozen"/>
      <selection pane="bottomLeft" activeCell="E36" sqref="E36"/>
    </sheetView>
  </sheetViews>
  <sheetFormatPr defaultColWidth="1.7109375" defaultRowHeight="15.75"/>
  <cols>
    <col min="1" max="1" width="13.140625" style="3" bestFit="1" customWidth="1"/>
    <col min="2" max="2" width="12.28515625" style="3" bestFit="1" customWidth="1"/>
    <col min="3" max="3" width="8.28515625" style="3" bestFit="1" customWidth="1"/>
    <col min="4" max="4" width="8.28515625" style="3" customWidth="1"/>
    <col min="5" max="5" width="53.42578125" style="3" customWidth="1"/>
    <col min="6" max="6" width="4.42578125" customWidth="1"/>
    <col min="7" max="7" width="7" customWidth="1"/>
    <col min="8" max="8" width="163.5703125" bestFit="1" customWidth="1"/>
  </cols>
  <sheetData>
    <row r="1" spans="1:43" ht="15">
      <c r="A1" s="580" t="s">
        <v>103</v>
      </c>
      <c r="B1" s="580"/>
      <c r="C1" s="580"/>
      <c r="D1" s="580"/>
      <c r="E1" s="580"/>
      <c r="G1" s="2" t="s">
        <v>605</v>
      </c>
    </row>
    <row r="2" spans="1:43" ht="15">
      <c r="A2" s="580"/>
      <c r="B2" s="580"/>
      <c r="C2" s="580"/>
      <c r="D2" s="580"/>
      <c r="E2" s="580"/>
      <c r="G2" t="s">
        <v>602</v>
      </c>
      <c r="H2" t="s">
        <v>1998</v>
      </c>
    </row>
    <row r="3" spans="1:43">
      <c r="A3" s="580"/>
      <c r="B3" s="580"/>
      <c r="C3" s="580"/>
      <c r="D3" s="580"/>
      <c r="E3" s="580"/>
      <c r="G3" t="s">
        <v>603</v>
      </c>
      <c r="H3" t="s">
        <v>1999</v>
      </c>
      <c r="AQ3" s="69"/>
    </row>
    <row r="4" spans="1:43" thickBot="1">
      <c r="A4" s="488" t="s">
        <v>106</v>
      </c>
      <c r="B4" s="488" t="s">
        <v>104</v>
      </c>
      <c r="C4" s="488" t="s">
        <v>105</v>
      </c>
      <c r="D4" s="488" t="s">
        <v>1723</v>
      </c>
      <c r="E4" s="489" t="s">
        <v>107</v>
      </c>
      <c r="G4" t="s">
        <v>604</v>
      </c>
      <c r="H4" t="s">
        <v>2000</v>
      </c>
    </row>
    <row r="5" spans="1:43" ht="27.75" thickBot="1">
      <c r="A5" s="493">
        <v>45440</v>
      </c>
      <c r="B5" s="494" t="s">
        <v>1304</v>
      </c>
      <c r="C5" s="492" t="s">
        <v>2272</v>
      </c>
      <c r="D5" s="492" t="s">
        <v>2104</v>
      </c>
      <c r="E5" s="495" t="s">
        <v>2780</v>
      </c>
    </row>
    <row r="6" spans="1:43" ht="27">
      <c r="A6" s="581">
        <v>45448</v>
      </c>
      <c r="B6" s="583" t="s">
        <v>1304</v>
      </c>
      <c r="C6" s="585" t="s">
        <v>3006</v>
      </c>
      <c r="D6" s="585" t="s">
        <v>1724</v>
      </c>
      <c r="E6" s="496" t="s">
        <v>3003</v>
      </c>
    </row>
    <row r="7" spans="1:43" ht="27">
      <c r="A7" s="582"/>
      <c r="B7" s="584"/>
      <c r="C7" s="586"/>
      <c r="D7" s="586"/>
      <c r="E7" s="491" t="s">
        <v>3004</v>
      </c>
    </row>
    <row r="8" spans="1:43" ht="41.25" thickBot="1">
      <c r="A8" s="582"/>
      <c r="B8" s="584"/>
      <c r="C8" s="586"/>
      <c r="D8" s="586"/>
      <c r="E8" s="498" t="s">
        <v>3005</v>
      </c>
    </row>
    <row r="9" spans="1:43" ht="27">
      <c r="A9" s="581">
        <v>45457</v>
      </c>
      <c r="B9" s="583" t="s">
        <v>1304</v>
      </c>
      <c r="C9" s="585" t="s">
        <v>3014</v>
      </c>
      <c r="D9" s="585" t="s">
        <v>1724</v>
      </c>
      <c r="E9" s="496" t="s">
        <v>3015</v>
      </c>
    </row>
    <row r="10" spans="1:43" ht="27">
      <c r="A10" s="582"/>
      <c r="B10" s="584"/>
      <c r="C10" s="586"/>
      <c r="D10" s="586"/>
      <c r="E10" s="491" t="s">
        <v>3016</v>
      </c>
    </row>
    <row r="11" spans="1:43" thickBot="1">
      <c r="A11" s="590"/>
      <c r="B11" s="591"/>
      <c r="C11" s="592"/>
      <c r="D11" s="592"/>
      <c r="E11" s="491" t="s">
        <v>3017</v>
      </c>
    </row>
    <row r="12" spans="1:43" ht="15">
      <c r="A12" s="595">
        <v>45471</v>
      </c>
      <c r="B12" s="596" t="s">
        <v>1304</v>
      </c>
      <c r="C12" s="593" t="s">
        <v>3053</v>
      </c>
      <c r="D12" s="593" t="s">
        <v>1724</v>
      </c>
      <c r="E12" s="496" t="s">
        <v>3046</v>
      </c>
    </row>
    <row r="13" spans="1:43" ht="27">
      <c r="A13" s="588"/>
      <c r="B13" s="589"/>
      <c r="C13" s="587"/>
      <c r="D13" s="587"/>
      <c r="E13" s="491" t="s">
        <v>3043</v>
      </c>
    </row>
    <row r="14" spans="1:43" ht="67.5">
      <c r="A14" s="588"/>
      <c r="B14" s="589"/>
      <c r="C14" s="587"/>
      <c r="D14" s="587"/>
      <c r="E14" s="491" t="s">
        <v>3044</v>
      </c>
    </row>
    <row r="15" spans="1:43" ht="27.75" thickBot="1">
      <c r="A15" s="597"/>
      <c r="B15" s="598"/>
      <c r="C15" s="594"/>
      <c r="D15" s="594"/>
      <c r="E15" s="498" t="s">
        <v>3045</v>
      </c>
    </row>
    <row r="16" spans="1:43" ht="15">
      <c r="A16" s="595">
        <v>45574</v>
      </c>
      <c r="B16" s="596" t="s">
        <v>1304</v>
      </c>
      <c r="C16" s="593" t="s">
        <v>3047</v>
      </c>
      <c r="D16" s="585" t="s">
        <v>1724</v>
      </c>
      <c r="E16" s="496" t="s">
        <v>3050</v>
      </c>
    </row>
    <row r="17" spans="1:5" ht="27">
      <c r="A17" s="588"/>
      <c r="B17" s="589"/>
      <c r="C17" s="587"/>
      <c r="D17" s="586"/>
      <c r="E17" s="491" t="s">
        <v>3051</v>
      </c>
    </row>
    <row r="18" spans="1:5" ht="27">
      <c r="A18" s="588"/>
      <c r="B18" s="589"/>
      <c r="C18" s="587"/>
      <c r="D18" s="586"/>
      <c r="E18" s="491" t="s">
        <v>3052</v>
      </c>
    </row>
    <row r="19" spans="1:5" ht="40.5">
      <c r="A19" s="588"/>
      <c r="B19" s="589"/>
      <c r="C19" s="587"/>
      <c r="D19" s="586"/>
      <c r="E19" s="491" t="s">
        <v>3058</v>
      </c>
    </row>
    <row r="20" spans="1:5" ht="27">
      <c r="A20" s="588"/>
      <c r="B20" s="589"/>
      <c r="C20" s="587"/>
      <c r="D20" s="592"/>
      <c r="E20" s="491" t="s">
        <v>3056</v>
      </c>
    </row>
    <row r="21" spans="1:5" ht="40.5">
      <c r="A21" s="588"/>
      <c r="B21" s="589"/>
      <c r="C21" s="587"/>
      <c r="D21" s="548" t="s">
        <v>2104</v>
      </c>
      <c r="E21" s="491" t="s">
        <v>3057</v>
      </c>
    </row>
    <row r="22" spans="1:5" ht="15">
      <c r="A22" s="588">
        <v>45666</v>
      </c>
      <c r="B22" s="589" t="s">
        <v>3067</v>
      </c>
      <c r="C22" s="587" t="s">
        <v>3068</v>
      </c>
      <c r="D22" s="587" t="s">
        <v>1724</v>
      </c>
      <c r="E22" s="491" t="s">
        <v>3069</v>
      </c>
    </row>
    <row r="23" spans="1:5" ht="15">
      <c r="A23" s="588"/>
      <c r="B23" s="589"/>
      <c r="C23" s="587"/>
      <c r="D23" s="587"/>
      <c r="E23" s="491" t="s">
        <v>3070</v>
      </c>
    </row>
    <row r="24" spans="1:5" ht="15">
      <c r="A24" s="551">
        <v>45684</v>
      </c>
      <c r="B24" s="552" t="s">
        <v>3065</v>
      </c>
      <c r="C24" s="553" t="s">
        <v>3071</v>
      </c>
      <c r="D24" s="553" t="s">
        <v>1724</v>
      </c>
      <c r="E24" s="491" t="s">
        <v>3072</v>
      </c>
    </row>
    <row r="25" spans="1:5" ht="54">
      <c r="A25" s="551">
        <v>45743</v>
      </c>
      <c r="B25" s="552" t="s">
        <v>3065</v>
      </c>
      <c r="C25" s="553" t="s">
        <v>3075</v>
      </c>
      <c r="D25" s="553" t="s">
        <v>1724</v>
      </c>
      <c r="E25" s="491" t="s">
        <v>3076</v>
      </c>
    </row>
    <row r="26" spans="1:5" ht="121.5">
      <c r="A26" s="551">
        <v>45761</v>
      </c>
      <c r="B26" s="552" t="s">
        <v>3065</v>
      </c>
      <c r="C26" s="553" t="s">
        <v>3090</v>
      </c>
      <c r="D26" s="553" t="s">
        <v>1724</v>
      </c>
      <c r="E26" s="491" t="s">
        <v>3092</v>
      </c>
    </row>
    <row r="27" spans="1:5" ht="27">
      <c r="A27" s="551">
        <v>45769</v>
      </c>
      <c r="B27" s="552" t="s">
        <v>3065</v>
      </c>
      <c r="C27" s="553" t="s">
        <v>3093</v>
      </c>
      <c r="D27" s="553" t="s">
        <v>1724</v>
      </c>
      <c r="E27" s="491" t="s">
        <v>3094</v>
      </c>
    </row>
    <row r="28" spans="1:5" ht="27">
      <c r="A28" s="551">
        <v>45771</v>
      </c>
      <c r="B28" s="552" t="s">
        <v>3065</v>
      </c>
      <c r="C28" s="553" t="s">
        <v>3095</v>
      </c>
      <c r="D28" s="553" t="s">
        <v>1724</v>
      </c>
      <c r="E28" s="491" t="s">
        <v>3096</v>
      </c>
    </row>
    <row r="29" spans="1:5" ht="27">
      <c r="A29" s="551">
        <v>45771</v>
      </c>
      <c r="B29" s="552" t="s">
        <v>3065</v>
      </c>
      <c r="C29" s="553" t="s">
        <v>3095</v>
      </c>
      <c r="D29" s="553" t="s">
        <v>1724</v>
      </c>
      <c r="E29" s="491" t="s">
        <v>3096</v>
      </c>
    </row>
    <row r="30" spans="1:5" ht="81">
      <c r="A30" s="551">
        <v>45856</v>
      </c>
      <c r="B30" s="552" t="s">
        <v>3065</v>
      </c>
      <c r="C30" s="553" t="s">
        <v>3099</v>
      </c>
      <c r="D30" s="553" t="s">
        <v>1724</v>
      </c>
      <c r="E30" s="491" t="s">
        <v>3100</v>
      </c>
    </row>
    <row r="31" spans="1:5" ht="15">
      <c r="A31" s="551">
        <v>45895</v>
      </c>
      <c r="B31" s="552" t="s">
        <v>3065</v>
      </c>
      <c r="C31" s="553" t="s">
        <v>3101</v>
      </c>
      <c r="D31" s="553" t="s">
        <v>1724</v>
      </c>
      <c r="E31" s="491" t="s">
        <v>3102</v>
      </c>
    </row>
    <row r="32" spans="1:5">
      <c r="A32" s="484"/>
      <c r="B32" s="485"/>
      <c r="C32" s="486"/>
      <c r="D32" s="486"/>
      <c r="E32" s="487"/>
    </row>
    <row r="33" spans="1:5">
      <c r="A33" s="484"/>
      <c r="B33" s="485"/>
      <c r="C33" s="486"/>
      <c r="D33" s="486"/>
      <c r="E33" s="487"/>
    </row>
    <row r="34" spans="1:5">
      <c r="A34" s="484"/>
      <c r="B34" s="485"/>
      <c r="C34" s="486"/>
      <c r="D34" s="486"/>
      <c r="E34" s="487"/>
    </row>
    <row r="35" spans="1:5">
      <c r="A35" s="484"/>
      <c r="B35" s="485"/>
      <c r="C35" s="486"/>
      <c r="D35" s="486"/>
      <c r="E35" s="487"/>
    </row>
    <row r="36" spans="1:5">
      <c r="A36" s="484"/>
      <c r="B36" s="485"/>
      <c r="C36" s="486"/>
      <c r="D36" s="486"/>
      <c r="E36" s="487"/>
    </row>
    <row r="37" spans="1:5">
      <c r="A37" s="484"/>
      <c r="B37" s="485"/>
      <c r="C37" s="486"/>
      <c r="D37" s="486"/>
      <c r="E37" s="487"/>
    </row>
    <row r="38" spans="1:5">
      <c r="A38" s="484"/>
      <c r="B38" s="485"/>
      <c r="C38" s="486"/>
      <c r="D38" s="486"/>
      <c r="E38" s="487"/>
    </row>
    <row r="39" spans="1:5">
      <c r="A39" s="484"/>
      <c r="B39" s="485"/>
      <c r="C39" s="486"/>
      <c r="D39" s="486"/>
      <c r="E39" s="487"/>
    </row>
    <row r="40" spans="1:5">
      <c r="A40" s="484"/>
      <c r="B40" s="485"/>
      <c r="C40" s="486"/>
      <c r="D40" s="486"/>
      <c r="E40" s="487"/>
    </row>
    <row r="41" spans="1:5">
      <c r="A41" s="484"/>
      <c r="B41" s="485"/>
      <c r="C41" s="486"/>
      <c r="D41" s="486"/>
      <c r="E41" s="487"/>
    </row>
    <row r="42" spans="1:5">
      <c r="A42" s="484"/>
      <c r="B42" s="485"/>
      <c r="C42" s="486"/>
      <c r="D42" s="486"/>
      <c r="E42" s="487"/>
    </row>
    <row r="43" spans="1:5">
      <c r="A43" s="484"/>
      <c r="B43" s="485"/>
      <c r="C43" s="486"/>
      <c r="D43" s="486"/>
      <c r="E43" s="487"/>
    </row>
    <row r="44" spans="1:5">
      <c r="A44" s="484"/>
      <c r="B44" s="485"/>
      <c r="C44" s="486"/>
      <c r="D44" s="486"/>
      <c r="E44" s="487"/>
    </row>
    <row r="45" spans="1:5">
      <c r="A45" s="484"/>
      <c r="B45" s="485"/>
      <c r="C45" s="486"/>
      <c r="D45" s="486"/>
      <c r="E45" s="487"/>
    </row>
    <row r="46" spans="1:5">
      <c r="A46" s="484"/>
      <c r="B46" s="485"/>
      <c r="C46" s="486"/>
      <c r="D46" s="486"/>
      <c r="E46" s="487"/>
    </row>
    <row r="47" spans="1:5">
      <c r="A47" s="484"/>
      <c r="B47" s="485"/>
      <c r="C47" s="486"/>
      <c r="D47" s="486"/>
      <c r="E47" s="487"/>
    </row>
    <row r="48" spans="1:5">
      <c r="A48" s="484"/>
      <c r="B48" s="485"/>
      <c r="C48" s="486"/>
      <c r="D48" s="486"/>
      <c r="E48" s="487"/>
    </row>
    <row r="49" spans="1:5">
      <c r="A49" s="484"/>
      <c r="B49" s="485"/>
      <c r="C49" s="486"/>
      <c r="D49" s="486"/>
      <c r="E49" s="487"/>
    </row>
    <row r="50" spans="1:5">
      <c r="A50" s="484"/>
      <c r="B50" s="485"/>
      <c r="C50" s="486"/>
      <c r="D50" s="486"/>
      <c r="E50" s="487"/>
    </row>
    <row r="51" spans="1:5">
      <c r="A51" s="484"/>
      <c r="B51" s="485"/>
      <c r="C51" s="486"/>
      <c r="D51" s="486"/>
      <c r="E51" s="487"/>
    </row>
    <row r="52" spans="1:5">
      <c r="A52" s="484"/>
      <c r="B52" s="485"/>
      <c r="C52" s="486"/>
      <c r="D52" s="486"/>
      <c r="E52" s="487"/>
    </row>
    <row r="53" spans="1:5">
      <c r="A53" s="484"/>
      <c r="B53" s="485"/>
      <c r="C53" s="486"/>
      <c r="D53" s="486"/>
      <c r="E53" s="487"/>
    </row>
    <row r="54" spans="1:5">
      <c r="A54" s="484"/>
      <c r="B54" s="485"/>
      <c r="C54" s="486"/>
      <c r="D54" s="486"/>
      <c r="E54" s="487"/>
    </row>
    <row r="55" spans="1:5">
      <c r="A55" s="484"/>
      <c r="B55" s="485"/>
      <c r="C55" s="486"/>
      <c r="D55" s="486"/>
      <c r="E55" s="487"/>
    </row>
    <row r="56" spans="1:5">
      <c r="A56" s="484"/>
      <c r="B56" s="485"/>
      <c r="C56" s="486"/>
      <c r="D56" s="486"/>
      <c r="E56" s="487"/>
    </row>
    <row r="57" spans="1:5">
      <c r="A57" s="484"/>
      <c r="B57" s="485"/>
      <c r="C57" s="486"/>
      <c r="D57" s="486"/>
      <c r="E57" s="487"/>
    </row>
    <row r="58" spans="1:5">
      <c r="A58" s="484"/>
      <c r="B58" s="485"/>
      <c r="C58" s="486"/>
      <c r="D58" s="486"/>
      <c r="E58" s="487"/>
    </row>
    <row r="59" spans="1:5">
      <c r="A59" s="484"/>
      <c r="B59" s="485"/>
      <c r="C59" s="486"/>
      <c r="D59" s="486"/>
      <c r="E59" s="487"/>
    </row>
    <row r="60" spans="1:5">
      <c r="A60" s="484"/>
      <c r="B60" s="485"/>
      <c r="C60" s="486"/>
      <c r="D60" s="486"/>
      <c r="E60" s="487"/>
    </row>
    <row r="61" spans="1:5">
      <c r="A61" s="484"/>
      <c r="B61" s="485"/>
      <c r="C61" s="486"/>
      <c r="D61" s="486"/>
      <c r="E61" s="487"/>
    </row>
    <row r="62" spans="1:5">
      <c r="A62" s="484"/>
      <c r="B62" s="485"/>
      <c r="C62" s="486"/>
      <c r="D62" s="486"/>
      <c r="E62" s="487"/>
    </row>
    <row r="63" spans="1:5">
      <c r="A63" s="484"/>
      <c r="B63" s="485"/>
      <c r="C63" s="486"/>
      <c r="D63" s="486"/>
      <c r="E63" s="487"/>
    </row>
    <row r="64" spans="1:5">
      <c r="A64" s="484"/>
      <c r="B64" s="485"/>
      <c r="C64" s="486"/>
      <c r="D64" s="486"/>
      <c r="E64" s="487"/>
    </row>
    <row r="65" spans="1:5">
      <c r="A65" s="484"/>
      <c r="B65" s="485"/>
      <c r="C65" s="486"/>
      <c r="D65" s="486"/>
      <c r="E65" s="487"/>
    </row>
    <row r="66" spans="1:5">
      <c r="A66" s="484"/>
      <c r="B66" s="485"/>
      <c r="C66" s="486"/>
      <c r="D66" s="486"/>
      <c r="E66" s="487"/>
    </row>
    <row r="67" spans="1:5">
      <c r="A67" s="484"/>
      <c r="B67" s="485"/>
      <c r="C67" s="486"/>
      <c r="D67" s="486"/>
      <c r="E67" s="487"/>
    </row>
    <row r="68" spans="1:5">
      <c r="A68" s="484"/>
      <c r="B68" s="485"/>
      <c r="C68" s="486"/>
      <c r="D68" s="486"/>
      <c r="E68" s="487"/>
    </row>
    <row r="69" spans="1:5">
      <c r="A69" s="484"/>
      <c r="B69" s="485"/>
      <c r="C69" s="486"/>
      <c r="D69" s="486"/>
      <c r="E69" s="487"/>
    </row>
    <row r="70" spans="1:5">
      <c r="A70" s="484"/>
      <c r="B70" s="485"/>
      <c r="C70" s="486"/>
      <c r="D70" s="486"/>
      <c r="E70" s="487"/>
    </row>
    <row r="71" spans="1:5">
      <c r="A71" s="484"/>
      <c r="B71" s="485"/>
      <c r="C71" s="486"/>
      <c r="D71" s="486"/>
      <c r="E71" s="487"/>
    </row>
    <row r="72" spans="1:5">
      <c r="A72" s="484"/>
      <c r="B72" s="485"/>
      <c r="C72" s="486"/>
      <c r="D72" s="486"/>
      <c r="E72" s="487"/>
    </row>
    <row r="73" spans="1:5">
      <c r="A73" s="484"/>
      <c r="B73" s="485"/>
      <c r="C73" s="486"/>
      <c r="D73" s="486"/>
      <c r="E73" s="487"/>
    </row>
    <row r="74" spans="1:5">
      <c r="A74" s="484"/>
      <c r="B74" s="485"/>
      <c r="C74" s="486"/>
      <c r="D74" s="486"/>
      <c r="E74" s="487"/>
    </row>
    <row r="75" spans="1:5">
      <c r="A75" s="484"/>
      <c r="B75" s="485"/>
      <c r="C75" s="486"/>
      <c r="D75" s="486"/>
      <c r="E75" s="487"/>
    </row>
    <row r="76" spans="1:5">
      <c r="A76" s="484"/>
      <c r="B76" s="485"/>
      <c r="C76" s="486"/>
      <c r="D76" s="486"/>
      <c r="E76" s="487"/>
    </row>
    <row r="77" spans="1:5">
      <c r="A77" s="484"/>
      <c r="B77" s="485"/>
      <c r="C77" s="486"/>
      <c r="D77" s="486"/>
      <c r="E77" s="487"/>
    </row>
    <row r="78" spans="1:5">
      <c r="A78" s="484"/>
      <c r="B78" s="485"/>
      <c r="C78" s="486"/>
      <c r="D78" s="486"/>
      <c r="E78" s="487"/>
    </row>
    <row r="79" spans="1:5">
      <c r="A79" s="484"/>
      <c r="B79" s="485"/>
      <c r="C79" s="486"/>
      <c r="D79" s="486"/>
      <c r="E79" s="487"/>
    </row>
    <row r="80" spans="1:5">
      <c r="A80" s="484"/>
      <c r="B80" s="485"/>
      <c r="C80" s="486"/>
      <c r="D80" s="486"/>
      <c r="E80" s="487"/>
    </row>
    <row r="81" spans="1:5">
      <c r="A81" s="484"/>
      <c r="B81" s="485"/>
      <c r="C81" s="486"/>
      <c r="D81" s="486"/>
      <c r="E81" s="487"/>
    </row>
    <row r="82" spans="1:5">
      <c r="A82" s="484"/>
      <c r="B82" s="485"/>
      <c r="C82" s="486"/>
      <c r="D82" s="486"/>
      <c r="E82" s="487"/>
    </row>
    <row r="83" spans="1:5">
      <c r="A83" s="484"/>
      <c r="B83" s="485"/>
      <c r="C83" s="486"/>
      <c r="D83" s="486"/>
      <c r="E83" s="487"/>
    </row>
    <row r="84" spans="1:5">
      <c r="A84" s="484"/>
      <c r="B84" s="485"/>
      <c r="C84" s="486"/>
      <c r="D84" s="486"/>
      <c r="E84" s="487"/>
    </row>
    <row r="85" spans="1:5">
      <c r="A85" s="484"/>
      <c r="B85" s="485"/>
      <c r="C85" s="486"/>
      <c r="D85" s="486"/>
      <c r="E85" s="487"/>
    </row>
    <row r="86" spans="1:5">
      <c r="A86" s="484"/>
      <c r="B86" s="485"/>
      <c r="C86" s="486"/>
      <c r="D86" s="486"/>
      <c r="E86" s="487"/>
    </row>
    <row r="87" spans="1:5">
      <c r="A87" s="484"/>
      <c r="B87" s="485"/>
      <c r="C87" s="486"/>
      <c r="D87" s="486"/>
      <c r="E87" s="487"/>
    </row>
    <row r="88" spans="1:5">
      <c r="A88" s="484"/>
      <c r="B88" s="485"/>
      <c r="C88" s="486"/>
      <c r="D88" s="486"/>
      <c r="E88" s="487"/>
    </row>
    <row r="89" spans="1:5">
      <c r="A89" s="484"/>
      <c r="B89" s="485"/>
      <c r="C89" s="486"/>
      <c r="D89" s="486"/>
      <c r="E89" s="487"/>
    </row>
    <row r="90" spans="1:5">
      <c r="A90" s="484"/>
      <c r="B90" s="485"/>
      <c r="C90" s="486"/>
      <c r="D90" s="486"/>
      <c r="E90" s="487"/>
    </row>
    <row r="91" spans="1:5">
      <c r="A91" s="484"/>
      <c r="B91" s="485"/>
      <c r="C91" s="486"/>
      <c r="D91" s="486"/>
      <c r="E91" s="487"/>
    </row>
    <row r="92" spans="1:5">
      <c r="A92" s="484"/>
      <c r="B92" s="485"/>
      <c r="C92" s="486"/>
      <c r="D92" s="486"/>
      <c r="E92" s="487"/>
    </row>
    <row r="93" spans="1:5">
      <c r="A93" s="484"/>
      <c r="B93" s="485"/>
      <c r="C93" s="486"/>
      <c r="D93" s="486"/>
      <c r="E93" s="487"/>
    </row>
    <row r="94" spans="1:5">
      <c r="A94" s="484"/>
      <c r="B94" s="485"/>
      <c r="C94" s="486"/>
      <c r="D94" s="486"/>
      <c r="E94" s="487"/>
    </row>
    <row r="95" spans="1:5">
      <c r="A95" s="484"/>
      <c r="B95" s="485"/>
      <c r="C95" s="486"/>
      <c r="D95" s="486"/>
      <c r="E95" s="487"/>
    </row>
    <row r="96" spans="1:5">
      <c r="A96" s="484"/>
      <c r="B96" s="485"/>
      <c r="C96" s="486"/>
      <c r="D96" s="486"/>
      <c r="E96" s="487"/>
    </row>
    <row r="97" spans="1:5">
      <c r="A97" s="484"/>
      <c r="B97" s="485"/>
      <c r="C97" s="486"/>
      <c r="D97" s="486"/>
      <c r="E97" s="487"/>
    </row>
    <row r="98" spans="1:5">
      <c r="A98" s="484"/>
      <c r="B98" s="485"/>
      <c r="C98" s="486"/>
      <c r="D98" s="486"/>
      <c r="E98" s="487"/>
    </row>
    <row r="99" spans="1:5">
      <c r="A99" s="484"/>
      <c r="B99" s="485"/>
      <c r="C99" s="486"/>
      <c r="D99" s="486"/>
      <c r="E99" s="487"/>
    </row>
    <row r="100" spans="1:5">
      <c r="A100" s="484"/>
      <c r="B100" s="485"/>
      <c r="C100" s="486"/>
      <c r="D100" s="486"/>
      <c r="E100" s="487"/>
    </row>
    <row r="101" spans="1:5">
      <c r="A101" s="484"/>
      <c r="B101" s="485"/>
      <c r="C101" s="486"/>
      <c r="D101" s="486"/>
      <c r="E101" s="487"/>
    </row>
    <row r="102" spans="1:5">
      <c r="A102" s="484"/>
      <c r="B102" s="485"/>
      <c r="C102" s="486"/>
      <c r="D102" s="486"/>
      <c r="E102" s="487"/>
    </row>
    <row r="103" spans="1:5">
      <c r="A103" s="484"/>
      <c r="B103" s="485"/>
      <c r="C103" s="486"/>
      <c r="D103" s="486"/>
      <c r="E103" s="487"/>
    </row>
    <row r="104" spans="1:5">
      <c r="A104" s="484"/>
      <c r="B104" s="485"/>
      <c r="C104" s="486"/>
      <c r="D104" s="486"/>
      <c r="E104" s="487"/>
    </row>
    <row r="105" spans="1:5">
      <c r="A105" s="484"/>
      <c r="B105" s="485"/>
      <c r="C105" s="486"/>
      <c r="D105" s="486"/>
      <c r="E105" s="487"/>
    </row>
    <row r="106" spans="1:5">
      <c r="A106" s="484"/>
      <c r="B106" s="485"/>
      <c r="C106" s="486"/>
      <c r="D106" s="486"/>
      <c r="E106" s="487"/>
    </row>
    <row r="107" spans="1:5">
      <c r="A107" s="484"/>
      <c r="B107" s="485"/>
      <c r="C107" s="486"/>
      <c r="D107" s="486"/>
      <c r="E107" s="487"/>
    </row>
    <row r="108" spans="1:5">
      <c r="A108" s="484"/>
      <c r="B108" s="485"/>
      <c r="C108" s="486"/>
      <c r="D108" s="486"/>
      <c r="E108" s="487"/>
    </row>
    <row r="109" spans="1:5">
      <c r="A109" s="484"/>
      <c r="B109" s="485"/>
      <c r="C109" s="486"/>
      <c r="D109" s="486"/>
      <c r="E109" s="487"/>
    </row>
    <row r="110" spans="1:5">
      <c r="A110" s="484"/>
      <c r="B110" s="485"/>
      <c r="C110" s="486"/>
      <c r="D110" s="486"/>
      <c r="E110" s="487"/>
    </row>
    <row r="111" spans="1:5">
      <c r="A111" s="484"/>
      <c r="B111" s="485"/>
      <c r="C111" s="486"/>
      <c r="D111" s="486"/>
      <c r="E111" s="487"/>
    </row>
    <row r="112" spans="1:5">
      <c r="A112" s="484"/>
      <c r="B112" s="485"/>
      <c r="C112" s="486"/>
      <c r="D112" s="486"/>
      <c r="E112" s="487"/>
    </row>
    <row r="113" spans="1:5">
      <c r="A113" s="484"/>
      <c r="B113" s="485"/>
      <c r="C113" s="486"/>
      <c r="D113" s="486"/>
      <c r="E113" s="487"/>
    </row>
    <row r="114" spans="1:5">
      <c r="A114" s="484"/>
      <c r="B114" s="485"/>
      <c r="C114" s="486"/>
      <c r="D114" s="486"/>
      <c r="E114" s="487"/>
    </row>
    <row r="115" spans="1:5">
      <c r="A115" s="484"/>
      <c r="B115" s="485"/>
      <c r="C115" s="486"/>
      <c r="D115" s="486"/>
      <c r="E115" s="487"/>
    </row>
    <row r="116" spans="1:5">
      <c r="A116" s="484"/>
      <c r="B116" s="485"/>
      <c r="C116" s="486"/>
      <c r="D116" s="486"/>
      <c r="E116" s="487"/>
    </row>
    <row r="117" spans="1:5">
      <c r="A117" s="484"/>
      <c r="B117" s="485"/>
      <c r="C117" s="486"/>
      <c r="D117" s="486"/>
      <c r="E117" s="487"/>
    </row>
    <row r="118" spans="1:5">
      <c r="A118" s="484"/>
      <c r="B118" s="485"/>
      <c r="C118" s="486"/>
      <c r="D118" s="486"/>
      <c r="E118" s="487"/>
    </row>
    <row r="119" spans="1:5">
      <c r="A119" s="484"/>
      <c r="B119" s="485"/>
      <c r="C119" s="486"/>
      <c r="D119" s="486"/>
      <c r="E119" s="487"/>
    </row>
    <row r="120" spans="1:5">
      <c r="A120" s="484"/>
      <c r="B120" s="485"/>
      <c r="C120" s="486"/>
      <c r="D120" s="486"/>
      <c r="E120" s="487"/>
    </row>
    <row r="121" spans="1:5">
      <c r="A121" s="484"/>
      <c r="B121" s="485"/>
      <c r="C121" s="486"/>
      <c r="D121" s="486"/>
      <c r="E121" s="487"/>
    </row>
    <row r="122" spans="1:5">
      <c r="A122" s="484"/>
      <c r="B122" s="485"/>
      <c r="C122" s="486"/>
      <c r="D122" s="486"/>
      <c r="E122" s="487"/>
    </row>
    <row r="123" spans="1:5">
      <c r="A123" s="484"/>
      <c r="B123" s="485"/>
      <c r="C123" s="486"/>
      <c r="D123" s="486"/>
      <c r="E123" s="487"/>
    </row>
    <row r="124" spans="1:5">
      <c r="A124" s="484"/>
      <c r="B124" s="485"/>
      <c r="C124" s="486"/>
      <c r="D124" s="486"/>
      <c r="E124" s="487"/>
    </row>
    <row r="125" spans="1:5">
      <c r="A125" s="484"/>
      <c r="B125" s="485"/>
      <c r="C125" s="486"/>
      <c r="D125" s="486"/>
      <c r="E125" s="487"/>
    </row>
    <row r="126" spans="1:5">
      <c r="A126" s="484"/>
      <c r="B126" s="485"/>
      <c r="C126" s="486"/>
      <c r="D126" s="486"/>
      <c r="E126" s="487"/>
    </row>
    <row r="127" spans="1:5">
      <c r="A127" s="484"/>
      <c r="B127" s="485"/>
      <c r="C127" s="486"/>
      <c r="D127" s="486"/>
      <c r="E127" s="487"/>
    </row>
    <row r="128" spans="1:5">
      <c r="A128" s="484"/>
      <c r="B128" s="485"/>
      <c r="C128" s="486"/>
      <c r="D128" s="486"/>
      <c r="E128" s="487"/>
    </row>
    <row r="129" spans="1:5">
      <c r="A129" s="484"/>
      <c r="B129" s="485"/>
      <c r="C129" s="486"/>
      <c r="D129" s="486"/>
      <c r="E129" s="487"/>
    </row>
    <row r="130" spans="1:5">
      <c r="A130" s="484"/>
      <c r="B130" s="485"/>
      <c r="C130" s="486"/>
      <c r="D130" s="486"/>
      <c r="E130" s="487"/>
    </row>
    <row r="131" spans="1:5">
      <c r="A131" s="484"/>
      <c r="B131" s="485"/>
      <c r="C131" s="486"/>
      <c r="D131" s="486"/>
      <c r="E131" s="487"/>
    </row>
    <row r="132" spans="1:5">
      <c r="A132" s="484"/>
      <c r="B132" s="485"/>
      <c r="C132" s="486"/>
      <c r="D132" s="486"/>
      <c r="E132" s="487"/>
    </row>
    <row r="133" spans="1:5">
      <c r="A133" s="484"/>
      <c r="B133" s="485"/>
      <c r="C133" s="486"/>
      <c r="D133" s="486"/>
      <c r="E133" s="487"/>
    </row>
    <row r="134" spans="1:5">
      <c r="A134" s="484"/>
      <c r="B134" s="485"/>
      <c r="C134" s="486"/>
      <c r="D134" s="486"/>
      <c r="E134" s="487"/>
    </row>
  </sheetData>
  <sheetProtection algorithmName="SHA-512" hashValue="GFUg1BCeAVmVlomT9UHGzIxVy12z/7z5vrwJf7CVrcOjKxnfilKg+hZu1ob9/ryivQRUBEky+9l7k/G9mWwzKA==" saltValue="xbETnj75C1VTR2NCRvlkuw==" spinCount="100000" sheet="1" objects="1" scenarios="1"/>
  <mergeCells count="21">
    <mergeCell ref="D22:D23"/>
    <mergeCell ref="A22:A23"/>
    <mergeCell ref="B22:B23"/>
    <mergeCell ref="C22:C23"/>
    <mergeCell ref="A9:A11"/>
    <mergeCell ref="B9:B11"/>
    <mergeCell ref="C9:C11"/>
    <mergeCell ref="D9:D11"/>
    <mergeCell ref="D12:D15"/>
    <mergeCell ref="D16:D20"/>
    <mergeCell ref="A16:A21"/>
    <mergeCell ref="B16:B21"/>
    <mergeCell ref="C16:C21"/>
    <mergeCell ref="A12:A15"/>
    <mergeCell ref="B12:B15"/>
    <mergeCell ref="C12:C15"/>
    <mergeCell ref="A1:E3"/>
    <mergeCell ref="A6:A8"/>
    <mergeCell ref="B6:B8"/>
    <mergeCell ref="C6:C8"/>
    <mergeCell ref="D6:D8"/>
  </mergeCells>
  <phoneticPr fontId="146" type="noConversion"/>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pageSetUpPr fitToPage="1"/>
  </sheetPr>
  <dimension ref="A1:AW202"/>
  <sheetViews>
    <sheetView showGridLines="0" showRowColHeaders="0" tabSelected="1" zoomScale="85" zoomScaleNormal="85" workbookViewId="0">
      <selection activeCell="X14" sqref="X14"/>
    </sheetView>
  </sheetViews>
  <sheetFormatPr defaultColWidth="0" defaultRowHeight="0" customHeight="1" zeroHeight="1"/>
  <cols>
    <col min="1" max="49" width="4.7109375" customWidth="1"/>
    <col min="50" max="16384" width="4.7109375" hidden="1"/>
  </cols>
  <sheetData>
    <row r="1" spans="1:49" ht="15.95" customHeight="1">
      <c r="A1" s="17"/>
      <c r="B1" s="71"/>
      <c r="C1" s="71"/>
      <c r="D1" s="71"/>
      <c r="E1" s="71"/>
      <c r="F1" s="621" t="str">
        <f>M1S1</f>
        <v>Welcome</v>
      </c>
      <c r="G1" s="621"/>
      <c r="H1" s="621"/>
      <c r="I1" s="621"/>
      <c r="J1" s="624" t="str">
        <f>M1S2</f>
        <v>Instructions</v>
      </c>
      <c r="K1" s="625"/>
      <c r="L1" s="625"/>
      <c r="M1" s="625"/>
      <c r="N1" s="627" t="str">
        <f>Program_Banner</f>
        <v>Business Energy Savings</v>
      </c>
      <c r="O1" s="627"/>
      <c r="P1" s="627"/>
      <c r="Q1" s="627"/>
      <c r="R1" s="627"/>
      <c r="S1" s="627"/>
      <c r="T1" s="627"/>
      <c r="U1" s="629" t="str" cm="1">
        <f t="array" aca="1" ref="U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2"/>
      <c r="G2" s="622"/>
      <c r="H2" s="622"/>
      <c r="I2" s="622"/>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3"/>
      <c r="G3" s="623"/>
      <c r="H3" s="623"/>
      <c r="I3" s="623"/>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row r="5" spans="1:49" ht="15.95" customHeight="1"/>
    <row r="6" spans="1:49" ht="15.95" customHeight="1">
      <c r="H6" s="633" t="s">
        <v>3007</v>
      </c>
      <c r="I6" s="633"/>
      <c r="J6" s="633"/>
      <c r="K6" s="633"/>
      <c r="L6" s="633"/>
      <c r="M6" s="633"/>
      <c r="N6" s="633"/>
      <c r="O6" s="633"/>
      <c r="P6" s="633"/>
      <c r="Q6" s="633"/>
      <c r="R6" s="633"/>
      <c r="S6" s="633"/>
      <c r="T6" s="633"/>
      <c r="U6" s="633"/>
      <c r="V6" s="633"/>
      <c r="W6" s="633"/>
      <c r="X6" s="633"/>
      <c r="Y6" s="633"/>
      <c r="Z6" s="497"/>
      <c r="AA6" s="497"/>
      <c r="AB6" s="497"/>
      <c r="AC6" s="497"/>
    </row>
    <row r="7" spans="1:49" ht="15.95" customHeight="1">
      <c r="H7" s="633"/>
      <c r="I7" s="633"/>
      <c r="J7" s="633"/>
      <c r="K7" s="633"/>
      <c r="L7" s="633"/>
      <c r="M7" s="633"/>
      <c r="N7" s="633"/>
      <c r="O7" s="633"/>
      <c r="P7" s="633"/>
      <c r="Q7" s="633"/>
      <c r="R7" s="633"/>
      <c r="S7" s="633"/>
      <c r="T7" s="633"/>
      <c r="U7" s="633"/>
      <c r="V7" s="633"/>
      <c r="W7" s="633"/>
      <c r="X7" s="633"/>
      <c r="Y7" s="633"/>
      <c r="Z7" s="497"/>
      <c r="AA7" s="497"/>
      <c r="AB7" s="497"/>
      <c r="AC7" s="497"/>
      <c r="AT7" s="631" t="s">
        <v>1004</v>
      </c>
      <c r="AU7" s="631"/>
      <c r="AV7" s="631"/>
      <c r="AW7" s="17"/>
    </row>
    <row r="8" spans="1:49" ht="15.95" customHeight="1">
      <c r="H8" s="634" t="s">
        <v>3008</v>
      </c>
      <c r="I8" s="634"/>
      <c r="J8" s="634"/>
      <c r="K8" s="634"/>
      <c r="L8" s="634"/>
      <c r="M8" s="634"/>
      <c r="N8" s="634"/>
      <c r="AT8" s="631"/>
      <c r="AU8" s="631"/>
      <c r="AV8" s="631"/>
      <c r="AW8" s="17"/>
    </row>
    <row r="9" spans="1:49" ht="15.95" customHeight="1">
      <c r="H9" s="634"/>
      <c r="I9" s="634"/>
      <c r="J9" s="634"/>
      <c r="K9" s="634"/>
      <c r="L9" s="634"/>
      <c r="M9" s="634"/>
      <c r="N9" s="634"/>
      <c r="AT9" s="17"/>
      <c r="AU9" s="17"/>
      <c r="AV9" s="17"/>
      <c r="AW9" s="17"/>
    </row>
    <row r="10" spans="1:49" ht="15.95" customHeight="1">
      <c r="H10" s="635" t="s">
        <v>3009</v>
      </c>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row>
    <row r="11" spans="1:49" s="73" customFormat="1" ht="15.95" customHeight="1">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T11"/>
      <c r="AU11"/>
      <c r="AV11"/>
      <c r="AW11"/>
    </row>
    <row r="12" spans="1:49" ht="15.95" customHeight="1">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row>
    <row r="13" spans="1:49" ht="15.95" customHeight="1"/>
    <row r="14" spans="1:49" ht="15.95" customHeight="1"/>
    <row r="15" spans="1:49" ht="15.95" customHeight="1"/>
    <row r="16" spans="1:49" ht="15.95" customHeight="1"/>
    <row r="17" spans="2:41" ht="15.95" customHeight="1">
      <c r="B17" t="s">
        <v>3039</v>
      </c>
      <c r="H17" s="636" t="s">
        <v>3018</v>
      </c>
      <c r="I17" s="637"/>
      <c r="J17" s="637"/>
      <c r="K17" s="637"/>
      <c r="L17" s="637"/>
      <c r="M17" s="637"/>
      <c r="N17" s="637"/>
      <c r="O17" s="637"/>
      <c r="P17" s="637"/>
      <c r="Q17" s="637"/>
      <c r="T17" s="638" t="s">
        <v>3019</v>
      </c>
      <c r="U17" s="638"/>
      <c r="V17" s="638"/>
      <c r="W17" s="638"/>
      <c r="X17" s="638"/>
      <c r="Y17" s="638"/>
      <c r="Z17" s="638"/>
      <c r="AA17" s="638"/>
      <c r="AB17" s="638"/>
      <c r="AC17" s="638"/>
      <c r="AF17" s="639" t="s">
        <v>3020</v>
      </c>
      <c r="AG17" s="640"/>
      <c r="AH17" s="640"/>
      <c r="AI17" s="640"/>
      <c r="AJ17" s="640"/>
      <c r="AK17" s="640"/>
      <c r="AL17" s="640"/>
      <c r="AM17" s="640"/>
      <c r="AN17" s="640"/>
      <c r="AO17" s="640"/>
    </row>
    <row r="18" spans="2:41" ht="15.95" customHeight="1">
      <c r="H18" s="637"/>
      <c r="I18" s="637"/>
      <c r="J18" s="637"/>
      <c r="K18" s="637"/>
      <c r="L18" s="637"/>
      <c r="M18" s="637"/>
      <c r="N18" s="637"/>
      <c r="O18" s="637"/>
      <c r="P18" s="637"/>
      <c r="Q18" s="637"/>
      <c r="T18" s="638"/>
      <c r="U18" s="638"/>
      <c r="V18" s="638"/>
      <c r="W18" s="638"/>
      <c r="X18" s="638"/>
      <c r="Y18" s="638"/>
      <c r="Z18" s="638"/>
      <c r="AA18" s="638"/>
      <c r="AB18" s="638"/>
      <c r="AC18" s="638"/>
      <c r="AF18" s="640"/>
      <c r="AG18" s="640"/>
      <c r="AH18" s="640"/>
      <c r="AI18" s="640"/>
      <c r="AJ18" s="640"/>
      <c r="AK18" s="640"/>
      <c r="AL18" s="640"/>
      <c r="AM18" s="640"/>
      <c r="AN18" s="640"/>
      <c r="AO18" s="640"/>
    </row>
    <row r="19" spans="2:41" ht="15.95" customHeight="1">
      <c r="H19" s="641" t="s">
        <v>3021</v>
      </c>
      <c r="I19" s="641"/>
      <c r="J19" s="641"/>
      <c r="K19" s="641"/>
      <c r="L19" s="641"/>
      <c r="M19" s="641"/>
      <c r="N19" s="641"/>
      <c r="O19" s="641"/>
      <c r="P19" s="641"/>
      <c r="Q19" s="641"/>
      <c r="T19" s="641" t="s">
        <v>3022</v>
      </c>
      <c r="U19" s="641"/>
      <c r="V19" s="641"/>
      <c r="W19" s="641"/>
      <c r="X19" s="641"/>
      <c r="Y19" s="641"/>
      <c r="Z19" s="641"/>
      <c r="AA19" s="641"/>
      <c r="AB19" s="641"/>
      <c r="AC19" s="641"/>
      <c r="AF19" s="641" t="s">
        <v>3023</v>
      </c>
      <c r="AG19" s="641"/>
      <c r="AH19" s="641"/>
      <c r="AI19" s="641"/>
      <c r="AJ19" s="641"/>
      <c r="AK19" s="641"/>
      <c r="AL19" s="641"/>
      <c r="AM19" s="641"/>
      <c r="AN19" s="641"/>
      <c r="AO19" s="641"/>
    </row>
    <row r="20" spans="2:41" ht="15.95" customHeight="1">
      <c r="H20" s="641"/>
      <c r="I20" s="641"/>
      <c r="J20" s="641"/>
      <c r="K20" s="641"/>
      <c r="L20" s="641"/>
      <c r="M20" s="641"/>
      <c r="N20" s="641"/>
      <c r="O20" s="641"/>
      <c r="P20" s="641"/>
      <c r="Q20" s="641"/>
      <c r="T20" s="641"/>
      <c r="U20" s="641"/>
      <c r="V20" s="641"/>
      <c r="W20" s="641"/>
      <c r="X20" s="641"/>
      <c r="Y20" s="641"/>
      <c r="Z20" s="641"/>
      <c r="AA20" s="641"/>
      <c r="AB20" s="641"/>
      <c r="AC20" s="641"/>
      <c r="AF20" s="641"/>
      <c r="AG20" s="641"/>
      <c r="AH20" s="641"/>
      <c r="AI20" s="641"/>
      <c r="AJ20" s="641"/>
      <c r="AK20" s="641"/>
      <c r="AL20" s="641"/>
      <c r="AM20" s="641"/>
      <c r="AN20" s="641"/>
      <c r="AO20" s="641"/>
    </row>
    <row r="21" spans="2:41" ht="15.95" customHeight="1">
      <c r="H21" s="641"/>
      <c r="I21" s="641"/>
      <c r="J21" s="641"/>
      <c r="K21" s="641"/>
      <c r="L21" s="641"/>
      <c r="M21" s="641"/>
      <c r="N21" s="641"/>
      <c r="O21" s="641"/>
      <c r="P21" s="641"/>
      <c r="Q21" s="641"/>
      <c r="T21" s="641"/>
      <c r="U21" s="641"/>
      <c r="V21" s="641"/>
      <c r="W21" s="641"/>
      <c r="X21" s="641"/>
      <c r="Y21" s="641"/>
      <c r="Z21" s="641"/>
      <c r="AA21" s="641"/>
      <c r="AB21" s="641"/>
      <c r="AC21" s="641"/>
      <c r="AF21" s="641"/>
      <c r="AG21" s="641"/>
      <c r="AH21" s="641"/>
      <c r="AI21" s="641"/>
      <c r="AJ21" s="641"/>
      <c r="AK21" s="641"/>
      <c r="AL21" s="641"/>
      <c r="AM21" s="641"/>
      <c r="AN21" s="641"/>
      <c r="AO21" s="641"/>
    </row>
    <row r="22" spans="2:41" ht="15.95" customHeight="1">
      <c r="H22" s="641"/>
      <c r="I22" s="641"/>
      <c r="J22" s="641"/>
      <c r="K22" s="641"/>
      <c r="L22" s="641"/>
      <c r="M22" s="641"/>
      <c r="N22" s="641"/>
      <c r="O22" s="641"/>
      <c r="P22" s="641"/>
      <c r="Q22" s="641"/>
      <c r="T22" s="641"/>
      <c r="U22" s="641"/>
      <c r="V22" s="641"/>
      <c r="W22" s="641"/>
      <c r="X22" s="641"/>
      <c r="Y22" s="641"/>
      <c r="Z22" s="641"/>
      <c r="AA22" s="641"/>
      <c r="AB22" s="641"/>
      <c r="AC22" s="641"/>
      <c r="AF22" s="641"/>
      <c r="AG22" s="641"/>
      <c r="AH22" s="641"/>
      <c r="AI22" s="641"/>
      <c r="AJ22" s="641"/>
      <c r="AK22" s="641"/>
      <c r="AL22" s="641"/>
      <c r="AM22" s="641"/>
      <c r="AN22" s="641"/>
      <c r="AO22" s="641"/>
    </row>
    <row r="23" spans="2:41" ht="15.95" customHeight="1">
      <c r="H23" s="614" t="s">
        <v>3024</v>
      </c>
      <c r="I23" s="614"/>
      <c r="J23" s="614"/>
      <c r="K23" s="614"/>
      <c r="L23" s="614"/>
      <c r="M23" s="614"/>
      <c r="N23" s="614"/>
      <c r="O23" s="614"/>
      <c r="P23" s="614"/>
      <c r="Q23" s="614"/>
      <c r="T23" s="614" t="s">
        <v>3025</v>
      </c>
      <c r="U23" s="614"/>
      <c r="V23" s="614"/>
      <c r="W23" s="614"/>
      <c r="X23" s="614"/>
      <c r="Y23" s="614"/>
      <c r="Z23" s="614"/>
      <c r="AA23" s="614"/>
      <c r="AB23" s="614"/>
      <c r="AC23" s="614"/>
      <c r="AF23" s="614" t="s">
        <v>3026</v>
      </c>
      <c r="AG23" s="614"/>
      <c r="AH23" s="614"/>
      <c r="AI23" s="614"/>
      <c r="AJ23" s="614"/>
      <c r="AK23" s="614"/>
      <c r="AL23" s="614"/>
      <c r="AM23" s="614"/>
      <c r="AN23" s="614"/>
      <c r="AO23" s="614"/>
    </row>
    <row r="24" spans="2:41" ht="15.95" customHeight="1">
      <c r="H24" s="614" t="s">
        <v>3027</v>
      </c>
      <c r="I24" s="614"/>
      <c r="J24" s="614"/>
      <c r="K24" s="614"/>
      <c r="L24" s="614"/>
      <c r="M24" s="614"/>
      <c r="N24" s="614"/>
      <c r="O24" s="614"/>
      <c r="P24" s="614"/>
      <c r="Q24" s="614"/>
      <c r="T24" s="614" t="s">
        <v>3028</v>
      </c>
      <c r="U24" s="614"/>
      <c r="V24" s="614"/>
      <c r="W24" s="614"/>
      <c r="X24" s="614"/>
      <c r="Y24" s="614"/>
      <c r="Z24" s="614"/>
      <c r="AA24" s="614"/>
      <c r="AB24" s="614"/>
      <c r="AC24" s="614"/>
      <c r="AF24" s="614" t="s">
        <v>3029</v>
      </c>
      <c r="AG24" s="614"/>
      <c r="AH24" s="614"/>
      <c r="AI24" s="614"/>
      <c r="AJ24" s="614"/>
      <c r="AK24" s="614"/>
      <c r="AL24" s="614"/>
      <c r="AM24" s="614"/>
      <c r="AN24" s="614"/>
      <c r="AO24" s="614"/>
    </row>
    <row r="25" spans="2:41" ht="15.95" customHeight="1"/>
    <row r="26" spans="2:41" ht="15.95" customHeight="1">
      <c r="H26" s="615" t="s">
        <v>3030</v>
      </c>
      <c r="I26" s="615"/>
      <c r="J26" s="615"/>
      <c r="K26" s="615"/>
      <c r="L26" s="615"/>
      <c r="M26" s="615"/>
      <c r="N26" s="615"/>
      <c r="O26" s="615"/>
      <c r="P26" s="615"/>
      <c r="Q26" s="615"/>
      <c r="R26" s="615"/>
      <c r="S26" s="615"/>
      <c r="T26" s="615"/>
      <c r="U26" s="615"/>
      <c r="V26" s="615"/>
      <c r="W26" s="615"/>
      <c r="X26" s="615"/>
      <c r="Y26" s="615"/>
      <c r="Z26" s="615"/>
      <c r="AA26" s="615"/>
      <c r="AB26" s="615"/>
      <c r="AC26" s="615"/>
      <c r="AD26" s="615"/>
      <c r="AE26" s="615"/>
      <c r="AF26" s="615"/>
      <c r="AG26" s="615"/>
      <c r="AH26" s="615"/>
      <c r="AI26" s="615"/>
      <c r="AJ26" s="615"/>
      <c r="AK26" s="615"/>
      <c r="AL26" s="615"/>
      <c r="AM26" s="615"/>
      <c r="AN26" s="615"/>
      <c r="AO26" s="615"/>
    </row>
    <row r="27" spans="2:41" ht="15.95" customHeight="1">
      <c r="H27" s="615"/>
      <c r="I27" s="615"/>
      <c r="J27" s="615"/>
      <c r="K27" s="615"/>
      <c r="L27" s="615"/>
      <c r="M27" s="615"/>
      <c r="N27" s="615"/>
      <c r="O27" s="615"/>
      <c r="P27" s="615"/>
      <c r="Q27" s="615"/>
      <c r="R27" s="615"/>
      <c r="S27" s="615"/>
      <c r="T27" s="615"/>
      <c r="U27" s="615"/>
      <c r="V27" s="615"/>
      <c r="W27" s="615"/>
      <c r="X27" s="615"/>
      <c r="Y27" s="615"/>
      <c r="Z27" s="615"/>
      <c r="AA27" s="615"/>
      <c r="AB27" s="615"/>
      <c r="AC27" s="615"/>
      <c r="AD27" s="615"/>
      <c r="AE27" s="615"/>
      <c r="AF27" s="615"/>
      <c r="AG27" s="615"/>
      <c r="AH27" s="615"/>
      <c r="AI27" s="615"/>
      <c r="AJ27" s="615"/>
      <c r="AK27" s="615"/>
      <c r="AL27" s="615"/>
      <c r="AM27" s="615"/>
      <c r="AN27" s="615"/>
      <c r="AO27" s="615"/>
    </row>
    <row r="28" spans="2:41" ht="15.95" customHeight="1"/>
    <row r="29" spans="2:41" ht="15.95" customHeight="1">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row>
    <row r="30" spans="2:41" ht="15.95" customHeight="1">
      <c r="H30" s="616" t="s">
        <v>3031</v>
      </c>
      <c r="I30" s="616"/>
      <c r="J30" s="616"/>
      <c r="K30" s="616"/>
      <c r="L30" s="616"/>
      <c r="M30" s="616"/>
      <c r="N30" s="616"/>
      <c r="O30" s="616"/>
      <c r="P30" s="616"/>
      <c r="Q30" s="616"/>
      <c r="R30" s="616"/>
      <c r="S30" s="616"/>
      <c r="T30" s="616"/>
      <c r="U30" s="616"/>
      <c r="V30" s="616"/>
      <c r="W30" s="616"/>
      <c r="X30" s="616"/>
      <c r="Y30" s="616"/>
      <c r="Z30" s="616"/>
      <c r="AA30" s="616"/>
      <c r="AB30" s="616"/>
      <c r="AC30" s="616"/>
      <c r="AD30" s="616"/>
      <c r="AE30" s="616"/>
      <c r="AF30" s="616"/>
      <c r="AG30" s="616"/>
      <c r="AH30" s="616"/>
      <c r="AI30" s="616"/>
      <c r="AJ30" s="616"/>
      <c r="AK30" s="616"/>
      <c r="AL30" s="616"/>
      <c r="AM30" s="616"/>
      <c r="AN30" s="616"/>
      <c r="AO30" s="616"/>
    </row>
    <row r="31" spans="2:41" ht="15.95" customHeight="1">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row>
    <row r="32" spans="2:41" ht="15.95" customHeight="1">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row>
    <row r="33" spans="8:41" ht="15.95" customHeight="1">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row>
    <row r="34" spans="8:41" ht="15.95" customHeight="1">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row>
    <row r="35" spans="8:41" ht="15.95" customHeight="1">
      <c r="H35" s="537"/>
      <c r="I35" s="613" t="s">
        <v>3032</v>
      </c>
      <c r="J35" s="613"/>
      <c r="K35" s="613"/>
      <c r="L35" s="537"/>
      <c r="M35" s="613" t="s">
        <v>3033</v>
      </c>
      <c r="N35" s="613"/>
      <c r="O35" s="613"/>
      <c r="P35" s="537"/>
      <c r="Q35" s="613" t="s">
        <v>68</v>
      </c>
      <c r="R35" s="613"/>
      <c r="S35" s="613"/>
      <c r="T35" s="537"/>
      <c r="U35" s="613" t="s">
        <v>3034</v>
      </c>
      <c r="V35" s="613"/>
      <c r="W35" s="613"/>
      <c r="X35" s="613" t="s">
        <v>3035</v>
      </c>
      <c r="Y35" s="613"/>
      <c r="Z35" s="613"/>
      <c r="AA35" s="613"/>
      <c r="AB35" s="613"/>
      <c r="AC35" s="537"/>
      <c r="AD35" s="613" t="s">
        <v>3036</v>
      </c>
      <c r="AE35" s="613"/>
      <c r="AF35" s="613"/>
      <c r="AG35" s="537"/>
      <c r="AH35" s="613" t="s">
        <v>3037</v>
      </c>
      <c r="AI35" s="613"/>
      <c r="AJ35" s="613"/>
      <c r="AK35" s="537"/>
      <c r="AL35" s="613" t="s">
        <v>3038</v>
      </c>
      <c r="AM35" s="613"/>
      <c r="AN35" s="613"/>
      <c r="AO35" s="537"/>
    </row>
    <row r="36" spans="8:41" ht="15.95" customHeight="1">
      <c r="H36" s="537"/>
      <c r="I36" s="613"/>
      <c r="J36" s="613"/>
      <c r="K36" s="613"/>
      <c r="L36" s="537"/>
      <c r="M36" s="613"/>
      <c r="N36" s="613"/>
      <c r="O36" s="613"/>
      <c r="P36" s="537"/>
      <c r="Q36" s="613"/>
      <c r="R36" s="613"/>
      <c r="S36" s="613"/>
      <c r="T36" s="537"/>
      <c r="U36" s="613"/>
      <c r="V36" s="613"/>
      <c r="W36" s="613"/>
      <c r="X36" s="613"/>
      <c r="Y36" s="613"/>
      <c r="Z36" s="613"/>
      <c r="AA36" s="613"/>
      <c r="AB36" s="613"/>
      <c r="AC36" s="537"/>
      <c r="AD36" s="613"/>
      <c r="AE36" s="613"/>
      <c r="AF36" s="613"/>
      <c r="AG36" s="537"/>
      <c r="AH36" s="613"/>
      <c r="AI36" s="613"/>
      <c r="AJ36" s="613"/>
      <c r="AK36" s="537"/>
      <c r="AL36" s="613"/>
      <c r="AM36" s="613"/>
      <c r="AN36" s="613"/>
      <c r="AO36" s="537"/>
    </row>
    <row r="37" spans="8:41" ht="15.95" customHeight="1">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row>
    <row r="38" spans="8:41" ht="15.95" customHeight="1"/>
    <row r="39" spans="8:41" ht="15.95" customHeight="1"/>
    <row r="40" spans="8:41" ht="15.95" customHeight="1"/>
    <row r="41" spans="8:41" ht="15.95" customHeight="1"/>
    <row r="42" spans="8:41" ht="15.95" customHeight="1">
      <c r="H42" s="610" t="s">
        <v>70</v>
      </c>
      <c r="I42" s="610"/>
      <c r="J42" s="610"/>
      <c r="K42" s="610"/>
      <c r="L42" s="610"/>
      <c r="M42" s="610"/>
      <c r="N42" s="611">
        <f>EXPIRATION_DATE</f>
        <v>46022</v>
      </c>
      <c r="O42" s="611"/>
      <c r="P42" s="611"/>
      <c r="Q42" s="611"/>
      <c r="R42" s="611"/>
      <c r="S42" s="611"/>
      <c r="T42" s="611"/>
      <c r="U42" s="612" t="str">
        <f ca="1">EXPIRATION</f>
        <v/>
      </c>
      <c r="V42" s="612"/>
      <c r="W42" s="612"/>
      <c r="X42" s="612"/>
      <c r="Y42" s="612"/>
    </row>
    <row r="43" spans="8:41" ht="15.95" hidden="1" customHeight="1"/>
    <row r="44" spans="8:41" ht="15.95" hidden="1" customHeight="1"/>
    <row r="45" spans="8:41" ht="15.95" hidden="1" customHeight="1"/>
    <row r="46" spans="8:41" ht="15.95" hidden="1" customHeight="1"/>
    <row r="47" spans="8:41" ht="15.95" hidden="1" customHeight="1"/>
    <row r="48" spans="8:41" ht="15.95" hidden="1" customHeight="1"/>
    <row r="49" spans="7:7" ht="15.95" hidden="1" customHeight="1"/>
    <row r="50" spans="7:7" ht="15.95" hidden="1" customHeight="1"/>
    <row r="51" spans="7:7" ht="15.95" hidden="1" customHeight="1"/>
    <row r="52" spans="7:7" ht="15.95" hidden="1" customHeight="1"/>
    <row r="53" spans="7:7" ht="15.95" hidden="1" customHeight="1"/>
    <row r="54" spans="7:7" ht="15.95" hidden="1" customHeight="1"/>
    <row r="55" spans="7:7" ht="15.95" hidden="1" customHeight="1"/>
    <row r="56" spans="7:7" ht="15.95" hidden="1" customHeight="1"/>
    <row r="57" spans="7:7" ht="15.95" hidden="1" customHeight="1"/>
    <row r="58" spans="7:7" ht="15.95" hidden="1" customHeight="1"/>
    <row r="59" spans="7:7" ht="15.95" hidden="1" customHeight="1"/>
    <row r="60" spans="7:7" ht="15.95" hidden="1" customHeight="1"/>
    <row r="61" spans="7:7" ht="15.95" hidden="1" customHeight="1"/>
    <row r="62" spans="7:7" ht="15.95" hidden="1" customHeight="1"/>
    <row r="63" spans="7:7" ht="15.95" hidden="1" customHeight="1">
      <c r="G63" s="10"/>
    </row>
    <row r="64" spans="7:7" ht="15.95" hidden="1" customHeight="1">
      <c r="G64" s="10"/>
    </row>
    <row r="65" spans="7:23" ht="15.95" hidden="1" customHeight="1">
      <c r="G65" s="10"/>
    </row>
    <row r="66" spans="7:23" ht="15.95" hidden="1" customHeight="1">
      <c r="G66" s="10"/>
    </row>
    <row r="67" spans="7:23" ht="15.95" hidden="1" customHeight="1">
      <c r="G67" s="10"/>
      <c r="H67" s="10"/>
      <c r="I67" s="10"/>
      <c r="J67" s="10"/>
      <c r="K67" s="10"/>
      <c r="L67" s="10"/>
      <c r="M67" s="11"/>
      <c r="N67" s="11"/>
      <c r="O67" s="11"/>
      <c r="P67" s="11"/>
      <c r="Q67" s="11"/>
      <c r="R67" s="11"/>
      <c r="S67" s="12"/>
      <c r="T67" s="12"/>
      <c r="U67" s="12"/>
      <c r="V67" s="12"/>
      <c r="W67" s="12"/>
    </row>
    <row r="68" spans="7:23" ht="15.95" hidden="1" customHeight="1">
      <c r="G68" s="10"/>
      <c r="H68" s="10"/>
      <c r="I68" s="10"/>
      <c r="J68" s="10"/>
      <c r="K68" s="10"/>
      <c r="L68" s="10"/>
      <c r="M68" s="11"/>
      <c r="N68" s="11"/>
      <c r="O68" s="11"/>
      <c r="P68" s="11"/>
      <c r="Q68" s="11"/>
      <c r="R68" s="11"/>
      <c r="S68" s="12"/>
      <c r="T68" s="12"/>
      <c r="U68" s="12"/>
      <c r="V68" s="12"/>
      <c r="W68" s="12"/>
    </row>
    <row r="69" spans="7:23" ht="15.95" hidden="1" customHeight="1">
      <c r="G69" s="10"/>
      <c r="H69" s="10"/>
      <c r="I69" s="10"/>
      <c r="J69" s="10"/>
      <c r="K69" s="10"/>
      <c r="L69" s="10"/>
      <c r="M69" s="11"/>
      <c r="N69" s="11"/>
      <c r="O69" s="11"/>
      <c r="P69" s="11"/>
      <c r="Q69" s="11"/>
      <c r="R69" s="11"/>
      <c r="S69" s="12"/>
      <c r="T69" s="12"/>
      <c r="U69" s="12"/>
      <c r="V69" s="12"/>
      <c r="W69" s="12"/>
    </row>
    <row r="70" spans="7:23" ht="15.95" hidden="1" customHeight="1">
      <c r="G70" s="10"/>
      <c r="H70" s="10"/>
      <c r="I70" s="10"/>
      <c r="J70" s="10"/>
      <c r="K70" s="10"/>
      <c r="L70" s="10"/>
      <c r="M70" s="11"/>
      <c r="N70" s="11"/>
      <c r="O70" s="11"/>
      <c r="P70" s="11"/>
      <c r="Q70" s="11"/>
      <c r="R70" s="11"/>
      <c r="S70" s="12"/>
      <c r="T70" s="12"/>
      <c r="U70" s="12"/>
      <c r="V70" s="12"/>
      <c r="W70" s="12"/>
    </row>
    <row r="71" spans="7:23" ht="15.95" hidden="1" customHeight="1">
      <c r="G71" s="10"/>
      <c r="H71" s="10"/>
      <c r="I71" s="10"/>
      <c r="J71" s="10"/>
      <c r="K71" s="10"/>
      <c r="L71" s="10"/>
      <c r="N71" s="11"/>
      <c r="O71" s="11"/>
      <c r="P71" s="11"/>
      <c r="Q71" s="11"/>
      <c r="R71" s="11"/>
      <c r="S71" s="12"/>
      <c r="T71" s="12"/>
      <c r="U71" s="12"/>
      <c r="V71" s="12"/>
      <c r="W71" s="12"/>
    </row>
    <row r="72" spans="7:23" ht="15.95" hidden="1" customHeight="1">
      <c r="G72" s="10"/>
      <c r="H72" s="10"/>
      <c r="I72" s="10"/>
      <c r="J72" s="10"/>
      <c r="K72" s="10"/>
      <c r="L72" s="10"/>
      <c r="M72" s="11"/>
      <c r="N72" s="11"/>
      <c r="O72" s="11"/>
      <c r="P72" s="11"/>
      <c r="Q72" s="11"/>
      <c r="R72" s="11"/>
      <c r="S72" s="12"/>
      <c r="T72" s="12"/>
      <c r="U72" s="12"/>
      <c r="V72" s="12"/>
      <c r="W72" s="12"/>
    </row>
    <row r="73" spans="7:23" ht="15.95" hidden="1" customHeight="1">
      <c r="G73" s="10"/>
      <c r="H73" s="10"/>
      <c r="I73" s="10"/>
      <c r="J73" s="10"/>
      <c r="K73" s="10"/>
      <c r="L73" s="10"/>
      <c r="M73" s="11"/>
      <c r="N73" s="11"/>
      <c r="O73" s="11"/>
      <c r="P73" s="11"/>
      <c r="Q73" s="11"/>
      <c r="R73" s="11"/>
      <c r="S73" s="12"/>
      <c r="T73" s="12"/>
      <c r="U73" s="12"/>
      <c r="V73" s="12"/>
      <c r="W73" s="12"/>
    </row>
    <row r="74" spans="7:23" ht="15.95" hidden="1" customHeight="1">
      <c r="G74" s="10"/>
      <c r="H74" s="10"/>
      <c r="I74" s="10"/>
      <c r="J74" s="10"/>
      <c r="K74" s="10"/>
      <c r="L74" s="10"/>
      <c r="M74" s="11"/>
      <c r="N74" s="11"/>
      <c r="O74" s="11"/>
      <c r="P74" s="11"/>
      <c r="Q74" s="11"/>
      <c r="R74" s="11"/>
      <c r="S74" s="12"/>
      <c r="T74" s="12"/>
      <c r="U74" s="12"/>
      <c r="V74" s="12"/>
      <c r="W74" s="12"/>
    </row>
    <row r="75" spans="7:23" ht="15.95" hidden="1" customHeight="1">
      <c r="G75" s="10"/>
      <c r="H75" s="10"/>
      <c r="I75" s="10"/>
      <c r="J75" s="10"/>
      <c r="K75" s="10"/>
      <c r="L75" s="10"/>
      <c r="M75" s="11"/>
      <c r="N75" s="11"/>
      <c r="O75" s="11"/>
      <c r="P75" s="11"/>
      <c r="Q75" s="11"/>
      <c r="R75" s="11"/>
      <c r="S75" s="12"/>
      <c r="T75" s="12"/>
      <c r="U75" s="12"/>
      <c r="V75" s="12"/>
      <c r="W75" s="12"/>
    </row>
    <row r="76" spans="7:23" ht="15.95" hidden="1" customHeight="1">
      <c r="G76" s="10"/>
      <c r="H76" s="10"/>
      <c r="I76" s="10"/>
      <c r="J76" s="10"/>
      <c r="K76" s="10"/>
      <c r="L76" s="10"/>
      <c r="M76" s="11"/>
      <c r="N76" s="11"/>
      <c r="O76" s="11"/>
      <c r="P76" s="11"/>
      <c r="Q76" s="11"/>
      <c r="R76" s="11"/>
      <c r="S76" s="12"/>
      <c r="T76" s="12"/>
      <c r="U76" s="12"/>
      <c r="V76" s="12"/>
      <c r="W76" s="12"/>
    </row>
    <row r="77" spans="7:23" ht="15.95" hidden="1" customHeight="1">
      <c r="G77" s="10"/>
      <c r="H77" s="10"/>
      <c r="I77" s="10"/>
      <c r="J77" s="10"/>
      <c r="K77" s="10"/>
      <c r="L77" s="10"/>
      <c r="M77" s="11"/>
      <c r="N77" s="11"/>
      <c r="O77" s="11"/>
      <c r="P77" s="11"/>
      <c r="Q77" s="11"/>
      <c r="R77" s="11"/>
      <c r="S77" s="12"/>
      <c r="T77" s="12"/>
      <c r="U77" s="12"/>
      <c r="V77" s="12"/>
      <c r="W77" s="12"/>
    </row>
    <row r="78" spans="7:23" ht="15.95" hidden="1" customHeight="1">
      <c r="G78" s="10"/>
      <c r="H78" s="10"/>
      <c r="I78" s="10"/>
      <c r="J78" s="10"/>
      <c r="K78" s="10"/>
      <c r="L78" s="10"/>
      <c r="M78" s="11"/>
      <c r="N78" s="11"/>
      <c r="O78" s="11"/>
      <c r="P78" s="11"/>
      <c r="Q78" s="11"/>
      <c r="R78" s="11"/>
      <c r="S78" s="12"/>
      <c r="T78" s="12"/>
      <c r="U78" s="12"/>
      <c r="V78" s="12"/>
      <c r="W78" s="12"/>
    </row>
    <row r="79" spans="7:23" ht="15.95" hidden="1" customHeight="1">
      <c r="G79" s="10"/>
      <c r="H79" s="10"/>
      <c r="I79" s="10"/>
      <c r="J79" s="10"/>
      <c r="K79" s="10"/>
      <c r="L79" s="10"/>
      <c r="M79" s="11"/>
      <c r="N79" s="11"/>
      <c r="O79" s="11"/>
      <c r="P79" s="11"/>
      <c r="Q79" s="11"/>
      <c r="R79" s="11"/>
      <c r="S79" s="12"/>
      <c r="T79" s="12"/>
      <c r="U79" s="12"/>
      <c r="V79" s="12"/>
      <c r="W79" s="12"/>
    </row>
    <row r="80" spans="7:23" ht="15.95" hidden="1" customHeight="1">
      <c r="G80" s="10"/>
      <c r="H80" s="10"/>
      <c r="I80" s="10"/>
      <c r="J80" s="10"/>
      <c r="K80" s="10"/>
      <c r="L80" s="10"/>
      <c r="M80" s="11"/>
      <c r="N80" s="11"/>
      <c r="O80" s="11"/>
      <c r="P80" s="11"/>
      <c r="Q80" s="11"/>
      <c r="R80" s="11"/>
      <c r="S80" s="12"/>
      <c r="T80" s="12"/>
      <c r="U80" s="12"/>
      <c r="V80" s="12"/>
      <c r="W80" s="12"/>
    </row>
    <row r="81" spans="7:23" ht="15.95" hidden="1" customHeight="1">
      <c r="G81" s="10"/>
      <c r="H81" s="10"/>
      <c r="I81" s="10"/>
      <c r="J81" s="10"/>
      <c r="K81" s="10"/>
      <c r="L81" s="10"/>
      <c r="M81" s="11"/>
      <c r="N81" s="11"/>
      <c r="O81" s="11"/>
      <c r="P81" s="11"/>
      <c r="Q81" s="11"/>
      <c r="R81" s="11"/>
      <c r="S81" s="12"/>
      <c r="T81" s="12"/>
      <c r="U81" s="12"/>
      <c r="V81" s="12"/>
      <c r="W81" s="12"/>
    </row>
    <row r="82" spans="7:23" ht="15.95" hidden="1" customHeight="1">
      <c r="G82" s="10"/>
      <c r="H82" s="10"/>
      <c r="I82" s="10"/>
      <c r="J82" s="10"/>
      <c r="K82" s="10"/>
      <c r="L82" s="10"/>
      <c r="M82" s="11"/>
      <c r="N82" s="11"/>
      <c r="O82" s="11"/>
      <c r="P82" s="11"/>
      <c r="Q82" s="11"/>
      <c r="R82" s="11"/>
      <c r="S82" s="12"/>
      <c r="T82" s="12"/>
      <c r="U82" s="12"/>
      <c r="V82" s="12"/>
      <c r="W82" s="12"/>
    </row>
    <row r="83" spans="7:23" ht="15.95" hidden="1" customHeight="1">
      <c r="G83" s="10"/>
      <c r="H83" s="10"/>
      <c r="I83" s="10"/>
      <c r="J83" s="10"/>
      <c r="K83" s="10"/>
      <c r="L83" s="10"/>
      <c r="M83" s="11"/>
      <c r="N83" s="11"/>
      <c r="O83" s="11"/>
      <c r="P83" s="11"/>
      <c r="Q83" s="11"/>
      <c r="R83" s="11"/>
      <c r="S83" s="12"/>
      <c r="T83" s="12"/>
      <c r="U83" s="12"/>
      <c r="V83" s="12"/>
      <c r="W83" s="12"/>
    </row>
    <row r="84" spans="7:23" ht="15.95" hidden="1" customHeight="1">
      <c r="G84" s="10"/>
      <c r="H84" s="10"/>
      <c r="I84" s="10"/>
      <c r="J84" s="10"/>
      <c r="K84" s="10"/>
      <c r="L84" s="10"/>
      <c r="M84" s="11"/>
      <c r="N84" s="11"/>
      <c r="O84" s="11"/>
      <c r="P84" s="11"/>
      <c r="Q84" s="11"/>
      <c r="R84" s="11"/>
      <c r="S84" s="12"/>
      <c r="T84" s="12"/>
      <c r="U84" s="12"/>
      <c r="V84" s="12"/>
      <c r="W84" s="12"/>
    </row>
    <row r="85" spans="7:23" ht="15.95" hidden="1" customHeight="1">
      <c r="G85" s="10"/>
      <c r="H85" s="10"/>
      <c r="I85" s="10"/>
      <c r="J85" s="10"/>
      <c r="K85" s="10"/>
      <c r="L85" s="10"/>
      <c r="M85" s="11"/>
      <c r="N85" s="11"/>
      <c r="O85" s="11"/>
      <c r="P85" s="11"/>
      <c r="Q85" s="11"/>
      <c r="R85" s="11"/>
      <c r="S85" s="12"/>
      <c r="T85" s="12"/>
      <c r="U85" s="12"/>
      <c r="V85" s="12"/>
      <c r="W85" s="12"/>
    </row>
    <row r="86" spans="7:23" ht="15.95" hidden="1" customHeight="1">
      <c r="G86" s="10"/>
      <c r="H86" s="10"/>
      <c r="I86" s="10"/>
      <c r="J86" s="10"/>
      <c r="K86" s="10"/>
      <c r="L86" s="10"/>
      <c r="M86" s="11"/>
      <c r="N86" s="11"/>
      <c r="O86" s="11"/>
      <c r="P86" s="11"/>
      <c r="Q86" s="11"/>
      <c r="R86" s="11"/>
      <c r="S86" s="12"/>
      <c r="T86" s="12"/>
      <c r="U86" s="12"/>
      <c r="V86" s="12"/>
      <c r="W86" s="12"/>
    </row>
    <row r="87" spans="7:23" ht="15.95" hidden="1" customHeight="1">
      <c r="G87" s="10"/>
      <c r="H87" s="10"/>
      <c r="I87" s="10"/>
      <c r="J87" s="10"/>
      <c r="K87" s="10"/>
      <c r="L87" s="10"/>
      <c r="M87" s="11"/>
      <c r="N87" s="11"/>
      <c r="O87" s="11"/>
      <c r="P87" s="11"/>
      <c r="Q87" s="11"/>
      <c r="R87" s="11"/>
      <c r="S87" s="12"/>
      <c r="T87" s="12"/>
      <c r="U87" s="12"/>
      <c r="V87" s="12"/>
      <c r="W87" s="12"/>
    </row>
    <row r="88" spans="7:23" ht="15.95" hidden="1" customHeight="1">
      <c r="G88" s="10"/>
      <c r="H88" s="10"/>
      <c r="I88" s="10"/>
      <c r="J88" s="10"/>
      <c r="K88" s="10"/>
      <c r="L88" s="10"/>
      <c r="M88" s="11"/>
      <c r="N88" s="11"/>
      <c r="O88" s="11"/>
      <c r="P88" s="11"/>
      <c r="Q88" s="11"/>
      <c r="R88" s="11"/>
      <c r="S88" s="12"/>
      <c r="T88" s="12"/>
      <c r="U88" s="12"/>
      <c r="V88" s="12"/>
      <c r="W88" s="12"/>
    </row>
    <row r="89" spans="7:23" ht="15.95" hidden="1" customHeight="1">
      <c r="G89" s="10"/>
      <c r="H89" s="10"/>
      <c r="I89" s="10"/>
      <c r="J89" s="10"/>
      <c r="K89" s="10"/>
      <c r="L89" s="10"/>
      <c r="M89" s="11"/>
      <c r="N89" s="11"/>
      <c r="O89" s="11"/>
      <c r="P89" s="11"/>
      <c r="Q89" s="11"/>
      <c r="R89" s="11"/>
      <c r="S89" s="12"/>
      <c r="T89" s="12"/>
      <c r="U89" s="12"/>
      <c r="V89" s="12"/>
      <c r="W89" s="12"/>
    </row>
    <row r="90" spans="7:23" ht="15.95" hidden="1" customHeight="1">
      <c r="G90" s="10"/>
      <c r="H90" s="10"/>
      <c r="I90" s="10"/>
      <c r="J90" s="10"/>
      <c r="K90" s="10"/>
      <c r="L90" s="10"/>
      <c r="M90" s="11"/>
      <c r="N90" s="11"/>
      <c r="O90" s="11"/>
      <c r="P90" s="11"/>
      <c r="Q90" s="11"/>
      <c r="R90" s="11"/>
      <c r="S90" s="12"/>
      <c r="T90" s="12"/>
      <c r="U90" s="12"/>
      <c r="V90" s="12"/>
      <c r="W90" s="12"/>
    </row>
    <row r="91" spans="7:23" ht="15.95" hidden="1" customHeight="1">
      <c r="G91" s="10"/>
      <c r="H91" s="10"/>
      <c r="I91" s="10"/>
      <c r="J91" s="10"/>
      <c r="K91" s="10"/>
      <c r="L91" s="10"/>
      <c r="M91" s="11"/>
      <c r="N91" s="11"/>
      <c r="O91" s="11"/>
      <c r="P91" s="11"/>
      <c r="Q91" s="11"/>
      <c r="R91" s="11"/>
      <c r="S91" s="12"/>
      <c r="T91" s="12"/>
      <c r="U91" s="12"/>
      <c r="V91" s="12"/>
      <c r="W91" s="12"/>
    </row>
    <row r="92" spans="7:23" ht="15.95" hidden="1" customHeight="1">
      <c r="G92" s="10"/>
      <c r="H92" s="10"/>
      <c r="I92" s="10"/>
      <c r="J92" s="10"/>
      <c r="K92" s="10"/>
      <c r="L92" s="10"/>
      <c r="M92" s="11"/>
      <c r="N92" s="11"/>
      <c r="O92" s="11"/>
      <c r="P92" s="11"/>
      <c r="Q92" s="11"/>
      <c r="R92" s="11"/>
      <c r="S92" s="12"/>
      <c r="T92" s="12"/>
      <c r="U92" s="12"/>
      <c r="V92" s="12"/>
      <c r="W92" s="12"/>
    </row>
    <row r="93" spans="7:23" ht="15.95" hidden="1" customHeight="1">
      <c r="G93" s="10"/>
      <c r="H93" s="10"/>
      <c r="I93" s="10"/>
      <c r="J93" s="10"/>
      <c r="K93" s="10"/>
      <c r="L93" s="10"/>
      <c r="M93" s="11"/>
      <c r="N93" s="11"/>
      <c r="O93" s="11"/>
      <c r="P93" s="11"/>
      <c r="Q93" s="11"/>
      <c r="R93" s="11"/>
      <c r="S93" s="12"/>
      <c r="T93" s="12"/>
      <c r="U93" s="12"/>
      <c r="V93" s="12"/>
      <c r="W93" s="12"/>
    </row>
    <row r="94" spans="7:23" ht="15.95" hidden="1" customHeight="1">
      <c r="G94" s="10"/>
      <c r="H94" s="10"/>
      <c r="I94" s="10"/>
      <c r="J94" s="10"/>
      <c r="K94" s="10"/>
      <c r="L94" s="10"/>
      <c r="M94" s="11"/>
      <c r="N94" s="11"/>
      <c r="O94" s="11"/>
      <c r="P94" s="11"/>
      <c r="Q94" s="11"/>
      <c r="R94" s="11"/>
      <c r="S94" s="12"/>
      <c r="T94" s="12"/>
      <c r="U94" s="12"/>
      <c r="V94" s="12"/>
      <c r="W94" s="12"/>
    </row>
    <row r="95" spans="7:23" ht="15.95" hidden="1" customHeight="1">
      <c r="G95" s="10"/>
      <c r="H95" s="10"/>
      <c r="I95" s="10"/>
      <c r="J95" s="10"/>
      <c r="K95" s="10"/>
      <c r="L95" s="10"/>
      <c r="M95" s="11"/>
      <c r="N95" s="11"/>
      <c r="O95" s="11"/>
      <c r="P95" s="11"/>
      <c r="Q95" s="11"/>
      <c r="R95" s="11"/>
      <c r="S95" s="12"/>
      <c r="T95" s="12"/>
      <c r="U95" s="12"/>
      <c r="V95" s="12"/>
      <c r="W95" s="12"/>
    </row>
    <row r="96" spans="7:23" ht="15.95" hidden="1" customHeight="1">
      <c r="G96" s="10"/>
      <c r="H96" s="10"/>
      <c r="I96" s="10"/>
      <c r="J96" s="10"/>
      <c r="K96" s="10"/>
      <c r="L96" s="10"/>
      <c r="M96" s="11"/>
      <c r="N96" s="11"/>
      <c r="O96" s="11"/>
      <c r="P96" s="11"/>
      <c r="Q96" s="11"/>
      <c r="R96" s="11"/>
      <c r="S96" s="12"/>
      <c r="T96" s="12"/>
      <c r="U96" s="12"/>
      <c r="V96" s="12"/>
      <c r="W96" s="12"/>
    </row>
    <row r="97" spans="7:23" ht="15.95" hidden="1" customHeight="1">
      <c r="G97" s="10"/>
      <c r="H97" s="10"/>
      <c r="I97" s="10"/>
      <c r="J97" s="10"/>
      <c r="K97" s="10"/>
      <c r="L97" s="10"/>
      <c r="M97" s="11"/>
      <c r="N97" s="11"/>
      <c r="O97" s="11"/>
      <c r="P97" s="11"/>
      <c r="Q97" s="11"/>
      <c r="R97" s="11"/>
      <c r="S97" s="12"/>
      <c r="T97" s="12"/>
      <c r="U97" s="12"/>
      <c r="V97" s="12"/>
      <c r="W97" s="12"/>
    </row>
    <row r="98" spans="7:23" ht="15.95" hidden="1" customHeight="1">
      <c r="G98" s="10"/>
      <c r="H98" s="10"/>
      <c r="I98" s="10"/>
      <c r="J98" s="10"/>
      <c r="K98" s="10"/>
      <c r="L98" s="10"/>
      <c r="M98" s="11"/>
      <c r="N98" s="11"/>
      <c r="O98" s="11"/>
      <c r="P98" s="11"/>
      <c r="Q98" s="11"/>
      <c r="R98" s="11"/>
      <c r="S98" s="12"/>
      <c r="T98" s="12"/>
      <c r="U98" s="12"/>
      <c r="V98" s="12"/>
      <c r="W98" s="12"/>
    </row>
    <row r="99" spans="7:23" ht="15.95" hidden="1" customHeight="1">
      <c r="G99" s="10"/>
      <c r="H99" s="10"/>
      <c r="I99" s="10"/>
      <c r="J99" s="10"/>
      <c r="K99" s="10"/>
      <c r="L99" s="10"/>
      <c r="M99" s="11"/>
      <c r="N99" s="11"/>
      <c r="O99" s="11"/>
      <c r="P99" s="11"/>
      <c r="Q99" s="11"/>
      <c r="R99" s="11"/>
      <c r="S99" s="12"/>
      <c r="T99" s="12"/>
      <c r="U99" s="12"/>
      <c r="V99" s="12"/>
      <c r="W99" s="12"/>
    </row>
    <row r="100" spans="7:23" ht="15.95" hidden="1" customHeight="1">
      <c r="G100" s="10"/>
      <c r="H100" s="10"/>
      <c r="I100" s="10"/>
      <c r="J100" s="10"/>
      <c r="K100" s="10"/>
      <c r="L100" s="10"/>
      <c r="M100" s="11"/>
      <c r="N100" s="11"/>
      <c r="O100" s="11"/>
      <c r="P100" s="11"/>
      <c r="Q100" s="11"/>
      <c r="R100" s="11"/>
      <c r="S100" s="12"/>
      <c r="T100" s="12"/>
      <c r="U100" s="12"/>
      <c r="V100" s="12"/>
      <c r="W100" s="12"/>
    </row>
    <row r="101" spans="7:23" ht="15.95" hidden="1" customHeight="1">
      <c r="G101" s="10"/>
      <c r="H101" s="10"/>
      <c r="I101" s="10"/>
      <c r="J101" s="10"/>
      <c r="K101" s="10"/>
      <c r="L101" s="10"/>
      <c r="M101" s="11"/>
      <c r="N101" s="11"/>
      <c r="O101" s="11"/>
      <c r="P101" s="11"/>
      <c r="Q101" s="11"/>
      <c r="R101" s="11"/>
      <c r="S101" s="12"/>
      <c r="T101" s="12"/>
      <c r="U101" s="12"/>
      <c r="V101" s="12"/>
      <c r="W101" s="12"/>
    </row>
    <row r="102" spans="7:23" ht="15.95" hidden="1" customHeight="1">
      <c r="G102" s="10"/>
      <c r="H102" s="10"/>
      <c r="I102" s="10"/>
      <c r="J102" s="10"/>
      <c r="K102" s="10"/>
      <c r="L102" s="10"/>
      <c r="M102" s="11"/>
      <c r="N102" s="11"/>
      <c r="O102" s="11"/>
      <c r="P102" s="11"/>
      <c r="Q102" s="11"/>
      <c r="R102" s="11"/>
      <c r="S102" s="12"/>
      <c r="T102" s="12"/>
      <c r="U102" s="12"/>
      <c r="V102" s="12"/>
      <c r="W102" s="12"/>
    </row>
    <row r="103" spans="7:23" ht="15.95" hidden="1" customHeight="1">
      <c r="G103" s="10"/>
      <c r="H103" s="10"/>
      <c r="I103" s="10"/>
      <c r="J103" s="10"/>
      <c r="K103" s="10"/>
      <c r="L103" s="10"/>
      <c r="M103" s="11"/>
      <c r="N103" s="11"/>
      <c r="O103" s="11"/>
      <c r="P103" s="11"/>
      <c r="Q103" s="11"/>
      <c r="R103" s="11"/>
      <c r="S103" s="12"/>
      <c r="T103" s="12"/>
      <c r="U103" s="12"/>
      <c r="V103" s="12"/>
      <c r="W103" s="12"/>
    </row>
    <row r="104" spans="7:23" ht="15.95" hidden="1" customHeight="1">
      <c r="G104" s="10"/>
      <c r="H104" s="10"/>
      <c r="I104" s="10"/>
      <c r="J104" s="10"/>
      <c r="K104" s="10"/>
      <c r="L104" s="10"/>
      <c r="M104" s="11"/>
      <c r="N104" s="11"/>
      <c r="O104" s="11"/>
      <c r="P104" s="11"/>
      <c r="Q104" s="11"/>
      <c r="R104" s="11"/>
      <c r="S104" s="12"/>
      <c r="T104" s="12"/>
      <c r="U104" s="12"/>
      <c r="V104" s="12"/>
      <c r="W104" s="12"/>
    </row>
    <row r="105" spans="7:23" ht="15.95" hidden="1" customHeight="1">
      <c r="G105" s="10"/>
      <c r="H105" s="10"/>
      <c r="I105" s="10"/>
      <c r="J105" s="10"/>
      <c r="K105" s="10"/>
      <c r="L105" s="10"/>
      <c r="M105" s="11"/>
      <c r="N105" s="11"/>
      <c r="O105" s="11"/>
      <c r="P105" s="11"/>
      <c r="Q105" s="11"/>
      <c r="R105" s="11"/>
      <c r="S105" s="12"/>
      <c r="T105" s="12"/>
      <c r="U105" s="12"/>
      <c r="V105" s="12"/>
      <c r="W105" s="12"/>
    </row>
    <row r="106" spans="7:23" ht="15.95" hidden="1" customHeight="1">
      <c r="G106" s="10"/>
      <c r="H106" s="10"/>
      <c r="I106" s="10"/>
      <c r="J106" s="10"/>
      <c r="K106" s="10"/>
      <c r="L106" s="10"/>
      <c r="M106" s="11"/>
      <c r="N106" s="11"/>
      <c r="O106" s="11"/>
      <c r="P106" s="11"/>
      <c r="Q106" s="11"/>
      <c r="R106" s="11"/>
      <c r="S106" s="12"/>
      <c r="T106" s="12"/>
      <c r="U106" s="12"/>
      <c r="V106" s="12"/>
      <c r="W106" s="12"/>
    </row>
    <row r="107" spans="7:23" ht="15.95" hidden="1" customHeight="1">
      <c r="G107" s="10"/>
      <c r="H107" s="10"/>
      <c r="I107" s="10"/>
      <c r="J107" s="10"/>
      <c r="K107" s="10"/>
      <c r="L107" s="10"/>
      <c r="M107" s="11"/>
      <c r="N107" s="11"/>
      <c r="O107" s="11"/>
      <c r="P107" s="11"/>
      <c r="Q107" s="11"/>
      <c r="R107" s="11"/>
      <c r="S107" s="12"/>
      <c r="T107" s="12"/>
      <c r="U107" s="12"/>
      <c r="V107" s="12"/>
      <c r="W107" s="12"/>
    </row>
    <row r="108" spans="7:23" ht="15.95" hidden="1" customHeight="1">
      <c r="G108" s="10"/>
      <c r="H108" s="10"/>
      <c r="I108" s="10"/>
      <c r="J108" s="10"/>
      <c r="K108" s="10"/>
      <c r="L108" s="10"/>
      <c r="M108" s="11"/>
      <c r="N108" s="11"/>
      <c r="O108" s="11"/>
      <c r="P108" s="11"/>
      <c r="Q108" s="11"/>
      <c r="R108" s="11"/>
      <c r="S108" s="12"/>
      <c r="T108" s="12"/>
      <c r="U108" s="12"/>
      <c r="V108" s="12"/>
      <c r="W108" s="12"/>
    </row>
    <row r="109" spans="7:23" ht="15.95" hidden="1" customHeight="1">
      <c r="G109" s="10"/>
      <c r="H109" s="10"/>
      <c r="I109" s="10"/>
      <c r="J109" s="10"/>
      <c r="K109" s="10"/>
      <c r="L109" s="10"/>
      <c r="M109" s="11"/>
      <c r="N109" s="11"/>
      <c r="O109" s="11"/>
      <c r="P109" s="11"/>
      <c r="Q109" s="11"/>
      <c r="R109" s="11"/>
      <c r="S109" s="12"/>
      <c r="T109" s="12"/>
      <c r="U109" s="12"/>
      <c r="V109" s="12"/>
      <c r="W109" s="12"/>
    </row>
    <row r="110" spans="7:23" ht="15.95" hidden="1" customHeight="1">
      <c r="G110" s="10"/>
      <c r="H110" s="10"/>
      <c r="I110" s="10"/>
      <c r="J110" s="10"/>
      <c r="K110" s="10"/>
      <c r="L110" s="10"/>
      <c r="M110" s="11"/>
      <c r="N110" s="11"/>
      <c r="O110" s="11"/>
      <c r="P110" s="11"/>
      <c r="Q110" s="11"/>
      <c r="R110" s="11"/>
      <c r="S110" s="12"/>
      <c r="T110" s="12"/>
      <c r="U110" s="12"/>
      <c r="V110" s="12"/>
      <c r="W110" s="12"/>
    </row>
    <row r="111" spans="7:23" ht="15.95" hidden="1" customHeight="1">
      <c r="G111" s="10"/>
      <c r="H111" s="10"/>
      <c r="I111" s="10"/>
      <c r="J111" s="10"/>
      <c r="K111" s="10"/>
      <c r="L111" s="10"/>
      <c r="M111" s="11"/>
      <c r="N111" s="11"/>
      <c r="O111" s="11"/>
      <c r="P111" s="11"/>
      <c r="Q111" s="11"/>
      <c r="R111" s="11"/>
      <c r="S111" s="12"/>
      <c r="T111" s="12"/>
      <c r="U111" s="12"/>
      <c r="V111" s="12"/>
      <c r="W111" s="12"/>
    </row>
    <row r="112" spans="7:23" ht="15.95" hidden="1" customHeight="1">
      <c r="G112" s="10"/>
      <c r="H112" s="10"/>
      <c r="I112" s="10"/>
      <c r="J112" s="10"/>
      <c r="K112" s="10"/>
      <c r="L112" s="10"/>
      <c r="M112" s="11"/>
      <c r="N112" s="11"/>
      <c r="O112" s="11"/>
      <c r="P112" s="11"/>
      <c r="Q112" s="11"/>
      <c r="R112" s="11"/>
      <c r="S112" s="12"/>
      <c r="T112" s="12"/>
      <c r="U112" s="12"/>
      <c r="V112" s="12"/>
      <c r="W112" s="12"/>
    </row>
    <row r="113" spans="7:23" ht="15.95" hidden="1" customHeight="1">
      <c r="G113" s="10"/>
      <c r="H113" s="10"/>
      <c r="I113" s="10"/>
      <c r="J113" s="10"/>
      <c r="K113" s="10"/>
      <c r="L113" s="10"/>
      <c r="M113" s="11"/>
      <c r="N113" s="11"/>
      <c r="O113" s="11"/>
      <c r="P113" s="11"/>
      <c r="Q113" s="11"/>
      <c r="R113" s="11"/>
      <c r="S113" s="12"/>
      <c r="T113" s="12"/>
      <c r="U113" s="12"/>
      <c r="V113" s="12"/>
      <c r="W113" s="12"/>
    </row>
    <row r="114" spans="7:23" ht="15.95" hidden="1" customHeight="1">
      <c r="G114" s="10"/>
      <c r="H114" s="10"/>
      <c r="I114" s="10"/>
      <c r="J114" s="10"/>
      <c r="K114" s="10"/>
      <c r="L114" s="10"/>
      <c r="M114" s="11"/>
      <c r="N114" s="11"/>
      <c r="O114" s="11"/>
      <c r="P114" s="11"/>
      <c r="Q114" s="11"/>
      <c r="R114" s="11"/>
      <c r="S114" s="12"/>
      <c r="T114" s="12"/>
      <c r="U114" s="12"/>
      <c r="V114" s="12"/>
      <c r="W114" s="12"/>
    </row>
    <row r="115" spans="7:23" ht="15.95" hidden="1" customHeight="1">
      <c r="G115" s="10"/>
      <c r="H115" s="10"/>
      <c r="I115" s="10"/>
      <c r="J115" s="10"/>
      <c r="K115" s="10"/>
      <c r="L115" s="10"/>
      <c r="M115" s="11"/>
      <c r="N115" s="11"/>
      <c r="O115" s="11"/>
      <c r="P115" s="11"/>
      <c r="Q115" s="11"/>
      <c r="R115" s="11"/>
      <c r="S115" s="12"/>
      <c r="T115" s="12"/>
      <c r="U115" s="12"/>
      <c r="V115" s="12"/>
      <c r="W115" s="12"/>
    </row>
    <row r="116" spans="7:23" ht="15.95" hidden="1" customHeight="1">
      <c r="G116" s="10"/>
      <c r="H116" s="10"/>
      <c r="I116" s="10"/>
      <c r="J116" s="10"/>
      <c r="K116" s="10"/>
      <c r="L116" s="10"/>
      <c r="M116" s="11"/>
      <c r="N116" s="11"/>
      <c r="O116" s="11"/>
      <c r="P116" s="11"/>
      <c r="Q116" s="11"/>
      <c r="R116" s="11"/>
      <c r="S116" s="12"/>
      <c r="T116" s="12"/>
      <c r="U116" s="12"/>
      <c r="V116" s="12"/>
      <c r="W116" s="12"/>
    </row>
    <row r="117" spans="7:23" ht="15.95" hidden="1" customHeight="1">
      <c r="G117" s="10"/>
      <c r="H117" s="10"/>
      <c r="I117" s="10"/>
      <c r="J117" s="10"/>
      <c r="K117" s="10"/>
      <c r="L117" s="10"/>
      <c r="M117" s="11"/>
      <c r="N117" s="11"/>
      <c r="O117" s="11"/>
      <c r="P117" s="11"/>
      <c r="Q117" s="11"/>
      <c r="R117" s="11"/>
      <c r="S117" s="12"/>
      <c r="T117" s="12"/>
      <c r="U117" s="12"/>
      <c r="V117" s="12"/>
      <c r="W117" s="12"/>
    </row>
    <row r="118" spans="7:23" ht="15.95" hidden="1" customHeight="1">
      <c r="G118" s="10"/>
      <c r="H118" s="10"/>
      <c r="I118" s="10"/>
      <c r="J118" s="10"/>
      <c r="K118" s="10"/>
      <c r="L118" s="10"/>
      <c r="M118" s="11"/>
      <c r="N118" s="11"/>
      <c r="O118" s="11"/>
      <c r="P118" s="11"/>
      <c r="Q118" s="11"/>
      <c r="R118" s="11"/>
      <c r="S118" s="12"/>
      <c r="T118" s="12"/>
      <c r="U118" s="12"/>
      <c r="V118" s="12"/>
      <c r="W118" s="12"/>
    </row>
    <row r="119" spans="7:23" ht="15.95" hidden="1" customHeight="1">
      <c r="G119" s="10"/>
      <c r="H119" s="10"/>
      <c r="I119" s="10"/>
      <c r="J119" s="10"/>
      <c r="K119" s="10"/>
      <c r="L119" s="10"/>
      <c r="M119" s="11"/>
      <c r="N119" s="11"/>
      <c r="O119" s="11"/>
      <c r="P119" s="11"/>
      <c r="Q119" s="11"/>
      <c r="R119" s="11"/>
      <c r="S119" s="12"/>
      <c r="T119" s="12"/>
      <c r="U119" s="12"/>
      <c r="V119" s="12"/>
      <c r="W119" s="12"/>
    </row>
    <row r="120" spans="7:23" ht="15.95" hidden="1" customHeight="1">
      <c r="G120" s="10"/>
      <c r="H120" s="10"/>
      <c r="I120" s="10"/>
      <c r="J120" s="10"/>
      <c r="K120" s="10"/>
      <c r="L120" s="10"/>
      <c r="M120" s="11"/>
      <c r="N120" s="11"/>
      <c r="O120" s="11"/>
      <c r="P120" s="11"/>
      <c r="Q120" s="11"/>
      <c r="R120" s="11"/>
      <c r="S120" s="12"/>
      <c r="T120" s="12"/>
      <c r="U120" s="12"/>
      <c r="V120" s="12"/>
      <c r="W120" s="12"/>
    </row>
    <row r="121" spans="7:23" ht="15.95" hidden="1" customHeight="1">
      <c r="G121" s="10"/>
      <c r="H121" s="10"/>
      <c r="I121" s="10"/>
      <c r="J121" s="10"/>
      <c r="K121" s="10"/>
      <c r="L121" s="10"/>
      <c r="M121" s="11"/>
      <c r="N121" s="11"/>
      <c r="O121" s="11"/>
      <c r="P121" s="11"/>
      <c r="Q121" s="11"/>
      <c r="R121" s="11"/>
      <c r="S121" s="12"/>
      <c r="T121" s="12"/>
      <c r="U121" s="12"/>
      <c r="V121" s="12"/>
      <c r="W121" s="12"/>
    </row>
    <row r="122" spans="7:23" ht="15.95" hidden="1" customHeight="1">
      <c r="G122" s="10"/>
      <c r="H122" s="10"/>
      <c r="I122" s="10"/>
      <c r="J122" s="10"/>
      <c r="K122" s="10"/>
      <c r="L122" s="10"/>
      <c r="M122" s="11"/>
      <c r="N122" s="11"/>
      <c r="O122" s="11"/>
      <c r="P122" s="11"/>
      <c r="Q122" s="11"/>
      <c r="R122" s="11"/>
      <c r="S122" s="12"/>
      <c r="T122" s="12"/>
      <c r="U122" s="12"/>
      <c r="V122" s="12"/>
      <c r="W122" s="12"/>
    </row>
    <row r="123" spans="7:23" ht="15.95" hidden="1" customHeight="1">
      <c r="G123" s="10"/>
      <c r="H123" s="10"/>
      <c r="I123" s="10"/>
      <c r="J123" s="10"/>
      <c r="K123" s="10"/>
      <c r="L123" s="10"/>
      <c r="M123" s="11"/>
      <c r="N123" s="11"/>
      <c r="O123" s="11"/>
      <c r="P123" s="11"/>
      <c r="Q123" s="11"/>
      <c r="R123" s="11"/>
      <c r="S123" s="12"/>
      <c r="T123" s="12"/>
      <c r="U123" s="12"/>
      <c r="V123" s="12"/>
      <c r="W123" s="12"/>
    </row>
    <row r="124" spans="7:23" ht="15.95" hidden="1" customHeight="1">
      <c r="G124" s="10"/>
      <c r="H124" s="10"/>
      <c r="I124" s="10"/>
      <c r="J124" s="10"/>
      <c r="K124" s="10"/>
      <c r="L124" s="10"/>
      <c r="M124" s="11"/>
      <c r="N124" s="11"/>
      <c r="O124" s="11"/>
      <c r="P124" s="11"/>
      <c r="Q124" s="11"/>
      <c r="R124" s="11"/>
      <c r="S124" s="12"/>
      <c r="T124" s="12"/>
      <c r="U124" s="12"/>
      <c r="V124" s="12"/>
      <c r="W124" s="12"/>
    </row>
    <row r="125" spans="7:23" ht="15.95" hidden="1" customHeight="1">
      <c r="G125" s="10"/>
      <c r="H125" s="10"/>
      <c r="I125" s="10"/>
      <c r="J125" s="10"/>
      <c r="K125" s="10"/>
      <c r="L125" s="10"/>
      <c r="M125" s="11"/>
      <c r="N125" s="11"/>
      <c r="O125" s="11"/>
      <c r="P125" s="11"/>
      <c r="Q125" s="11"/>
      <c r="R125" s="11"/>
      <c r="S125" s="12"/>
      <c r="T125" s="12"/>
      <c r="U125" s="12"/>
      <c r="V125" s="12"/>
      <c r="W125" s="12"/>
    </row>
    <row r="126" spans="7:23" ht="15.95" hidden="1" customHeight="1">
      <c r="G126" s="10"/>
      <c r="H126" s="10"/>
      <c r="I126" s="10"/>
      <c r="J126" s="10"/>
      <c r="K126" s="10"/>
      <c r="L126" s="10"/>
      <c r="M126" s="11"/>
      <c r="N126" s="11"/>
      <c r="O126" s="11"/>
      <c r="P126" s="11"/>
      <c r="Q126" s="11"/>
      <c r="R126" s="11"/>
      <c r="S126" s="12"/>
      <c r="T126" s="12"/>
      <c r="U126" s="12"/>
      <c r="V126" s="12"/>
      <c r="W126" s="12"/>
    </row>
    <row r="127" spans="7:23" ht="15.95" hidden="1" customHeight="1">
      <c r="G127" s="10"/>
      <c r="H127" s="10"/>
      <c r="I127" s="10"/>
      <c r="J127" s="10"/>
      <c r="K127" s="10"/>
      <c r="L127" s="10"/>
      <c r="M127" s="11"/>
      <c r="N127" s="11"/>
      <c r="O127" s="11"/>
      <c r="P127" s="11"/>
      <c r="Q127" s="11"/>
      <c r="R127" s="11"/>
      <c r="S127" s="12"/>
      <c r="T127" s="12"/>
      <c r="U127" s="12"/>
      <c r="V127" s="12"/>
      <c r="W127" s="12"/>
    </row>
    <row r="128" spans="7:23" ht="15.95" hidden="1" customHeight="1">
      <c r="G128" s="10"/>
      <c r="H128" s="10"/>
      <c r="I128" s="10"/>
      <c r="J128" s="10"/>
      <c r="K128" s="10"/>
      <c r="L128" s="10"/>
      <c r="M128" s="11"/>
      <c r="N128" s="11"/>
      <c r="O128" s="11"/>
      <c r="P128" s="11"/>
      <c r="Q128" s="11"/>
      <c r="R128" s="11"/>
      <c r="S128" s="12"/>
      <c r="T128" s="12"/>
      <c r="U128" s="12"/>
      <c r="V128" s="12"/>
      <c r="W128" s="12"/>
    </row>
    <row r="129" spans="7:23" ht="15.95" hidden="1" customHeight="1">
      <c r="G129" s="10"/>
      <c r="H129" s="10"/>
      <c r="I129" s="10"/>
      <c r="J129" s="10"/>
      <c r="K129" s="10"/>
      <c r="L129" s="10"/>
      <c r="M129" s="11"/>
      <c r="N129" s="11"/>
      <c r="O129" s="11"/>
      <c r="P129" s="11"/>
      <c r="Q129" s="11"/>
      <c r="R129" s="11"/>
      <c r="S129" s="12"/>
      <c r="T129" s="12"/>
      <c r="U129" s="12"/>
      <c r="V129" s="12"/>
      <c r="W129" s="12"/>
    </row>
    <row r="130" spans="7:23" ht="15.95" hidden="1" customHeight="1">
      <c r="G130" s="10"/>
      <c r="H130" s="10"/>
      <c r="I130" s="10"/>
      <c r="J130" s="10"/>
      <c r="K130" s="10"/>
      <c r="L130" s="10"/>
      <c r="M130" s="11"/>
      <c r="N130" s="11"/>
      <c r="O130" s="11"/>
      <c r="P130" s="11"/>
      <c r="Q130" s="11"/>
      <c r="R130" s="11"/>
      <c r="S130" s="12"/>
      <c r="T130" s="12"/>
      <c r="U130" s="12"/>
      <c r="V130" s="12"/>
      <c r="W130" s="12"/>
    </row>
    <row r="131" spans="7:23" ht="15.95" hidden="1" customHeight="1">
      <c r="G131" s="10"/>
      <c r="H131" s="10"/>
      <c r="I131" s="10"/>
      <c r="J131" s="10"/>
      <c r="K131" s="10"/>
      <c r="L131" s="10"/>
      <c r="M131" s="11"/>
      <c r="N131" s="11"/>
      <c r="O131" s="11"/>
      <c r="P131" s="11"/>
      <c r="Q131" s="11"/>
      <c r="R131" s="11"/>
      <c r="S131" s="12"/>
      <c r="T131" s="12"/>
      <c r="U131" s="12"/>
      <c r="V131" s="12"/>
      <c r="W131" s="12"/>
    </row>
    <row r="132" spans="7:23" ht="15.95" hidden="1" customHeight="1">
      <c r="G132" s="10"/>
      <c r="H132" s="10"/>
      <c r="I132" s="10"/>
      <c r="J132" s="10"/>
      <c r="K132" s="10"/>
      <c r="L132" s="10"/>
      <c r="M132" s="11"/>
      <c r="N132" s="11"/>
      <c r="O132" s="11"/>
      <c r="P132" s="11"/>
      <c r="Q132" s="11"/>
      <c r="R132" s="11"/>
      <c r="S132" s="12"/>
      <c r="T132" s="12"/>
      <c r="U132" s="12"/>
      <c r="V132" s="12"/>
      <c r="W132" s="12"/>
    </row>
    <row r="133" spans="7:23" ht="15.95" hidden="1" customHeight="1">
      <c r="G133" s="10"/>
      <c r="H133" s="10"/>
      <c r="I133" s="10"/>
      <c r="J133" s="10"/>
      <c r="K133" s="10"/>
      <c r="L133" s="10"/>
      <c r="M133" s="11"/>
      <c r="N133" s="11"/>
      <c r="O133" s="11"/>
      <c r="P133" s="11"/>
      <c r="Q133" s="11"/>
      <c r="R133" s="11"/>
      <c r="S133" s="12"/>
      <c r="T133" s="12"/>
      <c r="U133" s="12"/>
      <c r="V133" s="12"/>
      <c r="W133" s="12"/>
    </row>
    <row r="134" spans="7:23" ht="15.95" hidden="1" customHeight="1">
      <c r="G134" s="10"/>
      <c r="H134" s="10"/>
      <c r="I134" s="10"/>
      <c r="J134" s="10"/>
      <c r="K134" s="10"/>
      <c r="L134" s="10"/>
      <c r="M134" s="11"/>
      <c r="N134" s="11"/>
      <c r="O134" s="11"/>
      <c r="P134" s="11"/>
      <c r="Q134" s="11"/>
      <c r="R134" s="11"/>
      <c r="S134" s="12"/>
      <c r="T134" s="12"/>
      <c r="U134" s="12"/>
      <c r="V134" s="12"/>
      <c r="W134" s="12"/>
    </row>
    <row r="135" spans="7:23" ht="15.95" hidden="1" customHeight="1">
      <c r="G135" s="10"/>
      <c r="H135" s="10"/>
      <c r="I135" s="10"/>
      <c r="J135" s="10"/>
      <c r="K135" s="10"/>
      <c r="L135" s="10"/>
      <c r="M135" s="11"/>
      <c r="N135" s="11"/>
      <c r="O135" s="11"/>
      <c r="P135" s="11"/>
      <c r="Q135" s="11"/>
      <c r="R135" s="11"/>
      <c r="S135" s="12"/>
      <c r="T135" s="12"/>
      <c r="U135" s="12"/>
      <c r="V135" s="12"/>
      <c r="W135" s="12"/>
    </row>
    <row r="136" spans="7:23" ht="15.95" hidden="1" customHeight="1">
      <c r="G136" s="10"/>
      <c r="H136" s="10"/>
      <c r="I136" s="10"/>
      <c r="J136" s="10"/>
      <c r="K136" s="10"/>
      <c r="L136" s="10"/>
      <c r="M136" s="11"/>
      <c r="N136" s="11"/>
      <c r="O136" s="11"/>
      <c r="P136" s="11"/>
      <c r="Q136" s="11"/>
      <c r="R136" s="11"/>
      <c r="S136" s="12"/>
      <c r="T136" s="12"/>
      <c r="U136" s="12"/>
      <c r="V136" s="12"/>
      <c r="W136" s="12"/>
    </row>
    <row r="137" spans="7:23" ht="15.95" hidden="1" customHeight="1">
      <c r="G137" s="10"/>
      <c r="H137" s="10"/>
      <c r="I137" s="10"/>
      <c r="J137" s="10"/>
      <c r="K137" s="10"/>
      <c r="L137" s="10"/>
      <c r="M137" s="11"/>
      <c r="N137" s="11"/>
      <c r="O137" s="11"/>
      <c r="P137" s="11"/>
      <c r="Q137" s="11"/>
      <c r="R137" s="11"/>
      <c r="S137" s="12"/>
      <c r="T137" s="12"/>
      <c r="U137" s="12"/>
      <c r="V137" s="12"/>
      <c r="W137" s="12"/>
    </row>
    <row r="138" spans="7:23" ht="15.95" hidden="1" customHeight="1">
      <c r="G138" s="10"/>
      <c r="H138" s="10"/>
      <c r="I138" s="10"/>
      <c r="J138" s="10"/>
      <c r="K138" s="10"/>
      <c r="L138" s="10"/>
      <c r="M138" s="11"/>
      <c r="N138" s="11"/>
      <c r="O138" s="11"/>
      <c r="P138" s="11"/>
      <c r="Q138" s="11"/>
      <c r="R138" s="11"/>
      <c r="S138" s="12"/>
      <c r="T138" s="12"/>
      <c r="U138" s="12"/>
      <c r="V138" s="12"/>
      <c r="W138" s="12"/>
    </row>
    <row r="139" spans="7:23" ht="15.95" hidden="1" customHeight="1">
      <c r="G139" s="10"/>
      <c r="H139" s="10"/>
      <c r="I139" s="10"/>
      <c r="J139" s="10"/>
      <c r="K139" s="10"/>
      <c r="L139" s="10"/>
      <c r="M139" s="11"/>
      <c r="N139" s="11"/>
      <c r="O139" s="11"/>
      <c r="P139" s="11"/>
      <c r="Q139" s="11"/>
      <c r="R139" s="11"/>
      <c r="S139" s="12"/>
      <c r="T139" s="12"/>
      <c r="U139" s="12"/>
      <c r="V139" s="12"/>
      <c r="W139" s="12"/>
    </row>
    <row r="140" spans="7:23" ht="15.95" hidden="1" customHeight="1">
      <c r="G140" s="10"/>
      <c r="H140" s="10"/>
      <c r="I140" s="10"/>
      <c r="J140" s="10"/>
      <c r="K140" s="10"/>
      <c r="L140" s="10"/>
      <c r="M140" s="11"/>
      <c r="N140" s="11"/>
      <c r="O140" s="11"/>
      <c r="P140" s="11"/>
      <c r="Q140" s="11"/>
      <c r="R140" s="11"/>
      <c r="S140" s="12"/>
      <c r="T140" s="12"/>
      <c r="U140" s="12"/>
      <c r="V140" s="12"/>
      <c r="W140" s="12"/>
    </row>
    <row r="141" spans="7:23" ht="15.95" hidden="1" customHeight="1">
      <c r="G141" s="10"/>
      <c r="H141" s="10"/>
      <c r="I141" s="10"/>
      <c r="J141" s="10"/>
      <c r="K141" s="10"/>
      <c r="L141" s="10"/>
      <c r="M141" s="11"/>
      <c r="N141" s="11"/>
      <c r="O141" s="11"/>
      <c r="P141" s="11"/>
      <c r="Q141" s="11"/>
      <c r="R141" s="11"/>
      <c r="S141" s="12"/>
      <c r="T141" s="12"/>
      <c r="U141" s="12"/>
      <c r="V141" s="12"/>
      <c r="W141" s="12"/>
    </row>
    <row r="142" spans="7:23" ht="15.95" hidden="1" customHeight="1">
      <c r="G142" s="10"/>
      <c r="H142" s="10"/>
      <c r="I142" s="10"/>
      <c r="J142" s="10"/>
      <c r="K142" s="10"/>
      <c r="L142" s="10"/>
      <c r="M142" s="11"/>
      <c r="N142" s="11"/>
      <c r="O142" s="11"/>
      <c r="P142" s="11"/>
      <c r="Q142" s="11"/>
      <c r="R142" s="11"/>
      <c r="S142" s="12"/>
      <c r="T142" s="12"/>
      <c r="U142" s="12"/>
      <c r="V142" s="12"/>
      <c r="W142" s="12"/>
    </row>
    <row r="143" spans="7:23" ht="15.95" hidden="1" customHeight="1">
      <c r="G143" s="10"/>
      <c r="H143" s="10"/>
      <c r="I143" s="10"/>
      <c r="J143" s="10"/>
      <c r="K143" s="10"/>
      <c r="L143" s="10"/>
      <c r="M143" s="11"/>
      <c r="N143" s="11"/>
      <c r="O143" s="11"/>
      <c r="P143" s="11"/>
      <c r="Q143" s="11"/>
      <c r="R143" s="11"/>
      <c r="S143" s="12"/>
      <c r="T143" s="12"/>
      <c r="U143" s="12"/>
      <c r="V143" s="12"/>
      <c r="W143" s="12"/>
    </row>
    <row r="144" spans="7:23" ht="15.95" hidden="1" customHeight="1">
      <c r="G144" s="10"/>
      <c r="H144" s="10"/>
      <c r="I144" s="10"/>
      <c r="J144" s="10"/>
      <c r="K144" s="10"/>
      <c r="L144" s="10"/>
      <c r="M144" s="11"/>
      <c r="N144" s="11"/>
      <c r="O144" s="11"/>
      <c r="P144" s="11"/>
      <c r="Q144" s="11"/>
      <c r="R144" s="11"/>
      <c r="S144" s="12"/>
      <c r="T144" s="12"/>
      <c r="U144" s="12"/>
      <c r="V144" s="12"/>
      <c r="W144" s="12"/>
    </row>
    <row r="145" spans="7:23" ht="15.95" hidden="1" customHeight="1">
      <c r="G145" s="10"/>
      <c r="H145" s="10"/>
      <c r="I145" s="10"/>
      <c r="J145" s="10"/>
      <c r="K145" s="10"/>
      <c r="L145" s="10"/>
      <c r="M145" s="11"/>
      <c r="N145" s="11"/>
      <c r="O145" s="11"/>
      <c r="P145" s="11"/>
      <c r="Q145" s="11"/>
      <c r="R145" s="11"/>
      <c r="S145" s="12"/>
      <c r="T145" s="12"/>
      <c r="U145" s="12"/>
      <c r="V145" s="12"/>
      <c r="W145" s="12"/>
    </row>
    <row r="146" spans="7:23" ht="15.95" hidden="1" customHeight="1">
      <c r="G146" s="10"/>
      <c r="H146" s="10"/>
      <c r="I146" s="10"/>
      <c r="J146" s="10"/>
      <c r="K146" s="10"/>
      <c r="L146" s="10"/>
      <c r="M146" s="11"/>
      <c r="N146" s="11"/>
      <c r="O146" s="11"/>
      <c r="P146" s="11"/>
      <c r="Q146" s="11"/>
      <c r="R146" s="11"/>
      <c r="S146" s="12"/>
      <c r="T146" s="12"/>
      <c r="U146" s="12"/>
      <c r="V146" s="12"/>
      <c r="W146" s="12"/>
    </row>
    <row r="147" spans="7:23" ht="15.95" hidden="1" customHeight="1">
      <c r="G147" s="10"/>
      <c r="H147" s="10"/>
      <c r="I147" s="10"/>
      <c r="J147" s="10"/>
      <c r="K147" s="10"/>
      <c r="L147" s="10"/>
      <c r="M147" s="11"/>
      <c r="N147" s="11"/>
      <c r="O147" s="11"/>
      <c r="P147" s="11"/>
      <c r="Q147" s="11"/>
      <c r="R147" s="11"/>
      <c r="S147" s="12"/>
      <c r="T147" s="12"/>
      <c r="U147" s="12"/>
      <c r="V147" s="12"/>
      <c r="W147" s="12"/>
    </row>
    <row r="148" spans="7:23" ht="15.95" hidden="1" customHeight="1">
      <c r="G148" s="10"/>
      <c r="H148" s="10"/>
      <c r="I148" s="10"/>
      <c r="J148" s="10"/>
      <c r="K148" s="10"/>
      <c r="L148" s="10"/>
      <c r="M148" s="11"/>
      <c r="N148" s="11"/>
      <c r="O148" s="11"/>
      <c r="P148" s="11"/>
      <c r="Q148" s="11"/>
      <c r="R148" s="11"/>
      <c r="S148" s="12"/>
      <c r="T148" s="12"/>
      <c r="U148" s="12"/>
      <c r="V148" s="12"/>
      <c r="W148" s="12"/>
    </row>
    <row r="149" spans="7:23" ht="15.95" hidden="1" customHeight="1">
      <c r="G149" s="10"/>
      <c r="H149" s="10"/>
      <c r="I149" s="10"/>
      <c r="J149" s="10"/>
      <c r="K149" s="10"/>
      <c r="L149" s="10"/>
      <c r="M149" s="11"/>
      <c r="N149" s="11"/>
      <c r="O149" s="11"/>
      <c r="P149" s="11"/>
      <c r="Q149" s="11"/>
      <c r="R149" s="11"/>
      <c r="S149" s="12"/>
      <c r="T149" s="12"/>
      <c r="U149" s="12"/>
      <c r="V149" s="12"/>
      <c r="W149" s="12"/>
    </row>
    <row r="150" spans="7:23" ht="15.95" hidden="1" customHeight="1">
      <c r="G150" s="10"/>
      <c r="H150" s="10"/>
      <c r="I150" s="10"/>
      <c r="J150" s="10"/>
      <c r="K150" s="10"/>
      <c r="L150" s="10"/>
      <c r="M150" s="11"/>
      <c r="N150" s="11"/>
      <c r="O150" s="11"/>
      <c r="P150" s="11"/>
      <c r="Q150" s="11"/>
      <c r="R150" s="11"/>
      <c r="S150" s="12"/>
      <c r="T150" s="12"/>
      <c r="U150" s="12"/>
      <c r="V150" s="12"/>
      <c r="W150" s="12"/>
    </row>
    <row r="151" spans="7:23" ht="15.95" hidden="1" customHeight="1">
      <c r="G151" s="10"/>
      <c r="H151" s="10"/>
      <c r="I151" s="10"/>
      <c r="J151" s="10"/>
      <c r="K151" s="10"/>
      <c r="L151" s="10"/>
      <c r="M151" s="11"/>
      <c r="N151" s="11"/>
      <c r="O151" s="11"/>
      <c r="P151" s="11"/>
      <c r="Q151" s="11"/>
      <c r="R151" s="11"/>
      <c r="S151" s="12"/>
      <c r="T151" s="12"/>
      <c r="U151" s="12"/>
      <c r="V151" s="12"/>
      <c r="W151" s="12"/>
    </row>
    <row r="152" spans="7:23" ht="15.95" hidden="1" customHeight="1">
      <c r="G152" s="10"/>
      <c r="H152" s="10"/>
      <c r="I152" s="10"/>
      <c r="J152" s="10"/>
      <c r="K152" s="10"/>
      <c r="L152" s="10"/>
      <c r="M152" s="11"/>
      <c r="N152" s="11"/>
      <c r="O152" s="11"/>
      <c r="P152" s="11"/>
      <c r="Q152" s="11"/>
      <c r="R152" s="11"/>
      <c r="S152" s="12"/>
      <c r="T152" s="12"/>
      <c r="U152" s="12"/>
      <c r="V152" s="12"/>
      <c r="W152" s="12"/>
    </row>
    <row r="153" spans="7:23" ht="15.95" hidden="1" customHeight="1">
      <c r="G153" s="10"/>
      <c r="H153" s="10"/>
      <c r="I153" s="10"/>
      <c r="J153" s="10"/>
      <c r="K153" s="10"/>
      <c r="L153" s="10"/>
      <c r="M153" s="11"/>
      <c r="N153" s="11"/>
      <c r="O153" s="11"/>
      <c r="P153" s="11"/>
      <c r="Q153" s="11"/>
      <c r="R153" s="11"/>
      <c r="S153" s="12"/>
      <c r="T153" s="12"/>
      <c r="U153" s="12"/>
      <c r="V153" s="12"/>
      <c r="W153" s="12"/>
    </row>
    <row r="154" spans="7:23" ht="15.95" hidden="1" customHeight="1">
      <c r="G154" s="10"/>
      <c r="H154" s="10"/>
      <c r="I154" s="10"/>
      <c r="J154" s="10"/>
      <c r="K154" s="10"/>
      <c r="L154" s="10"/>
      <c r="M154" s="11"/>
      <c r="N154" s="11"/>
      <c r="O154" s="11"/>
      <c r="P154" s="11"/>
      <c r="Q154" s="11"/>
      <c r="R154" s="11"/>
      <c r="S154" s="12"/>
      <c r="T154" s="12"/>
      <c r="U154" s="12"/>
      <c r="V154" s="12"/>
      <c r="W154" s="12"/>
    </row>
    <row r="155" spans="7:23" ht="15.95" hidden="1" customHeight="1">
      <c r="G155" s="10"/>
      <c r="H155" s="10"/>
      <c r="I155" s="10"/>
      <c r="J155" s="10"/>
      <c r="K155" s="10"/>
      <c r="L155" s="10"/>
      <c r="M155" s="11"/>
      <c r="N155" s="11"/>
      <c r="O155" s="11"/>
      <c r="P155" s="11"/>
      <c r="Q155" s="11"/>
      <c r="R155" s="11"/>
      <c r="S155" s="12"/>
      <c r="T155" s="12"/>
      <c r="U155" s="12"/>
      <c r="V155" s="12"/>
      <c r="W155" s="12"/>
    </row>
    <row r="156" spans="7:23" ht="15.95" hidden="1" customHeight="1">
      <c r="G156" s="10"/>
      <c r="H156" s="10"/>
      <c r="I156" s="10"/>
      <c r="J156" s="10"/>
      <c r="K156" s="10"/>
      <c r="L156" s="10"/>
      <c r="M156" s="11"/>
      <c r="N156" s="11"/>
      <c r="O156" s="11"/>
      <c r="P156" s="11"/>
      <c r="Q156" s="11"/>
      <c r="R156" s="11"/>
      <c r="S156" s="12"/>
      <c r="T156" s="12"/>
      <c r="U156" s="12"/>
      <c r="V156" s="12"/>
      <c r="W156" s="12"/>
    </row>
    <row r="157" spans="7:23" ht="15.95" hidden="1" customHeight="1">
      <c r="G157" s="10"/>
      <c r="H157" s="10"/>
      <c r="I157" s="10"/>
      <c r="J157" s="10"/>
      <c r="K157" s="10"/>
      <c r="L157" s="10"/>
      <c r="M157" s="11"/>
      <c r="N157" s="11"/>
      <c r="O157" s="11"/>
      <c r="P157" s="11"/>
      <c r="Q157" s="11"/>
      <c r="R157" s="11"/>
      <c r="S157" s="12"/>
      <c r="T157" s="12"/>
      <c r="U157" s="12"/>
      <c r="V157" s="12"/>
      <c r="W157" s="12"/>
    </row>
    <row r="158" spans="7:23" ht="15.95" hidden="1" customHeight="1">
      <c r="G158" s="10"/>
      <c r="H158" s="10"/>
      <c r="I158" s="10"/>
      <c r="J158" s="10"/>
      <c r="K158" s="10"/>
      <c r="L158" s="10"/>
      <c r="M158" s="11"/>
      <c r="N158" s="11"/>
      <c r="O158" s="11"/>
      <c r="P158" s="11"/>
      <c r="Q158" s="11"/>
      <c r="R158" s="11"/>
      <c r="S158" s="12"/>
      <c r="T158" s="12"/>
      <c r="U158" s="12"/>
      <c r="V158" s="12"/>
      <c r="W158" s="12"/>
    </row>
    <row r="159" spans="7:23" ht="15.95" hidden="1" customHeight="1">
      <c r="G159" s="10"/>
      <c r="H159" s="10"/>
      <c r="I159" s="10"/>
      <c r="J159" s="10"/>
      <c r="K159" s="10"/>
      <c r="L159" s="10"/>
      <c r="M159" s="11"/>
      <c r="N159" s="11"/>
      <c r="O159" s="11"/>
      <c r="P159" s="11"/>
      <c r="Q159" s="11"/>
      <c r="R159" s="11"/>
      <c r="S159" s="12"/>
      <c r="T159" s="12"/>
      <c r="U159" s="12"/>
      <c r="V159" s="12"/>
      <c r="W159" s="12"/>
    </row>
    <row r="160" spans="7:23" ht="15.95" hidden="1" customHeight="1">
      <c r="G160" s="10"/>
      <c r="H160" s="10"/>
      <c r="I160" s="10"/>
      <c r="J160" s="10"/>
      <c r="K160" s="10"/>
      <c r="L160" s="10"/>
      <c r="M160" s="11"/>
      <c r="N160" s="11"/>
      <c r="O160" s="11"/>
      <c r="P160" s="11"/>
      <c r="Q160" s="11"/>
      <c r="R160" s="11"/>
      <c r="S160" s="12"/>
      <c r="T160" s="12"/>
      <c r="U160" s="12"/>
      <c r="V160" s="12"/>
      <c r="W160" s="12"/>
    </row>
    <row r="161" spans="7:23" ht="15.95" hidden="1" customHeight="1">
      <c r="G161" s="10"/>
      <c r="H161" s="10"/>
      <c r="I161" s="10"/>
      <c r="J161" s="10"/>
      <c r="K161" s="10"/>
      <c r="L161" s="10"/>
      <c r="M161" s="11"/>
      <c r="N161" s="11"/>
      <c r="O161" s="11"/>
      <c r="P161" s="11"/>
      <c r="Q161" s="11"/>
      <c r="R161" s="11"/>
      <c r="S161" s="12"/>
      <c r="T161" s="12"/>
      <c r="U161" s="12"/>
      <c r="V161" s="12"/>
      <c r="W161" s="12"/>
    </row>
    <row r="162" spans="7:23" ht="15.95" hidden="1" customHeight="1">
      <c r="G162" s="10"/>
      <c r="H162" s="10"/>
      <c r="I162" s="10"/>
      <c r="J162" s="10"/>
      <c r="K162" s="10"/>
      <c r="L162" s="10"/>
      <c r="M162" s="11"/>
      <c r="N162" s="11"/>
      <c r="O162" s="11"/>
      <c r="P162" s="11"/>
      <c r="Q162" s="11"/>
      <c r="R162" s="11"/>
      <c r="S162" s="12"/>
      <c r="T162" s="12"/>
      <c r="U162" s="12"/>
      <c r="V162" s="12"/>
      <c r="W162" s="12"/>
    </row>
    <row r="163" spans="7:23" ht="15.95" hidden="1" customHeight="1">
      <c r="G163" s="10"/>
      <c r="H163" s="10"/>
      <c r="I163" s="10"/>
      <c r="J163" s="10"/>
      <c r="K163" s="10"/>
      <c r="L163" s="10"/>
      <c r="M163" s="11"/>
      <c r="N163" s="11"/>
      <c r="O163" s="11"/>
      <c r="P163" s="11"/>
      <c r="Q163" s="11"/>
      <c r="R163" s="11"/>
      <c r="S163" s="12"/>
      <c r="T163" s="12"/>
      <c r="U163" s="12"/>
      <c r="V163" s="12"/>
      <c r="W163" s="12"/>
    </row>
    <row r="164" spans="7:23" ht="15.95" hidden="1" customHeight="1">
      <c r="G164" s="10"/>
      <c r="H164" s="10"/>
      <c r="I164" s="10"/>
      <c r="J164" s="10"/>
      <c r="K164" s="10"/>
      <c r="L164" s="10"/>
      <c r="M164" s="11"/>
      <c r="N164" s="11"/>
      <c r="O164" s="11"/>
      <c r="P164" s="11"/>
      <c r="Q164" s="11"/>
      <c r="R164" s="11"/>
      <c r="S164" s="12"/>
      <c r="T164" s="12"/>
      <c r="U164" s="12"/>
      <c r="V164" s="12"/>
      <c r="W164" s="12"/>
    </row>
    <row r="165" spans="7:23" ht="15.95" hidden="1" customHeight="1">
      <c r="G165" s="10"/>
      <c r="H165" s="10"/>
      <c r="I165" s="10"/>
      <c r="J165" s="10"/>
      <c r="K165" s="10"/>
      <c r="L165" s="10"/>
      <c r="M165" s="11"/>
      <c r="N165" s="11"/>
      <c r="O165" s="11"/>
      <c r="P165" s="11"/>
      <c r="Q165" s="11"/>
      <c r="R165" s="11"/>
      <c r="S165" s="12"/>
      <c r="T165" s="12"/>
      <c r="U165" s="12"/>
      <c r="V165" s="12"/>
      <c r="W165" s="12"/>
    </row>
    <row r="166" spans="7:23" ht="15.95" hidden="1" customHeight="1">
      <c r="G166" s="10"/>
      <c r="H166" s="10"/>
      <c r="I166" s="10"/>
      <c r="J166" s="10"/>
      <c r="K166" s="10"/>
      <c r="L166" s="10"/>
      <c r="M166" s="11"/>
      <c r="N166" s="11"/>
      <c r="O166" s="11"/>
      <c r="P166" s="11"/>
      <c r="Q166" s="11"/>
      <c r="R166" s="11"/>
      <c r="S166" s="12"/>
      <c r="T166" s="12"/>
      <c r="U166" s="12"/>
      <c r="V166" s="12"/>
      <c r="W166" s="12"/>
    </row>
    <row r="167" spans="7:23" ht="15.95" hidden="1" customHeight="1">
      <c r="G167" s="10"/>
      <c r="H167" s="10"/>
      <c r="I167" s="10"/>
      <c r="J167" s="10"/>
      <c r="K167" s="10"/>
      <c r="L167" s="10"/>
      <c r="M167" s="11"/>
      <c r="N167" s="11"/>
      <c r="O167" s="11"/>
      <c r="P167" s="11"/>
      <c r="Q167" s="11"/>
      <c r="R167" s="11"/>
      <c r="S167" s="12"/>
      <c r="T167" s="12"/>
      <c r="U167" s="12"/>
      <c r="V167" s="12"/>
      <c r="W167" s="12"/>
    </row>
    <row r="168" spans="7:23" ht="15.95" hidden="1" customHeight="1">
      <c r="G168" s="10"/>
      <c r="H168" s="10"/>
      <c r="I168" s="10"/>
      <c r="J168" s="10"/>
      <c r="K168" s="10"/>
      <c r="L168" s="10"/>
      <c r="M168" s="11"/>
      <c r="N168" s="11"/>
      <c r="O168" s="11"/>
      <c r="P168" s="11"/>
      <c r="Q168" s="11"/>
      <c r="R168" s="11"/>
      <c r="S168" s="12"/>
      <c r="T168" s="12"/>
      <c r="U168" s="12"/>
      <c r="V168" s="12"/>
      <c r="W168" s="12"/>
    </row>
    <row r="169" spans="7:23" ht="15.95" hidden="1" customHeight="1">
      <c r="G169" s="10"/>
      <c r="H169" s="10"/>
      <c r="I169" s="10"/>
      <c r="J169" s="10"/>
      <c r="K169" s="10"/>
      <c r="L169" s="10"/>
      <c r="M169" s="11"/>
      <c r="N169" s="11"/>
      <c r="O169" s="11"/>
      <c r="P169" s="11"/>
      <c r="Q169" s="11"/>
      <c r="R169" s="11"/>
      <c r="S169" s="12"/>
      <c r="T169" s="12"/>
      <c r="U169" s="12"/>
      <c r="V169" s="12"/>
      <c r="W169" s="12"/>
    </row>
    <row r="170" spans="7:23" ht="15.95" hidden="1" customHeight="1">
      <c r="G170" s="10"/>
      <c r="H170" s="10"/>
      <c r="I170" s="10"/>
      <c r="J170" s="10"/>
      <c r="K170" s="10"/>
      <c r="L170" s="10"/>
      <c r="M170" s="11"/>
      <c r="N170" s="11"/>
      <c r="O170" s="11"/>
      <c r="P170" s="11"/>
      <c r="Q170" s="11"/>
      <c r="R170" s="11"/>
      <c r="S170" s="12"/>
      <c r="T170" s="12"/>
      <c r="U170" s="12"/>
      <c r="V170" s="12"/>
      <c r="W170" s="12"/>
    </row>
    <row r="171" spans="7:23" ht="15.95" hidden="1" customHeight="1">
      <c r="G171" s="10"/>
      <c r="H171" s="10"/>
      <c r="I171" s="10"/>
      <c r="J171" s="10"/>
      <c r="K171" s="10"/>
      <c r="L171" s="10"/>
      <c r="M171" s="11"/>
      <c r="N171" s="11"/>
      <c r="O171" s="11"/>
      <c r="P171" s="11"/>
      <c r="Q171" s="11"/>
      <c r="R171" s="11"/>
      <c r="S171" s="12"/>
      <c r="T171" s="12"/>
      <c r="U171" s="12"/>
      <c r="V171" s="12"/>
      <c r="W171" s="12"/>
    </row>
    <row r="172" spans="7:23" ht="15.95" hidden="1" customHeight="1">
      <c r="G172" s="10"/>
      <c r="H172" s="10"/>
      <c r="I172" s="10"/>
      <c r="J172" s="10"/>
      <c r="K172" s="10"/>
      <c r="L172" s="10"/>
      <c r="M172" s="11"/>
      <c r="N172" s="11"/>
      <c r="O172" s="11"/>
      <c r="P172" s="11"/>
      <c r="Q172" s="11"/>
      <c r="R172" s="11"/>
      <c r="S172" s="12"/>
      <c r="T172" s="12"/>
      <c r="U172" s="12"/>
      <c r="V172" s="12"/>
      <c r="W172" s="12"/>
    </row>
    <row r="173" spans="7:23" ht="15.95" hidden="1" customHeight="1">
      <c r="G173" s="10"/>
      <c r="H173" s="10"/>
      <c r="I173" s="10"/>
      <c r="J173" s="10"/>
      <c r="K173" s="10"/>
      <c r="L173" s="10"/>
      <c r="M173" s="11"/>
      <c r="N173" s="11"/>
      <c r="O173" s="11"/>
      <c r="P173" s="11"/>
      <c r="Q173" s="11"/>
      <c r="R173" s="11"/>
      <c r="S173" s="12"/>
      <c r="T173" s="12"/>
      <c r="U173" s="12"/>
      <c r="V173" s="12"/>
      <c r="W173" s="12"/>
    </row>
    <row r="174" spans="7:23" ht="15.95" hidden="1" customHeight="1">
      <c r="G174" s="10"/>
      <c r="H174" s="10"/>
      <c r="I174" s="10"/>
      <c r="J174" s="10"/>
      <c r="K174" s="10"/>
      <c r="L174" s="10"/>
      <c r="M174" s="11"/>
      <c r="N174" s="11"/>
      <c r="O174" s="11"/>
      <c r="P174" s="11"/>
      <c r="Q174" s="11"/>
      <c r="R174" s="11"/>
      <c r="S174" s="12"/>
      <c r="T174" s="12"/>
      <c r="U174" s="12"/>
      <c r="V174" s="12"/>
      <c r="W174" s="12"/>
    </row>
    <row r="175" spans="7:23" ht="15.95" hidden="1" customHeight="1">
      <c r="G175" s="10"/>
      <c r="H175" s="10"/>
      <c r="I175" s="10"/>
      <c r="J175" s="10"/>
      <c r="K175" s="10"/>
      <c r="L175" s="10"/>
      <c r="M175" s="11"/>
      <c r="N175" s="11"/>
      <c r="O175" s="11"/>
      <c r="P175" s="11"/>
      <c r="Q175" s="11"/>
      <c r="R175" s="11"/>
      <c r="S175" s="12"/>
      <c r="T175" s="12"/>
      <c r="U175" s="12"/>
      <c r="V175" s="12"/>
      <c r="W175" s="12"/>
    </row>
    <row r="176" spans="7:23" ht="15.95" hidden="1" customHeight="1">
      <c r="G176" s="10"/>
      <c r="H176" s="10"/>
      <c r="I176" s="10"/>
      <c r="J176" s="10"/>
      <c r="K176" s="10"/>
      <c r="L176" s="10"/>
      <c r="M176" s="11"/>
      <c r="N176" s="11"/>
      <c r="O176" s="11"/>
      <c r="P176" s="11"/>
      <c r="Q176" s="11"/>
      <c r="R176" s="11"/>
      <c r="S176" s="12"/>
      <c r="T176" s="12"/>
      <c r="U176" s="12"/>
      <c r="V176" s="12"/>
      <c r="W176" s="12"/>
    </row>
    <row r="177" spans="7:23" ht="15.95" hidden="1" customHeight="1">
      <c r="G177" s="10"/>
      <c r="H177" s="10"/>
      <c r="I177" s="10"/>
      <c r="J177" s="10"/>
      <c r="K177" s="10"/>
      <c r="L177" s="10"/>
      <c r="M177" s="11"/>
      <c r="N177" s="11"/>
      <c r="O177" s="11"/>
      <c r="P177" s="11"/>
      <c r="Q177" s="11"/>
      <c r="R177" s="11"/>
      <c r="S177" s="12"/>
      <c r="T177" s="12"/>
      <c r="U177" s="12"/>
      <c r="V177" s="12"/>
      <c r="W177" s="12"/>
    </row>
    <row r="178" spans="7:23" ht="15.95" hidden="1" customHeight="1">
      <c r="G178" s="10"/>
      <c r="H178" s="10"/>
      <c r="I178" s="10"/>
      <c r="J178" s="10"/>
      <c r="K178" s="10"/>
      <c r="L178" s="10"/>
      <c r="M178" s="11"/>
      <c r="N178" s="11"/>
      <c r="O178" s="11"/>
      <c r="P178" s="11"/>
      <c r="Q178" s="11"/>
      <c r="R178" s="11"/>
      <c r="S178" s="12"/>
      <c r="T178" s="12"/>
      <c r="U178" s="12"/>
      <c r="V178" s="12"/>
      <c r="W178" s="12"/>
    </row>
    <row r="179" spans="7:23" ht="15.95" hidden="1" customHeight="1">
      <c r="G179" s="10"/>
      <c r="H179" s="10"/>
      <c r="I179" s="10"/>
      <c r="J179" s="10"/>
      <c r="K179" s="10"/>
      <c r="L179" s="10"/>
      <c r="M179" s="11"/>
      <c r="N179" s="11"/>
      <c r="O179" s="11"/>
      <c r="P179" s="11"/>
      <c r="Q179" s="11"/>
      <c r="R179" s="11"/>
      <c r="S179" s="12"/>
      <c r="T179" s="12"/>
      <c r="U179" s="12"/>
      <c r="V179" s="12"/>
      <c r="W179" s="12"/>
    </row>
    <row r="180" spans="7:23" ht="15.95" hidden="1" customHeight="1">
      <c r="G180" s="10"/>
      <c r="H180" s="10"/>
      <c r="I180" s="10"/>
      <c r="J180" s="10"/>
      <c r="K180" s="10"/>
      <c r="L180" s="10"/>
      <c r="M180" s="11"/>
      <c r="N180" s="11"/>
      <c r="O180" s="11"/>
      <c r="P180" s="11"/>
      <c r="Q180" s="11"/>
      <c r="R180" s="11"/>
      <c r="S180" s="12"/>
      <c r="T180" s="12"/>
      <c r="U180" s="12"/>
      <c r="V180" s="12"/>
      <c r="W180" s="12"/>
    </row>
    <row r="181" spans="7:23" ht="15.95" hidden="1" customHeight="1">
      <c r="G181" s="10"/>
      <c r="H181" s="10"/>
      <c r="I181" s="10"/>
      <c r="J181" s="10"/>
      <c r="K181" s="10"/>
      <c r="L181" s="10"/>
      <c r="M181" s="11"/>
      <c r="N181" s="11"/>
      <c r="O181" s="11"/>
      <c r="P181" s="11"/>
      <c r="Q181" s="11"/>
      <c r="R181" s="11"/>
      <c r="S181" s="12"/>
      <c r="T181" s="12"/>
      <c r="U181" s="12"/>
      <c r="V181" s="12"/>
      <c r="W181" s="12"/>
    </row>
    <row r="182" spans="7:23" ht="15.95" hidden="1" customHeight="1">
      <c r="G182" s="10"/>
      <c r="H182" s="10"/>
      <c r="I182" s="10"/>
      <c r="J182" s="10"/>
      <c r="K182" s="10"/>
      <c r="L182" s="10"/>
      <c r="M182" s="11"/>
      <c r="N182" s="11"/>
      <c r="O182" s="11"/>
      <c r="P182" s="11"/>
      <c r="Q182" s="11"/>
      <c r="R182" s="11"/>
      <c r="S182" s="12"/>
      <c r="T182" s="12"/>
      <c r="U182" s="12"/>
      <c r="V182" s="12"/>
      <c r="W182" s="12"/>
    </row>
    <row r="183" spans="7:23" ht="15.95" hidden="1" customHeight="1">
      <c r="G183" s="10"/>
      <c r="H183" s="10"/>
      <c r="I183" s="10"/>
      <c r="J183" s="10"/>
      <c r="K183" s="10"/>
      <c r="L183" s="10"/>
      <c r="M183" s="11"/>
      <c r="N183" s="11"/>
      <c r="O183" s="11"/>
      <c r="P183" s="11"/>
      <c r="Q183" s="11"/>
      <c r="R183" s="11"/>
      <c r="S183" s="12"/>
      <c r="T183" s="12"/>
      <c r="U183" s="12"/>
      <c r="V183" s="12"/>
      <c r="W183" s="12"/>
    </row>
    <row r="184" spans="7:23" ht="15.95" hidden="1" customHeight="1">
      <c r="G184" s="10"/>
      <c r="H184" s="10"/>
      <c r="I184" s="10"/>
      <c r="J184" s="10"/>
      <c r="K184" s="10"/>
      <c r="L184" s="10"/>
      <c r="M184" s="11"/>
      <c r="N184" s="11"/>
      <c r="O184" s="11"/>
      <c r="P184" s="11"/>
      <c r="Q184" s="11"/>
      <c r="R184" s="11"/>
      <c r="S184" s="12"/>
      <c r="T184" s="12"/>
      <c r="U184" s="12"/>
      <c r="V184" s="12"/>
      <c r="W184" s="12"/>
    </row>
    <row r="185" spans="7:23" ht="15.95" hidden="1" customHeight="1">
      <c r="G185" s="10"/>
      <c r="H185" s="10"/>
      <c r="I185" s="10"/>
      <c r="J185" s="10"/>
      <c r="K185" s="10"/>
      <c r="L185" s="10"/>
      <c r="M185" s="11"/>
      <c r="N185" s="11"/>
      <c r="O185" s="11"/>
      <c r="P185" s="11"/>
      <c r="Q185" s="11"/>
      <c r="R185" s="11"/>
      <c r="S185" s="12"/>
      <c r="T185" s="12"/>
      <c r="U185" s="12"/>
      <c r="V185" s="12"/>
      <c r="W185" s="12"/>
    </row>
    <row r="186" spans="7:23" ht="15.95" hidden="1" customHeight="1">
      <c r="G186" s="10"/>
      <c r="H186" s="10"/>
      <c r="I186" s="10"/>
      <c r="J186" s="10"/>
      <c r="K186" s="10"/>
      <c r="L186" s="10"/>
      <c r="M186" s="11"/>
      <c r="N186" s="11"/>
      <c r="O186" s="11"/>
      <c r="P186" s="11"/>
      <c r="Q186" s="11"/>
      <c r="R186" s="11"/>
      <c r="S186" s="12"/>
      <c r="T186" s="12"/>
      <c r="U186" s="12"/>
      <c r="V186" s="12"/>
      <c r="W186" s="12"/>
    </row>
    <row r="187" spans="7:23" ht="15.95" hidden="1" customHeight="1">
      <c r="G187" s="10"/>
      <c r="H187" s="10"/>
      <c r="I187" s="10"/>
      <c r="J187" s="10"/>
      <c r="K187" s="10"/>
      <c r="L187" s="10"/>
      <c r="M187" s="11"/>
      <c r="N187" s="11"/>
      <c r="O187" s="11"/>
      <c r="P187" s="11"/>
      <c r="Q187" s="11"/>
      <c r="R187" s="11"/>
      <c r="S187" s="12"/>
      <c r="T187" s="12"/>
      <c r="U187" s="12"/>
      <c r="V187" s="12"/>
      <c r="W187" s="12"/>
    </row>
    <row r="188" spans="7:23" ht="15.95" hidden="1" customHeight="1">
      <c r="G188" s="10"/>
      <c r="H188" s="10"/>
      <c r="I188" s="10"/>
      <c r="J188" s="10"/>
      <c r="K188" s="10"/>
      <c r="L188" s="10"/>
      <c r="M188" s="11"/>
      <c r="N188" s="11"/>
      <c r="O188" s="11"/>
      <c r="P188" s="11"/>
      <c r="Q188" s="11"/>
      <c r="R188" s="11"/>
      <c r="S188" s="12"/>
      <c r="T188" s="12"/>
      <c r="U188" s="12"/>
      <c r="V188" s="12"/>
      <c r="W188" s="12"/>
    </row>
    <row r="189" spans="7:23" ht="15.95" hidden="1" customHeight="1">
      <c r="G189" s="10"/>
      <c r="H189" s="10"/>
      <c r="I189" s="10"/>
      <c r="J189" s="10"/>
      <c r="K189" s="10"/>
      <c r="L189" s="10"/>
      <c r="M189" s="11"/>
      <c r="N189" s="11"/>
      <c r="O189" s="11"/>
      <c r="P189" s="11"/>
      <c r="Q189" s="11"/>
      <c r="R189" s="11"/>
      <c r="S189" s="12"/>
      <c r="T189" s="12"/>
      <c r="U189" s="12"/>
      <c r="V189" s="12"/>
      <c r="W189" s="12"/>
    </row>
    <row r="190" spans="7:23" ht="15.95" hidden="1" customHeight="1">
      <c r="G190" s="10"/>
      <c r="H190" s="10"/>
      <c r="I190" s="10"/>
      <c r="J190" s="10"/>
      <c r="K190" s="10"/>
      <c r="L190" s="10"/>
      <c r="M190" s="11"/>
      <c r="N190" s="11"/>
      <c r="O190" s="11"/>
      <c r="P190" s="11"/>
      <c r="Q190" s="11"/>
      <c r="R190" s="11"/>
      <c r="S190" s="12"/>
      <c r="T190" s="12"/>
      <c r="U190" s="12"/>
      <c r="V190" s="12"/>
      <c r="W190" s="12"/>
    </row>
    <row r="191" spans="7:23" ht="15.95" hidden="1" customHeight="1">
      <c r="G191" s="10"/>
      <c r="H191" s="10"/>
      <c r="I191" s="10"/>
      <c r="J191" s="10"/>
      <c r="K191" s="10"/>
      <c r="L191" s="10"/>
      <c r="M191" s="11"/>
      <c r="N191" s="11"/>
      <c r="O191" s="11"/>
      <c r="P191" s="11"/>
      <c r="Q191" s="11"/>
      <c r="R191" s="11"/>
      <c r="S191" s="12"/>
      <c r="T191" s="12"/>
      <c r="U191" s="12"/>
      <c r="V191" s="12"/>
      <c r="W191" s="12"/>
    </row>
    <row r="192" spans="7:23" ht="15.95" hidden="1" customHeight="1">
      <c r="G192" s="10"/>
      <c r="H192" s="10"/>
      <c r="I192" s="10"/>
      <c r="J192" s="10"/>
      <c r="K192" s="10"/>
      <c r="L192" s="10"/>
      <c r="M192" s="11"/>
      <c r="N192" s="11"/>
      <c r="O192" s="11"/>
      <c r="P192" s="11"/>
      <c r="Q192" s="11"/>
      <c r="R192" s="11"/>
      <c r="S192" s="12"/>
      <c r="T192" s="12"/>
      <c r="U192" s="12"/>
      <c r="V192" s="12"/>
      <c r="W192" s="12"/>
    </row>
    <row r="193" spans="1:49" ht="15.95" hidden="1" customHeight="1">
      <c r="G193" s="10"/>
      <c r="H193" s="10"/>
      <c r="I193" s="10"/>
      <c r="J193" s="10"/>
      <c r="K193" s="10"/>
      <c r="L193" s="10"/>
      <c r="M193" s="11"/>
      <c r="N193" s="11"/>
      <c r="O193" s="11"/>
      <c r="P193" s="11"/>
      <c r="Q193" s="11"/>
      <c r="R193" s="11"/>
      <c r="S193" s="12"/>
      <c r="T193" s="12"/>
      <c r="U193" s="12"/>
      <c r="V193" s="12"/>
      <c r="W193" s="12"/>
    </row>
    <row r="194" spans="1:49" ht="15.95" hidden="1" customHeight="1">
      <c r="G194" s="10"/>
      <c r="H194" s="10"/>
      <c r="I194" s="10"/>
      <c r="J194" s="10"/>
      <c r="K194" s="10"/>
      <c r="L194" s="10"/>
      <c r="M194" s="11"/>
      <c r="N194" s="11"/>
      <c r="O194" s="11"/>
      <c r="P194" s="11"/>
      <c r="Q194" s="11"/>
      <c r="R194" s="11"/>
      <c r="S194" s="12"/>
      <c r="T194" s="12"/>
      <c r="U194" s="12"/>
      <c r="V194" s="12"/>
      <c r="W194" s="12"/>
    </row>
    <row r="195" spans="1:49" ht="15.95" hidden="1" customHeight="1">
      <c r="G195" s="10"/>
      <c r="H195" s="10"/>
      <c r="I195" s="10"/>
      <c r="J195" s="10"/>
      <c r="K195" s="10"/>
      <c r="L195" s="10"/>
      <c r="M195" s="11"/>
      <c r="N195" s="11"/>
      <c r="O195" s="11"/>
      <c r="P195" s="11"/>
      <c r="Q195" s="11"/>
      <c r="R195" s="11"/>
      <c r="S195" s="12"/>
      <c r="T195" s="12"/>
      <c r="U195" s="12"/>
      <c r="V195" s="12"/>
      <c r="W195" s="12"/>
    </row>
    <row r="196" spans="1:49" ht="15.95" hidden="1" customHeight="1">
      <c r="G196" s="10"/>
      <c r="H196" s="10"/>
      <c r="I196" s="10"/>
      <c r="J196" s="10"/>
      <c r="K196" s="10"/>
      <c r="L196" s="10"/>
      <c r="M196" s="11"/>
      <c r="N196" s="11"/>
      <c r="O196" s="11"/>
      <c r="P196" s="11"/>
      <c r="Q196" s="11"/>
      <c r="R196" s="11"/>
      <c r="S196" s="12"/>
      <c r="T196" s="12"/>
      <c r="U196" s="12"/>
      <c r="V196" s="12"/>
      <c r="W196" s="12"/>
    </row>
    <row r="197" spans="1:49" ht="15.95" hidden="1" customHeight="1">
      <c r="G197" s="10"/>
      <c r="H197" s="10"/>
      <c r="I197" s="10"/>
      <c r="J197" s="10"/>
      <c r="K197" s="10"/>
      <c r="L197" s="10"/>
      <c r="M197" s="11"/>
      <c r="N197" s="11"/>
      <c r="O197" s="11"/>
      <c r="P197" s="11"/>
      <c r="Q197" s="11"/>
      <c r="R197" s="11"/>
      <c r="S197" s="12"/>
      <c r="T197" s="12"/>
      <c r="U197" s="12"/>
      <c r="V197" s="12"/>
      <c r="W197" s="12"/>
    </row>
    <row r="198" spans="1:49" ht="15.95" hidden="1" customHeight="1">
      <c r="G198" s="10"/>
      <c r="H198" s="10"/>
      <c r="I198" s="10"/>
      <c r="J198" s="10"/>
      <c r="K198" s="10"/>
      <c r="L198" s="10"/>
      <c r="M198" s="11"/>
      <c r="N198" s="11"/>
      <c r="O198" s="11"/>
      <c r="P198" s="11"/>
      <c r="Q198" s="11"/>
      <c r="R198" s="11"/>
      <c r="S198" s="12"/>
      <c r="T198" s="12"/>
      <c r="U198" s="12"/>
      <c r="V198" s="12"/>
      <c r="W198" s="12"/>
    </row>
    <row r="199" spans="1:49" ht="15.95" hidden="1" customHeight="1">
      <c r="G199" s="10"/>
      <c r="H199" s="10"/>
      <c r="I199" s="10"/>
      <c r="J199" s="10"/>
      <c r="K199" s="10"/>
      <c r="L199" s="10"/>
      <c r="M199" s="11"/>
      <c r="N199" s="11"/>
      <c r="O199" s="11"/>
      <c r="P199" s="11"/>
      <c r="Q199" s="11"/>
      <c r="R199" s="11"/>
      <c r="S199" s="12"/>
      <c r="T199" s="12"/>
      <c r="U199" s="12"/>
      <c r="V199" s="12"/>
      <c r="W199" s="12"/>
    </row>
    <row r="200" spans="1:49" s="70" customFormat="1" ht="15.95" customHeight="1">
      <c r="A200" s="199"/>
      <c r="B200" s="200" t="str">
        <f>FOOT1</f>
        <v>Evergy Business Energy Savings Program</v>
      </c>
      <c r="C200" s="200"/>
      <c r="D200" s="200"/>
      <c r="E200" s="200"/>
      <c r="F200" s="200"/>
      <c r="G200" s="200"/>
      <c r="H200" s="200"/>
      <c r="I200" s="200"/>
      <c r="J200" s="200"/>
      <c r="K200" s="200"/>
      <c r="L200" s="200"/>
      <c r="M200" s="200"/>
      <c r="N200" s="200"/>
      <c r="O200" s="200"/>
      <c r="P200" s="200"/>
      <c r="Q200" s="632" t="str">
        <f>FOOTDISCLAIM</f>
        <v/>
      </c>
      <c r="R200" s="632"/>
      <c r="S200" s="632"/>
      <c r="T200" s="632"/>
      <c r="U200" s="632"/>
      <c r="V200" s="632"/>
      <c r="W200" s="632"/>
      <c r="X200" s="632"/>
      <c r="Y200" s="632"/>
      <c r="Z200" s="632"/>
      <c r="AA200" s="632"/>
      <c r="AB200" s="632"/>
      <c r="AC200" s="632"/>
      <c r="AD200" s="632"/>
      <c r="AE200" s="632"/>
      <c r="AF200" s="632"/>
      <c r="AG200" s="632"/>
      <c r="AH200" s="632"/>
      <c r="AI200" s="632"/>
      <c r="AJ200" s="632"/>
      <c r="AK200" s="632"/>
      <c r="AL200" s="200"/>
      <c r="AM200" s="200"/>
      <c r="AN200" s="200"/>
      <c r="AO200" s="200"/>
      <c r="AP200" s="200"/>
      <c r="AQ200" s="200"/>
      <c r="AR200" s="200"/>
      <c r="AS200" s="200"/>
      <c r="AT200" s="200"/>
      <c r="AU200" s="200"/>
      <c r="AV200" s="217" t="str">
        <f>FOOT4</f>
        <v/>
      </c>
      <c r="AW200" s="199"/>
    </row>
    <row r="201" spans="1:49" s="70" customFormat="1" ht="15.95" customHeight="1">
      <c r="A201" s="199"/>
      <c r="B201" s="200" t="str">
        <f>FOOT2</f>
        <v>(844)687-0229</v>
      </c>
      <c r="C201" s="200"/>
      <c r="D201" s="200"/>
      <c r="E201" s="200"/>
      <c r="F201" s="200"/>
      <c r="G201" s="200"/>
      <c r="H201" s="200"/>
      <c r="I201" s="200"/>
      <c r="J201" s="200"/>
      <c r="K201" s="200"/>
      <c r="L201" s="200"/>
      <c r="M201" s="200"/>
      <c r="N201" s="200"/>
      <c r="O201" s="200"/>
      <c r="P201" s="200"/>
      <c r="Q201" s="632"/>
      <c r="R201" s="632"/>
      <c r="S201" s="632"/>
      <c r="T201" s="632"/>
      <c r="U201" s="632"/>
      <c r="V201" s="632"/>
      <c r="W201" s="632"/>
      <c r="X201" s="632"/>
      <c r="Y201" s="632"/>
      <c r="Z201" s="632"/>
      <c r="AA201" s="632"/>
      <c r="AB201" s="632"/>
      <c r="AC201" s="632"/>
      <c r="AD201" s="632"/>
      <c r="AE201" s="632"/>
      <c r="AF201" s="632"/>
      <c r="AG201" s="632"/>
      <c r="AH201" s="632"/>
      <c r="AI201" s="632"/>
      <c r="AJ201" s="632"/>
      <c r="AK201" s="632"/>
      <c r="AL201" s="200"/>
      <c r="AM201" s="200"/>
      <c r="AN201" s="200"/>
      <c r="AO201" s="200"/>
      <c r="AP201" s="200"/>
      <c r="AQ201" s="200"/>
      <c r="AR201" s="200"/>
      <c r="AS201" s="200"/>
      <c r="AT201" s="200"/>
      <c r="AU201" s="200"/>
      <c r="AV201" s="218" t="str">
        <f>FOOT5</f>
        <v/>
      </c>
      <c r="AW201" s="199"/>
    </row>
    <row r="202" spans="1:49" s="70" customFormat="1" ht="15.95" customHeight="1">
      <c r="A202" s="199"/>
      <c r="B202" s="200" t="str">
        <f>FOOT3</f>
        <v>evergy.energyefficiency@trccompanies.com</v>
      </c>
      <c r="C202" s="200"/>
      <c r="D202" s="200"/>
      <c r="E202" s="200"/>
      <c r="F202" s="200"/>
      <c r="G202" s="200"/>
      <c r="H202" s="200"/>
      <c r="I202" s="200"/>
      <c r="J202" s="200"/>
      <c r="K202" s="200"/>
      <c r="L202" s="200"/>
      <c r="M202" s="200"/>
      <c r="N202" s="200"/>
      <c r="O202" s="200"/>
      <c r="P202" s="200"/>
      <c r="Q202" s="202"/>
      <c r="R202" s="200"/>
      <c r="S202" s="200"/>
      <c r="T202" s="202"/>
      <c r="U202" s="202"/>
      <c r="V202" s="202"/>
      <c r="W202" s="202"/>
      <c r="X202" s="202"/>
      <c r="Y202" s="202"/>
      <c r="Z202" s="202"/>
      <c r="AA202" s="203" t="str">
        <f>VERSION</f>
        <v>v1.2.1</v>
      </c>
      <c r="AB202" s="202"/>
      <c r="AC202" s="202"/>
      <c r="AD202" s="202"/>
      <c r="AE202" s="202"/>
      <c r="AF202" s="202"/>
      <c r="AG202" s="202"/>
      <c r="AH202" s="202"/>
      <c r="AI202" s="200"/>
      <c r="AJ202" s="200"/>
      <c r="AK202" s="200"/>
      <c r="AL202" s="200"/>
      <c r="AM202" s="200"/>
      <c r="AN202" s="200"/>
      <c r="AO202" s="200"/>
      <c r="AP202" s="200"/>
      <c r="AQ202" s="200"/>
      <c r="AR202" s="200"/>
      <c r="AS202" s="200"/>
      <c r="AT202" s="200"/>
      <c r="AU202" s="200"/>
      <c r="AV202" s="219" t="str">
        <f>FOOT6</f>
        <v>This is a TRC tool</v>
      </c>
      <c r="AW202" s="199"/>
    </row>
  </sheetData>
  <sheetProtection algorithmName="SHA-512" hashValue="SbCfv2XxS4NnGKMmibRDPaXzaI56yFgiGHm1KBCycDDRL0vrKzqGJNWFL9F31kJVuP8PZsUV2U9hgSSzYmnODA==" saltValue="nlCIynxFcQcqjhbXtiADeA==" spinCount="100000" sheet="1" objects="1" scenarios="1" selectLockedCells="1"/>
  <mergeCells count="37">
    <mergeCell ref="AT7:AV8"/>
    <mergeCell ref="Q200:AK201"/>
    <mergeCell ref="H6:Y7"/>
    <mergeCell ref="H8:N9"/>
    <mergeCell ref="H10:AO12"/>
    <mergeCell ref="H17:Q18"/>
    <mergeCell ref="T17:AC18"/>
    <mergeCell ref="AF17:AO18"/>
    <mergeCell ref="H19:Q22"/>
    <mergeCell ref="T19:AC22"/>
    <mergeCell ref="AF19:AO22"/>
    <mergeCell ref="H23:Q23"/>
    <mergeCell ref="T23:AC23"/>
    <mergeCell ref="AF23:AO23"/>
    <mergeCell ref="H24:Q24"/>
    <mergeCell ref="T24:AC24"/>
    <mergeCell ref="AP1:AS3"/>
    <mergeCell ref="AT1:AW3"/>
    <mergeCell ref="F1:I3"/>
    <mergeCell ref="J1:M3"/>
    <mergeCell ref="N1:T3"/>
    <mergeCell ref="U1:AK3"/>
    <mergeCell ref="AL1:AO3"/>
    <mergeCell ref="AF24:AO24"/>
    <mergeCell ref="H26:AO27"/>
    <mergeCell ref="H30:AO30"/>
    <mergeCell ref="AD35:AF36"/>
    <mergeCell ref="AH35:AJ36"/>
    <mergeCell ref="AL35:AN36"/>
    <mergeCell ref="H42:M42"/>
    <mergeCell ref="N42:T42"/>
    <mergeCell ref="U42:Y42"/>
    <mergeCell ref="I35:K36"/>
    <mergeCell ref="M35:O36"/>
    <mergeCell ref="Q35:S36"/>
    <mergeCell ref="U35:W36"/>
    <mergeCell ref="X35:AB36"/>
  </mergeCells>
  <hyperlinks>
    <hyperlink ref="B202" r:id="rId1" display="businessrebates@evergy.com" xr:uid="{00000000-0004-0000-0500-000000000000}"/>
    <hyperlink ref="J1:M3" location="'M01-S02'!J1" tooltip="Instructions" display="'M01-S02'!J1" xr:uid="{84F4501C-7D7F-4721-A1B2-1357635E668D}"/>
    <hyperlink ref="AP1:AS3" location="'M05-S05'!AL1" tooltip=" " display="'M05-S05'!AL1" xr:uid="{3C0F0184-022D-4667-8711-C4FD57B37565}"/>
    <hyperlink ref="AL1:AO3" location="'M05-S04'!AH1" tooltip=" " display="'M05-S04'!AH1" xr:uid="{7AF40D4D-D834-4084-B6AA-EFA5822E3CB5}"/>
    <hyperlink ref="AT1:AW3" location="'M01-S03'!AP1" tooltip="Contact" display="'M01-S03'!AP1" xr:uid="{EFFFBA16-28F5-428A-8899-BB846EED3516}"/>
    <hyperlink ref="H23:P23" r:id="rId2" display="Read more about Standard Incentives" xr:uid="{1BB193C7-8CE2-4EF5-BD79-CA6D86AFC98A}"/>
    <hyperlink ref="H24:P24" r:id="rId3" display="Browse the Standard Incentives list" xr:uid="{2AD60DE2-611F-43AC-9665-20936EC59FE1}"/>
    <hyperlink ref="T23:AB23" r:id="rId4" display="Read more about Custom Incentives" xr:uid="{3D61C48D-4B48-41E5-8212-A6A7ADB9CB75}"/>
    <hyperlink ref="T24:AB24" r:id="rId5" display="Browse the Custom Incentives list" xr:uid="{8373841D-09CC-4E1B-8CCE-0A08140E4C98}"/>
    <hyperlink ref="AF24:AN24" r:id="rId6" display="Read more about RCx Incentives" xr:uid="{00E1AE7D-50A4-4CBA-A743-24FE48A322A8}"/>
    <hyperlink ref="H23:Q23" r:id="rId7" display="Read more about Standard Incentives" xr:uid="{221F3BFA-DAE7-438F-BCDB-62C5197BE8B2}"/>
    <hyperlink ref="T23:AC23" r:id="rId8" display="Read more about Custom Incentives" xr:uid="{82EE0152-C633-454D-8B25-5C5F3476DACE}"/>
    <hyperlink ref="AF23:AO23" r:id="rId9" display="Read more about Custom Lite Incentives" xr:uid="{DFD23BFA-2564-4B82-A221-41B39370FF8A}"/>
    <hyperlink ref="AF24:AO24" r:id="rId10" display="Browse the Custom Lite Incentives list" xr:uid="{8A91368E-5958-424F-BA09-D4DCB0C88F7C}"/>
    <hyperlink ref="H24:Q24" r:id="rId11" display="Browse the Standard Incentives list" xr:uid="{48154705-9B84-419F-9952-0F52F340E691}"/>
    <hyperlink ref="T24:AC24" r:id="rId12" display="Browse the Custom Incentives list" xr:uid="{5FE49E8D-F150-4049-8FAE-7E22768400E8}"/>
    <hyperlink ref="I35:K36" r:id="rId13" display="Additional Ways to Save" xr:uid="{CC651CFD-FEDD-41E7-BC24-0160E7E82962}"/>
    <hyperlink ref="M35:O36" r:id="rId14" display="Manage Your Account" xr:uid="{1463765D-F1C9-4819-9EE5-308D13D10BAB}"/>
    <hyperlink ref="Q35:S36" r:id="rId15" display="Terms &amp; Conditions" xr:uid="{62ECDD4B-8F72-48ED-B67D-F0EA925A1E2F}"/>
    <hyperlink ref="U35:W36" r:id="rId16" display="Trade Ally Resources" xr:uid="{E875FBB6-58F5-4B2C-9350-E9BE71243432}"/>
    <hyperlink ref="X35:AB36" r:id="rId17" display="ENERGY STAR for Small Businesses" xr:uid="{6E5B1505-43DA-44BD-B2CC-FCAD101D1513}"/>
    <hyperlink ref="AD35:AF36" r:id="rId18" display="PACE Financing" xr:uid="{4B93A5BF-F913-4528-A5BA-4F0864FB276C}"/>
    <hyperlink ref="AH35:AJ36" r:id="rId19" display="CEE Qualifying Products List" xr:uid="{00D41C8B-218A-4AA7-80A6-25A612416468}"/>
    <hyperlink ref="AL35:AN36" r:id="rId20" display="DLC Qualified Products List" xr:uid="{A57E39AA-D5B9-4754-9328-24235250DFEF}"/>
  </hyperlinks>
  <printOptions horizontalCentered="1"/>
  <pageMargins left="0" right="0" top="0" bottom="0" header="0" footer="0"/>
  <pageSetup scale="43" orientation="portrait" r:id="rId21"/>
  <drawing r:id="rId2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tabColor theme="8" tint="0.59999389629810485"/>
    <pageSetUpPr fitToPage="1"/>
  </sheetPr>
  <dimension ref="A1:BW202"/>
  <sheetViews>
    <sheetView showGridLines="0" showRowColHeaders="0" zoomScale="85" zoomScaleNormal="85" workbookViewId="0">
      <selection activeCell="H9" sqref="H9"/>
    </sheetView>
  </sheetViews>
  <sheetFormatPr defaultColWidth="0" defaultRowHeight="15.95" customHeight="1" zeroHeight="1"/>
  <cols>
    <col min="1" max="49" width="4.7109375" customWidth="1"/>
    <col min="50" max="75" width="4.7109375" hidden="1"/>
    <col min="76" max="16384" width="8.85546875" hidden="1"/>
  </cols>
  <sheetData>
    <row r="1" spans="1:49" ht="15.95" customHeight="1">
      <c r="A1" s="17"/>
      <c r="B1" s="71"/>
      <c r="C1" s="71"/>
      <c r="D1" s="71"/>
      <c r="E1" s="71"/>
      <c r="F1" s="624" t="str">
        <f>M1S1</f>
        <v>Welcome</v>
      </c>
      <c r="G1" s="625"/>
      <c r="H1" s="625"/>
      <c r="I1" s="625"/>
      <c r="J1" s="621" t="str">
        <f>M1S2</f>
        <v>Instructions</v>
      </c>
      <c r="K1" s="621"/>
      <c r="L1" s="621"/>
      <c r="M1" s="621"/>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2"/>
      <c r="K2" s="622"/>
      <c r="L2" s="622"/>
      <c r="M2" s="622"/>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3"/>
      <c r="K3" s="623"/>
      <c r="L3" s="623"/>
      <c r="M3" s="623"/>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row>
    <row r="5" spans="1:49" ht="15.95" customHeight="1">
      <c r="A5" s="79"/>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row>
    <row r="6" spans="1:49" ht="15.95" customHeight="1"/>
    <row r="7" spans="1:49" ht="15.95" customHeight="1"/>
    <row r="8" spans="1:49" ht="15.95" customHeight="1">
      <c r="AQ8" s="642" t="s">
        <v>2246</v>
      </c>
      <c r="AR8" s="642"/>
      <c r="AS8" s="642"/>
      <c r="AT8" s="642"/>
      <c r="AU8" s="642"/>
      <c r="AV8" s="642"/>
    </row>
    <row r="9" spans="1:49" ht="15.95" customHeight="1">
      <c r="AQ9" s="642"/>
      <c r="AR9" s="642"/>
      <c r="AS9" s="642"/>
      <c r="AT9" s="642"/>
      <c r="AU9" s="642"/>
      <c r="AV9" s="642"/>
    </row>
    <row r="10" spans="1:49" ht="15.95" customHeight="1">
      <c r="AQ10" s="642"/>
      <c r="AR10" s="642"/>
      <c r="AS10" s="642"/>
      <c r="AT10" s="642"/>
      <c r="AU10" s="642"/>
      <c r="AV10" s="642"/>
    </row>
    <row r="11" spans="1:49" ht="15.95" customHeight="1">
      <c r="AQ11" s="642"/>
      <c r="AR11" s="642"/>
      <c r="AS11" s="642"/>
      <c r="AT11" s="642"/>
      <c r="AU11" s="642"/>
      <c r="AV11" s="642"/>
    </row>
    <row r="12" spans="1:49" ht="15.95" customHeight="1">
      <c r="AQ12" s="401"/>
      <c r="AR12" s="401"/>
      <c r="AS12" s="401"/>
      <c r="AT12" s="401"/>
      <c r="AU12" s="401"/>
      <c r="AV12" s="401"/>
    </row>
    <row r="13" spans="1:49" ht="15.95" customHeight="1"/>
    <row r="14" spans="1:49" ht="15.95" customHeight="1"/>
    <row r="15" spans="1:49" ht="15.95" customHeight="1"/>
    <row r="16" spans="1:4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200"/>
      <c r="P200" s="200"/>
      <c r="Q200" s="632" t="str">
        <f>FOOTDISCLAIM</f>
        <v/>
      </c>
      <c r="R200" s="632"/>
      <c r="S200" s="632"/>
      <c r="T200" s="632"/>
      <c r="U200" s="632"/>
      <c r="V200" s="632"/>
      <c r="W200" s="632"/>
      <c r="X200" s="632"/>
      <c r="Y200" s="632"/>
      <c r="Z200" s="632"/>
      <c r="AA200" s="632"/>
      <c r="AB200" s="632"/>
      <c r="AC200" s="632"/>
      <c r="AD200" s="632"/>
      <c r="AE200" s="632"/>
      <c r="AF200" s="632"/>
      <c r="AG200" s="632"/>
      <c r="AH200" s="632"/>
      <c r="AI200" s="632"/>
      <c r="AJ200" s="632"/>
      <c r="AK200" s="632"/>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200"/>
      <c r="P201" s="200"/>
      <c r="Q201" s="632"/>
      <c r="R201" s="632"/>
      <c r="S201" s="632"/>
      <c r="T201" s="632"/>
      <c r="U201" s="632"/>
      <c r="V201" s="632"/>
      <c r="W201" s="632"/>
      <c r="X201" s="632"/>
      <c r="Y201" s="632"/>
      <c r="Z201" s="632"/>
      <c r="AA201" s="632"/>
      <c r="AB201" s="632"/>
      <c r="AC201" s="632"/>
      <c r="AD201" s="632"/>
      <c r="AE201" s="632"/>
      <c r="AF201" s="632"/>
      <c r="AG201" s="632"/>
      <c r="AH201" s="632"/>
      <c r="AI201" s="632"/>
      <c r="AJ201" s="632"/>
      <c r="AK201" s="632"/>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0"/>
      <c r="P202" s="200"/>
      <c r="Q202" s="202"/>
      <c r="R202" s="200"/>
      <c r="S202" s="200"/>
      <c r="T202" s="202"/>
      <c r="U202" s="202"/>
      <c r="V202" s="202"/>
      <c r="W202" s="202"/>
      <c r="X202" s="202"/>
      <c r="Y202" s="202"/>
      <c r="Z202" s="202"/>
      <c r="AA202" s="203" t="str">
        <f>VERSION</f>
        <v>v1.2.1</v>
      </c>
      <c r="AB202" s="202"/>
      <c r="AC202" s="202"/>
      <c r="AD202" s="202"/>
      <c r="AE202" s="202"/>
      <c r="AF202" s="202"/>
      <c r="AG202" s="202"/>
      <c r="AH202" s="202"/>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X3DXjSveUodyO5AT/VDsgOQnXeqmcDD0J8cT1GXYVzGWYpANdZE9ocBoeSuJIty/YF7NrkliVrUVahZ9YPRSyg==" saltValue="/pUFOLVUvde+5+AQQO4XNA==" spinCount="100000" sheet="1" objects="1" scenarios="1" selectLockedCells="1"/>
  <mergeCells count="9">
    <mergeCell ref="Q200:AK201"/>
    <mergeCell ref="AQ8:AV11"/>
    <mergeCell ref="AP1:AS3"/>
    <mergeCell ref="AT1:AW3"/>
    <mergeCell ref="F1:I3"/>
    <mergeCell ref="J1:M3"/>
    <mergeCell ref="N1:T3"/>
    <mergeCell ref="U1:AK3"/>
    <mergeCell ref="AL1:AO3"/>
  </mergeCells>
  <hyperlinks>
    <hyperlink ref="B202" r:id="rId1" display="businessrebates@evergy.com" xr:uid="{9C3E89C2-9AAD-4FCB-9715-331336C640AD}"/>
    <hyperlink ref="J1:M3" location="'M01-S02'!J1" tooltip="Instructions" display="'M01-S02'!J1" xr:uid="{9872E5D1-B4FE-4BDC-B11A-265C4803E313}"/>
    <hyperlink ref="AP1:AS3" location="'M05-S05'!AL1" tooltip=" " display="'M05-S05'!AL1" xr:uid="{AF92FD89-634D-4905-BDB0-754EC15A0EC5}"/>
    <hyperlink ref="AL1:AO3" location="'M05-S04'!AH1" tooltip=" " display="'M05-S04'!AH1" xr:uid="{17AFAEE9-6B03-4B5E-88C5-D9BA6B5FC179}"/>
    <hyperlink ref="AT1:AW3" location="'M01-S03'!AP1" tooltip="Contact" display="'M01-S03'!AP1" xr:uid="{1733BA65-4DC4-40BB-A92A-B2616F7A67B5}"/>
  </hyperlinks>
  <printOptions horizontalCentered="1"/>
  <pageMargins left="0" right="0" top="0" bottom="0" header="0" footer="0"/>
  <pageSetup scale="4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1841" r:id="rId5" name="Check Box 1">
              <controlPr defaultSize="0" autoFill="0" autoLine="0" autoPict="0">
                <anchor moveWithCells="1">
                  <from>
                    <xdr:col>42</xdr:col>
                    <xdr:colOff>0</xdr:colOff>
                    <xdr:row>10</xdr:row>
                    <xdr:rowOff>190500</xdr:rowOff>
                  </from>
                  <to>
                    <xdr:col>48</xdr:col>
                    <xdr:colOff>0</xdr:colOff>
                    <xdr:row>12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tabColor theme="8" tint="0.59999389629810485"/>
    <pageSetUpPr fitToPage="1"/>
  </sheetPr>
  <dimension ref="A1:AW202"/>
  <sheetViews>
    <sheetView showGridLines="0" showRowColHeaders="0" zoomScale="85" zoomScaleNormal="85" workbookViewId="0">
      <selection activeCell="XFD1" sqref="XFD1"/>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s="78" customFormat="1" ht="15.95" customHeight="1">
      <c r="A4" s="643" t="str">
        <f>M1S3</f>
        <v>Contact</v>
      </c>
      <c r="B4" s="643"/>
      <c r="C4" s="643"/>
      <c r="D4" s="643"/>
      <c r="E4" s="643"/>
      <c r="F4" s="643"/>
      <c r="G4" s="643"/>
      <c r="H4" s="643"/>
      <c r="I4" s="643"/>
      <c r="J4" s="643"/>
      <c r="K4" s="643"/>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3"/>
      <c r="AM4" s="643"/>
      <c r="AN4" s="643"/>
      <c r="AO4" s="643"/>
      <c r="AP4" s="643"/>
      <c r="AQ4" s="643"/>
      <c r="AR4" s="643"/>
      <c r="AS4" s="643"/>
      <c r="AT4" s="643"/>
      <c r="AU4" s="643"/>
      <c r="AV4" s="643"/>
      <c r="AW4" s="643"/>
    </row>
    <row r="5" spans="1:49" s="78" customFormat="1" ht="15.95" customHeight="1">
      <c r="A5" s="643"/>
      <c r="B5" s="643"/>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c r="AT5" s="643"/>
      <c r="AU5" s="643"/>
      <c r="AV5" s="643"/>
      <c r="AW5" s="643"/>
    </row>
    <row r="6" spans="1:49" ht="15.95" customHeight="1">
      <c r="A6" s="73"/>
      <c r="B6" s="73"/>
      <c r="C6" s="73"/>
      <c r="D6" s="73"/>
      <c r="E6" s="73"/>
      <c r="F6" s="73"/>
      <c r="G6" s="73"/>
      <c r="H6" s="73"/>
      <c r="I6" s="73"/>
      <c r="J6" s="73"/>
      <c r="K6" s="73"/>
      <c r="L6" s="73"/>
      <c r="M6" s="73"/>
      <c r="N6" s="73"/>
      <c r="O6" s="644" t="s">
        <v>1123</v>
      </c>
      <c r="P6" s="644"/>
      <c r="Q6" s="644"/>
      <c r="R6" s="644"/>
      <c r="S6" s="644"/>
      <c r="T6" s="644"/>
      <c r="U6" s="644"/>
      <c r="V6" s="644"/>
      <c r="W6" s="644"/>
      <c r="X6" s="644"/>
      <c r="Y6" s="644"/>
      <c r="Z6" s="644"/>
      <c r="AA6" s="644"/>
      <c r="AD6" s="73"/>
      <c r="AE6" s="73"/>
      <c r="AF6" s="73"/>
      <c r="AG6" s="73"/>
      <c r="AH6" s="73"/>
      <c r="AI6" s="73"/>
      <c r="AJ6" s="73"/>
      <c r="AK6" s="73"/>
      <c r="AL6" s="73"/>
      <c r="AM6" s="73"/>
      <c r="AN6" s="73"/>
      <c r="AO6" s="73"/>
      <c r="AP6" s="73"/>
      <c r="AQ6" s="73"/>
      <c r="AR6" s="73"/>
      <c r="AS6" s="73"/>
      <c r="AT6" s="73"/>
      <c r="AU6" s="73"/>
      <c r="AV6" s="73"/>
      <c r="AW6" s="73"/>
    </row>
    <row r="7" spans="1:49" ht="15.95" customHeight="1">
      <c r="O7" s="644"/>
      <c r="P7" s="644"/>
      <c r="Q7" s="644"/>
      <c r="R7" s="644"/>
      <c r="S7" s="644"/>
      <c r="T7" s="644"/>
      <c r="U7" s="644"/>
      <c r="V7" s="644"/>
      <c r="W7" s="644"/>
      <c r="X7" s="644"/>
      <c r="Y7" s="644"/>
      <c r="Z7" s="644"/>
      <c r="AA7" s="644"/>
      <c r="AB7" s="55" t="s">
        <v>1124</v>
      </c>
      <c r="AC7" s="40"/>
      <c r="AE7" s="57" t="s">
        <v>1303</v>
      </c>
    </row>
    <row r="8" spans="1:49" ht="15.95" customHeight="1">
      <c r="O8" s="645" t="s">
        <v>736</v>
      </c>
      <c r="P8" s="645"/>
      <c r="Q8" s="645"/>
      <c r="R8" s="645"/>
      <c r="S8" s="645"/>
      <c r="T8" s="645"/>
      <c r="U8" s="645"/>
      <c r="V8" s="645"/>
      <c r="W8" s="645"/>
      <c r="X8" s="645"/>
      <c r="Y8" s="645"/>
      <c r="Z8" s="645"/>
      <c r="AA8" s="645"/>
      <c r="AB8" s="55" t="s">
        <v>729</v>
      </c>
      <c r="AC8" s="40"/>
      <c r="AE8" s="57" t="str">
        <f>Hotline</f>
        <v>(844)687-0229</v>
      </c>
    </row>
    <row r="9" spans="1:49" ht="15.95" customHeight="1">
      <c r="O9" s="645"/>
      <c r="P9" s="645"/>
      <c r="Q9" s="645"/>
      <c r="R9" s="645"/>
      <c r="S9" s="645"/>
      <c r="T9" s="645"/>
      <c r="U9" s="645"/>
      <c r="V9" s="645"/>
      <c r="W9" s="645"/>
      <c r="X9" s="645"/>
      <c r="Y9" s="645"/>
      <c r="Z9" s="645"/>
      <c r="AA9" s="645"/>
      <c r="AB9" s="55" t="s">
        <v>734</v>
      </c>
      <c r="AC9" s="40"/>
      <c r="AE9" s="166" t="s">
        <v>3010</v>
      </c>
    </row>
    <row r="10" spans="1:49" ht="15.95" customHeight="1">
      <c r="Q10" s="167"/>
      <c r="R10" s="167"/>
      <c r="AA10" s="167"/>
      <c r="AB10" s="167"/>
      <c r="AC10" s="167"/>
    </row>
    <row r="13" spans="1:49" ht="15.95" hidden="1" customHeight="1">
      <c r="N13" s="56"/>
      <c r="P13" s="40"/>
      <c r="Q13" s="56"/>
    </row>
    <row r="14" spans="1:49" ht="15.95" hidden="1" customHeight="1">
      <c r="N14" s="41"/>
      <c r="P14" s="41"/>
      <c r="Q14" s="41"/>
    </row>
    <row r="15" spans="1:49" ht="15.95" hidden="1" customHeight="1">
      <c r="N15" s="41"/>
      <c r="P15" s="41"/>
      <c r="Q15" s="41"/>
      <c r="R15" s="49"/>
      <c r="S15" s="49"/>
      <c r="T15" s="46"/>
      <c r="AH15" s="41"/>
      <c r="AI15" s="41"/>
      <c r="AJ15" s="41"/>
      <c r="AK15" s="45"/>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CONCATENATE("EE ", VERSION)</f>
        <v>EE 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LozdRxzOooDhYMa9gykhm7IGVAAy5PEH5FcHA52Ik+YjPUCuocGQ4h6ecqEXKHFbz+CjzOwyoYPBbKj3dWpNbQ==" saltValue="pz3kfMqcr9ST1xcP93reJQ==" spinCount="100000" sheet="1" objects="1" scenarios="1" selectLockedCells="1"/>
  <mergeCells count="11">
    <mergeCell ref="A4:AW5"/>
    <mergeCell ref="O200:AI201"/>
    <mergeCell ref="F1:I3"/>
    <mergeCell ref="J1:M3"/>
    <mergeCell ref="AT1:AW3"/>
    <mergeCell ref="AL1:AO3"/>
    <mergeCell ref="AP1:AS3"/>
    <mergeCell ref="O6:AA7"/>
    <mergeCell ref="O8:AA9"/>
    <mergeCell ref="N1:T3"/>
    <mergeCell ref="U1:AK3"/>
  </mergeCells>
  <hyperlinks>
    <hyperlink ref="AE9" r:id="rId1" display="businessrebates@kcpl.com" xr:uid="{F0C6C6D7-82AB-4347-863F-8D0329787D80}"/>
    <hyperlink ref="B202" r:id="rId2" display="businessrebates@evergy.com" xr:uid="{8F35684C-054F-4163-9A27-DCABE392B5E5}"/>
    <hyperlink ref="J1:M3" location="'M01-S02'!J1" tooltip="Instructions" display="'M01-S02'!J1" xr:uid="{5510692D-4EF7-49DA-84BE-3ABD902F0BFB}"/>
    <hyperlink ref="AP1:AS3" location="'M05-S05'!AL1" tooltip=" " display="'M05-S05'!AL1" xr:uid="{205C2825-5D7B-4D12-94BF-53E543A9EDD7}"/>
    <hyperlink ref="AL1:AO3" location="'M05-S04'!AH1" tooltip=" " display="'M05-S04'!AH1" xr:uid="{BBFBD1E2-89C6-4FF0-9411-68065E00FB0D}"/>
    <hyperlink ref="AT1:AW3" location="'M01-S03'!AP1" tooltip="Contact" display="'M01-S03'!AP1" xr:uid="{D360AEBE-1129-4D8D-9EF3-362B095384BE}"/>
  </hyperlinks>
  <printOptions horizontalCentered="1"/>
  <pageMargins left="0" right="0" top="0" bottom="0" header="0" footer="0"/>
  <pageSetup scale="43"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tabColor theme="8" tint="0.59999389629810485"/>
    <pageSetUpPr fitToPage="1"/>
  </sheetPr>
  <dimension ref="A1:AW202"/>
  <sheetViews>
    <sheetView showGridLines="0" showRowColHeaders="0" zoomScale="85" zoomScaleNormal="85" workbookViewId="0">
      <selection activeCell="H27" sqref="H27:X27"/>
    </sheetView>
  </sheetViews>
  <sheetFormatPr defaultColWidth="0" defaultRowHeight="0" customHeight="1" zeroHeight="1"/>
  <cols>
    <col min="1" max="49" width="4.7109375" customWidth="1"/>
    <col min="50"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46">
        <f>INCENTOTAL</f>
        <v>0</v>
      </c>
      <c r="B4" s="646"/>
      <c r="C4" s="646"/>
      <c r="D4" s="646"/>
      <c r="E4" s="646"/>
      <c r="F4" s="179"/>
      <c r="G4" s="179"/>
      <c r="H4" s="179"/>
      <c r="I4" s="179"/>
    </row>
    <row r="5" spans="1:49" ht="15.95" customHeight="1">
      <c r="A5" s="647"/>
      <c r="B5" s="647"/>
      <c r="C5" s="647"/>
      <c r="D5" s="647"/>
      <c r="E5" s="647"/>
      <c r="F5" s="372"/>
      <c r="G5" s="372"/>
      <c r="H5" s="372"/>
      <c r="I5" s="372"/>
      <c r="AS5" s="663">
        <f ca="1">PROGRESSSTATUS</f>
        <v>0</v>
      </c>
      <c r="AT5" s="663"/>
      <c r="AU5" s="663"/>
      <c r="AV5" s="663"/>
      <c r="AW5" s="663"/>
    </row>
    <row r="6" spans="1:49" ht="15.95" customHeight="1">
      <c r="A6" s="647"/>
      <c r="B6" s="647"/>
      <c r="C6" s="647"/>
      <c r="D6" s="647"/>
      <c r="E6" s="647"/>
      <c r="F6" s="372"/>
      <c r="G6" s="372"/>
      <c r="H6" s="372"/>
      <c r="I6" s="372"/>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75"/>
      <c r="G8" s="75"/>
      <c r="H8" s="75"/>
      <c r="I8" s="75"/>
      <c r="AS8" s="661" t="str">
        <f ca="1">PROJSTATUS</f>
        <v>Enter Measures</v>
      </c>
      <c r="AT8" s="661"/>
      <c r="AU8" s="661"/>
      <c r="AV8" s="661"/>
      <c r="AW8" s="661"/>
    </row>
    <row r="9" spans="1:49" s="79" customFormat="1" ht="15.95" customHeight="1">
      <c r="A9" s="664" t="str">
        <f>M2S1</f>
        <v>Terms &amp; Conditions</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49" s="79"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s="73" customFormat="1" ht="15.95" customHeight="1">
      <c r="H11" s="193"/>
      <c r="I11" s="193"/>
      <c r="J11"/>
      <c r="K11"/>
      <c r="L11"/>
      <c r="M11"/>
      <c r="N11"/>
      <c r="O11"/>
      <c r="P11"/>
      <c r="Q11"/>
      <c r="R11"/>
      <c r="S11"/>
      <c r="T11"/>
      <c r="U11"/>
      <c r="V11"/>
      <c r="W11"/>
      <c r="X11"/>
      <c r="Y11"/>
      <c r="Z11"/>
      <c r="AA11"/>
      <c r="AB11"/>
      <c r="AC11"/>
      <c r="AD11"/>
      <c r="AE11"/>
      <c r="AF11"/>
      <c r="AG11"/>
      <c r="AH11"/>
      <c r="AI11"/>
      <c r="AJ11"/>
      <c r="AK11"/>
      <c r="AL11"/>
      <c r="AM11"/>
      <c r="AN11"/>
      <c r="AO11"/>
      <c r="AP11"/>
      <c r="AQ11"/>
      <c r="AR11"/>
      <c r="AS11" s="193"/>
      <c r="AT11" s="193"/>
      <c r="AU11" s="193"/>
    </row>
    <row r="12" spans="1:49" ht="15.95" customHeight="1">
      <c r="G12" s="82"/>
      <c r="H12" s="652" t="s">
        <v>1181</v>
      </c>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654"/>
      <c r="AT12" s="82"/>
      <c r="AU12" s="82"/>
    </row>
    <row r="13" spans="1:49" ht="15.95" customHeight="1">
      <c r="G13" s="82"/>
      <c r="H13" s="666"/>
      <c r="I13" s="667"/>
      <c r="J13" s="667"/>
      <c r="K13" s="667"/>
      <c r="L13" s="667"/>
      <c r="M13" s="667"/>
      <c r="N13" s="667"/>
      <c r="O13" s="667"/>
      <c r="P13" s="667"/>
      <c r="Q13" s="667"/>
      <c r="R13" s="667"/>
      <c r="S13" s="667"/>
      <c r="T13" s="667"/>
      <c r="U13" s="667"/>
      <c r="V13" s="667"/>
      <c r="W13" s="667"/>
      <c r="X13" s="667"/>
      <c r="Y13" s="667"/>
      <c r="Z13" s="667"/>
      <c r="AA13" s="667"/>
      <c r="AB13" s="667"/>
      <c r="AC13" s="667"/>
      <c r="AD13" s="667"/>
      <c r="AE13" s="667"/>
      <c r="AF13" s="667"/>
      <c r="AG13" s="667"/>
      <c r="AH13" s="667"/>
      <c r="AI13" s="667"/>
      <c r="AJ13" s="667"/>
      <c r="AK13" s="667"/>
      <c r="AL13" s="667"/>
      <c r="AM13" s="667"/>
      <c r="AN13" s="667"/>
      <c r="AO13" s="667"/>
      <c r="AP13" s="667"/>
      <c r="AQ13" s="668"/>
      <c r="AT13" s="82"/>
      <c r="AU13" s="82"/>
    </row>
    <row r="14" spans="1:49" ht="15.95" customHeight="1">
      <c r="G14" s="82"/>
      <c r="H14" s="666"/>
      <c r="I14" s="667"/>
      <c r="J14" s="667"/>
      <c r="K14" s="667"/>
      <c r="L14" s="667"/>
      <c r="M14" s="667"/>
      <c r="N14" s="667"/>
      <c r="O14" s="667"/>
      <c r="P14" s="667"/>
      <c r="Q14" s="667"/>
      <c r="R14" s="667"/>
      <c r="S14" s="667"/>
      <c r="T14" s="667"/>
      <c r="U14" s="667"/>
      <c r="V14" s="667"/>
      <c r="W14" s="667"/>
      <c r="X14" s="667"/>
      <c r="Y14" s="667"/>
      <c r="Z14" s="667"/>
      <c r="AA14" s="667"/>
      <c r="AB14" s="667"/>
      <c r="AC14" s="667"/>
      <c r="AD14" s="667"/>
      <c r="AE14" s="667"/>
      <c r="AF14" s="667"/>
      <c r="AG14" s="667"/>
      <c r="AH14" s="667"/>
      <c r="AI14" s="667"/>
      <c r="AJ14" s="667"/>
      <c r="AK14" s="667"/>
      <c r="AL14" s="667"/>
      <c r="AM14" s="667"/>
      <c r="AN14" s="667"/>
      <c r="AO14" s="667"/>
      <c r="AP14" s="667"/>
      <c r="AQ14" s="668"/>
      <c r="AT14" s="82"/>
      <c r="AU14" s="82"/>
    </row>
    <row r="15" spans="1:49" ht="15.95" customHeight="1">
      <c r="G15" s="82"/>
      <c r="H15" s="655"/>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7"/>
      <c r="AT15" s="82"/>
      <c r="AU15" s="82"/>
    </row>
    <row r="16" spans="1:49" ht="15.95" customHeight="1">
      <c r="G16" s="82"/>
      <c r="H16" s="82"/>
      <c r="I16" s="82"/>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82"/>
      <c r="AU16" s="82"/>
    </row>
    <row r="17" spans="7:47" ht="15.95" customHeight="1">
      <c r="G17" s="82"/>
      <c r="H17" s="669" t="s">
        <v>783</v>
      </c>
      <c r="I17" s="669"/>
      <c r="J17" s="669"/>
      <c r="K17" s="66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S17" s="82"/>
      <c r="AT17" s="82"/>
      <c r="AU17" s="82"/>
    </row>
    <row r="18" spans="7:47" ht="15.95" customHeight="1">
      <c r="G18" s="82"/>
      <c r="H18" s="670" t="s">
        <v>1289</v>
      </c>
      <c r="I18" s="671"/>
      <c r="J18" s="671"/>
      <c r="K18" s="671"/>
      <c r="L18" s="671"/>
      <c r="M18" s="671"/>
      <c r="N18" s="671"/>
      <c r="O18" s="671"/>
      <c r="P18" s="671"/>
      <c r="Q18" s="671"/>
      <c r="R18" s="671"/>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2"/>
      <c r="AT18" s="82"/>
      <c r="AU18" s="82"/>
    </row>
    <row r="19" spans="7:47" ht="15.95" customHeight="1">
      <c r="G19" s="82"/>
      <c r="H19" s="673"/>
      <c r="I19" s="674"/>
      <c r="J19" s="674"/>
      <c r="K19" s="674"/>
      <c r="L19" s="674"/>
      <c r="M19" s="674"/>
      <c r="N19" s="674"/>
      <c r="O19" s="674"/>
      <c r="P19" s="674"/>
      <c r="Q19" s="674"/>
      <c r="R19" s="674"/>
      <c r="S19" s="674"/>
      <c r="T19" s="674"/>
      <c r="U19" s="674"/>
      <c r="V19" s="674"/>
      <c r="W19" s="674"/>
      <c r="X19" s="674"/>
      <c r="Y19" s="674"/>
      <c r="Z19" s="674"/>
      <c r="AA19" s="674"/>
      <c r="AB19" s="674"/>
      <c r="AC19" s="674"/>
      <c r="AD19" s="674"/>
      <c r="AE19" s="674"/>
      <c r="AF19" s="674"/>
      <c r="AG19" s="674"/>
      <c r="AH19" s="674"/>
      <c r="AI19" s="674"/>
      <c r="AJ19" s="674"/>
      <c r="AK19" s="674"/>
      <c r="AL19" s="674"/>
      <c r="AM19" s="674"/>
      <c r="AN19" s="674"/>
      <c r="AO19" s="674"/>
      <c r="AP19" s="674"/>
      <c r="AQ19" s="675"/>
      <c r="AT19" s="82"/>
      <c r="AU19" s="82"/>
    </row>
    <row r="20" spans="7:47" ht="15.95" customHeight="1">
      <c r="G20" s="82"/>
      <c r="H20" s="676"/>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7"/>
      <c r="AO20" s="677"/>
      <c r="AP20" s="677"/>
      <c r="AQ20" s="678"/>
      <c r="AT20" s="82"/>
      <c r="AU20" s="82"/>
    </row>
    <row r="21" spans="7:47" ht="15.95" customHeight="1">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row>
    <row r="22" spans="7:47" ht="15.95" customHeight="1">
      <c r="G22" s="82"/>
      <c r="H22" s="669" t="s">
        <v>784</v>
      </c>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S22" s="82"/>
      <c r="AT22" s="82"/>
      <c r="AU22" s="82"/>
    </row>
    <row r="23" spans="7:47" ht="15.95" customHeight="1">
      <c r="G23" s="82"/>
      <c r="H23" s="652" t="s">
        <v>1290</v>
      </c>
      <c r="I23" s="653"/>
      <c r="J23" s="653"/>
      <c r="K23" s="653"/>
      <c r="L23" s="653"/>
      <c r="M23" s="653"/>
      <c r="N23" s="653"/>
      <c r="O23" s="653"/>
      <c r="P23" s="653"/>
      <c r="Q23" s="653"/>
      <c r="R23" s="653"/>
      <c r="S23" s="653"/>
      <c r="T23" s="653"/>
      <c r="U23" s="653"/>
      <c r="V23" s="653"/>
      <c r="W23" s="653"/>
      <c r="X23" s="653"/>
      <c r="Y23" s="653"/>
      <c r="Z23" s="653"/>
      <c r="AA23" s="653"/>
      <c r="AB23" s="653"/>
      <c r="AC23" s="653"/>
      <c r="AD23" s="653"/>
      <c r="AE23" s="653"/>
      <c r="AF23" s="653"/>
      <c r="AG23" s="653"/>
      <c r="AH23" s="653"/>
      <c r="AI23" s="653"/>
      <c r="AJ23" s="653"/>
      <c r="AK23" s="653"/>
      <c r="AL23" s="653"/>
      <c r="AM23" s="653"/>
      <c r="AN23" s="653"/>
      <c r="AO23" s="653"/>
      <c r="AP23" s="653"/>
      <c r="AQ23" s="654"/>
      <c r="AT23" s="82"/>
      <c r="AU23" s="82"/>
    </row>
    <row r="24" spans="7:47" ht="15.95" customHeight="1">
      <c r="G24" s="82"/>
      <c r="H24" s="655"/>
      <c r="I24" s="656"/>
      <c r="J24" s="656"/>
      <c r="K24" s="656"/>
      <c r="L24" s="656"/>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6"/>
      <c r="AO24" s="656"/>
      <c r="AP24" s="656"/>
      <c r="AQ24" s="657"/>
      <c r="AT24" s="82"/>
      <c r="AU24" s="82"/>
    </row>
    <row r="25" spans="7:47" ht="15.95" customHeight="1">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row>
    <row r="26" spans="7:47" ht="15.95" customHeight="1" thickBot="1">
      <c r="G26" s="82"/>
      <c r="H26" s="648" t="s">
        <v>972</v>
      </c>
      <c r="I26" s="648"/>
      <c r="J26" s="648"/>
      <c r="K26" s="648"/>
      <c r="L26" s="648"/>
      <c r="M26" s="648"/>
      <c r="N26" s="648"/>
      <c r="O26" s="648"/>
      <c r="P26" s="648"/>
      <c r="Q26" s="648"/>
      <c r="R26" s="648"/>
      <c r="S26" s="648"/>
      <c r="T26" s="648"/>
      <c r="U26" s="648"/>
      <c r="V26" s="648"/>
      <c r="W26" s="648"/>
      <c r="X26" s="648"/>
      <c r="Z26" s="648" t="s">
        <v>973</v>
      </c>
      <c r="AA26" s="648"/>
      <c r="AB26" s="648"/>
      <c r="AC26" s="648"/>
      <c r="AD26" s="648"/>
      <c r="AE26" s="648"/>
      <c r="AF26" s="648"/>
      <c r="AG26" s="648"/>
      <c r="AH26" s="648"/>
      <c r="AI26" s="648"/>
      <c r="AJ26" s="648"/>
      <c r="AK26" s="648"/>
      <c r="AL26" s="648"/>
      <c r="AN26" s="648" t="s">
        <v>974</v>
      </c>
      <c r="AO26" s="648"/>
      <c r="AP26" s="648"/>
      <c r="AQ26" s="648"/>
      <c r="AT26" s="83"/>
      <c r="AU26" s="83"/>
    </row>
    <row r="27" spans="7:47" ht="15.95" customHeight="1" thickBot="1">
      <c r="G27" s="82"/>
      <c r="H27" s="649"/>
      <c r="I27" s="650"/>
      <c r="J27" s="650"/>
      <c r="K27" s="650"/>
      <c r="L27" s="650"/>
      <c r="M27" s="650"/>
      <c r="N27" s="650"/>
      <c r="O27" s="650"/>
      <c r="P27" s="650"/>
      <c r="Q27" s="650"/>
      <c r="R27" s="650"/>
      <c r="S27" s="650"/>
      <c r="T27" s="650"/>
      <c r="U27" s="650"/>
      <c r="V27" s="650"/>
      <c r="W27" s="650"/>
      <c r="X27" s="651"/>
      <c r="Z27" s="649"/>
      <c r="AA27" s="650"/>
      <c r="AB27" s="650"/>
      <c r="AC27" s="650"/>
      <c r="AD27" s="650"/>
      <c r="AE27" s="650"/>
      <c r="AF27" s="650"/>
      <c r="AG27" s="650"/>
      <c r="AH27" s="650"/>
      <c r="AI27" s="650"/>
      <c r="AJ27" s="650"/>
      <c r="AK27" s="650"/>
      <c r="AL27" s="651"/>
      <c r="AN27" s="658"/>
      <c r="AO27" s="659"/>
      <c r="AP27" s="659"/>
      <c r="AQ27" s="660"/>
      <c r="AT27" s="83"/>
      <c r="AU27" s="83"/>
    </row>
    <row r="28" spans="7:47" ht="15.95" customHeight="1">
      <c r="H28" s="74" t="s">
        <v>782</v>
      </c>
      <c r="I28" s="59"/>
      <c r="AT28" s="59"/>
      <c r="AU28" s="59"/>
    </row>
    <row r="29" spans="7:47" ht="15.95" customHeight="1"/>
    <row r="30" spans="7:47" ht="15.95" hidden="1" customHeight="1"/>
    <row r="31" spans="7:47" ht="15.95" hidden="1" customHeight="1"/>
    <row r="32" spans="7:47" ht="15.95" hidden="1" customHeight="1"/>
    <row r="33" ht="15.95" hidden="1" customHeight="1"/>
    <row r="34" ht="15.95" hidden="1"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KUaWTi+Np2tWKZDNmj3J0Sb0CttDuZjSYXOwauzYA7H/jZ8uJJO/J5iL/swLRh5f+JQoKHjvimFptIILue7yvQ==" saltValue="bozBIhCIP+8a/xD2lUGldg==" spinCount="100000" sheet="1" objects="1" scenarios="1" selectLockedCells="1"/>
  <mergeCells count="25">
    <mergeCell ref="O200:AI201"/>
    <mergeCell ref="J1:M3"/>
    <mergeCell ref="AS8:AW8"/>
    <mergeCell ref="AS7:AW7"/>
    <mergeCell ref="AS5:AW6"/>
    <mergeCell ref="AT1:AW3"/>
    <mergeCell ref="AL1:AO3"/>
    <mergeCell ref="AP1:AS3"/>
    <mergeCell ref="A9:AW10"/>
    <mergeCell ref="A7:E8"/>
    <mergeCell ref="H12:AQ15"/>
    <mergeCell ref="H17:AP17"/>
    <mergeCell ref="H18:AQ20"/>
    <mergeCell ref="H22:AP22"/>
    <mergeCell ref="F1:I3"/>
    <mergeCell ref="N1:T3"/>
    <mergeCell ref="U1:AK3"/>
    <mergeCell ref="A4:E6"/>
    <mergeCell ref="H26:X26"/>
    <mergeCell ref="H27:X27"/>
    <mergeCell ref="Z26:AL26"/>
    <mergeCell ref="Z27:AL27"/>
    <mergeCell ref="H23:AQ24"/>
    <mergeCell ref="AN26:AQ26"/>
    <mergeCell ref="AN27:AQ27"/>
  </mergeCells>
  <conditionalFormatting sqref="AS8:AW8">
    <cfRule type="expression" dxfId="149" priority="2">
      <formula>IF($AS$8=PROJSTATMEASURE,FALSE,TRUE)</formula>
    </cfRule>
  </conditionalFormatting>
  <dataValidations xWindow="872" yWindow="637"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H27" xr:uid="{949BD21D-E4FD-4665-9EBB-DFB3467929AC}"/>
    <dataValidation type="date" operator="greaterThanOrEqual" allowBlank="1" showInputMessage="1" showErrorMessage="1" error="Please enter date. Format: xx/xx/xxx" sqref="AN27" xr:uid="{8CDE128B-BC98-45D3-B91E-50CDD30F7FFA}">
      <formula1>32874</formula1>
    </dataValidation>
  </dataValidations>
  <hyperlinks>
    <hyperlink ref="B202" r:id="rId1" display="businessrebates@evergy.com" xr:uid="{5227BD89-F959-4CC9-9288-2DF6E5265210}"/>
    <hyperlink ref="J1:M3" location="'M01-S02'!J1" tooltip="Instructions" display="'M01-S02'!J1" xr:uid="{F806B86C-EC61-4E47-BE3E-8D94FC6F543D}"/>
    <hyperlink ref="AP1:AS3" location="'M05-S05'!AL1" tooltip=" " display="'M05-S05'!AL1" xr:uid="{E58B47CC-4E88-4D2D-AFAB-282A89F25A7D}"/>
    <hyperlink ref="AL1:AO3" location="'M05-S04'!AH1" tooltip=" " display="'M05-S04'!AH1" xr:uid="{747EE12C-3C2C-482B-8D11-9AF6642FFE6C}"/>
    <hyperlink ref="AT1:AW3" location="'M01-S03'!AP1" tooltip="Contact" display="'M01-S03'!AP1" xr:uid="{C058CBE1-97D1-4089-ACBD-55AB481D0077}"/>
  </hyperlinks>
  <printOptions horizontalCentered="1"/>
  <pageMargins left="0" right="0" top="0" bottom="0" header="0" footer="0"/>
  <pageSetup scale="43"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tabColor theme="8" tint="0.59999389629810485"/>
    <pageSetUpPr fitToPage="1"/>
  </sheetPr>
  <dimension ref="A1:AW202"/>
  <sheetViews>
    <sheetView showGridLines="0" showRowColHeaders="0" zoomScale="85" zoomScaleNormal="85" workbookViewId="0">
      <selection activeCell="AB13" sqref="AB13:AG13"/>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91">
        <f>INCENTOTAL</f>
        <v>0</v>
      </c>
      <c r="B4" s="691"/>
      <c r="C4" s="691"/>
      <c r="D4" s="691"/>
      <c r="E4" s="691"/>
      <c r="F4" s="179"/>
      <c r="G4" s="179"/>
      <c r="H4" s="179"/>
      <c r="I4" s="179"/>
    </row>
    <row r="5" spans="1:49" ht="15.95" customHeight="1">
      <c r="A5" s="692"/>
      <c r="B5" s="692"/>
      <c r="C5" s="692"/>
      <c r="D5" s="692"/>
      <c r="E5" s="692"/>
      <c r="F5" s="372"/>
      <c r="G5" s="372"/>
      <c r="H5" s="372"/>
      <c r="I5" s="372"/>
      <c r="AS5" s="663">
        <f ca="1">PROGRESSSTATUS</f>
        <v>0</v>
      </c>
      <c r="AT5" s="663"/>
      <c r="AU5" s="663"/>
      <c r="AV5" s="663"/>
      <c r="AW5" s="663"/>
    </row>
    <row r="6" spans="1:49" ht="15.95" customHeight="1">
      <c r="A6" s="692"/>
      <c r="B6" s="692"/>
      <c r="C6" s="692"/>
      <c r="D6" s="692"/>
      <c r="E6" s="692"/>
      <c r="F6" s="372"/>
      <c r="G6" s="372"/>
      <c r="H6" s="372"/>
      <c r="I6" s="372"/>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373"/>
      <c r="G8" s="373"/>
      <c r="H8" s="373"/>
      <c r="I8" s="373"/>
      <c r="AS8" s="661" t="str">
        <f ca="1">PROJSTATUS</f>
        <v>Enter Measures</v>
      </c>
      <c r="AT8" s="661"/>
      <c r="AU8" s="661"/>
      <c r="AV8" s="661"/>
      <c r="AW8" s="661"/>
    </row>
    <row r="9" spans="1:49" s="78" customFormat="1" ht="15.95" customHeight="1">
      <c r="A9" s="664" t="str">
        <f>M2S2</f>
        <v>Trade Ally / Contractor Information</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49" s="7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J11" s="82"/>
      <c r="K11" s="82"/>
      <c r="L11" s="679" t="s">
        <v>1694</v>
      </c>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O11" s="82"/>
      <c r="AP11" s="82"/>
      <c r="AQ11" s="82"/>
    </row>
    <row r="12" spans="1:49" ht="15.95" customHeight="1" thickBot="1">
      <c r="G12" s="17"/>
      <c r="H12" s="17"/>
      <c r="I12" s="17"/>
      <c r="J12" s="85"/>
      <c r="K12" s="85"/>
      <c r="L12" s="679"/>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79"/>
      <c r="AO12" s="82"/>
      <c r="AP12" s="82"/>
      <c r="AQ12" s="82"/>
    </row>
    <row r="13" spans="1:49" ht="15.95" customHeight="1" thickBot="1">
      <c r="N13" s="680" t="s">
        <v>1322</v>
      </c>
      <c r="O13" s="680"/>
      <c r="P13" s="680"/>
      <c r="Q13" s="680"/>
      <c r="R13" s="680"/>
      <c r="S13" s="680"/>
      <c r="T13" s="680"/>
      <c r="U13" s="680"/>
      <c r="V13" s="680"/>
      <c r="W13" s="680"/>
      <c r="X13" s="680"/>
      <c r="Y13" s="680"/>
      <c r="Z13" s="680"/>
      <c r="AB13" s="681"/>
      <c r="AC13" s="682"/>
      <c r="AD13" s="682"/>
      <c r="AE13" s="682"/>
      <c r="AF13" s="682"/>
      <c r="AG13" s="683"/>
      <c r="AM13" s="82"/>
      <c r="AN13" s="82"/>
      <c r="AO13" s="82"/>
      <c r="AP13" s="82"/>
      <c r="AQ13" s="82"/>
    </row>
    <row r="14" spans="1:49" ht="15.95" customHeight="1" thickBot="1">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row>
    <row r="15" spans="1:49" ht="15.95" customHeight="1" thickBot="1">
      <c r="O15" s="680" t="s">
        <v>1318</v>
      </c>
      <c r="P15" s="680"/>
      <c r="Q15" s="680"/>
      <c r="R15" s="680"/>
      <c r="S15" s="680"/>
      <c r="T15" s="680"/>
      <c r="U15" s="680"/>
      <c r="V15" s="680"/>
      <c r="W15" s="680"/>
      <c r="X15" s="680"/>
      <c r="Y15" s="680"/>
      <c r="Z15" s="680"/>
      <c r="AB15" s="684"/>
      <c r="AC15" s="685"/>
      <c r="AD15" s="685"/>
      <c r="AE15" s="685"/>
      <c r="AF15" s="685"/>
      <c r="AG15" s="686"/>
    </row>
    <row r="16" spans="1:49" ht="15.95" customHeight="1"/>
    <row r="17" spans="8:41" ht="15.95" customHeight="1" thickBot="1">
      <c r="H17" s="648" t="s">
        <v>1317</v>
      </c>
      <c r="I17" s="648"/>
      <c r="J17" s="648"/>
      <c r="K17" s="648"/>
      <c r="L17" s="648"/>
      <c r="M17" s="648"/>
      <c r="N17" s="82"/>
      <c r="O17" s="648" t="s">
        <v>975</v>
      </c>
      <c r="P17" s="648"/>
      <c r="Q17" s="648"/>
      <c r="R17" s="648"/>
      <c r="S17" s="648"/>
      <c r="T17" s="648"/>
      <c r="U17" s="84"/>
      <c r="V17" s="648" t="s">
        <v>976</v>
      </c>
      <c r="W17" s="648"/>
      <c r="X17" s="648"/>
      <c r="Y17" s="648"/>
      <c r="Z17" s="648"/>
      <c r="AA17" s="648"/>
      <c r="AB17" s="84"/>
      <c r="AC17" s="648" t="s">
        <v>977</v>
      </c>
      <c r="AD17" s="648"/>
      <c r="AE17" s="648"/>
      <c r="AF17" s="648"/>
      <c r="AG17" s="648"/>
      <c r="AH17" s="648"/>
      <c r="AI17" s="84"/>
      <c r="AJ17" s="648" t="s">
        <v>978</v>
      </c>
      <c r="AK17" s="648"/>
      <c r="AL17" s="648"/>
      <c r="AM17" s="648"/>
      <c r="AN17" s="648"/>
      <c r="AO17" s="648"/>
    </row>
    <row r="18" spans="8:41" ht="15.95" customHeight="1" thickBot="1">
      <c r="H18" s="649"/>
      <c r="I18" s="650"/>
      <c r="J18" s="650"/>
      <c r="K18" s="650"/>
      <c r="L18" s="650"/>
      <c r="M18" s="651"/>
      <c r="N18" s="88"/>
      <c r="O18" s="649"/>
      <c r="P18" s="650"/>
      <c r="Q18" s="650"/>
      <c r="R18" s="650"/>
      <c r="S18" s="650"/>
      <c r="T18" s="651"/>
      <c r="U18" s="88"/>
      <c r="V18" s="649"/>
      <c r="W18" s="650"/>
      <c r="X18" s="650"/>
      <c r="Y18" s="650"/>
      <c r="Z18" s="650"/>
      <c r="AA18" s="651"/>
      <c r="AB18" s="88"/>
      <c r="AC18" s="649"/>
      <c r="AD18" s="650"/>
      <c r="AE18" s="650"/>
      <c r="AF18" s="650"/>
      <c r="AG18" s="650"/>
      <c r="AH18" s="651"/>
      <c r="AI18" s="88"/>
      <c r="AJ18" s="649"/>
      <c r="AK18" s="650"/>
      <c r="AL18" s="650"/>
      <c r="AM18" s="650"/>
      <c r="AN18" s="650"/>
      <c r="AO18" s="651"/>
    </row>
    <row r="19" spans="8:41" ht="15.95" customHeight="1">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row>
    <row r="20" spans="8:41" ht="15.95" customHeight="1" thickBot="1">
      <c r="H20" s="648" t="s">
        <v>979</v>
      </c>
      <c r="I20" s="648"/>
      <c r="J20" s="648"/>
      <c r="K20" s="648"/>
      <c r="L20" s="648"/>
      <c r="M20" s="648"/>
      <c r="N20" s="84"/>
      <c r="O20" s="648" t="s">
        <v>980</v>
      </c>
      <c r="P20" s="648"/>
      <c r="Q20" s="648"/>
      <c r="R20" s="648"/>
      <c r="S20" s="648"/>
      <c r="T20" s="648"/>
      <c r="U20" s="84"/>
      <c r="V20" s="648" t="s">
        <v>981</v>
      </c>
      <c r="W20" s="648"/>
      <c r="X20" s="648"/>
      <c r="Y20" s="648"/>
      <c r="Z20" s="648"/>
      <c r="AA20" s="648"/>
      <c r="AB20" s="84"/>
      <c r="AC20" s="648" t="s">
        <v>982</v>
      </c>
      <c r="AD20" s="648"/>
      <c r="AE20" s="648"/>
      <c r="AF20" s="648"/>
      <c r="AG20" s="648"/>
      <c r="AH20" s="648"/>
      <c r="AI20" s="82"/>
      <c r="AJ20" s="648" t="s">
        <v>983</v>
      </c>
      <c r="AK20" s="648"/>
      <c r="AL20" s="648"/>
      <c r="AM20" s="648"/>
      <c r="AN20" s="648"/>
      <c r="AO20" s="648"/>
    </row>
    <row r="21" spans="8:41" ht="15.95" customHeight="1" thickBot="1">
      <c r="H21" s="649"/>
      <c r="I21" s="650"/>
      <c r="J21" s="650"/>
      <c r="K21" s="650"/>
      <c r="L21" s="650"/>
      <c r="M21" s="651"/>
      <c r="N21" s="88"/>
      <c r="O21" s="649"/>
      <c r="P21" s="650"/>
      <c r="Q21" s="650"/>
      <c r="R21" s="650"/>
      <c r="S21" s="650"/>
      <c r="T21" s="651"/>
      <c r="U21" s="88"/>
      <c r="V21" s="649"/>
      <c r="W21" s="650"/>
      <c r="X21" s="650"/>
      <c r="Y21" s="650"/>
      <c r="Z21" s="650"/>
      <c r="AA21" s="651"/>
      <c r="AB21" s="88"/>
      <c r="AC21" s="687"/>
      <c r="AD21" s="688"/>
      <c r="AE21" s="688"/>
      <c r="AF21" s="688"/>
      <c r="AG21" s="688"/>
      <c r="AH21" s="689"/>
      <c r="AI21" s="88"/>
      <c r="AJ21" s="690"/>
      <c r="AK21" s="650"/>
      <c r="AL21" s="650"/>
      <c r="AM21" s="650"/>
      <c r="AN21" s="650"/>
      <c r="AO21" s="651"/>
    </row>
    <row r="22" spans="8:41" ht="15.95" customHeight="1"/>
    <row r="23" spans="8:41" ht="15.95" customHeight="1">
      <c r="H23" s="693" t="s">
        <v>1665</v>
      </c>
      <c r="I23" s="693"/>
      <c r="J23" s="693"/>
      <c r="K23" s="693"/>
      <c r="L23" s="693"/>
      <c r="M23" s="693"/>
    </row>
    <row r="24" spans="8:41" ht="15.95" customHeight="1">
      <c r="H24" s="693"/>
      <c r="I24" s="693"/>
      <c r="J24" s="693"/>
      <c r="K24" s="693"/>
      <c r="L24" s="693"/>
      <c r="M24" s="693"/>
    </row>
    <row r="25" spans="8:41" ht="15.95" customHeight="1" thickBot="1">
      <c r="H25" s="648" t="s">
        <v>1666</v>
      </c>
      <c r="I25" s="648"/>
      <c r="J25" s="648"/>
      <c r="K25" s="648"/>
      <c r="L25" s="648"/>
      <c r="M25" s="648"/>
      <c r="O25" s="648" t="s">
        <v>1667</v>
      </c>
      <c r="P25" s="648"/>
      <c r="Q25" s="648"/>
      <c r="R25" s="648"/>
      <c r="S25" s="648"/>
      <c r="T25" s="648"/>
      <c r="U25" s="84"/>
      <c r="V25" s="648" t="s">
        <v>1094</v>
      </c>
      <c r="W25" s="648"/>
      <c r="X25" s="648"/>
      <c r="Y25" s="648"/>
      <c r="Z25" s="648"/>
      <c r="AA25" s="648"/>
      <c r="AB25" s="84"/>
      <c r="AC25" s="648" t="s">
        <v>1668</v>
      </c>
      <c r="AD25" s="648"/>
      <c r="AE25" s="648"/>
      <c r="AF25" s="648"/>
      <c r="AG25" s="648"/>
      <c r="AH25" s="648"/>
      <c r="AI25" s="82"/>
      <c r="AJ25" s="648" t="s">
        <v>138</v>
      </c>
      <c r="AK25" s="648"/>
      <c r="AL25" s="648"/>
      <c r="AM25" s="648"/>
      <c r="AN25" s="648"/>
      <c r="AO25" s="648"/>
    </row>
    <row r="26" spans="8:41" ht="15.95" customHeight="1" thickBot="1">
      <c r="H26" s="649"/>
      <c r="I26" s="650"/>
      <c r="J26" s="650"/>
      <c r="K26" s="650"/>
      <c r="L26" s="650"/>
      <c r="M26" s="651"/>
      <c r="O26" s="649"/>
      <c r="P26" s="650"/>
      <c r="Q26" s="650"/>
      <c r="R26" s="650"/>
      <c r="S26" s="650"/>
      <c r="T26" s="651"/>
      <c r="U26" s="88"/>
      <c r="V26" s="649"/>
      <c r="W26" s="650"/>
      <c r="X26" s="650"/>
      <c r="Y26" s="650"/>
      <c r="Z26" s="650"/>
      <c r="AA26" s="651"/>
      <c r="AB26" s="88"/>
      <c r="AC26" s="687"/>
      <c r="AD26" s="688"/>
      <c r="AE26" s="688"/>
      <c r="AF26" s="688"/>
      <c r="AG26" s="688"/>
      <c r="AH26" s="689"/>
      <c r="AI26" s="88"/>
      <c r="AJ26" s="690"/>
      <c r="AK26" s="650"/>
      <c r="AL26" s="650"/>
      <c r="AM26" s="650"/>
      <c r="AN26" s="650"/>
      <c r="AO26" s="651"/>
    </row>
    <row r="27" spans="8:41" ht="15.95" customHeight="1"/>
    <row r="28" spans="8:41" ht="15.95" customHeight="1"/>
    <row r="29" spans="8:41"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6.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zjwsck2HsCMeziQ7XFDrkvGjt8sDq+s4k2ttL/SK7VncvaE6WjNXNC21f4XWp13jyA34k3s3nYDU5WC4/RLjvw==" saltValue="O+PuGIR8UbAakHQF8o6BHg==" spinCount="100000" sheet="1" objects="1" scenarios="1" selectLockedCells="1"/>
  <mergeCells count="50">
    <mergeCell ref="AJ18:AO18"/>
    <mergeCell ref="AJ17:AO17"/>
    <mergeCell ref="AJ20:AO20"/>
    <mergeCell ref="AJ21:AO21"/>
    <mergeCell ref="H21:M21"/>
    <mergeCell ref="O21:T21"/>
    <mergeCell ref="V21:AA21"/>
    <mergeCell ref="AC21:AH21"/>
    <mergeCell ref="O200:AI201"/>
    <mergeCell ref="H17:M17"/>
    <mergeCell ref="H18:M18"/>
    <mergeCell ref="O18:T18"/>
    <mergeCell ref="V18:AA18"/>
    <mergeCell ref="AC18:AH18"/>
    <mergeCell ref="O17:T17"/>
    <mergeCell ref="V17:AA17"/>
    <mergeCell ref="AC17:AH17"/>
    <mergeCell ref="H20:M20"/>
    <mergeCell ref="O20:T20"/>
    <mergeCell ref="V20:AA20"/>
    <mergeCell ref="AC20:AH20"/>
    <mergeCell ref="H25:M25"/>
    <mergeCell ref="H26:M26"/>
    <mergeCell ref="H23:M24"/>
    <mergeCell ref="AT1:AW3"/>
    <mergeCell ref="F1:I3"/>
    <mergeCell ref="J1:M3"/>
    <mergeCell ref="AL1:AO3"/>
    <mergeCell ref="AP1:AS3"/>
    <mergeCell ref="N1:T3"/>
    <mergeCell ref="U1:AK3"/>
    <mergeCell ref="A9:AW10"/>
    <mergeCell ref="AS5:AW6"/>
    <mergeCell ref="AS7:AW7"/>
    <mergeCell ref="AS8:AW8"/>
    <mergeCell ref="A4:E6"/>
    <mergeCell ref="A7:E8"/>
    <mergeCell ref="O25:T25"/>
    <mergeCell ref="V25:AA25"/>
    <mergeCell ref="AC25:AH25"/>
    <mergeCell ref="AJ25:AO25"/>
    <mergeCell ref="O26:T26"/>
    <mergeCell ref="V26:AA26"/>
    <mergeCell ref="AC26:AH26"/>
    <mergeCell ref="AJ26:AO26"/>
    <mergeCell ref="L11:AL12"/>
    <mergeCell ref="N13:Z13"/>
    <mergeCell ref="O15:Z15"/>
    <mergeCell ref="AB13:AG13"/>
    <mergeCell ref="AB15:AG15"/>
  </mergeCells>
  <conditionalFormatting sqref="H18:M18 O18:T18 V18:AA18 AC18:AH18 AJ18:AO18 H21:M21 O21:T21 V21:AA21 AC21:AH21 AJ21:AO21">
    <cfRule type="expression" dxfId="148" priority="4">
      <formula>IF(M02S02F01="No",TRUE,FALSE)</formula>
    </cfRule>
  </conditionalFormatting>
  <conditionalFormatting sqref="H26:M26">
    <cfRule type="expression" dxfId="147" priority="2">
      <formula>IF(M02S02F01="No",TRUE,FALSE)</formula>
    </cfRule>
  </conditionalFormatting>
  <conditionalFormatting sqref="O26:T26 V26:AA26 AC26:AH26 AJ26:AO26">
    <cfRule type="expression" dxfId="146" priority="1">
      <formula>IF(M02S02F01="No",TRUE,FALSE)</formula>
    </cfRule>
  </conditionalFormatting>
  <conditionalFormatting sqref="AS8:AW8">
    <cfRule type="expression" dxfId="145" priority="5">
      <formula>IF($AS$8=PROJSTATMEASURE,FALSE,TRUE)</formula>
    </cfRule>
  </conditionalFormatting>
  <dataValidations count="6">
    <dataValidation type="list" allowBlank="1" showInputMessage="1" showErrorMessage="1" sqref="AB15" xr:uid="{0AA05449-3B89-470E-B016-97D10FC1FA91}">
      <formula1>INSTALLERLIST</formula1>
    </dataValidation>
    <dataValidation type="list" allowBlank="1" showInputMessage="1" showErrorMessage="1" sqref="AC18:AH18" xr:uid="{276C931B-24B4-44A9-BC74-8022F39C2DB1}">
      <formula1>STATESABBREV</formula1>
    </dataValidation>
    <dataValidation type="whole" allowBlank="1" showInputMessage="1" showErrorMessage="1" sqref="AJ18:AO18" xr:uid="{273F1E96-C980-4F85-B3A3-E41B47F4C222}">
      <formula1>0</formula1>
      <formula2>99999</formula2>
    </dataValidation>
    <dataValidation type="textLength" allowBlank="1" showInputMessage="1" showErrorMessage="1" error="Please enter a valid phone number. Example: (111) 111-1111" sqref="AC21:AH21 AC26:AH26" xr:uid="{93C54879-A161-4708-BF99-35A7C0781CB9}">
      <formula1>7</formula1>
      <formula2>15</formula2>
    </dataValidation>
    <dataValidation type="custom" allowBlank="1" showInputMessage="1" showErrorMessage="1" error="Please enter a valid email address." sqref="AJ21:AO21 AJ26:AO26" xr:uid="{77098B14-8A37-48A2-A2DD-B2E167171DC9}">
      <formula1>AND(FIND(".",AJ21),FIND("@",AJ21))</formula1>
    </dataValidation>
    <dataValidation type="list" allowBlank="1" showInputMessage="1" showErrorMessage="1" sqref="AB13" xr:uid="{E761C66C-ED0C-4173-AEF7-57BE1989EC7A}">
      <formula1>YESNOLIST</formula1>
    </dataValidation>
  </dataValidations>
  <hyperlinks>
    <hyperlink ref="B202" r:id="rId1" display="businessrebates@evergy.com" xr:uid="{B4220D35-7DB9-481F-B629-788FD3247808}"/>
    <hyperlink ref="J1:M3" location="'M01-S02'!J1" tooltip="Instructions" display="'M01-S02'!J1" xr:uid="{26FCC480-A08E-457E-9198-433FAD79782B}"/>
    <hyperlink ref="AP1:AS3" location="'M05-S05'!AL1" tooltip=" " display="'M05-S05'!AL1" xr:uid="{17F992C2-168F-44AE-90F5-14D11B2D3F1B}"/>
    <hyperlink ref="AL1:AO3" location="'M05-S04'!AH1" tooltip=" " display="'M05-S04'!AH1" xr:uid="{5AD54000-E5C8-4789-987A-C20C4C25FDC1}"/>
    <hyperlink ref="AT1:AW3" location="'M01-S03'!AP1" tooltip="Contact" display="'M01-S03'!AP1" xr:uid="{697B0138-77FB-4D95-B6DB-D9302E91E3B9}"/>
  </hyperlinks>
  <printOptions horizontalCentered="1"/>
  <pageMargins left="0" right="0" top="0" bottom="0" header="0" footer="0"/>
  <pageSetup scale="43"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tabColor theme="8" tint="0.59999389629810485"/>
    <pageSetUpPr fitToPage="1"/>
  </sheetPr>
  <dimension ref="A1:AW202"/>
  <sheetViews>
    <sheetView showGridLines="0" showRowColHeaders="0" zoomScale="85" zoomScaleNormal="85" workbookViewId="0">
      <selection activeCell="H15" sqref="H15:M15"/>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91">
        <f>INCENTOTAL</f>
        <v>0</v>
      </c>
      <c r="B4" s="691"/>
      <c r="C4" s="691"/>
      <c r="D4" s="691"/>
      <c r="E4" s="691"/>
      <c r="F4" s="179"/>
      <c r="G4" s="179"/>
      <c r="H4" s="179"/>
      <c r="I4" s="179"/>
    </row>
    <row r="5" spans="1:49" ht="15.95" customHeight="1">
      <c r="A5" s="692"/>
      <c r="B5" s="692"/>
      <c r="C5" s="692"/>
      <c r="D5" s="692"/>
      <c r="E5" s="692"/>
      <c r="F5" s="372"/>
      <c r="G5" s="372"/>
      <c r="H5" s="372"/>
      <c r="I5" s="372"/>
      <c r="AS5" s="663">
        <f ca="1">PROGRESSSTATUS</f>
        <v>0</v>
      </c>
      <c r="AT5" s="663"/>
      <c r="AU5" s="663"/>
      <c r="AV5" s="663"/>
      <c r="AW5" s="663"/>
    </row>
    <row r="6" spans="1:49" ht="15.95" customHeight="1">
      <c r="A6" s="692"/>
      <c r="B6" s="692"/>
      <c r="C6" s="692"/>
      <c r="D6" s="692"/>
      <c r="E6" s="692"/>
      <c r="F6" s="372"/>
      <c r="G6" s="372"/>
      <c r="H6" s="372"/>
      <c r="I6" s="372"/>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373"/>
      <c r="G8" s="373"/>
      <c r="H8" s="373"/>
      <c r="I8" s="373"/>
      <c r="AS8" s="661" t="str">
        <f ca="1">PROJSTATUS</f>
        <v>Enter Measures</v>
      </c>
      <c r="AT8" s="661"/>
      <c r="AU8" s="661"/>
      <c r="AV8" s="661"/>
      <c r="AW8" s="661"/>
    </row>
    <row r="9" spans="1:49" s="78" customFormat="1" ht="15.95" customHeight="1">
      <c r="A9" s="664" t="str">
        <f>M2S3</f>
        <v>Customer Information</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49" s="7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J11" s="82"/>
      <c r="K11" s="82"/>
      <c r="L11" s="700" t="s">
        <v>791</v>
      </c>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82"/>
      <c r="AN11" s="82"/>
      <c r="AO11" s="82"/>
      <c r="AP11" s="82"/>
      <c r="AQ11" s="82"/>
    </row>
    <row r="12" spans="1:49" ht="15.95" customHeight="1">
      <c r="J12" s="82"/>
      <c r="K12" s="82"/>
      <c r="L12" s="700"/>
      <c r="M12" s="700"/>
      <c r="N12" s="700"/>
      <c r="O12" s="700"/>
      <c r="P12" s="700"/>
      <c r="Q12" s="700"/>
      <c r="R12" s="700"/>
      <c r="S12" s="700"/>
      <c r="T12" s="700"/>
      <c r="U12" s="700"/>
      <c r="V12" s="700"/>
      <c r="W12" s="700"/>
      <c r="X12" s="700"/>
      <c r="Y12" s="700"/>
      <c r="Z12" s="700"/>
      <c r="AA12" s="700"/>
      <c r="AB12" s="700"/>
      <c r="AC12" s="700"/>
      <c r="AD12" s="700"/>
      <c r="AE12" s="700"/>
      <c r="AF12" s="700"/>
      <c r="AG12" s="700"/>
      <c r="AH12" s="700"/>
      <c r="AI12" s="700"/>
      <c r="AJ12" s="700"/>
      <c r="AK12" s="700"/>
      <c r="AL12" s="700"/>
      <c r="AM12" s="82"/>
      <c r="AN12" s="82"/>
      <c r="AO12" s="82"/>
      <c r="AP12" s="82"/>
      <c r="AQ12" s="82"/>
    </row>
    <row r="13" spans="1:49" ht="15.95" customHeight="1">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row>
    <row r="14" spans="1:49" ht="15.95" customHeight="1" thickBot="1">
      <c r="H14" s="648" t="s">
        <v>984</v>
      </c>
      <c r="I14" s="648"/>
      <c r="J14" s="648"/>
      <c r="K14" s="648"/>
      <c r="L14" s="648"/>
      <c r="M14" s="648"/>
      <c r="N14" s="82"/>
      <c r="O14" s="648" t="s">
        <v>985</v>
      </c>
      <c r="P14" s="648"/>
      <c r="Q14" s="648"/>
      <c r="R14" s="648"/>
      <c r="S14" s="648"/>
      <c r="T14" s="648"/>
      <c r="U14" s="84"/>
      <c r="V14" s="648" t="s">
        <v>976</v>
      </c>
      <c r="W14" s="648"/>
      <c r="X14" s="648"/>
      <c r="Y14" s="648"/>
      <c r="Z14" s="648"/>
      <c r="AA14" s="648"/>
      <c r="AB14" s="84"/>
      <c r="AC14" s="648" t="s">
        <v>977</v>
      </c>
      <c r="AD14" s="648"/>
      <c r="AE14" s="648"/>
      <c r="AF14" s="648"/>
      <c r="AG14" s="648"/>
      <c r="AH14" s="648"/>
      <c r="AI14" s="84"/>
      <c r="AJ14" s="648" t="s">
        <v>978</v>
      </c>
      <c r="AK14" s="648"/>
      <c r="AL14" s="648"/>
      <c r="AM14" s="648"/>
      <c r="AN14" s="648"/>
      <c r="AO14" s="648"/>
    </row>
    <row r="15" spans="1:49" ht="15.95" customHeight="1" thickBot="1">
      <c r="H15" s="649"/>
      <c r="I15" s="650"/>
      <c r="J15" s="650"/>
      <c r="K15" s="650"/>
      <c r="L15" s="650"/>
      <c r="M15" s="651"/>
      <c r="N15" s="88"/>
      <c r="O15" s="649"/>
      <c r="P15" s="650"/>
      <c r="Q15" s="650"/>
      <c r="R15" s="650"/>
      <c r="S15" s="650"/>
      <c r="T15" s="651"/>
      <c r="U15" s="88"/>
      <c r="V15" s="649"/>
      <c r="W15" s="650"/>
      <c r="X15" s="650"/>
      <c r="Y15" s="650"/>
      <c r="Z15" s="650"/>
      <c r="AA15" s="651"/>
      <c r="AB15" s="88"/>
      <c r="AC15" s="649"/>
      <c r="AD15" s="650"/>
      <c r="AE15" s="650"/>
      <c r="AF15" s="650"/>
      <c r="AG15" s="650"/>
      <c r="AH15" s="651"/>
      <c r="AI15" s="88"/>
      <c r="AJ15" s="701"/>
      <c r="AK15" s="702"/>
      <c r="AL15" s="702"/>
      <c r="AM15" s="702"/>
      <c r="AN15" s="702"/>
      <c r="AO15" s="703"/>
    </row>
    <row r="16" spans="1:49" ht="15.95" customHeight="1">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row>
    <row r="17" spans="8:41" ht="15.95" customHeight="1" thickBot="1">
      <c r="H17" s="648" t="s">
        <v>979</v>
      </c>
      <c r="I17" s="648"/>
      <c r="J17" s="648"/>
      <c r="K17" s="648"/>
      <c r="L17" s="648"/>
      <c r="M17" s="648"/>
      <c r="N17" s="84"/>
      <c r="O17" s="648" t="s">
        <v>980</v>
      </c>
      <c r="P17" s="648"/>
      <c r="Q17" s="648"/>
      <c r="R17" s="648"/>
      <c r="S17" s="648"/>
      <c r="T17" s="648"/>
      <c r="U17" s="84"/>
      <c r="V17" s="648" t="s">
        <v>981</v>
      </c>
      <c r="W17" s="648"/>
      <c r="X17" s="648"/>
      <c r="Y17" s="648"/>
      <c r="Z17" s="648"/>
      <c r="AA17" s="648"/>
      <c r="AB17" s="84"/>
      <c r="AC17" s="648" t="s">
        <v>982</v>
      </c>
      <c r="AD17" s="648"/>
      <c r="AE17" s="648"/>
      <c r="AF17" s="648"/>
      <c r="AG17" s="648"/>
      <c r="AH17" s="648"/>
      <c r="AI17" s="82"/>
      <c r="AJ17" s="648" t="s">
        <v>983</v>
      </c>
      <c r="AK17" s="648"/>
      <c r="AL17" s="648"/>
      <c r="AM17" s="648"/>
      <c r="AN17" s="648"/>
      <c r="AO17" s="648"/>
    </row>
    <row r="18" spans="8:41" ht="15.95" customHeight="1" thickBot="1">
      <c r="H18" s="649"/>
      <c r="I18" s="650"/>
      <c r="J18" s="650"/>
      <c r="K18" s="650"/>
      <c r="L18" s="650"/>
      <c r="M18" s="651"/>
      <c r="N18" s="88"/>
      <c r="O18" s="649"/>
      <c r="P18" s="650"/>
      <c r="Q18" s="650"/>
      <c r="R18" s="650"/>
      <c r="S18" s="650"/>
      <c r="T18" s="651"/>
      <c r="U18" s="88"/>
      <c r="V18" s="649"/>
      <c r="W18" s="650"/>
      <c r="X18" s="650"/>
      <c r="Y18" s="650"/>
      <c r="Z18" s="650"/>
      <c r="AA18" s="651"/>
      <c r="AB18" s="88"/>
      <c r="AC18" s="687"/>
      <c r="AD18" s="688"/>
      <c r="AE18" s="688"/>
      <c r="AF18" s="688"/>
      <c r="AG18" s="688"/>
      <c r="AH18" s="689"/>
      <c r="AI18" s="88"/>
      <c r="AJ18" s="690"/>
      <c r="AK18" s="650"/>
      <c r="AL18" s="650"/>
      <c r="AM18" s="650"/>
      <c r="AN18" s="650"/>
      <c r="AO18" s="651"/>
    </row>
    <row r="19" spans="8:41" ht="15.95" customHeight="1" thickBot="1"/>
    <row r="20" spans="8:41" ht="15.95" customHeight="1" thickBot="1">
      <c r="H20" s="697" t="s">
        <v>2275</v>
      </c>
      <c r="I20" s="697"/>
      <c r="J20" s="697"/>
      <c r="K20" s="697"/>
      <c r="L20" s="697"/>
      <c r="M20" s="697"/>
      <c r="N20" s="697"/>
      <c r="O20" s="697"/>
      <c r="P20" s="697"/>
      <c r="Q20" s="697"/>
      <c r="R20" s="697"/>
      <c r="S20" s="697"/>
      <c r="T20" s="697"/>
      <c r="U20" s="697"/>
      <c r="V20" s="697"/>
      <c r="W20" s="697"/>
      <c r="Y20" s="704" t="str">
        <f>IF(OR( M02S03F11 &lt;&gt; "Yes", M02S03F12 &lt;&gt;"Yes", M02S03F13 &lt;&gt; "Yes"),
"",
"You are eligible for Small Business / Non-Profit incentives!"
)</f>
        <v/>
      </c>
      <c r="Z20" s="705"/>
      <c r="AA20" s="705"/>
      <c r="AB20" s="705"/>
      <c r="AC20" s="705"/>
      <c r="AD20" s="705"/>
      <c r="AE20" s="705"/>
      <c r="AF20" s="705"/>
      <c r="AG20" s="705"/>
      <c r="AH20" s="705"/>
      <c r="AI20" s="705"/>
      <c r="AJ20" s="705"/>
      <c r="AK20" s="705"/>
      <c r="AL20" s="705"/>
      <c r="AM20" s="705"/>
    </row>
    <row r="21" spans="8:41" ht="15.95" customHeight="1" thickBot="1">
      <c r="H21" s="698"/>
      <c r="I21" s="699"/>
      <c r="J21" s="37"/>
      <c r="K21" s="37"/>
      <c r="L21" s="37"/>
      <c r="M21" s="37"/>
      <c r="N21" s="37"/>
      <c r="O21" s="37"/>
      <c r="P21" s="37"/>
      <c r="Q21" s="37"/>
      <c r="R21" s="37"/>
      <c r="S21" s="37"/>
      <c r="T21" s="37"/>
      <c r="U21" s="37"/>
      <c r="V21" s="37"/>
      <c r="W21" s="37"/>
      <c r="Y21" s="706"/>
      <c r="Z21" s="707"/>
      <c r="AA21" s="707"/>
      <c r="AB21" s="707"/>
      <c r="AC21" s="707"/>
      <c r="AD21" s="707"/>
      <c r="AE21" s="707"/>
      <c r="AF21" s="707"/>
      <c r="AG21" s="707"/>
      <c r="AH21" s="707"/>
      <c r="AI21" s="707"/>
      <c r="AJ21" s="707"/>
      <c r="AK21" s="707"/>
      <c r="AL21" s="707"/>
      <c r="AM21" s="707"/>
    </row>
    <row r="22" spans="8:41" ht="15.95" customHeight="1"/>
    <row r="23" spans="8:41" ht="15.95" customHeight="1" thickBot="1">
      <c r="H23" s="694" t="s">
        <v>3049</v>
      </c>
      <c r="I23" s="694"/>
      <c r="J23" s="694"/>
      <c r="K23" s="694"/>
      <c r="L23" s="694"/>
      <c r="M23" s="694"/>
      <c r="N23" s="694"/>
      <c r="O23" s="694"/>
      <c r="P23" s="694"/>
      <c r="Q23" s="694"/>
      <c r="R23" s="694"/>
      <c r="S23" s="694"/>
      <c r="T23" s="694"/>
      <c r="U23" s="694"/>
      <c r="V23" s="694"/>
      <c r="W23" s="694"/>
    </row>
    <row r="24" spans="8:41" ht="15.95" customHeight="1" thickBot="1">
      <c r="H24" s="695"/>
      <c r="I24" s="696"/>
    </row>
    <row r="25" spans="8:41" ht="15.95" customHeight="1"/>
    <row r="26" spans="8:41" ht="15.95" customHeight="1" thickBot="1">
      <c r="H26" s="694" t="s">
        <v>2276</v>
      </c>
      <c r="I26" s="694"/>
      <c r="J26" s="694"/>
      <c r="K26" s="694"/>
      <c r="L26" s="694"/>
      <c r="M26" s="694"/>
      <c r="N26" s="694"/>
      <c r="O26" s="694"/>
      <c r="P26" s="694"/>
      <c r="Q26" s="694"/>
      <c r="R26" s="694"/>
      <c r="S26" s="694"/>
      <c r="T26" s="694"/>
      <c r="U26" s="694"/>
      <c r="V26" s="694"/>
      <c r="W26" s="694"/>
    </row>
    <row r="27" spans="8:41" ht="15.95" customHeight="1" thickBot="1">
      <c r="H27" s="695"/>
      <c r="I27" s="696"/>
    </row>
    <row r="28" spans="8:41" ht="15.95" customHeight="1"/>
    <row r="29" spans="8:41"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IwvRAEdpcNMH8zX7i0RZ4ZUTaQTTC4YhlFOPY+GUs1/3SdBMOUKHtxla4zPOzsBc/t2lnN8Yq9ykmpBDHeXRDg==" saltValue="cIu+gSV4m17UmI8fVsLyqw==" spinCount="100000" sheet="1" objects="1" scenarios="1" selectLockedCells="1"/>
  <mergeCells count="42">
    <mergeCell ref="H21:I21"/>
    <mergeCell ref="H23:W23"/>
    <mergeCell ref="H24:I24"/>
    <mergeCell ref="L11:AL12"/>
    <mergeCell ref="AJ17:AO17"/>
    <mergeCell ref="AJ18:AO18"/>
    <mergeCell ref="H18:M18"/>
    <mergeCell ref="O18:T18"/>
    <mergeCell ref="V18:AA18"/>
    <mergeCell ref="AC18:AH18"/>
    <mergeCell ref="AJ14:AO14"/>
    <mergeCell ref="AJ15:AO15"/>
    <mergeCell ref="Y20:AM21"/>
    <mergeCell ref="O200:AI201"/>
    <mergeCell ref="H14:M14"/>
    <mergeCell ref="H15:M15"/>
    <mergeCell ref="O15:T15"/>
    <mergeCell ref="O14:T14"/>
    <mergeCell ref="V14:AA14"/>
    <mergeCell ref="AC14:AH14"/>
    <mergeCell ref="V15:AA15"/>
    <mergeCell ref="AC15:AH15"/>
    <mergeCell ref="H17:M17"/>
    <mergeCell ref="O17:T17"/>
    <mergeCell ref="V17:AA17"/>
    <mergeCell ref="AC17:AH17"/>
    <mergeCell ref="H26:W26"/>
    <mergeCell ref="H27:I27"/>
    <mergeCell ref="H20:W20"/>
    <mergeCell ref="AT1:AW3"/>
    <mergeCell ref="A9:AW10"/>
    <mergeCell ref="AS5:AW6"/>
    <mergeCell ref="AS7:AW7"/>
    <mergeCell ref="AS8:AW8"/>
    <mergeCell ref="A4:E6"/>
    <mergeCell ref="A7:E8"/>
    <mergeCell ref="AP1:AS3"/>
    <mergeCell ref="F1:I3"/>
    <mergeCell ref="J1:M3"/>
    <mergeCell ref="AL1:AO3"/>
    <mergeCell ref="N1:T3"/>
    <mergeCell ref="U1:AK3"/>
  </mergeCells>
  <conditionalFormatting sqref="H24">
    <cfRule type="expression" dxfId="144" priority="6">
      <formula>NOT(M02S03F11="Yes")</formula>
    </cfRule>
  </conditionalFormatting>
  <conditionalFormatting sqref="H27">
    <cfRule type="expression" dxfId="143" priority="4">
      <formula>NOT(M02S03F11="Yes")</formula>
    </cfRule>
  </conditionalFormatting>
  <conditionalFormatting sqref="H23:W24">
    <cfRule type="expression" dxfId="142" priority="7">
      <formula>NOT(M02S03F11="Yes")</formula>
    </cfRule>
  </conditionalFormatting>
  <conditionalFormatting sqref="H26:W27">
    <cfRule type="expression" dxfId="141" priority="5">
      <formula>NOT(M02S03F11="Yes")</formula>
    </cfRule>
  </conditionalFormatting>
  <conditionalFormatting sqref="AS8:AW8">
    <cfRule type="expression" dxfId="140" priority="9">
      <formula>IF($AS$8=PROJSTATMEASURE,FALSE,TRUE)</formula>
    </cfRule>
  </conditionalFormatting>
  <dataValidations count="5">
    <dataValidation type="list" allowBlank="1" showInputMessage="1" showErrorMessage="1" sqref="AC15:AH15" xr:uid="{E72FC67E-C3D2-4E1A-9791-8DF83091A50A}">
      <formula1>STATESABBREV</formula1>
    </dataValidation>
    <dataValidation type="textLength" allowBlank="1" showInputMessage="1" showErrorMessage="1" error="Please enter a valid phone number. Example: (111) 111-1111" sqref="AC18:AH18" xr:uid="{B8D7F6FC-4540-4E58-9E5D-AE18AF703790}">
      <formula1>7</formula1>
      <formula2>15</formula2>
    </dataValidation>
    <dataValidation type="custom" allowBlank="1" showInputMessage="1" showErrorMessage="1" error="Please enter a valid email address." sqref="AJ18:AO18" xr:uid="{E75F176D-8AEE-4B5B-A85D-9182AA039E5B}">
      <formula1>AND(FIND(".",AJ18),FIND("@",AJ18))</formula1>
    </dataValidation>
    <dataValidation type="whole" allowBlank="1" showInputMessage="1" showErrorMessage="1" sqref="AJ15:AO15" xr:uid="{65A03361-A537-4D77-A9D0-AF4F3357CC33}">
      <formula1>0</formula1>
      <formula2>99999</formula2>
    </dataValidation>
    <dataValidation type="list" allowBlank="1" showInputMessage="1" showErrorMessage="1" sqref="H21:I21 H24:I24 H27:I27" xr:uid="{41790822-CC5A-4E1A-B428-EC76240EFC98}">
      <formula1>"Yes, No"</formula1>
    </dataValidation>
  </dataValidations>
  <hyperlinks>
    <hyperlink ref="B202" r:id="rId1" display="businessrebates@evergy.com" xr:uid="{54E85E9A-0BAB-4AF7-B767-FE8809D6E68F}"/>
    <hyperlink ref="J1:M3" location="'M01-S02'!J1" tooltip="Instructions" display="'M01-S02'!J1" xr:uid="{683CC9CA-8AD9-4864-B5D0-B8F69934DFEC}"/>
    <hyperlink ref="AP1:AS3" location="'M05-S05'!AL1" tooltip=" " display="'M05-S05'!AL1" xr:uid="{252CF86F-C851-4A94-AA81-DEDD3E35E171}"/>
    <hyperlink ref="AL1:AO3" location="'M05-S04'!AH1" tooltip=" " display="'M05-S04'!AH1" xr:uid="{58C52A6B-7116-432F-9A99-712E8B0E0E64}"/>
    <hyperlink ref="AT1:AW3" location="'M01-S03'!AP1" tooltip="Contact" display="'M01-S03'!AP1" xr:uid="{52DD89C2-8FFD-467B-8362-3E6DDC878E84}"/>
  </hyperlinks>
  <printOptions horizontalCentered="1"/>
  <pageMargins left="0" right="0" top="0" bottom="0" header="0" footer="0"/>
  <pageSetup scale="43"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tabColor theme="8" tint="0.59999389629810485"/>
    <pageSetUpPr fitToPage="1"/>
  </sheetPr>
  <dimension ref="A1:BN222"/>
  <sheetViews>
    <sheetView showGridLines="0" showRowColHeaders="0" zoomScale="85" zoomScaleNormal="85" workbookViewId="0">
      <selection activeCell="Y15" sqref="Y15:AD15"/>
    </sheetView>
  </sheetViews>
  <sheetFormatPr defaultColWidth="0" defaultRowHeight="0" customHeight="1" zeroHeight="1"/>
  <cols>
    <col min="1" max="49" width="4.7109375" customWidth="1"/>
    <col min="50" max="62" width="4.7109375" hidden="1"/>
    <col min="63" max="66" width="1.7109375" hidden="1"/>
    <col min="67" max="16384" width="4.7109375" hidden="1"/>
  </cols>
  <sheetData>
    <row r="1" spans="1:66"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66"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66"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66" ht="15.95" customHeight="1">
      <c r="A4" s="691">
        <f>INCENTOTAL</f>
        <v>0</v>
      </c>
      <c r="B4" s="691"/>
      <c r="C4" s="691"/>
      <c r="D4" s="691"/>
      <c r="E4" s="691"/>
      <c r="F4" s="179"/>
      <c r="G4" s="179"/>
      <c r="H4" s="179"/>
      <c r="I4" s="179"/>
    </row>
    <row r="5" spans="1:66" ht="15.95" customHeight="1">
      <c r="A5" s="692"/>
      <c r="B5" s="692"/>
      <c r="C5" s="692"/>
      <c r="D5" s="692"/>
      <c r="E5" s="692"/>
      <c r="F5" s="372"/>
      <c r="G5" s="372"/>
      <c r="H5" s="372"/>
      <c r="I5" s="372"/>
      <c r="AS5" s="663">
        <f ca="1">PROGRESSSTATUS</f>
        <v>0</v>
      </c>
      <c r="AT5" s="663"/>
      <c r="AU5" s="663"/>
      <c r="AV5" s="663"/>
      <c r="AW5" s="663"/>
    </row>
    <row r="6" spans="1:66" ht="15.95" customHeight="1">
      <c r="A6" s="692"/>
      <c r="B6" s="692"/>
      <c r="C6" s="692"/>
      <c r="D6" s="692"/>
      <c r="E6" s="692"/>
      <c r="F6" s="372"/>
      <c r="G6" s="372"/>
      <c r="H6" s="372"/>
      <c r="I6" s="372"/>
      <c r="AS6" s="663"/>
      <c r="AT6" s="663"/>
      <c r="AU6" s="663"/>
      <c r="AV6" s="663"/>
      <c r="AW6" s="663"/>
    </row>
    <row r="7" spans="1:66" ht="15.95" customHeight="1">
      <c r="A7" s="662" t="s">
        <v>83</v>
      </c>
      <c r="B7" s="662"/>
      <c r="C7" s="662"/>
      <c r="D7" s="662"/>
      <c r="E7" s="662"/>
      <c r="F7" s="75"/>
      <c r="G7" s="75"/>
      <c r="H7" s="75"/>
      <c r="I7" s="75"/>
      <c r="AS7" s="662" t="s">
        <v>299</v>
      </c>
      <c r="AT7" s="662"/>
      <c r="AU7" s="662"/>
      <c r="AV7" s="662"/>
      <c r="AW7" s="662"/>
    </row>
    <row r="8" spans="1:66" ht="15.95" customHeight="1" thickBot="1">
      <c r="A8" s="665"/>
      <c r="B8" s="665"/>
      <c r="C8" s="665"/>
      <c r="D8" s="665"/>
      <c r="E8" s="665"/>
      <c r="F8" s="373"/>
      <c r="G8" s="373"/>
      <c r="H8" s="373"/>
      <c r="I8" s="373"/>
      <c r="AS8" s="661" t="str">
        <f ca="1">PROJSTATUS</f>
        <v>Enter Measures</v>
      </c>
      <c r="AT8" s="661"/>
      <c r="AU8" s="661"/>
      <c r="AV8" s="661"/>
      <c r="AW8" s="661"/>
    </row>
    <row r="9" spans="1:66" s="78" customFormat="1" ht="15.95" customHeight="1">
      <c r="A9" s="664" t="str">
        <f>M2S4</f>
        <v>Building Information</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66" s="7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66" ht="15.95" customHeight="1" thickBot="1">
      <c r="B11" s="82"/>
      <c r="C11" s="82"/>
      <c r="D11" s="82"/>
      <c r="E11" s="82"/>
      <c r="F11" s="82"/>
      <c r="G11" s="82"/>
      <c r="H11" s="82"/>
      <c r="I11" s="82"/>
      <c r="J11" s="82"/>
      <c r="K11" s="82"/>
      <c r="L11" s="700" t="s">
        <v>1182</v>
      </c>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82"/>
      <c r="AN11" s="82"/>
      <c r="AO11" s="82"/>
      <c r="AP11" s="82"/>
      <c r="AQ11" s="82"/>
      <c r="AR11" s="82"/>
      <c r="AS11" s="82"/>
      <c r="AT11" s="82"/>
      <c r="AU11" s="82"/>
      <c r="AV11" s="82"/>
      <c r="AW11" s="82"/>
    </row>
    <row r="12" spans="1:66" ht="15.95" customHeight="1" thickBot="1">
      <c r="B12" s="82"/>
      <c r="C12" s="82"/>
      <c r="D12" s="82"/>
      <c r="E12" s="82"/>
      <c r="F12" s="82"/>
      <c r="G12" s="82"/>
      <c r="H12" s="82"/>
      <c r="I12" s="82"/>
      <c r="J12" s="82"/>
      <c r="K12" s="82"/>
      <c r="L12" s="700"/>
      <c r="M12" s="700"/>
      <c r="N12" s="700"/>
      <c r="O12" s="700"/>
      <c r="P12" s="700"/>
      <c r="Q12" s="700"/>
      <c r="R12" s="700"/>
      <c r="S12" s="700"/>
      <c r="T12" s="700"/>
      <c r="U12" s="700"/>
      <c r="V12" s="700"/>
      <c r="W12" s="700"/>
      <c r="X12" s="700"/>
      <c r="Y12" s="700"/>
      <c r="Z12" s="700"/>
      <c r="AA12" s="700"/>
      <c r="AB12" s="700"/>
      <c r="AC12" s="700"/>
      <c r="AD12" s="700"/>
      <c r="AE12" s="700"/>
      <c r="AF12" s="700"/>
      <c r="AG12" s="700"/>
      <c r="AH12" s="700"/>
      <c r="AI12" s="700"/>
      <c r="AJ12" s="700"/>
      <c r="AK12" s="700"/>
      <c r="AL12" s="700"/>
      <c r="AM12" s="82"/>
      <c r="AN12" s="82"/>
      <c r="AO12" s="82"/>
      <c r="AP12" s="82"/>
      <c r="AQ12" s="82"/>
      <c r="AR12" s="82"/>
      <c r="AS12" s="82"/>
      <c r="AT12" s="82"/>
      <c r="AU12" s="82"/>
      <c r="AV12" s="82"/>
      <c r="AW12" s="82"/>
      <c r="AZ12" s="679" t="s">
        <v>1993</v>
      </c>
      <c r="BA12" s="679"/>
      <c r="BB12" s="679"/>
      <c r="BC12" s="679"/>
      <c r="BD12" s="679"/>
      <c r="BE12" s="679"/>
      <c r="BF12" s="679"/>
      <c r="BG12" s="679"/>
      <c r="BH12" s="679"/>
      <c r="BI12" s="679"/>
      <c r="BJ12" s="679"/>
      <c r="BK12" s="679"/>
      <c r="BL12" s="684"/>
      <c r="BM12" s="685"/>
      <c r="BN12" s="686"/>
    </row>
    <row r="13" spans="1:66" ht="15.95" customHeight="1">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row>
    <row r="14" spans="1:66" ht="15.95" customHeight="1" thickBot="1">
      <c r="F14" s="82"/>
      <c r="G14" s="82"/>
      <c r="K14" s="708" t="s">
        <v>986</v>
      </c>
      <c r="L14" s="708"/>
      <c r="M14" s="708"/>
      <c r="N14" s="708"/>
      <c r="O14" s="708"/>
      <c r="P14" s="708"/>
      <c r="Q14" s="83"/>
      <c r="R14" s="708" t="s">
        <v>792</v>
      </c>
      <c r="S14" s="708"/>
      <c r="T14" s="708"/>
      <c r="U14" s="708"/>
      <c r="V14" s="708"/>
      <c r="W14" s="708"/>
      <c r="Y14" s="648" t="s">
        <v>987</v>
      </c>
      <c r="Z14" s="648"/>
      <c r="AA14" s="648"/>
      <c r="AB14" s="648"/>
      <c r="AC14" s="648"/>
      <c r="AD14" s="648"/>
      <c r="AF14" s="722" t="s">
        <v>988</v>
      </c>
      <c r="AG14" s="722"/>
      <c r="AH14" s="722"/>
      <c r="AI14" s="722"/>
      <c r="AJ14" s="722"/>
      <c r="AK14" s="722"/>
      <c r="AW14" s="82"/>
      <c r="AZ14" s="648" t="s">
        <v>927</v>
      </c>
      <c r="BA14" s="648"/>
      <c r="BB14" s="648"/>
      <c r="BC14" s="648"/>
      <c r="BD14" s="648"/>
      <c r="BE14" s="648"/>
    </row>
    <row r="15" spans="1:66" ht="15.95" customHeight="1" thickBot="1">
      <c r="F15" s="82"/>
      <c r="G15" s="82"/>
      <c r="K15" s="681"/>
      <c r="L15" s="682"/>
      <c r="M15" s="682"/>
      <c r="N15" s="682"/>
      <c r="O15" s="682"/>
      <c r="P15" s="683"/>
      <c r="R15" s="681"/>
      <c r="S15" s="682"/>
      <c r="T15" s="682"/>
      <c r="U15" s="682"/>
      <c r="V15" s="682"/>
      <c r="W15" s="683"/>
      <c r="Y15" s="733"/>
      <c r="Z15" s="734"/>
      <c r="AA15" s="734"/>
      <c r="AB15" s="734"/>
      <c r="AC15" s="734"/>
      <c r="AD15" s="735"/>
      <c r="AE15" s="82"/>
      <c r="AF15" s="709" t="str">
        <f>IF(M02S04F05="","",INDEX(RATECLASS[Rate],MATCH(M02S04F05,RATECLASS[Rate Schedules],0)))</f>
        <v/>
      </c>
      <c r="AG15" s="710"/>
      <c r="AH15" s="710"/>
      <c r="AI15" s="710"/>
      <c r="AJ15" s="710"/>
      <c r="AK15" s="711"/>
      <c r="AW15" s="82"/>
      <c r="AZ15" s="730"/>
      <c r="BA15" s="731"/>
      <c r="BB15" s="731"/>
      <c r="BC15" s="731"/>
      <c r="BD15" s="731"/>
      <c r="BE15" s="732"/>
    </row>
    <row r="16" spans="1:66" ht="15.95" customHeight="1" thickBot="1">
      <c r="B16" s="82"/>
      <c r="C16" s="82"/>
      <c r="D16" s="82"/>
      <c r="E16" s="82"/>
      <c r="F16" s="84"/>
      <c r="G16" s="84"/>
      <c r="AW16" s="82"/>
    </row>
    <row r="17" spans="1:50" ht="15.95" customHeight="1">
      <c r="B17" s="82"/>
      <c r="C17" s="82"/>
      <c r="D17" s="82"/>
      <c r="E17" s="82"/>
      <c r="F17" s="84"/>
      <c r="G17" s="84"/>
      <c r="I17" s="549"/>
      <c r="J17" s="549"/>
      <c r="Q17" s="712" t="str">
        <f>IF( M02S04F05="",
"Please enter the Utility Rate Code and check again.",
IF(ISNUMBER(SEARCH("SGS", M02S04F05)),
"You are eligible for Small Business / Non-Profit incentives!",
""))</f>
        <v>Please enter the Utility Rate Code and check again.</v>
      </c>
      <c r="R17" s="713"/>
      <c r="S17" s="713"/>
      <c r="T17" s="713"/>
      <c r="U17" s="713"/>
      <c r="V17" s="713"/>
      <c r="W17" s="713"/>
      <c r="X17" s="713"/>
      <c r="Y17" s="713"/>
      <c r="Z17" s="713"/>
      <c r="AA17" s="713"/>
      <c r="AB17" s="713"/>
      <c r="AC17" s="713"/>
      <c r="AD17" s="713"/>
      <c r="AE17" s="713"/>
    </row>
    <row r="18" spans="1:50" ht="15.95" customHeight="1">
      <c r="B18" s="82"/>
      <c r="C18" s="82"/>
      <c r="D18" s="82"/>
      <c r="E18" s="82"/>
      <c r="F18" s="84"/>
      <c r="G18" s="84"/>
      <c r="H18" s="549"/>
      <c r="I18" s="549"/>
      <c r="J18" s="549"/>
      <c r="Q18" s="714"/>
      <c r="R18" s="707"/>
      <c r="S18" s="707"/>
      <c r="T18" s="707"/>
      <c r="U18" s="707"/>
      <c r="V18" s="707"/>
      <c r="W18" s="707"/>
      <c r="X18" s="707"/>
      <c r="Y18" s="707"/>
      <c r="Z18" s="707"/>
      <c r="AA18" s="707"/>
      <c r="AB18" s="707"/>
      <c r="AC18" s="707"/>
      <c r="AD18" s="707"/>
      <c r="AE18" s="707"/>
    </row>
    <row r="19" spans="1:50" ht="15.95" customHeight="1">
      <c r="B19" s="82"/>
      <c r="C19" s="82"/>
      <c r="D19" s="82"/>
      <c r="E19" s="82"/>
      <c r="F19" s="84"/>
      <c r="G19" s="84"/>
      <c r="AL19" s="82"/>
      <c r="AM19" s="82"/>
      <c r="AN19" s="82"/>
      <c r="AO19" s="82"/>
      <c r="AP19" s="82"/>
      <c r="AQ19" s="82"/>
      <c r="AR19" s="82"/>
      <c r="AS19" s="82"/>
      <c r="AT19" s="82"/>
      <c r="AU19" s="82"/>
      <c r="AV19" s="82"/>
      <c r="AW19" s="82"/>
    </row>
    <row r="20" spans="1:50" ht="15.95" customHeight="1" thickBot="1">
      <c r="B20" s="82"/>
      <c r="C20" s="82"/>
      <c r="D20" s="82"/>
      <c r="E20" s="82"/>
      <c r="F20" s="82"/>
      <c r="G20" s="82"/>
      <c r="H20" s="721" t="s">
        <v>989</v>
      </c>
      <c r="I20" s="721"/>
      <c r="J20" s="721"/>
      <c r="K20" s="721"/>
      <c r="L20" s="721"/>
      <c r="M20" s="721"/>
      <c r="N20" s="176"/>
      <c r="O20" s="721" t="s">
        <v>990</v>
      </c>
      <c r="P20" s="721"/>
      <c r="Q20" s="721"/>
      <c r="R20" s="721"/>
      <c r="S20" s="721"/>
      <c r="T20" s="721"/>
      <c r="U20" s="176"/>
      <c r="V20" s="721" t="s">
        <v>976</v>
      </c>
      <c r="W20" s="721"/>
      <c r="X20" s="721"/>
      <c r="Y20" s="721"/>
      <c r="Z20" s="721"/>
      <c r="AA20" s="721"/>
      <c r="AB20" s="176"/>
      <c r="AC20" s="721" t="s">
        <v>72</v>
      </c>
      <c r="AD20" s="721"/>
      <c r="AE20" s="721"/>
      <c r="AF20" s="721"/>
      <c r="AG20" s="721"/>
      <c r="AH20" s="721"/>
      <c r="AI20" s="176"/>
      <c r="AJ20" s="721" t="s">
        <v>978</v>
      </c>
      <c r="AK20" s="721"/>
      <c r="AL20" s="721"/>
      <c r="AM20" s="721"/>
      <c r="AN20" s="721"/>
      <c r="AO20" s="721"/>
      <c r="AP20" s="82"/>
      <c r="AQ20" s="82"/>
      <c r="AR20" s="82"/>
      <c r="AS20" s="82"/>
      <c r="AT20" s="82"/>
      <c r="AU20" s="82"/>
      <c r="AV20" s="82"/>
      <c r="AW20" s="82"/>
    </row>
    <row r="21" spans="1:50" ht="15.95" customHeight="1" thickBot="1">
      <c r="B21" s="82"/>
      <c r="C21" s="82"/>
      <c r="D21" s="82"/>
      <c r="E21" s="82"/>
      <c r="F21" s="82"/>
      <c r="G21" s="82"/>
      <c r="H21" s="718"/>
      <c r="I21" s="719"/>
      <c r="J21" s="719"/>
      <c r="K21" s="719"/>
      <c r="L21" s="719"/>
      <c r="M21" s="720"/>
      <c r="N21" s="175"/>
      <c r="O21" s="718"/>
      <c r="P21" s="719"/>
      <c r="Q21" s="719"/>
      <c r="R21" s="719"/>
      <c r="S21" s="719"/>
      <c r="T21" s="720"/>
      <c r="U21" s="175"/>
      <c r="V21" s="718"/>
      <c r="W21" s="719"/>
      <c r="X21" s="719"/>
      <c r="Y21" s="719"/>
      <c r="Z21" s="719"/>
      <c r="AA21" s="720"/>
      <c r="AB21" s="175"/>
      <c r="AC21" s="715" t="s">
        <v>241</v>
      </c>
      <c r="AD21" s="716"/>
      <c r="AE21" s="716"/>
      <c r="AF21" s="716"/>
      <c r="AG21" s="716"/>
      <c r="AH21" s="717"/>
      <c r="AI21" s="175"/>
      <c r="AJ21" s="718"/>
      <c r="AK21" s="719"/>
      <c r="AL21" s="719"/>
      <c r="AM21" s="719"/>
      <c r="AN21" s="719"/>
      <c r="AO21" s="720"/>
      <c r="AP21" s="82"/>
      <c r="AQ21" s="82"/>
      <c r="AR21" s="82"/>
      <c r="AS21" s="82"/>
      <c r="AT21" s="82"/>
      <c r="AU21" s="82"/>
      <c r="AV21" s="82"/>
      <c r="AW21" s="82"/>
    </row>
    <row r="22" spans="1:50" ht="15.95" customHeight="1" thickBot="1">
      <c r="B22" s="82"/>
      <c r="C22" s="82"/>
      <c r="D22" s="82"/>
      <c r="E22" s="82"/>
      <c r="F22" s="82"/>
      <c r="G22" s="82"/>
      <c r="AP22" s="82"/>
      <c r="AQ22" s="82"/>
      <c r="AR22" s="82"/>
      <c r="AS22" s="82"/>
      <c r="AT22" s="82"/>
      <c r="AU22" s="82"/>
      <c r="AV22" s="82"/>
      <c r="AW22" s="82"/>
    </row>
    <row r="23" spans="1:50" ht="15.95" customHeight="1" thickBot="1">
      <c r="B23" s="82"/>
      <c r="C23" s="82"/>
      <c r="D23" s="82"/>
      <c r="E23" s="82"/>
      <c r="F23" s="82"/>
      <c r="G23" s="82"/>
      <c r="S23" s="314" t="s">
        <v>2101</v>
      </c>
      <c r="X23" s="681"/>
      <c r="Y23" s="682"/>
      <c r="Z23" s="682"/>
      <c r="AA23" s="682"/>
      <c r="AB23" s="682"/>
      <c r="AC23" s="682"/>
      <c r="AD23" s="683"/>
      <c r="AP23" s="82"/>
      <c r="AQ23" s="82"/>
      <c r="AR23" s="82"/>
      <c r="AS23" s="82"/>
      <c r="AT23" s="82"/>
      <c r="AU23" s="82"/>
      <c r="AV23" s="82"/>
      <c r="AW23" s="82"/>
    </row>
    <row r="24" spans="1:50" ht="15.95" customHeight="1">
      <c r="B24" s="82"/>
      <c r="C24" s="82"/>
      <c r="D24" s="82"/>
      <c r="E24" s="82"/>
      <c r="F24" s="82"/>
      <c r="G24" s="82"/>
      <c r="H24" s="84"/>
      <c r="I24" s="84"/>
      <c r="J24" s="84"/>
      <c r="K24" s="84"/>
      <c r="L24" s="84"/>
      <c r="M24" s="84"/>
      <c r="N24" s="82"/>
      <c r="O24" s="84"/>
      <c r="P24" s="84"/>
      <c r="Q24" s="84"/>
      <c r="R24" s="84"/>
      <c r="S24" s="84"/>
      <c r="T24" s="84"/>
      <c r="U24" s="82"/>
      <c r="V24" s="84"/>
      <c r="W24" s="84"/>
      <c r="X24" s="84"/>
      <c r="Y24" s="84"/>
      <c r="Z24" s="84"/>
      <c r="AA24" s="84"/>
      <c r="AB24" s="82"/>
      <c r="AC24" s="84"/>
      <c r="AD24" s="84"/>
      <c r="AE24" s="84"/>
      <c r="AF24" s="84"/>
      <c r="AG24" s="84"/>
      <c r="AH24" s="84"/>
      <c r="AI24" s="82"/>
      <c r="AJ24" s="84"/>
      <c r="AK24" s="84"/>
      <c r="AL24" s="84"/>
      <c r="AM24" s="84"/>
      <c r="AN24" s="84"/>
      <c r="AO24" s="84"/>
      <c r="AP24" s="82"/>
      <c r="AQ24" s="82"/>
      <c r="AR24" s="82"/>
      <c r="AS24" s="82"/>
      <c r="AT24" s="82"/>
      <c r="AU24" s="82"/>
      <c r="AV24" s="82"/>
      <c r="AW24" s="82"/>
    </row>
    <row r="25" spans="1:50" ht="15.95" customHeight="1" thickBot="1">
      <c r="B25" s="82"/>
      <c r="C25" s="82"/>
      <c r="D25" s="82"/>
      <c r="E25" s="82"/>
      <c r="F25" s="82"/>
      <c r="G25" s="82"/>
      <c r="H25" s="648" t="s">
        <v>979</v>
      </c>
      <c r="I25" s="648"/>
      <c r="J25" s="648"/>
      <c r="K25" s="648"/>
      <c r="L25" s="648"/>
      <c r="M25" s="648"/>
      <c r="N25" s="82"/>
      <c r="O25" s="648" t="s">
        <v>980</v>
      </c>
      <c r="P25" s="648"/>
      <c r="Q25" s="648"/>
      <c r="R25" s="648"/>
      <c r="S25" s="648"/>
      <c r="T25" s="648"/>
      <c r="U25" s="82"/>
      <c r="V25" s="648" t="s">
        <v>981</v>
      </c>
      <c r="W25" s="648"/>
      <c r="X25" s="648"/>
      <c r="Y25" s="648"/>
      <c r="Z25" s="648"/>
      <c r="AA25" s="648"/>
      <c r="AB25" s="82"/>
      <c r="AC25" s="648" t="s">
        <v>982</v>
      </c>
      <c r="AD25" s="648"/>
      <c r="AE25" s="648"/>
      <c r="AF25" s="648"/>
      <c r="AG25" s="648"/>
      <c r="AH25" s="648"/>
      <c r="AI25" s="82"/>
      <c r="AJ25" s="648" t="s">
        <v>983</v>
      </c>
      <c r="AK25" s="648"/>
      <c r="AL25" s="648"/>
      <c r="AM25" s="648"/>
      <c r="AN25" s="648"/>
      <c r="AO25" s="648"/>
      <c r="AP25" s="82"/>
      <c r="AQ25" s="82"/>
      <c r="AR25" s="82"/>
      <c r="AS25" s="82"/>
      <c r="AT25" s="82"/>
      <c r="AU25" s="82"/>
      <c r="AV25" s="82"/>
      <c r="AW25" s="82"/>
    </row>
    <row r="26" spans="1:50" ht="15.95" customHeight="1" thickBot="1">
      <c r="B26" s="82"/>
      <c r="C26" s="82"/>
      <c r="D26" s="82"/>
      <c r="E26" s="82"/>
      <c r="F26" s="82"/>
      <c r="G26" s="82"/>
      <c r="H26" s="729" t="str">
        <f>IF(M02S04F02="the Customer Contact",M02S03F06, IF(M02S04F02="the Trade Ally / Contractor Contact", M02S02F07,""))</f>
        <v/>
      </c>
      <c r="I26" s="727"/>
      <c r="J26" s="727"/>
      <c r="K26" s="727"/>
      <c r="L26" s="727"/>
      <c r="M26" s="728"/>
      <c r="N26" s="82"/>
      <c r="O26" s="729" t="str">
        <f>IF(M02S04F02="the Customer Contact",M02S03F07, IF(M02S04F02="the Trade Ally / Contractor Contact", M02S02F08,""))</f>
        <v/>
      </c>
      <c r="P26" s="727"/>
      <c r="Q26" s="727"/>
      <c r="R26" s="727"/>
      <c r="S26" s="727"/>
      <c r="T26" s="728"/>
      <c r="U26" s="82"/>
      <c r="V26" s="729" t="str">
        <f>IF(M02S04F02="the Customer Contact",M02S03F08,IF(M02S04F02="the Trade Ally / Contractor Contact", M02S02F09,""))</f>
        <v/>
      </c>
      <c r="W26" s="727"/>
      <c r="X26" s="727"/>
      <c r="Y26" s="727"/>
      <c r="Z26" s="727"/>
      <c r="AA26" s="728"/>
      <c r="AB26" s="82"/>
      <c r="AC26" s="723" t="str">
        <f>IF(M02S04F02="the Customer Contact",M02S03F09, IF(M02S04F02="the Trade Ally / Contractor Contact", M02S02F10,""))</f>
        <v/>
      </c>
      <c r="AD26" s="724"/>
      <c r="AE26" s="724"/>
      <c r="AF26" s="724"/>
      <c r="AG26" s="724"/>
      <c r="AH26" s="725"/>
      <c r="AI26" s="82"/>
      <c r="AJ26" s="726" t="str">
        <f>IF(M02S04F02="the Customer Contact",M02S03F10,IF(M02S04F02="the Trade Ally / Contractor Contact", M02S02F11,""))</f>
        <v/>
      </c>
      <c r="AK26" s="727"/>
      <c r="AL26" s="727"/>
      <c r="AM26" s="727"/>
      <c r="AN26" s="727"/>
      <c r="AO26" s="728"/>
      <c r="AP26" s="82"/>
      <c r="AQ26" s="82"/>
      <c r="AR26" s="82"/>
      <c r="AS26" s="82"/>
      <c r="AT26" s="82"/>
      <c r="AU26" s="82"/>
      <c r="AV26" s="82"/>
      <c r="AW26" s="82"/>
    </row>
    <row r="27" spans="1:50" ht="15.95" customHeight="1">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row>
    <row r="28" spans="1:50" ht="15.95" customHeight="1">
      <c r="A28" s="643" t="s">
        <v>315</v>
      </c>
      <c r="B28" s="643"/>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c r="AA28" s="643"/>
      <c r="AB28" s="643"/>
      <c r="AC28" s="643"/>
      <c r="AD28" s="643"/>
      <c r="AE28" s="643"/>
      <c r="AF28" s="643"/>
      <c r="AG28" s="643"/>
      <c r="AH28" s="643"/>
      <c r="AI28" s="643"/>
      <c r="AJ28" s="643"/>
      <c r="AK28" s="643"/>
      <c r="AL28" s="643"/>
      <c r="AM28" s="643"/>
      <c r="AN28" s="643"/>
      <c r="AO28" s="643"/>
      <c r="AP28" s="643"/>
      <c r="AQ28" s="643"/>
      <c r="AR28" s="643"/>
      <c r="AS28" s="643"/>
      <c r="AT28" s="643"/>
      <c r="AU28" s="643"/>
      <c r="AV28" s="643"/>
      <c r="AW28" s="643"/>
      <c r="AX28" s="79"/>
    </row>
    <row r="29" spans="1:50" ht="15.95" customHeight="1">
      <c r="A29" s="643"/>
      <c r="B29" s="643"/>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79"/>
    </row>
    <row r="30" spans="1:50" ht="15.95" customHeight="1"/>
    <row r="31" spans="1:50" ht="15.95" customHeight="1" thickBot="1">
      <c r="B31" s="82"/>
      <c r="C31" s="82"/>
      <c r="D31" s="82"/>
      <c r="E31" s="82"/>
      <c r="F31" s="82"/>
      <c r="G31" s="82"/>
      <c r="K31" s="648" t="s">
        <v>991</v>
      </c>
      <c r="L31" s="648"/>
      <c r="M31" s="648"/>
      <c r="N31" s="648"/>
      <c r="O31" s="648"/>
      <c r="P31" s="648"/>
      <c r="Q31" s="82"/>
      <c r="R31" s="648" t="s">
        <v>1662</v>
      </c>
      <c r="S31" s="648"/>
      <c r="T31" s="648"/>
      <c r="U31" s="648"/>
      <c r="V31" s="648"/>
      <c r="W31" s="648"/>
      <c r="X31" s="82"/>
      <c r="Y31" s="84" t="s">
        <v>992</v>
      </c>
      <c r="AE31" s="82"/>
      <c r="AG31" s="84"/>
      <c r="AH31" s="84"/>
      <c r="AI31" s="82"/>
      <c r="AJ31" s="84"/>
      <c r="AK31" s="84"/>
    </row>
    <row r="32" spans="1:50" ht="15.95" customHeight="1" thickBot="1">
      <c r="B32" s="82"/>
      <c r="C32" s="82"/>
      <c r="D32" s="82"/>
      <c r="E32" s="82"/>
      <c r="F32" s="82"/>
      <c r="G32" s="82"/>
      <c r="K32" s="649"/>
      <c r="L32" s="650"/>
      <c r="M32" s="650"/>
      <c r="N32" s="650"/>
      <c r="O32" s="650"/>
      <c r="P32" s="651"/>
      <c r="Q32" s="82"/>
      <c r="R32" s="649"/>
      <c r="S32" s="650"/>
      <c r="T32" s="650"/>
      <c r="U32" s="650"/>
      <c r="V32" s="650"/>
      <c r="W32" s="651"/>
      <c r="X32" s="82"/>
      <c r="Y32" s="649"/>
      <c r="Z32" s="650"/>
      <c r="AA32" s="650"/>
      <c r="AB32" s="650"/>
      <c r="AC32" s="650"/>
      <c r="AD32" s="650"/>
      <c r="AE32" s="650"/>
      <c r="AF32" s="650"/>
      <c r="AG32" s="650"/>
      <c r="AH32" s="650"/>
      <c r="AI32" s="650"/>
      <c r="AJ32" s="650"/>
      <c r="AK32" s="651"/>
      <c r="AP32" s="82"/>
    </row>
    <row r="33" spans="2:48" ht="15.95" customHeight="1">
      <c r="B33" s="82"/>
      <c r="C33" s="82"/>
      <c r="D33" s="82"/>
      <c r="E33" s="82"/>
      <c r="F33" s="84"/>
      <c r="G33" s="84"/>
      <c r="H33" s="84"/>
      <c r="I33" s="84"/>
      <c r="J33" s="84"/>
      <c r="AM33" s="82"/>
      <c r="AN33" s="84"/>
      <c r="AO33" s="84"/>
      <c r="AP33" s="84"/>
      <c r="AQ33" s="84"/>
      <c r="AR33" s="84"/>
      <c r="AS33" s="84"/>
      <c r="AT33" s="84"/>
      <c r="AU33" s="84"/>
      <c r="AV33" s="82"/>
    </row>
    <row r="34" spans="2:48" ht="15.95" customHeight="1" thickBot="1">
      <c r="B34" s="82"/>
      <c r="C34" s="82"/>
      <c r="D34" s="82"/>
      <c r="E34" s="82"/>
      <c r="F34" s="84"/>
      <c r="G34" s="84"/>
      <c r="H34" s="84"/>
      <c r="I34" s="84"/>
      <c r="J34" s="84"/>
      <c r="K34" s="648" t="s">
        <v>993</v>
      </c>
      <c r="L34" s="648"/>
      <c r="M34" s="648"/>
      <c r="N34" s="648"/>
      <c r="O34" s="648"/>
      <c r="P34" s="648"/>
      <c r="Q34" s="82"/>
      <c r="R34" s="648" t="s">
        <v>994</v>
      </c>
      <c r="S34" s="648"/>
      <c r="T34" s="648"/>
      <c r="U34" s="648"/>
      <c r="V34" s="648"/>
      <c r="W34" s="648"/>
      <c r="X34" s="82"/>
      <c r="Y34" s="648" t="s">
        <v>995</v>
      </c>
      <c r="Z34" s="648"/>
      <c r="AA34" s="648"/>
      <c r="AB34" s="648"/>
      <c r="AC34" s="648"/>
      <c r="AD34" s="648"/>
      <c r="AE34" s="82"/>
      <c r="AF34" s="648" t="s">
        <v>996</v>
      </c>
      <c r="AG34" s="648"/>
      <c r="AH34" s="648"/>
      <c r="AI34" s="648"/>
      <c r="AJ34" s="648"/>
      <c r="AK34" s="648"/>
    </row>
    <row r="35" spans="2:48" ht="15.95" customHeight="1" thickBot="1">
      <c r="B35" s="82"/>
      <c r="C35" s="82"/>
      <c r="D35" s="82"/>
      <c r="E35" s="82"/>
      <c r="F35" s="84"/>
      <c r="G35" s="84"/>
      <c r="K35" s="649"/>
      <c r="L35" s="650"/>
      <c r="M35" s="650"/>
      <c r="N35" s="650"/>
      <c r="O35" s="650"/>
      <c r="P35" s="651"/>
      <c r="Q35" s="82"/>
      <c r="R35" s="745"/>
      <c r="S35" s="746"/>
      <c r="T35" s="746"/>
      <c r="U35" s="746"/>
      <c r="V35" s="746"/>
      <c r="W35" s="747"/>
      <c r="X35" s="82"/>
      <c r="Y35" s="745"/>
      <c r="Z35" s="746"/>
      <c r="AA35" s="746"/>
      <c r="AB35" s="746"/>
      <c r="AC35" s="746"/>
      <c r="AD35" s="747"/>
      <c r="AE35" s="82"/>
      <c r="AF35" s="649"/>
      <c r="AG35" s="650"/>
      <c r="AH35" s="650"/>
      <c r="AI35" s="650"/>
      <c r="AJ35" s="650"/>
      <c r="AK35" s="651"/>
      <c r="AL35" s="82"/>
      <c r="AM35" s="82"/>
      <c r="AN35" s="82"/>
      <c r="AO35" s="82"/>
      <c r="AP35" s="84"/>
      <c r="AQ35" s="84"/>
      <c r="AR35" s="84"/>
      <c r="AS35" s="84"/>
      <c r="AT35" s="84"/>
      <c r="AU35" s="84"/>
      <c r="AV35" s="82"/>
    </row>
    <row r="36" spans="2:48" ht="15.95" customHeight="1">
      <c r="B36" s="82"/>
      <c r="C36" s="82"/>
      <c r="D36" s="82"/>
      <c r="E36" s="82"/>
      <c r="F36" s="82"/>
      <c r="G36" s="82"/>
      <c r="H36" s="82"/>
      <c r="I36" s="82"/>
      <c r="J36" s="82"/>
      <c r="AL36" s="82"/>
      <c r="AM36" s="82"/>
      <c r="AN36" s="82"/>
      <c r="AO36" s="82"/>
      <c r="AP36" s="82"/>
      <c r="AQ36" s="82"/>
      <c r="AR36" s="82"/>
      <c r="AS36" s="82"/>
      <c r="AT36" s="82"/>
      <c r="AU36" s="82"/>
      <c r="AV36" s="82"/>
    </row>
    <row r="37" spans="2:48" ht="15.95" customHeight="1" thickBot="1">
      <c r="B37" s="82"/>
      <c r="C37" s="82"/>
      <c r="D37" s="82"/>
      <c r="E37" s="82"/>
      <c r="F37" s="83"/>
      <c r="G37" s="83"/>
      <c r="H37" s="83" t="s">
        <v>997</v>
      </c>
      <c r="I37" s="83"/>
      <c r="J37" s="83"/>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row>
    <row r="38" spans="2:48" ht="15.95" customHeight="1">
      <c r="B38" s="82"/>
      <c r="C38" s="82"/>
      <c r="D38" s="82"/>
      <c r="E38" s="82"/>
      <c r="F38" s="83"/>
      <c r="G38" s="83"/>
      <c r="H38" s="736"/>
      <c r="I38" s="737"/>
      <c r="J38" s="737"/>
      <c r="K38" s="737"/>
      <c r="L38" s="737"/>
      <c r="M38" s="737"/>
      <c r="N38" s="737"/>
      <c r="O38" s="737"/>
      <c r="P38" s="737"/>
      <c r="Q38" s="737"/>
      <c r="R38" s="737"/>
      <c r="S38" s="737"/>
      <c r="T38" s="737"/>
      <c r="U38" s="737"/>
      <c r="V38" s="737"/>
      <c r="W38" s="737"/>
      <c r="X38" s="737"/>
      <c r="Y38" s="737"/>
      <c r="Z38" s="737"/>
      <c r="AA38" s="737"/>
      <c r="AB38" s="737"/>
      <c r="AC38" s="737"/>
      <c r="AD38" s="737"/>
      <c r="AE38" s="737"/>
      <c r="AF38" s="737"/>
      <c r="AG38" s="737"/>
      <c r="AH38" s="737"/>
      <c r="AI38" s="737"/>
      <c r="AJ38" s="737"/>
      <c r="AK38" s="737"/>
      <c r="AL38" s="737"/>
      <c r="AM38" s="737"/>
      <c r="AN38" s="737"/>
      <c r="AO38" s="738"/>
      <c r="AP38" s="82"/>
      <c r="AQ38" s="82"/>
      <c r="AR38" s="82"/>
      <c r="AS38" s="82"/>
      <c r="AT38" s="82"/>
      <c r="AU38" s="82"/>
      <c r="AV38" s="82"/>
    </row>
    <row r="39" spans="2:48" ht="15.95" customHeight="1">
      <c r="B39" s="82"/>
      <c r="C39" s="82"/>
      <c r="D39" s="82"/>
      <c r="E39" s="82"/>
      <c r="F39" s="83"/>
      <c r="G39" s="83"/>
      <c r="H39" s="739"/>
      <c r="I39" s="740"/>
      <c r="J39" s="740"/>
      <c r="K39" s="740"/>
      <c r="L39" s="740"/>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741"/>
      <c r="AP39" s="82"/>
      <c r="AQ39" s="82"/>
      <c r="AR39" s="82"/>
      <c r="AS39" s="82"/>
      <c r="AT39" s="82"/>
      <c r="AU39" s="82"/>
      <c r="AV39" s="82"/>
    </row>
    <row r="40" spans="2:48" ht="15.95" customHeight="1">
      <c r="B40" s="82"/>
      <c r="C40" s="82"/>
      <c r="D40" s="82"/>
      <c r="E40" s="82"/>
      <c r="F40" s="83"/>
      <c r="G40" s="83"/>
      <c r="H40" s="739"/>
      <c r="I40" s="740"/>
      <c r="J40" s="740"/>
      <c r="K40" s="740"/>
      <c r="L40" s="740"/>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741"/>
      <c r="AP40" s="82"/>
      <c r="AQ40" s="82"/>
      <c r="AR40" s="82"/>
      <c r="AS40" s="82"/>
      <c r="AT40" s="82"/>
      <c r="AU40" s="82"/>
      <c r="AV40" s="82"/>
    </row>
    <row r="41" spans="2:48" ht="15.95" customHeight="1">
      <c r="B41" s="82"/>
      <c r="C41" s="82"/>
      <c r="D41" s="82"/>
      <c r="E41" s="82"/>
      <c r="F41" s="83"/>
      <c r="G41" s="83"/>
      <c r="H41" s="739"/>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741"/>
      <c r="AP41" s="82"/>
      <c r="AQ41" s="82"/>
      <c r="AR41" s="82"/>
      <c r="AS41" s="82"/>
      <c r="AT41" s="82"/>
      <c r="AU41" s="82"/>
      <c r="AV41" s="82"/>
    </row>
    <row r="42" spans="2:48" ht="15.95" customHeight="1">
      <c r="B42" s="82"/>
      <c r="C42" s="82"/>
      <c r="D42" s="82"/>
      <c r="E42" s="82"/>
      <c r="F42" s="83"/>
      <c r="G42" s="83"/>
      <c r="H42" s="739"/>
      <c r="I42" s="740"/>
      <c r="J42" s="740"/>
      <c r="K42" s="740"/>
      <c r="L42" s="740"/>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741"/>
      <c r="AP42" s="82"/>
      <c r="AQ42" s="82"/>
      <c r="AR42" s="82"/>
      <c r="AS42" s="82"/>
      <c r="AT42" s="82"/>
      <c r="AU42" s="82"/>
      <c r="AV42" s="82"/>
    </row>
    <row r="43" spans="2:48" ht="15.95" customHeight="1">
      <c r="B43" s="82"/>
      <c r="C43" s="82"/>
      <c r="D43" s="82"/>
      <c r="E43" s="82"/>
      <c r="F43" s="83"/>
      <c r="G43" s="83"/>
      <c r="H43" s="739"/>
      <c r="I43" s="740"/>
      <c r="J43" s="740"/>
      <c r="K43" s="740"/>
      <c r="L43" s="740"/>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741"/>
      <c r="AP43" s="82"/>
      <c r="AQ43" s="82"/>
      <c r="AR43" s="82"/>
      <c r="AS43" s="82"/>
      <c r="AT43" s="82"/>
      <c r="AU43" s="82"/>
      <c r="AV43" s="82"/>
    </row>
    <row r="44" spans="2:48" ht="15.95" customHeight="1">
      <c r="B44" s="82"/>
      <c r="C44" s="82"/>
      <c r="D44" s="82"/>
      <c r="E44" s="82"/>
      <c r="F44" s="83"/>
      <c r="G44" s="83"/>
      <c r="H44" s="739"/>
      <c r="I44" s="740"/>
      <c r="J44" s="740"/>
      <c r="K44" s="740"/>
      <c r="L44" s="740"/>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741"/>
      <c r="AP44" s="82"/>
      <c r="AQ44" s="82"/>
      <c r="AR44" s="82"/>
      <c r="AS44" s="82"/>
      <c r="AT44" s="82"/>
      <c r="AU44" s="82"/>
      <c r="AV44" s="82"/>
    </row>
    <row r="45" spans="2:48" ht="15.95" customHeight="1" thickBot="1">
      <c r="B45" s="82"/>
      <c r="C45" s="82"/>
      <c r="D45" s="82"/>
      <c r="E45" s="82"/>
      <c r="F45" s="83"/>
      <c r="G45" s="83"/>
      <c r="H45" s="742"/>
      <c r="I45" s="743"/>
      <c r="J45" s="743"/>
      <c r="K45" s="743"/>
      <c r="L45" s="743"/>
      <c r="M45" s="743"/>
      <c r="N45" s="743"/>
      <c r="O45" s="743"/>
      <c r="P45" s="743"/>
      <c r="Q45" s="743"/>
      <c r="R45" s="743"/>
      <c r="S45" s="743"/>
      <c r="T45" s="743"/>
      <c r="U45" s="743"/>
      <c r="V45" s="743"/>
      <c r="W45" s="743"/>
      <c r="X45" s="743"/>
      <c r="Y45" s="743"/>
      <c r="Z45" s="743"/>
      <c r="AA45" s="743"/>
      <c r="AB45" s="743"/>
      <c r="AC45" s="743"/>
      <c r="AD45" s="743"/>
      <c r="AE45" s="743"/>
      <c r="AF45" s="743"/>
      <c r="AG45" s="743"/>
      <c r="AH45" s="743"/>
      <c r="AI45" s="743"/>
      <c r="AJ45" s="743"/>
      <c r="AK45" s="743"/>
      <c r="AL45" s="743"/>
      <c r="AM45" s="743"/>
      <c r="AN45" s="743"/>
      <c r="AO45" s="744"/>
      <c r="AP45" s="82"/>
      <c r="AQ45" s="82"/>
      <c r="AR45" s="82"/>
      <c r="AS45" s="82"/>
      <c r="AT45" s="82"/>
      <c r="AU45" s="82"/>
      <c r="AV45" s="82"/>
    </row>
    <row r="46" spans="2:48" ht="15.95" customHeight="1">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row>
    <row r="47" spans="2:48" ht="15.95" hidden="1" customHeight="1"/>
    <row r="48" spans="2: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49" ht="15.95" hidden="1" customHeight="1"/>
    <row r="204" spans="1:49" ht="15.95" hidden="1" customHeight="1"/>
    <row r="205" spans="1:49" ht="15.95" hidden="1" customHeight="1"/>
    <row r="206" spans="1:49" ht="15.95" hidden="1" customHeight="1"/>
    <row r="207" spans="1:49" ht="15.95" hidden="1" customHeight="1"/>
    <row r="208" spans="1:49"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sheetData>
  <sheetProtection algorithmName="SHA-512" hashValue="6T0mtX+JX+7Oq+ZLOTc9yHSk6mgu++GxKq5LA9jbd65mkbxukIiZ7cb3uc6y60pfw9XvylyUAqlB2B/bu6sydQ==" saltValue="rHTpk5M+V99SXXxGNUTRSQ==" spinCount="100000" sheet="1" objects="1" scenarios="1" selectLockedCells="1"/>
  <mergeCells count="64">
    <mergeCell ref="O200:AI201"/>
    <mergeCell ref="V26:AA26"/>
    <mergeCell ref="AZ15:BE15"/>
    <mergeCell ref="V25:AA25"/>
    <mergeCell ref="R31:W31"/>
    <mergeCell ref="Y15:AD15"/>
    <mergeCell ref="AF35:AK35"/>
    <mergeCell ref="H38:AO45"/>
    <mergeCell ref="R32:W32"/>
    <mergeCell ref="K35:P35"/>
    <mergeCell ref="R35:W35"/>
    <mergeCell ref="Y35:AD35"/>
    <mergeCell ref="Y32:AK32"/>
    <mergeCell ref="K32:P32"/>
    <mergeCell ref="K34:P34"/>
    <mergeCell ref="R15:W15"/>
    <mergeCell ref="R34:W34"/>
    <mergeCell ref="Y34:AD34"/>
    <mergeCell ref="AF34:AK34"/>
    <mergeCell ref="K31:P31"/>
    <mergeCell ref="A28:AW29"/>
    <mergeCell ref="AC26:AH26"/>
    <mergeCell ref="AJ26:AO26"/>
    <mergeCell ref="H25:M25"/>
    <mergeCell ref="O25:T25"/>
    <mergeCell ref="AC25:AH25"/>
    <mergeCell ref="AJ25:AO25"/>
    <mergeCell ref="H26:M26"/>
    <mergeCell ref="O26:T26"/>
    <mergeCell ref="BL12:BN12"/>
    <mergeCell ref="AC21:AH21"/>
    <mergeCell ref="AJ21:AO21"/>
    <mergeCell ref="L11:AL12"/>
    <mergeCell ref="H20:M20"/>
    <mergeCell ref="O20:T20"/>
    <mergeCell ref="V20:AA20"/>
    <mergeCell ref="AC20:AH20"/>
    <mergeCell ref="AJ20:AO20"/>
    <mergeCell ref="AZ14:BE14"/>
    <mergeCell ref="H21:M21"/>
    <mergeCell ref="O21:T21"/>
    <mergeCell ref="V21:AA21"/>
    <mergeCell ref="AF14:AK14"/>
    <mergeCell ref="F1:I3"/>
    <mergeCell ref="J1:M3"/>
    <mergeCell ref="AL1:AO3"/>
    <mergeCell ref="AP1:AS3"/>
    <mergeCell ref="AZ12:BK12"/>
    <mergeCell ref="N1:T3"/>
    <mergeCell ref="U1:AK3"/>
    <mergeCell ref="AT1:AW3"/>
    <mergeCell ref="X23:AD23"/>
    <mergeCell ref="A9:AW10"/>
    <mergeCell ref="AS5:AW6"/>
    <mergeCell ref="AS7:AW7"/>
    <mergeCell ref="AS8:AW8"/>
    <mergeCell ref="Y14:AD14"/>
    <mergeCell ref="A4:E6"/>
    <mergeCell ref="A7:E8"/>
    <mergeCell ref="R14:W14"/>
    <mergeCell ref="K15:P15"/>
    <mergeCell ref="K14:P14"/>
    <mergeCell ref="AF15:AK15"/>
    <mergeCell ref="Q17:AE18"/>
  </mergeCells>
  <conditionalFormatting sqref="AS8:AW8">
    <cfRule type="expression" dxfId="139" priority="6">
      <formula>IF($AS$8=PROJSTATMEASURE,FALSE,TRUE)</formula>
    </cfRule>
  </conditionalFormatting>
  <dataValidations xWindow="604" yWindow="518" count="19">
    <dataValidation type="list" allowBlank="1" showInputMessage="1" showErrorMessage="1" sqref="K35:P35" xr:uid="{5C1725BA-0E1E-45FF-B4D1-1B38DE40A270}">
      <formula1>BUILDING</formula1>
    </dataValidation>
    <dataValidation type="whole" allowBlank="1" showInputMessage="1" showErrorMessage="1" prompt="Enter annual operating hours for the site._x000a_(Ex: open 8 hours/day * 5 days/week * 52 weeks/year = 2080 hours/year)" sqref="R35:W35" xr:uid="{59618DE2-A7A2-44C4-958F-D905D7501E0F}">
      <formula1>0</formula1>
      <formula2>8760</formula2>
    </dataValidation>
    <dataValidation type="whole" operator="greaterThan" allowBlank="1" showInputMessage="1" showErrorMessage="1" sqref="Y35:AD35" xr:uid="{8DE1D820-3C77-4B7C-AD47-2F29B60FE4CC}">
      <formula1>0</formula1>
    </dataValidation>
    <dataValidation type="list" allowBlank="1" showInputMessage="1" showErrorMessage="1" sqref="AF35:AK35" xr:uid="{47D14104-3D37-4FC6-8484-6F967495C51E}">
      <formula1>SHEAT</formula1>
    </dataValidation>
    <dataValidation type="list" allowBlank="1" showInputMessage="1" showErrorMessage="1" sqref="BL12:BN12" xr:uid="{DED0BB61-2EE9-4D92-94D5-80D860F1E31E}">
      <formula1>YESNOLIST</formula1>
    </dataValidation>
    <dataValidation type="list" allowBlank="1" showInputMessage="1" showErrorMessage="1" sqref="AC21:AH21"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Y15" xr:uid="{E5D7314E-B462-4338-987F-852DABA28D9C}">
      <formula1>RATECLASSLIST</formula1>
    </dataValidation>
    <dataValidation type="list" allowBlank="1" showInputMessage="1" showErrorMessage="1" sqref="R32:W32" xr:uid="{6B916596-4B20-4D82-9328-2CA49F82BE84}">
      <formula1>BUSDEVELNAME</formula1>
    </dataValidation>
    <dataValidation type="list" allowBlank="1" showInputMessage="1" showErrorMessage="1" sqref="Y32:AK32" xr:uid="{5973E5A2-8667-4FFC-8701-0A433308E0C9}">
      <formula1>CUSTINFOLIST</formula1>
    </dataValidation>
    <dataValidation type="custom" allowBlank="1" showInputMessage="1" showErrorMessage="1" error="Please enter a valid email address." sqref="AJ26:AO26" xr:uid="{ED75450D-CF55-49FF-9B72-ADA50A9F6B1C}">
      <formula1>AND(FIND(".",AJ26),FIND("@",AJ26))</formula1>
    </dataValidation>
    <dataValidation type="textLength" allowBlank="1" showInputMessage="1" showErrorMessage="1" error="Please enter a valid phone number." sqref="AC26:AH26" xr:uid="{B0AC366F-BE0E-484E-AE29-0C7DE35CEDAA}">
      <formula1>7</formula1>
      <formula2>15</formula2>
    </dataValidation>
    <dataValidation allowBlank="1" showInputMessage="1" showErrorMessage="1" prompt="Please consult your utility bill for your account rate (Use your total monthly cost divided by your total kWh)." sqref="AF15" xr:uid="{915C5CA1-9F6A-4D52-9D8C-827D0F2970B6}"/>
    <dataValidation type="textLength" operator="lessThanOrEqual" allowBlank="1" showInputMessage="1" showErrorMessage="1" errorTitle="Maximum Length Exceeded" error="The maximum length of this field is 100 characters." prompt="Use this field for your personal project ID. _x000a_Example: Interior Lighting Phase 1" sqref="K32:P32" xr:uid="{E5D56153-BC85-4018-8345-8EAB50DE5142}">
      <formula1>100</formula1>
    </dataValidation>
    <dataValidation type="list" allowBlank="1" showInputMessage="1" showErrorMessage="1" prompt="Please use the dropdown to select zip code. You may also type in the field using the following format #####" sqref="AJ21:AO21"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K15 R15" xr:uid="{8FF54D75-BAFE-4230-A478-BB4BAB786271}">
      <formula1>10</formula1>
    </dataValidation>
    <dataValidation allowBlank="1" showInputMessage="1" showErrorMessage="1" prompt="Please enter the name of the site where the equipment upgrades are occuring. " sqref="H21:M21"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V21:AA21" xr:uid="{A98310CC-6EAA-4C4B-9006-B8F763625A7F}">
      <formula1>CITIES_LIST</formula1>
    </dataValidation>
    <dataValidation type="list" allowBlank="1" showInputMessage="1" showErrorMessage="1" sqref="X23:AD23" xr:uid="{FEA1630E-DF48-4F63-BF8D-0FC1FFFA8EA1}">
      <formula1>"the Customer Contact, the Trade Ally / Contractor Contact, Other"</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F16:G19" xr:uid="{AA51ECA9-2A65-458F-8133-B347E350D1C6}">
      <formula1>10</formula1>
    </dataValidation>
  </dataValidations>
  <hyperlinks>
    <hyperlink ref="B202" r:id="rId1" display="businessrebates@evergy.com" xr:uid="{80E3E260-3153-48BE-AC11-82FC8C80614B}"/>
    <hyperlink ref="J1:M3" location="'M01-S02'!J1" tooltip="Instructions" display="'M01-S02'!J1" xr:uid="{5F3CD5BC-7D2F-49B1-82FC-377C9414CB26}"/>
    <hyperlink ref="AP1:AS3" location="'M05-S05'!AL1" tooltip=" " display="'M05-S05'!AL1" xr:uid="{09D985A1-E3EA-4C48-BADF-1EC7B54BAEDA}"/>
    <hyperlink ref="AL1:AO3" location="'M05-S04'!AH1" tooltip=" " display="'M05-S04'!AH1" xr:uid="{50D66C67-FD07-4D52-9B0D-A1E5800559AE}"/>
    <hyperlink ref="AT1:AW3" location="'M01-S03'!AP1" tooltip="Contact" display="'M01-S03'!AP1" xr:uid="{5B90FE3B-8C43-4177-9A45-8110DBDD6891}"/>
  </hyperlinks>
  <printOptions horizontalCentered="1"/>
  <pageMargins left="0" right="0" top="0" bottom="0" header="0" footer="0"/>
  <pageSetup scale="43"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1396-D7B2-4C7E-BC7C-E0B7ADB0FC60}">
  <sheetPr codeName="Sheet100">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50"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50"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50" ht="15.95" customHeight="1">
      <c r="A4" s="691">
        <f>INCENTOTAL</f>
        <v>0</v>
      </c>
      <c r="B4" s="691"/>
      <c r="C4" s="691"/>
      <c r="D4" s="691"/>
      <c r="E4" s="691"/>
      <c r="F4" s="179"/>
      <c r="G4" s="179"/>
      <c r="H4" s="179"/>
      <c r="I4" s="179"/>
    </row>
    <row r="5" spans="1:50" ht="15.95" customHeight="1">
      <c r="A5" s="692"/>
      <c r="B5" s="692"/>
      <c r="C5" s="692"/>
      <c r="D5" s="692"/>
      <c r="E5" s="692"/>
      <c r="F5" s="372"/>
      <c r="G5" s="372"/>
      <c r="H5" s="372"/>
      <c r="I5" s="372"/>
      <c r="AS5" s="663">
        <f ca="1">PROGRESSSTATUS</f>
        <v>0</v>
      </c>
      <c r="AT5" s="663"/>
      <c r="AU5" s="663"/>
      <c r="AV5" s="663"/>
      <c r="AW5" s="663"/>
    </row>
    <row r="6" spans="1:50" ht="15.95" customHeight="1">
      <c r="A6" s="692"/>
      <c r="B6" s="692"/>
      <c r="C6" s="692"/>
      <c r="D6" s="692"/>
      <c r="E6" s="692"/>
      <c r="F6" s="372"/>
      <c r="G6" s="372"/>
      <c r="H6" s="372"/>
      <c r="I6" s="372"/>
      <c r="L6" s="178"/>
      <c r="AS6" s="663"/>
      <c r="AT6" s="663"/>
      <c r="AU6" s="663"/>
      <c r="AV6" s="663"/>
      <c r="AW6" s="663"/>
    </row>
    <row r="7" spans="1:50" ht="15.95" customHeight="1">
      <c r="A7" s="662" t="s">
        <v>83</v>
      </c>
      <c r="B7" s="662"/>
      <c r="C7" s="662"/>
      <c r="D7" s="662"/>
      <c r="E7" s="662"/>
      <c r="F7" s="75"/>
      <c r="G7" s="75"/>
      <c r="H7" s="75"/>
      <c r="I7" s="75"/>
      <c r="AS7" s="662" t="s">
        <v>299</v>
      </c>
      <c r="AT7" s="662"/>
      <c r="AU7" s="662"/>
      <c r="AV7" s="662"/>
      <c r="AW7" s="662"/>
    </row>
    <row r="8" spans="1:50" ht="15.95" customHeight="1" thickBot="1">
      <c r="A8" s="665"/>
      <c r="B8" s="665"/>
      <c r="C8" s="665"/>
      <c r="D8" s="665"/>
      <c r="E8" s="665"/>
      <c r="F8" s="373"/>
      <c r="G8" s="373"/>
      <c r="H8" s="373"/>
      <c r="I8" s="373"/>
      <c r="AS8" s="661" t="str">
        <f ca="1">PROJSTATUS</f>
        <v>Enter Measures</v>
      </c>
      <c r="AT8" s="661"/>
      <c r="AU8" s="661"/>
      <c r="AV8" s="661"/>
      <c r="AW8" s="661"/>
    </row>
    <row r="9" spans="1:50" s="78" customFormat="1" ht="15.95" customHeight="1">
      <c r="A9" s="664" t="s">
        <v>859</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50" s="7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50" s="78" customFormat="1" ht="15.95" customHeight="1">
      <c r="A11" s="96"/>
      <c r="B11" s="96"/>
      <c r="C11" s="96"/>
      <c r="D11" s="96"/>
      <c r="E11" s="96"/>
      <c r="F11" s="96"/>
      <c r="G11" s="96"/>
      <c r="H11" s="96"/>
      <c r="I11" s="96"/>
      <c r="J11" s="96"/>
      <c r="K11" s="96"/>
      <c r="L11" s="96"/>
      <c r="M11" s="96"/>
      <c r="N11" s="96"/>
      <c r="O11" s="96"/>
      <c r="P11" s="679" t="s">
        <v>2287</v>
      </c>
      <c r="Q11" s="679"/>
      <c r="R11" s="679"/>
      <c r="S11" s="679"/>
      <c r="T11" s="679"/>
      <c r="U11" s="679"/>
      <c r="V11" s="679"/>
      <c r="W11" s="679"/>
      <c r="X11" s="679"/>
      <c r="Y11" s="679"/>
      <c r="Z11" s="679"/>
      <c r="AA11" s="679"/>
      <c r="AB11" s="679"/>
      <c r="AC11" s="679"/>
      <c r="AD11" s="679"/>
      <c r="AE11" s="679"/>
      <c r="AF11" s="679"/>
      <c r="AG11" s="679"/>
      <c r="AH11" s="679"/>
      <c r="AI11" s="79"/>
      <c r="AJ11" s="96"/>
      <c r="AK11" s="96"/>
      <c r="AL11" s="96"/>
      <c r="AM11" s="96"/>
      <c r="AN11" s="96"/>
      <c r="AO11" s="96"/>
      <c r="AP11" s="96"/>
      <c r="AQ11" s="96"/>
      <c r="AR11" s="96"/>
      <c r="AS11" s="96"/>
      <c r="AT11" s="96"/>
      <c r="AU11" s="96"/>
      <c r="AV11" s="96"/>
      <c r="AW11" s="96"/>
    </row>
    <row r="12" spans="1:50" ht="15.95" customHeight="1">
      <c r="A12" s="434"/>
      <c r="B12" s="434"/>
      <c r="C12" s="434"/>
      <c r="D12" s="434"/>
      <c r="E12" s="434"/>
      <c r="F12" s="434"/>
      <c r="G12" s="434"/>
      <c r="H12" s="434"/>
      <c r="I12" s="434"/>
      <c r="J12" s="434"/>
      <c r="K12" s="434"/>
      <c r="L12" s="358"/>
      <c r="M12" s="358"/>
      <c r="N12" s="358"/>
      <c r="O12" s="358"/>
      <c r="P12" s="358"/>
      <c r="Q12" s="358"/>
      <c r="R12" s="358"/>
      <c r="S12" s="358"/>
      <c r="T12" s="435"/>
      <c r="U12" s="435"/>
      <c r="V12" s="435"/>
      <c r="W12" s="435"/>
      <c r="X12" s="435"/>
      <c r="Y12" s="435"/>
      <c r="Z12" s="435"/>
      <c r="AA12" s="435"/>
      <c r="AB12" s="435"/>
      <c r="AC12" s="435"/>
      <c r="AD12" s="435"/>
      <c r="AE12" s="435"/>
      <c r="AF12" s="435"/>
      <c r="AG12" s="435"/>
      <c r="AH12" s="435"/>
      <c r="AI12" s="435"/>
      <c r="AJ12" s="358"/>
      <c r="AK12" s="358"/>
      <c r="AL12" s="358"/>
      <c r="AM12" s="434"/>
      <c r="AN12" s="434"/>
      <c r="AO12" s="434"/>
      <c r="AP12" s="434"/>
      <c r="AQ12" s="434"/>
      <c r="AR12" s="434"/>
      <c r="AS12" s="434"/>
      <c r="AT12" s="434"/>
      <c r="AU12" s="434"/>
      <c r="AV12" s="434"/>
      <c r="AW12" s="434"/>
      <c r="AX12" s="80"/>
    </row>
    <row r="13" spans="1:50" ht="15.95" customHeight="1">
      <c r="A13" s="434"/>
      <c r="B13" s="434"/>
      <c r="C13" s="434"/>
      <c r="D13" s="434"/>
      <c r="E13" s="434"/>
      <c r="F13" s="434"/>
      <c r="G13" s="358"/>
      <c r="H13" s="358"/>
      <c r="I13" s="435"/>
      <c r="J13" s="435"/>
      <c r="K13" s="435"/>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434"/>
      <c r="AN13" s="434"/>
      <c r="AO13" s="434"/>
      <c r="AP13" s="434"/>
      <c r="AQ13" s="434"/>
      <c r="AR13" s="434"/>
      <c r="AS13" s="434"/>
      <c r="AT13" s="434"/>
      <c r="AU13" s="434"/>
      <c r="AV13" s="434"/>
      <c r="AW13" s="434"/>
      <c r="AX13" s="80"/>
    </row>
    <row r="14" spans="1:50" ht="15.95" customHeight="1">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row>
    <row r="15" spans="1:50" ht="15.95" customHeight="1">
      <c r="A15" s="358"/>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row>
    <row r="16" spans="1:50" ht="15.95" customHeight="1">
      <c r="A16" s="358"/>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row>
    <row r="17" spans="1:49" ht="15.95" customHeight="1">
      <c r="A17" s="358"/>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row>
    <row r="18" spans="1:49" ht="15.95" customHeight="1">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row>
    <row r="19" spans="1:49" ht="15.95" customHeight="1">
      <c r="A19" s="358"/>
      <c r="B19" s="358"/>
      <c r="C19" s="358"/>
      <c r="D19" s="358"/>
      <c r="E19" s="358"/>
      <c r="F19" s="358"/>
      <c r="G19" s="358"/>
      <c r="H19" s="358"/>
      <c r="I19" s="749" t="s">
        <v>938</v>
      </c>
      <c r="J19" s="749"/>
      <c r="K19" s="749"/>
      <c r="L19" s="749"/>
      <c r="M19" s="749"/>
      <c r="N19" s="749"/>
      <c r="O19" s="749"/>
      <c r="P19" s="749"/>
      <c r="Q19" s="749"/>
      <c r="R19" s="358"/>
      <c r="S19" s="358"/>
      <c r="T19" s="749" t="s">
        <v>2288</v>
      </c>
      <c r="U19" s="749"/>
      <c r="V19" s="749"/>
      <c r="W19" s="749"/>
      <c r="X19" s="749"/>
      <c r="Y19" s="749"/>
      <c r="Z19" s="749"/>
      <c r="AA19" s="749"/>
      <c r="AB19" s="749"/>
      <c r="AC19" s="358"/>
      <c r="AD19" s="358"/>
      <c r="AE19" s="749" t="s">
        <v>135</v>
      </c>
      <c r="AF19" s="749"/>
      <c r="AG19" s="749"/>
      <c r="AH19" s="749"/>
      <c r="AI19" s="749"/>
      <c r="AJ19" s="749"/>
      <c r="AK19" s="749"/>
      <c r="AL19" s="749"/>
      <c r="AM19" s="749"/>
      <c r="AN19" s="358"/>
      <c r="AO19" s="358"/>
      <c r="AP19" s="358"/>
      <c r="AQ19" s="358"/>
      <c r="AR19" s="358"/>
      <c r="AS19" s="358"/>
      <c r="AT19" s="358"/>
      <c r="AU19" s="358"/>
      <c r="AV19" s="358"/>
      <c r="AW19" s="358"/>
    </row>
    <row r="20" spans="1:49" ht="15.95" customHeight="1">
      <c r="A20" s="358"/>
      <c r="B20" s="358"/>
      <c r="C20" s="358"/>
      <c r="D20" s="358"/>
      <c r="E20" s="358"/>
      <c r="F20" s="358"/>
      <c r="G20" s="358"/>
      <c r="H20" s="358"/>
      <c r="I20" s="749"/>
      <c r="J20" s="749"/>
      <c r="K20" s="749"/>
      <c r="L20" s="749"/>
      <c r="M20" s="749"/>
      <c r="N20" s="749"/>
      <c r="O20" s="749"/>
      <c r="P20" s="749"/>
      <c r="Q20" s="749"/>
      <c r="R20" s="358"/>
      <c r="S20" s="358"/>
      <c r="T20" s="749"/>
      <c r="U20" s="749"/>
      <c r="V20" s="749"/>
      <c r="W20" s="749"/>
      <c r="X20" s="749"/>
      <c r="Y20" s="749"/>
      <c r="Z20" s="749"/>
      <c r="AA20" s="749"/>
      <c r="AB20" s="749"/>
      <c r="AC20" s="358"/>
      <c r="AD20" s="358"/>
      <c r="AE20" s="749"/>
      <c r="AF20" s="749"/>
      <c r="AG20" s="749"/>
      <c r="AH20" s="749"/>
      <c r="AI20" s="749"/>
      <c r="AJ20" s="749"/>
      <c r="AK20" s="749"/>
      <c r="AL20" s="749"/>
      <c r="AM20" s="749"/>
      <c r="AN20" s="358"/>
      <c r="AO20" s="358"/>
      <c r="AP20" s="358"/>
      <c r="AQ20" s="358"/>
      <c r="AR20" s="358"/>
      <c r="AS20" s="358"/>
      <c r="AT20" s="358"/>
      <c r="AU20" s="358"/>
      <c r="AV20" s="358"/>
      <c r="AW20" s="358"/>
    </row>
    <row r="21" spans="1:49" ht="15.95" customHeight="1">
      <c r="A21" s="358"/>
      <c r="B21" s="358"/>
      <c r="C21" s="358"/>
      <c r="D21" s="358"/>
      <c r="E21" s="358"/>
      <c r="F21" s="358"/>
      <c r="G21" s="358"/>
      <c r="H21" s="358"/>
      <c r="I21" s="750" t="s">
        <v>2289</v>
      </c>
      <c r="J21" s="750"/>
      <c r="K21" s="750"/>
      <c r="L21" s="750"/>
      <c r="M21" s="750"/>
      <c r="N21" s="750"/>
      <c r="O21" s="750"/>
      <c r="P21" s="750"/>
      <c r="Q21" s="750"/>
      <c r="R21" s="358"/>
      <c r="S21" s="358"/>
      <c r="T21" s="750" t="s">
        <v>2290</v>
      </c>
      <c r="U21" s="750"/>
      <c r="V21" s="750"/>
      <c r="W21" s="750"/>
      <c r="X21" s="750"/>
      <c r="Y21" s="750"/>
      <c r="Z21" s="750"/>
      <c r="AA21" s="750"/>
      <c r="AB21" s="750"/>
      <c r="AC21" s="358"/>
      <c r="AD21" s="358"/>
      <c r="AE21" s="750" t="s">
        <v>2291</v>
      </c>
      <c r="AF21" s="750"/>
      <c r="AG21" s="750"/>
      <c r="AH21" s="750"/>
      <c r="AI21" s="750"/>
      <c r="AJ21" s="750"/>
      <c r="AK21" s="750"/>
      <c r="AL21" s="750"/>
      <c r="AM21" s="750"/>
      <c r="AN21" s="358"/>
      <c r="AO21" s="358"/>
      <c r="AP21" s="358"/>
      <c r="AQ21" s="358"/>
      <c r="AR21" s="358"/>
      <c r="AS21" s="358"/>
      <c r="AT21" s="358"/>
      <c r="AU21" s="358"/>
      <c r="AV21" s="358"/>
      <c r="AW21" s="358"/>
    </row>
    <row r="22" spans="1:49" ht="15.95" customHeight="1">
      <c r="A22" s="358"/>
      <c r="B22" s="358"/>
      <c r="C22" s="358"/>
      <c r="D22" s="358"/>
      <c r="E22" s="358"/>
      <c r="F22" s="358"/>
      <c r="G22" s="358"/>
      <c r="H22" s="358"/>
      <c r="I22" s="750"/>
      <c r="J22" s="750"/>
      <c r="K22" s="750"/>
      <c r="L22" s="750"/>
      <c r="M22" s="750"/>
      <c r="N22" s="750"/>
      <c r="O22" s="750"/>
      <c r="P22" s="750"/>
      <c r="Q22" s="750"/>
      <c r="R22" s="358"/>
      <c r="S22" s="358"/>
      <c r="T22" s="750"/>
      <c r="U22" s="750"/>
      <c r="V22" s="750"/>
      <c r="W22" s="750"/>
      <c r="X22" s="750"/>
      <c r="Y22" s="750"/>
      <c r="Z22" s="750"/>
      <c r="AA22" s="750"/>
      <c r="AB22" s="750"/>
      <c r="AC22" s="358"/>
      <c r="AD22" s="358"/>
      <c r="AE22" s="750"/>
      <c r="AF22" s="750"/>
      <c r="AG22" s="750"/>
      <c r="AH22" s="750"/>
      <c r="AI22" s="750"/>
      <c r="AJ22" s="750"/>
      <c r="AK22" s="750"/>
      <c r="AL22" s="750"/>
      <c r="AM22" s="750"/>
      <c r="AN22" s="358"/>
      <c r="AO22" s="358"/>
      <c r="AP22" s="358"/>
      <c r="AQ22" s="358"/>
      <c r="AR22" s="358"/>
      <c r="AS22" s="358"/>
      <c r="AT22" s="358"/>
      <c r="AU22" s="358"/>
      <c r="AV22" s="358"/>
      <c r="AW22" s="358"/>
    </row>
    <row r="23" spans="1:49" ht="15.95" customHeight="1">
      <c r="A23" s="358"/>
      <c r="B23" s="358"/>
      <c r="C23" s="358"/>
      <c r="D23" s="358"/>
      <c r="E23" s="358"/>
      <c r="F23" s="358"/>
      <c r="G23" s="358"/>
      <c r="H23" s="358"/>
      <c r="I23" s="750"/>
      <c r="J23" s="750"/>
      <c r="K23" s="750"/>
      <c r="L23" s="750"/>
      <c r="M23" s="750"/>
      <c r="N23" s="750"/>
      <c r="O23" s="750"/>
      <c r="P23" s="750"/>
      <c r="Q23" s="750"/>
      <c r="R23" s="358"/>
      <c r="S23" s="358"/>
      <c r="T23" s="750"/>
      <c r="U23" s="750"/>
      <c r="V23" s="750"/>
      <c r="W23" s="750"/>
      <c r="X23" s="750"/>
      <c r="Y23" s="750"/>
      <c r="Z23" s="750"/>
      <c r="AA23" s="750"/>
      <c r="AB23" s="750"/>
      <c r="AC23" s="358"/>
      <c r="AD23" s="358"/>
      <c r="AE23" s="750"/>
      <c r="AF23" s="750"/>
      <c r="AG23" s="750"/>
      <c r="AH23" s="750"/>
      <c r="AI23" s="750"/>
      <c r="AJ23" s="750"/>
      <c r="AK23" s="750"/>
      <c r="AL23" s="750"/>
      <c r="AM23" s="750"/>
      <c r="AN23" s="358"/>
      <c r="AO23" s="358"/>
      <c r="AP23" s="358"/>
      <c r="AQ23" s="358"/>
      <c r="AR23" s="358"/>
      <c r="AS23" s="358"/>
      <c r="AT23" s="358"/>
      <c r="AU23" s="358"/>
      <c r="AV23" s="358"/>
      <c r="AW23" s="358"/>
    </row>
    <row r="24" spans="1:49" ht="15.95" customHeight="1">
      <c r="A24" s="358"/>
      <c r="B24" s="358"/>
      <c r="C24" s="358"/>
      <c r="D24" s="358"/>
      <c r="E24" s="358"/>
      <c r="F24" s="358"/>
      <c r="G24" s="358"/>
      <c r="H24" s="358"/>
      <c r="I24" s="750"/>
      <c r="J24" s="750"/>
      <c r="K24" s="750"/>
      <c r="L24" s="750"/>
      <c r="M24" s="750"/>
      <c r="N24" s="750"/>
      <c r="O24" s="750"/>
      <c r="P24" s="750"/>
      <c r="Q24" s="750"/>
      <c r="R24" s="358"/>
      <c r="S24" s="358"/>
      <c r="T24" s="750"/>
      <c r="U24" s="750"/>
      <c r="V24" s="750"/>
      <c r="W24" s="750"/>
      <c r="X24" s="750"/>
      <c r="Y24" s="750"/>
      <c r="Z24" s="750"/>
      <c r="AA24" s="750"/>
      <c r="AB24" s="750"/>
      <c r="AC24" s="358"/>
      <c r="AD24" s="358"/>
      <c r="AE24" s="750"/>
      <c r="AF24" s="750"/>
      <c r="AG24" s="750"/>
      <c r="AH24" s="750"/>
      <c r="AI24" s="750"/>
      <c r="AJ24" s="750"/>
      <c r="AK24" s="750"/>
      <c r="AL24" s="750"/>
      <c r="AM24" s="750"/>
      <c r="AN24" s="358"/>
      <c r="AO24" s="358"/>
      <c r="AP24" s="358"/>
      <c r="AQ24" s="358"/>
      <c r="AR24" s="358"/>
      <c r="AS24" s="358"/>
      <c r="AT24" s="358"/>
      <c r="AU24" s="358"/>
      <c r="AV24" s="358"/>
      <c r="AW24" s="358"/>
    </row>
    <row r="25" spans="1:49" ht="15.95" customHeight="1">
      <c r="A25" s="358"/>
      <c r="B25" s="358"/>
      <c r="C25" s="358"/>
      <c r="D25" s="358"/>
      <c r="E25" s="358"/>
      <c r="F25" s="358"/>
      <c r="G25" s="358"/>
      <c r="H25" s="358"/>
      <c r="I25" s="750"/>
      <c r="J25" s="750"/>
      <c r="K25" s="750"/>
      <c r="L25" s="750"/>
      <c r="M25" s="750"/>
      <c r="N25" s="750"/>
      <c r="O25" s="750"/>
      <c r="P25" s="750"/>
      <c r="Q25" s="750"/>
      <c r="R25" s="358"/>
      <c r="S25" s="358"/>
      <c r="T25" s="750"/>
      <c r="U25" s="750"/>
      <c r="V25" s="750"/>
      <c r="W25" s="750"/>
      <c r="X25" s="750"/>
      <c r="Y25" s="750"/>
      <c r="Z25" s="750"/>
      <c r="AA25" s="750"/>
      <c r="AB25" s="750"/>
      <c r="AC25" s="358"/>
      <c r="AD25" s="358"/>
      <c r="AE25" s="750"/>
      <c r="AF25" s="750"/>
      <c r="AG25" s="750"/>
      <c r="AH25" s="750"/>
      <c r="AI25" s="750"/>
      <c r="AJ25" s="750"/>
      <c r="AK25" s="750"/>
      <c r="AL25" s="750"/>
      <c r="AM25" s="750"/>
      <c r="AN25" s="358"/>
      <c r="AO25" s="358"/>
      <c r="AP25" s="358"/>
      <c r="AQ25" s="358"/>
      <c r="AR25" s="358"/>
      <c r="AS25" s="358"/>
      <c r="AT25" s="358"/>
      <c r="AU25" s="358"/>
      <c r="AV25" s="358"/>
      <c r="AW25" s="358"/>
    </row>
    <row r="26" spans="1:49" ht="15.95" customHeight="1">
      <c r="A26" s="358"/>
      <c r="B26" s="358"/>
      <c r="C26" s="358"/>
      <c r="D26" s="358"/>
      <c r="E26" s="358"/>
      <c r="F26" s="358"/>
      <c r="G26" s="358"/>
      <c r="H26" s="358"/>
      <c r="I26" s="750"/>
      <c r="J26" s="750"/>
      <c r="K26" s="750"/>
      <c r="L26" s="750"/>
      <c r="M26" s="750"/>
      <c r="N26" s="750"/>
      <c r="O26" s="750"/>
      <c r="P26" s="750"/>
      <c r="Q26" s="750"/>
      <c r="R26" s="358"/>
      <c r="S26" s="358"/>
      <c r="T26" s="750"/>
      <c r="U26" s="750"/>
      <c r="V26" s="750"/>
      <c r="W26" s="750"/>
      <c r="X26" s="750"/>
      <c r="Y26" s="750"/>
      <c r="Z26" s="750"/>
      <c r="AA26" s="750"/>
      <c r="AB26" s="750"/>
      <c r="AC26" s="358"/>
      <c r="AD26" s="358"/>
      <c r="AE26" s="750"/>
      <c r="AF26" s="750"/>
      <c r="AG26" s="750"/>
      <c r="AH26" s="750"/>
      <c r="AI26" s="750"/>
      <c r="AJ26" s="750"/>
      <c r="AK26" s="750"/>
      <c r="AL26" s="750"/>
      <c r="AM26" s="750"/>
      <c r="AN26" s="358"/>
      <c r="AO26" s="358"/>
      <c r="AP26" s="358"/>
      <c r="AQ26" s="358"/>
      <c r="AR26" s="358"/>
      <c r="AS26" s="358"/>
      <c r="AT26" s="358"/>
      <c r="AU26" s="358"/>
      <c r="AV26" s="358"/>
      <c r="AW26" s="358"/>
    </row>
    <row r="27" spans="1:49" ht="15.95" customHeight="1">
      <c r="A27" s="358"/>
      <c r="B27" s="358"/>
      <c r="C27" s="358"/>
      <c r="D27" s="358"/>
      <c r="E27" s="358"/>
      <c r="F27" s="358"/>
      <c r="G27" s="358"/>
      <c r="H27" s="358"/>
      <c r="I27" s="750"/>
      <c r="J27" s="750"/>
      <c r="K27" s="750"/>
      <c r="L27" s="750"/>
      <c r="M27" s="750"/>
      <c r="N27" s="750"/>
      <c r="O27" s="750"/>
      <c r="P27" s="750"/>
      <c r="Q27" s="750"/>
      <c r="R27" s="358"/>
      <c r="S27" s="358"/>
      <c r="T27" s="750"/>
      <c r="U27" s="750"/>
      <c r="V27" s="750"/>
      <c r="W27" s="750"/>
      <c r="X27" s="750"/>
      <c r="Y27" s="750"/>
      <c r="Z27" s="750"/>
      <c r="AA27" s="750"/>
      <c r="AB27" s="750"/>
      <c r="AC27" s="358"/>
      <c r="AD27" s="358"/>
      <c r="AE27" s="750"/>
      <c r="AF27" s="750"/>
      <c r="AG27" s="750"/>
      <c r="AH27" s="750"/>
      <c r="AI27" s="750"/>
      <c r="AJ27" s="750"/>
      <c r="AK27" s="750"/>
      <c r="AL27" s="750"/>
      <c r="AM27" s="750"/>
      <c r="AN27" s="358"/>
      <c r="AO27" s="358"/>
      <c r="AP27" s="358"/>
      <c r="AQ27" s="358"/>
      <c r="AR27" s="358"/>
      <c r="AS27" s="358"/>
      <c r="AT27" s="358"/>
      <c r="AU27" s="358"/>
      <c r="AV27" s="358"/>
      <c r="AW27" s="358"/>
    </row>
    <row r="28" spans="1:49" ht="15.95" customHeight="1">
      <c r="A28" s="358"/>
      <c r="B28" s="358"/>
      <c r="C28" s="358"/>
      <c r="D28" s="358"/>
      <c r="E28" s="358"/>
      <c r="F28" s="358"/>
      <c r="G28" s="358"/>
      <c r="H28" s="358"/>
      <c r="I28" s="358"/>
      <c r="J28" s="358"/>
      <c r="K28" s="748" t="s">
        <v>2292</v>
      </c>
      <c r="L28" s="748"/>
      <c r="M28" s="748"/>
      <c r="N28" s="748"/>
      <c r="O28" s="748"/>
      <c r="P28" s="358"/>
      <c r="Q28" s="358"/>
      <c r="R28" s="358"/>
      <c r="S28" s="358"/>
      <c r="T28" s="358"/>
      <c r="U28" s="358"/>
      <c r="V28" s="358"/>
      <c r="W28" s="358"/>
      <c r="X28" s="358"/>
      <c r="Y28" s="358"/>
      <c r="Z28" s="358"/>
      <c r="AA28" s="358"/>
      <c r="AB28" s="358"/>
      <c r="AC28" s="358"/>
      <c r="AD28" s="358"/>
      <c r="AE28" s="358"/>
      <c r="AF28" s="358"/>
      <c r="AG28" s="748" t="s">
        <v>2293</v>
      </c>
      <c r="AH28" s="748"/>
      <c r="AI28" s="748"/>
      <c r="AJ28" s="748"/>
      <c r="AK28" s="748"/>
      <c r="AL28" s="358"/>
      <c r="AM28" s="358"/>
      <c r="AN28" s="358"/>
      <c r="AO28" s="358"/>
      <c r="AP28" s="358"/>
      <c r="AQ28" s="358"/>
      <c r="AR28" s="358"/>
      <c r="AS28" s="358"/>
      <c r="AT28" s="358"/>
      <c r="AU28" s="358"/>
      <c r="AV28" s="358"/>
      <c r="AW28" s="358"/>
    </row>
    <row r="29" spans="1:49" ht="15.95" customHeight="1">
      <c r="A29" s="358"/>
      <c r="B29" s="358"/>
      <c r="C29" s="358"/>
      <c r="D29" s="358"/>
      <c r="E29" s="358"/>
      <c r="F29" s="358"/>
      <c r="G29" s="358"/>
      <c r="H29" s="358"/>
      <c r="I29" s="358"/>
      <c r="J29" s="358"/>
      <c r="K29" s="748"/>
      <c r="L29" s="748"/>
      <c r="M29" s="748"/>
      <c r="N29" s="748"/>
      <c r="O29" s="748"/>
      <c r="P29" s="358"/>
      <c r="Q29" s="358"/>
      <c r="R29" s="358"/>
      <c r="S29" s="358"/>
      <c r="T29" s="358"/>
      <c r="U29" s="358"/>
      <c r="V29" s="358"/>
      <c r="W29" s="358"/>
      <c r="X29" s="358"/>
      <c r="Y29" s="358"/>
      <c r="Z29" s="358"/>
      <c r="AA29" s="358"/>
      <c r="AB29" s="358"/>
      <c r="AC29" s="358"/>
      <c r="AD29" s="358"/>
      <c r="AE29" s="358"/>
      <c r="AF29" s="358"/>
      <c r="AG29" s="748"/>
      <c r="AH29" s="748"/>
      <c r="AI29" s="748"/>
      <c r="AJ29" s="748"/>
      <c r="AK29" s="748"/>
      <c r="AL29" s="358"/>
      <c r="AM29" s="358"/>
      <c r="AN29" s="358"/>
      <c r="AO29" s="358"/>
      <c r="AP29" s="358"/>
      <c r="AQ29" s="358"/>
      <c r="AR29" s="358"/>
      <c r="AS29" s="358"/>
      <c r="AT29" s="358"/>
      <c r="AU29" s="358"/>
      <c r="AV29" s="358"/>
      <c r="AW29" s="358"/>
    </row>
    <row r="30" spans="1:49" ht="15.95" customHeight="1"/>
    <row r="35" spans="21:39" ht="15.95" hidden="1" customHeight="1">
      <c r="V35" s="77"/>
      <c r="W35" s="77"/>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f2KgH3Bym6OnGw2N5gZ3bPdLmnhrr8KAwISHFNfUkzzK1MWiioQdBWBSgXCPRDJPWz1OPv21oUSC3Yx1NWrCfw==" saltValue="pAapq/NoBl0BNQvPxPAW2w==" spinCount="100000" sheet="1" objects="1" scenarios="1" selectLockedCells="1"/>
  <mergeCells count="23">
    <mergeCell ref="K28:O29"/>
    <mergeCell ref="AG28:AK29"/>
    <mergeCell ref="O200:AI201"/>
    <mergeCell ref="A9:AW10"/>
    <mergeCell ref="P11:AH11"/>
    <mergeCell ref="I19:Q20"/>
    <mergeCell ref="T19:AB20"/>
    <mergeCell ref="AE19:AM20"/>
    <mergeCell ref="I21:Q27"/>
    <mergeCell ref="T21:AB27"/>
    <mergeCell ref="AE21:AM27"/>
    <mergeCell ref="AT1:AW3"/>
    <mergeCell ref="A4:E6"/>
    <mergeCell ref="AS5:AW6"/>
    <mergeCell ref="A7:E8"/>
    <mergeCell ref="AS7:AW7"/>
    <mergeCell ref="AS8:AW8"/>
    <mergeCell ref="F1:I3"/>
    <mergeCell ref="J1:M3"/>
    <mergeCell ref="N1:T3"/>
    <mergeCell ref="U1:AK3"/>
    <mergeCell ref="AL1:AO3"/>
    <mergeCell ref="AP1:AS3"/>
  </mergeCells>
  <conditionalFormatting sqref="AS8:AW8">
    <cfRule type="expression" dxfId="138" priority="1">
      <formula>IF($AS$8=PROJSTATMEASURE,FALSE,TRUE)</formula>
    </cfRule>
  </conditionalFormatting>
  <hyperlinks>
    <hyperlink ref="B202" r:id="rId1" display="businessrebates@evergy.com" xr:uid="{BFCF474C-96AA-4A4C-B525-6F2C49998763}"/>
    <hyperlink ref="J1:M3" location="'M01-S02'!J1" tooltip="Instructions" display="'M01-S02'!J1" xr:uid="{1BDD6120-8825-435C-AEF9-381A20729495}"/>
    <hyperlink ref="AP1:AS3" location="'M05-S05'!AL1" tooltip=" " display="'M05-S05'!AL1" xr:uid="{2015A202-C1A7-4404-AE02-2AD5E43CCBC3}"/>
    <hyperlink ref="AL1:AO3" location="'M05-S04'!AH1" tooltip=" " display="'M05-S04'!AH1" xr:uid="{D79D1D26-8BA3-407C-BDFD-4575D43DDEAB}"/>
    <hyperlink ref="AT1:AW3" location="'M01-S03'!AP1" tooltip="Contact" display="'M01-S03'!AP1" xr:uid="{318D8063-5D4D-4882-8852-07437C1B4CCD}"/>
  </hyperlinks>
  <printOptions horizontalCentered="1"/>
  <pageMargins left="0" right="0" top="0" bottom="0" header="0" footer="0"/>
  <pageSetup scale="43"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E542A-6771-45DC-9EFE-74E42374AC9E}">
  <sheetPr codeName="Sheet10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50"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50"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50" ht="15.95" customHeight="1">
      <c r="A4" s="691">
        <f>INCENTOTAL</f>
        <v>0</v>
      </c>
      <c r="B4" s="691"/>
      <c r="C4" s="691"/>
      <c r="D4" s="691"/>
      <c r="E4" s="691"/>
      <c r="F4" s="179"/>
      <c r="G4" s="179"/>
      <c r="H4" s="179"/>
      <c r="I4" s="179"/>
    </row>
    <row r="5" spans="1:50" ht="15.95" customHeight="1">
      <c r="A5" s="692"/>
      <c r="B5" s="692"/>
      <c r="C5" s="692"/>
      <c r="D5" s="692"/>
      <c r="E5" s="692"/>
      <c r="F5" s="372"/>
      <c r="G5" s="372"/>
      <c r="H5" s="372"/>
      <c r="I5" s="372"/>
      <c r="AS5" s="663">
        <f ca="1">PROGRESSSTATUS</f>
        <v>0</v>
      </c>
      <c r="AT5" s="663"/>
      <c r="AU5" s="663"/>
      <c r="AV5" s="663"/>
      <c r="AW5" s="663"/>
    </row>
    <row r="6" spans="1:50" ht="15.95" customHeight="1">
      <c r="A6" s="692"/>
      <c r="B6" s="692"/>
      <c r="C6" s="692"/>
      <c r="D6" s="692"/>
      <c r="E6" s="692"/>
      <c r="F6" s="372"/>
      <c r="G6" s="372"/>
      <c r="H6" s="372"/>
      <c r="I6" s="372"/>
      <c r="L6" s="178"/>
      <c r="AS6" s="663"/>
      <c r="AT6" s="663"/>
      <c r="AU6" s="663"/>
      <c r="AV6" s="663"/>
      <c r="AW6" s="663"/>
    </row>
    <row r="7" spans="1:50" ht="15.95" customHeight="1">
      <c r="A7" s="662" t="s">
        <v>83</v>
      </c>
      <c r="B7" s="662"/>
      <c r="C7" s="662"/>
      <c r="D7" s="662"/>
      <c r="E7" s="662"/>
      <c r="F7" s="75"/>
      <c r="G7" s="75"/>
      <c r="H7" s="75"/>
      <c r="I7" s="75"/>
      <c r="AS7" s="662" t="s">
        <v>299</v>
      </c>
      <c r="AT7" s="662"/>
      <c r="AU7" s="662"/>
      <c r="AV7" s="662"/>
      <c r="AW7" s="662"/>
    </row>
    <row r="8" spans="1:50" ht="15.95" customHeight="1" thickBot="1">
      <c r="A8" s="665"/>
      <c r="B8" s="665"/>
      <c r="C8" s="665"/>
      <c r="D8" s="665"/>
      <c r="E8" s="665"/>
      <c r="F8" s="373"/>
      <c r="G8" s="373"/>
      <c r="H8" s="373"/>
      <c r="I8" s="373"/>
      <c r="AS8" s="661" t="str">
        <f ca="1">PROJSTATUS</f>
        <v>Enter Measures</v>
      </c>
      <c r="AT8" s="661"/>
      <c r="AU8" s="661"/>
      <c r="AV8" s="661"/>
      <c r="AW8" s="661"/>
    </row>
    <row r="9" spans="1:50" s="78" customFormat="1" ht="15.95" customHeight="1">
      <c r="A9" s="664" t="s">
        <v>2294</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50" s="7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50" s="78" customFormat="1" ht="15.95" customHeight="1">
      <c r="A11" s="96"/>
      <c r="B11" s="96"/>
      <c r="C11" s="96"/>
      <c r="D11" s="96"/>
      <c r="E11" s="96"/>
      <c r="F11" s="96"/>
      <c r="G11" s="96"/>
      <c r="H11" s="96"/>
      <c r="I11" s="96"/>
      <c r="J11" s="96"/>
      <c r="K11" s="96"/>
      <c r="L11" s="96"/>
      <c r="M11" s="96"/>
      <c r="N11" s="96"/>
      <c r="O11" s="96"/>
      <c r="P11" s="679" t="s">
        <v>1236</v>
      </c>
      <c r="Q11" s="679"/>
      <c r="R11" s="679"/>
      <c r="S11" s="679"/>
      <c r="T11" s="679"/>
      <c r="U11" s="679"/>
      <c r="V11" s="679"/>
      <c r="W11" s="679"/>
      <c r="X11" s="679"/>
      <c r="Y11" s="679"/>
      <c r="Z11" s="679"/>
      <c r="AA11" s="679"/>
      <c r="AB11" s="679"/>
      <c r="AC11" s="679"/>
      <c r="AD11" s="679"/>
      <c r="AE11" s="679"/>
      <c r="AF11" s="679"/>
      <c r="AG11" s="679"/>
      <c r="AH11" s="679"/>
      <c r="AI11" s="79"/>
      <c r="AJ11" s="96"/>
      <c r="AK11" s="96"/>
      <c r="AL11" s="96"/>
      <c r="AM11" s="96"/>
      <c r="AN11" s="96"/>
      <c r="AO11" s="96"/>
      <c r="AP11" s="96"/>
      <c r="AQ11" s="96"/>
      <c r="AR11" s="96"/>
      <c r="AS11" s="96"/>
      <c r="AT11" s="96"/>
      <c r="AU11" s="96"/>
      <c r="AV11" s="96"/>
      <c r="AW11" s="96"/>
    </row>
    <row r="12" spans="1:50" ht="15.95" customHeight="1">
      <c r="A12" s="80"/>
      <c r="B12" s="80"/>
      <c r="C12" s="80"/>
      <c r="D12" s="80"/>
      <c r="E12" s="80"/>
      <c r="F12" s="80"/>
      <c r="G12" s="80"/>
      <c r="H12" s="80"/>
      <c r="I12" s="80"/>
      <c r="J12" s="80"/>
      <c r="K12" s="80"/>
      <c r="T12" s="79"/>
      <c r="U12" s="79"/>
      <c r="V12" s="79"/>
      <c r="W12" s="79"/>
      <c r="X12" s="79"/>
      <c r="Y12" s="79"/>
      <c r="Z12" s="79"/>
      <c r="AA12" s="79"/>
      <c r="AB12" s="79"/>
      <c r="AC12" s="79"/>
      <c r="AD12" s="79"/>
      <c r="AE12" s="79"/>
      <c r="AF12" s="79"/>
      <c r="AG12" s="79"/>
      <c r="AH12" s="79"/>
      <c r="AI12" s="79"/>
      <c r="AM12" s="80"/>
      <c r="AN12" s="80"/>
      <c r="AO12" s="80"/>
      <c r="AP12" s="80"/>
      <c r="AQ12" s="80"/>
      <c r="AR12" s="80"/>
      <c r="AS12" s="80"/>
      <c r="AT12" s="80"/>
      <c r="AU12" s="80"/>
      <c r="AV12" s="80"/>
      <c r="AW12" s="80"/>
      <c r="AX12" s="80"/>
    </row>
    <row r="13" spans="1:50" ht="15.95" customHeight="1">
      <c r="A13" s="80"/>
      <c r="B13" s="80"/>
      <c r="C13" s="80"/>
      <c r="D13" s="80"/>
      <c r="E13" s="80"/>
      <c r="F13" s="80"/>
      <c r="I13" s="79"/>
      <c r="J13" s="79"/>
      <c r="K13" s="79"/>
      <c r="AM13" s="80"/>
      <c r="AN13" s="80"/>
      <c r="AO13" s="80"/>
      <c r="AP13" s="80"/>
      <c r="AQ13" s="80"/>
      <c r="AR13" s="80"/>
      <c r="AS13" s="80"/>
      <c r="AT13" s="80"/>
      <c r="AU13" s="80"/>
      <c r="AV13" s="80"/>
      <c r="AW13" s="80"/>
      <c r="AX13" s="80"/>
    </row>
    <row r="14" spans="1:50" ht="15.95" customHeight="1"/>
    <row r="15" spans="1:50" ht="15.95" customHeight="1"/>
    <row r="16" spans="1:50" ht="15.95" customHeight="1"/>
    <row r="17" spans="9:42" ht="15.95" customHeight="1"/>
    <row r="18" spans="9:42" ht="15.95" customHeight="1"/>
    <row r="19" spans="9:42" ht="15.95" customHeight="1">
      <c r="I19" s="751" t="str">
        <f>M3S2</f>
        <v>Lighting</v>
      </c>
      <c r="J19" s="751"/>
      <c r="K19" s="751"/>
      <c r="L19" s="751"/>
      <c r="M19" s="751"/>
      <c r="N19" s="751"/>
      <c r="O19" s="751"/>
      <c r="R19" s="751" t="str">
        <f>M3S3</f>
        <v>Lighting Controls</v>
      </c>
      <c r="S19" s="751"/>
      <c r="T19" s="751"/>
      <c r="U19" s="751"/>
      <c r="V19" s="751"/>
      <c r="W19" s="751"/>
      <c r="X19" s="751"/>
      <c r="AA19" s="751" t="str">
        <f>M3S4</f>
        <v>Refrigeration</v>
      </c>
      <c r="AB19" s="751"/>
      <c r="AC19" s="751"/>
      <c r="AD19" s="751"/>
      <c r="AE19" s="751"/>
      <c r="AF19" s="751"/>
      <c r="AG19" s="751"/>
      <c r="AJ19" s="752" t="str">
        <f>M3S5</f>
        <v>HVAC</v>
      </c>
      <c r="AK19" s="752"/>
      <c r="AL19" s="752"/>
      <c r="AM19" s="752"/>
      <c r="AN19" s="752"/>
      <c r="AO19" s="752"/>
      <c r="AP19" s="752"/>
    </row>
    <row r="20" spans="9:42" ht="15.95" customHeight="1">
      <c r="I20" s="751"/>
      <c r="J20" s="751"/>
      <c r="K20" s="751"/>
      <c r="L20" s="751"/>
      <c r="M20" s="751"/>
      <c r="N20" s="751"/>
      <c r="O20" s="751"/>
      <c r="R20" s="751"/>
      <c r="S20" s="751"/>
      <c r="T20" s="751"/>
      <c r="U20" s="751"/>
      <c r="V20" s="751"/>
      <c r="W20" s="751"/>
      <c r="X20" s="751"/>
      <c r="AA20" s="751"/>
      <c r="AB20" s="751"/>
      <c r="AC20" s="751"/>
      <c r="AD20" s="751"/>
      <c r="AE20" s="751"/>
      <c r="AF20" s="751"/>
      <c r="AG20" s="751"/>
      <c r="AJ20" s="752"/>
      <c r="AK20" s="752"/>
      <c r="AL20" s="752"/>
      <c r="AM20" s="752"/>
      <c r="AN20" s="752"/>
      <c r="AO20" s="752"/>
      <c r="AP20" s="752"/>
    </row>
    <row r="21" spans="9:42" ht="15.95" customHeight="1"/>
    <row r="22" spans="9:42" ht="15.95" customHeight="1"/>
    <row r="23" spans="9:42" ht="15.95" customHeight="1">
      <c r="L23" s="77"/>
    </row>
    <row r="24" spans="9:42" ht="15.95" customHeight="1"/>
    <row r="25" spans="9:42" ht="15.95" customHeight="1"/>
    <row r="26" spans="9:42" ht="15.95" customHeight="1"/>
    <row r="27" spans="9:42" ht="15.95" customHeight="1"/>
    <row r="28" spans="9:42" ht="15.95" customHeight="1"/>
    <row r="29" spans="9:42" ht="15.95" customHeight="1">
      <c r="I29" s="751" t="str">
        <f>M4S8</f>
        <v>Motors and Drives</v>
      </c>
      <c r="J29" s="751"/>
      <c r="K29" s="751"/>
      <c r="L29" s="751"/>
      <c r="M29" s="751"/>
      <c r="N29" s="751"/>
      <c r="O29" s="751"/>
      <c r="R29" s="751" t="str">
        <f>M3S6</f>
        <v>Compressed Air / Process</v>
      </c>
      <c r="S29" s="751"/>
      <c r="T29" s="751"/>
      <c r="U29" s="751"/>
      <c r="V29" s="751"/>
      <c r="W29" s="751"/>
      <c r="X29" s="751"/>
      <c r="AA29" s="751" t="str">
        <f>M3S7</f>
        <v>Water Heating / Food Services</v>
      </c>
      <c r="AB29" s="751"/>
      <c r="AC29" s="751"/>
      <c r="AD29" s="751"/>
      <c r="AE29" s="751"/>
      <c r="AF29" s="751"/>
      <c r="AG29" s="751"/>
    </row>
    <row r="30" spans="9:42" ht="15.95" customHeight="1">
      <c r="I30" s="751"/>
      <c r="J30" s="751"/>
      <c r="K30" s="751"/>
      <c r="L30" s="751"/>
      <c r="M30" s="751"/>
      <c r="N30" s="751"/>
      <c r="O30" s="751"/>
      <c r="R30" s="751"/>
      <c r="S30" s="751"/>
      <c r="T30" s="751"/>
      <c r="U30" s="751"/>
      <c r="V30" s="751"/>
      <c r="W30" s="751"/>
      <c r="X30" s="751"/>
      <c r="AA30" s="751"/>
      <c r="AB30" s="751"/>
      <c r="AC30" s="751"/>
      <c r="AD30" s="751"/>
      <c r="AE30" s="751"/>
      <c r="AF30" s="751"/>
      <c r="AG30" s="751"/>
    </row>
    <row r="31" spans="9:42" ht="15.95" customHeight="1"/>
    <row r="32" spans="9:42" ht="15.95" customHeight="1"/>
    <row r="34" spans="21:39" ht="15.95" hidden="1" customHeight="1">
      <c r="X34" s="751"/>
      <c r="Y34" s="751"/>
      <c r="Z34" s="751"/>
      <c r="AA34" s="751"/>
      <c r="AB34" s="751"/>
      <c r="AC34" s="751"/>
      <c r="AD34" s="751"/>
    </row>
    <row r="35" spans="21:39" ht="15.95" hidden="1" customHeight="1">
      <c r="V35" s="77"/>
      <c r="W35" s="77"/>
      <c r="X35" s="751"/>
      <c r="Y35" s="751"/>
      <c r="Z35" s="751"/>
      <c r="AA35" s="751"/>
      <c r="AB35" s="751"/>
      <c r="AC35" s="751"/>
      <c r="AD35" s="751"/>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xvP+pycg3gt6jMS/cj7ICpSgo8U7KpDR7br3bCaAHmqhSBlT9QCouL3J6HtoopMu5Cqf6eoHFF/5Sqrw3nEKjA==" saltValue="DbRSofrTelaKguMSmnaH6w==" spinCount="100000" sheet="1" objects="1" scenarios="1" selectLockedCells="1"/>
  <mergeCells count="23">
    <mergeCell ref="I29:O30"/>
    <mergeCell ref="R29:X30"/>
    <mergeCell ref="AA29:AG30"/>
    <mergeCell ref="X34:AD35"/>
    <mergeCell ref="O200:AI201"/>
    <mergeCell ref="A9:AW10"/>
    <mergeCell ref="P11:AH11"/>
    <mergeCell ref="I19:O20"/>
    <mergeCell ref="R19:X20"/>
    <mergeCell ref="AA19:AG20"/>
    <mergeCell ref="AJ19:AP20"/>
    <mergeCell ref="AT1:AW3"/>
    <mergeCell ref="A4:E6"/>
    <mergeCell ref="AS5:AW6"/>
    <mergeCell ref="A7:E8"/>
    <mergeCell ref="AS7:AW7"/>
    <mergeCell ref="AS8:AW8"/>
    <mergeCell ref="F1:I3"/>
    <mergeCell ref="J1:M3"/>
    <mergeCell ref="N1:T3"/>
    <mergeCell ref="U1:AK3"/>
    <mergeCell ref="AL1:AO3"/>
    <mergeCell ref="AP1:AS3"/>
  </mergeCells>
  <conditionalFormatting sqref="AS8:AW8">
    <cfRule type="expression" dxfId="137" priority="1">
      <formula>IF($AS$8=PROJSTATMEASURE,FALSE,TRUE)</formula>
    </cfRule>
  </conditionalFormatting>
  <hyperlinks>
    <hyperlink ref="B202" r:id="rId1" display="businessrebates@evergy.com" xr:uid="{B3883FD8-ADE0-460B-82CF-FD13533B9326}"/>
    <hyperlink ref="R29:X30" location="'M03-S06'!A1" tooltip="Compressed Air / Process" display="'M03-S06'!A1" xr:uid="{7DE2C9FB-A09E-402F-9CD5-8B145FF99F72}"/>
    <hyperlink ref="AA29:AG30" location="'M03-S07'!A1" tooltip="Water Heating / Food Services" display="'M03-S07'!A1" xr:uid="{2CDB3ED8-FB5F-4ED6-93CE-8254821DB2A2}"/>
    <hyperlink ref="I29:O30" location="'M04-S08'!A1" tooltip="Motors and Drives" display="'M04-S08'!A1" xr:uid="{B22431AF-426B-4183-B825-0804696C3691}"/>
    <hyperlink ref="AA19:AG20" location="'M03-S04'!A1" tooltip="Refrigeration" display="'M03-S04'!A1" xr:uid="{B6844644-A73A-4898-B6EF-21628B4D5F01}"/>
    <hyperlink ref="R19:X20" location="'M03-S03'!A1" tooltip="Lighting Controls" display="'M03-S03'!A1" xr:uid="{D0F45A1C-E411-4A64-A8C3-8FD1258A7D4B}"/>
    <hyperlink ref="I19:O20" location="'M03-S02'!A1" tooltip="Lighting" display="'M03-S02'!A1" xr:uid="{21B2568E-06E3-4955-AD18-EF328E0749D6}"/>
    <hyperlink ref="J1:M3" location="'M01-S02'!J1" tooltip="Instructions" display="'M01-S02'!J1" xr:uid="{FC351E38-25D8-4A71-A1F1-A5BB358A3950}"/>
    <hyperlink ref="AP1:AS3" location="'M05-S05'!AL1" tooltip=" " display="'M05-S05'!AL1" xr:uid="{9A51EA50-253A-4BB4-80CF-239F2712E411}"/>
    <hyperlink ref="AL1:AO3" location="'M05-S04'!AH1" tooltip=" " display="'M05-S04'!AH1" xr:uid="{4ECF69BC-A243-471C-AA97-304FA4590B9F}"/>
    <hyperlink ref="AT1:AW3" location="'M01-S03'!AP1" tooltip="Contact" display="'M01-S03'!AP1" xr:uid="{2D19A15E-6FB6-4086-A8E5-DCD9831288DF}"/>
  </hyperlinks>
  <printOptions horizontalCentered="1"/>
  <pageMargins left="0" right="0" top="0" bottom="0" header="0" footer="0"/>
  <pageSetup scale="43"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46ED-204B-45CB-B162-55453234890A}">
  <sheetPr codeName="Sheet101">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50"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50"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50" ht="15.95" customHeight="1">
      <c r="A4" s="691">
        <f>INCENTOTAL</f>
        <v>0</v>
      </c>
      <c r="B4" s="691"/>
      <c r="C4" s="691"/>
      <c r="D4" s="691"/>
      <c r="E4" s="691"/>
      <c r="F4" s="179"/>
      <c r="G4" s="179"/>
      <c r="H4" s="179"/>
      <c r="I4" s="179"/>
    </row>
    <row r="5" spans="1:50" ht="15.95" customHeight="1">
      <c r="A5" s="692"/>
      <c r="B5" s="692"/>
      <c r="C5" s="692"/>
      <c r="D5" s="692"/>
      <c r="E5" s="692"/>
      <c r="F5" s="372"/>
      <c r="G5" s="372"/>
      <c r="H5" s="372"/>
      <c r="I5" s="372"/>
      <c r="AS5" s="663">
        <f ca="1">PROGRESSSTATUS</f>
        <v>0</v>
      </c>
      <c r="AT5" s="663"/>
      <c r="AU5" s="663"/>
      <c r="AV5" s="663"/>
      <c r="AW5" s="663"/>
    </row>
    <row r="6" spans="1:50" ht="15.95" customHeight="1">
      <c r="A6" s="692"/>
      <c r="B6" s="692"/>
      <c r="C6" s="692"/>
      <c r="D6" s="692"/>
      <c r="E6" s="692"/>
      <c r="F6" s="372"/>
      <c r="G6" s="372"/>
      <c r="H6" s="372"/>
      <c r="I6" s="372"/>
      <c r="L6" s="178"/>
      <c r="AS6" s="663"/>
      <c r="AT6" s="663"/>
      <c r="AU6" s="663"/>
      <c r="AV6" s="663"/>
      <c r="AW6" s="663"/>
    </row>
    <row r="7" spans="1:50" ht="15.95" customHeight="1">
      <c r="A7" s="662" t="s">
        <v>83</v>
      </c>
      <c r="B7" s="662"/>
      <c r="C7" s="662"/>
      <c r="D7" s="662"/>
      <c r="E7" s="662"/>
      <c r="F7" s="75"/>
      <c r="G7" s="75"/>
      <c r="H7" s="75"/>
      <c r="I7" s="75"/>
      <c r="AS7" s="662" t="s">
        <v>299</v>
      </c>
      <c r="AT7" s="662"/>
      <c r="AU7" s="662"/>
      <c r="AV7" s="662"/>
      <c r="AW7" s="662"/>
    </row>
    <row r="8" spans="1:50" ht="15.95" customHeight="1" thickBot="1">
      <c r="A8" s="665"/>
      <c r="B8" s="665"/>
      <c r="C8" s="665"/>
      <c r="D8" s="665"/>
      <c r="E8" s="665"/>
      <c r="F8" s="373"/>
      <c r="G8" s="373"/>
      <c r="H8" s="373"/>
      <c r="I8" s="373"/>
      <c r="AS8" s="661" t="str">
        <f ca="1">PROJSTATUS</f>
        <v>Enter Measures</v>
      </c>
      <c r="AT8" s="661"/>
      <c r="AU8" s="661"/>
      <c r="AV8" s="661"/>
      <c r="AW8" s="661"/>
    </row>
    <row r="9" spans="1:50" s="78" customFormat="1" ht="15.95" customHeight="1">
      <c r="A9" s="664" t="s">
        <v>2295</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50" s="7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50" s="78" customFormat="1" ht="15.95" customHeight="1">
      <c r="A11" s="96"/>
      <c r="B11" s="96"/>
      <c r="C11" s="96"/>
      <c r="D11" s="96"/>
      <c r="E11" s="96"/>
      <c r="F11" s="96"/>
      <c r="G11" s="96"/>
      <c r="H11" s="96"/>
      <c r="I11" s="96"/>
      <c r="J11" s="96"/>
      <c r="K11" s="96"/>
      <c r="L11" s="96"/>
      <c r="M11" s="96"/>
      <c r="N11" s="96"/>
      <c r="O11" s="96"/>
      <c r="P11" s="679" t="s">
        <v>1236</v>
      </c>
      <c r="Q11" s="679"/>
      <c r="R11" s="679"/>
      <c r="S11" s="679"/>
      <c r="T11" s="679"/>
      <c r="U11" s="679"/>
      <c r="V11" s="679"/>
      <c r="W11" s="679"/>
      <c r="X11" s="679"/>
      <c r="Y11" s="679"/>
      <c r="Z11" s="679"/>
      <c r="AA11" s="679"/>
      <c r="AB11" s="679"/>
      <c r="AC11" s="679"/>
      <c r="AD11" s="679"/>
      <c r="AE11" s="679"/>
      <c r="AF11" s="679"/>
      <c r="AG11" s="679"/>
      <c r="AH11" s="679"/>
      <c r="AI11" s="79"/>
      <c r="AJ11" s="96"/>
      <c r="AK11" s="96"/>
      <c r="AL11" s="96"/>
      <c r="AM11" s="96"/>
      <c r="AN11" s="96"/>
      <c r="AO11" s="96"/>
      <c r="AP11" s="96"/>
      <c r="AQ11" s="96"/>
      <c r="AR11" s="96"/>
      <c r="AS11" s="96"/>
      <c r="AT11" s="96"/>
      <c r="AU11" s="96"/>
      <c r="AV11" s="96"/>
      <c r="AW11" s="96"/>
    </row>
    <row r="12" spans="1:50" ht="15.95" customHeight="1">
      <c r="A12" s="80"/>
      <c r="B12" s="80"/>
      <c r="C12" s="80"/>
      <c r="D12" s="80"/>
      <c r="E12" s="80"/>
      <c r="F12" s="80"/>
      <c r="G12" s="80"/>
      <c r="H12" s="80"/>
      <c r="I12" s="80"/>
      <c r="J12" s="80"/>
      <c r="K12" s="80"/>
      <c r="T12" s="79"/>
      <c r="U12" s="79"/>
      <c r="V12" s="79"/>
      <c r="W12" s="79"/>
      <c r="X12" s="79"/>
      <c r="Y12" s="79"/>
      <c r="Z12" s="79"/>
      <c r="AA12" s="79"/>
      <c r="AB12" s="79"/>
      <c r="AC12" s="79"/>
      <c r="AD12" s="79"/>
      <c r="AE12" s="79"/>
      <c r="AF12" s="79"/>
      <c r="AG12" s="79"/>
      <c r="AH12" s="79"/>
      <c r="AI12" s="79"/>
      <c r="AM12" s="80"/>
      <c r="AN12" s="80"/>
      <c r="AO12" s="80"/>
      <c r="AP12" s="80"/>
      <c r="AQ12" s="80"/>
      <c r="AR12" s="80"/>
      <c r="AS12" s="80"/>
      <c r="AT12" s="80"/>
      <c r="AU12" s="80"/>
      <c r="AV12" s="80"/>
      <c r="AW12" s="80"/>
      <c r="AX12" s="80"/>
    </row>
    <row r="13" spans="1:50" ht="15.95" customHeight="1">
      <c r="I13" s="79"/>
      <c r="J13" s="79"/>
      <c r="K13" s="79"/>
      <c r="AM13" s="80"/>
      <c r="AN13" s="80"/>
      <c r="AO13" s="80"/>
      <c r="AP13" s="80"/>
      <c r="AQ13" s="80"/>
      <c r="AR13" s="80"/>
      <c r="AS13" s="80"/>
      <c r="AT13" s="80"/>
      <c r="AU13" s="80"/>
      <c r="AV13" s="80"/>
      <c r="AW13" s="80"/>
      <c r="AX13" s="80"/>
    </row>
    <row r="14" spans="1:50" ht="15.95" customHeight="1"/>
    <row r="15" spans="1:50" ht="15.95" customHeight="1"/>
    <row r="16" spans="1:50" ht="15.95" customHeight="1"/>
    <row r="17" spans="8:41" ht="15.95" customHeight="1"/>
    <row r="18" spans="8:41" ht="15.95" customHeight="1"/>
    <row r="19" spans="8:41" ht="15.95" customHeight="1">
      <c r="H19" s="752" t="str">
        <f>M3S3</f>
        <v>Lighting Controls</v>
      </c>
      <c r="I19" s="752"/>
      <c r="J19" s="752"/>
      <c r="K19" s="752"/>
      <c r="L19" s="752"/>
      <c r="M19" s="752"/>
      <c r="N19" s="752"/>
      <c r="Q19" s="751" t="str">
        <f>M3S2</f>
        <v>Lighting</v>
      </c>
      <c r="R19" s="751"/>
      <c r="S19" s="751"/>
      <c r="T19" s="751"/>
      <c r="U19" s="751"/>
      <c r="V19" s="751"/>
      <c r="W19" s="751"/>
      <c r="Z19" s="751" t="str">
        <f>M3S5</f>
        <v>HVAC</v>
      </c>
      <c r="AA19" s="751"/>
      <c r="AB19" s="751"/>
      <c r="AC19" s="751"/>
      <c r="AD19" s="751"/>
      <c r="AE19" s="751"/>
      <c r="AF19" s="751"/>
      <c r="AI19" s="752" t="str">
        <f>M3S4</f>
        <v>Refrigeration</v>
      </c>
      <c r="AJ19" s="752"/>
      <c r="AK19" s="752"/>
      <c r="AL19" s="752"/>
      <c r="AM19" s="752"/>
      <c r="AN19" s="752"/>
      <c r="AO19" s="752"/>
    </row>
    <row r="20" spans="8:41" ht="15.95" customHeight="1">
      <c r="H20" s="752"/>
      <c r="I20" s="752"/>
      <c r="J20" s="752"/>
      <c r="K20" s="752"/>
      <c r="L20" s="752"/>
      <c r="M20" s="752"/>
      <c r="N20" s="752"/>
      <c r="Q20" s="751"/>
      <c r="R20" s="751"/>
      <c r="S20" s="751"/>
      <c r="T20" s="751"/>
      <c r="U20" s="751"/>
      <c r="V20" s="751"/>
      <c r="W20" s="751"/>
      <c r="Z20" s="751"/>
      <c r="AA20" s="751"/>
      <c r="AB20" s="751"/>
      <c r="AC20" s="751"/>
      <c r="AD20" s="751"/>
      <c r="AE20" s="751"/>
      <c r="AF20" s="751"/>
      <c r="AI20" s="752"/>
      <c r="AJ20" s="752"/>
      <c r="AK20" s="752"/>
      <c r="AL20" s="752"/>
      <c r="AM20" s="752"/>
      <c r="AN20" s="752"/>
      <c r="AO20" s="752"/>
    </row>
    <row r="21" spans="8:41" ht="15.95" customHeight="1"/>
    <row r="22" spans="8:41" ht="15.95" customHeight="1"/>
    <row r="23" spans="8:41" ht="15.95" customHeight="1">
      <c r="L23" s="77"/>
    </row>
    <row r="24" spans="8:41" ht="15.95" customHeight="1"/>
    <row r="25" spans="8:41" ht="15.95" customHeight="1"/>
    <row r="26" spans="8:41" ht="15.95" customHeight="1"/>
    <row r="27" spans="8:41" ht="15.95" customHeight="1"/>
    <row r="28" spans="8:41" ht="15.95" customHeight="1"/>
    <row r="29" spans="8:41" ht="15.95" customHeight="1">
      <c r="H29" s="752" t="str">
        <f>M4S8</f>
        <v>Motors and Drives</v>
      </c>
      <c r="I29" s="752"/>
      <c r="J29" s="752"/>
      <c r="K29" s="752"/>
      <c r="L29" s="752"/>
      <c r="M29" s="752"/>
      <c r="N29" s="752"/>
      <c r="Q29" s="752" t="str">
        <f>M3S6</f>
        <v>Compressed Air / Process</v>
      </c>
      <c r="R29" s="752"/>
      <c r="S29" s="752"/>
      <c r="T29" s="752"/>
      <c r="U29" s="752"/>
      <c r="V29" s="752"/>
      <c r="W29" s="752"/>
      <c r="Z29" s="752" t="str">
        <f>M3S7</f>
        <v>Water Heating / Food Services</v>
      </c>
      <c r="AA29" s="752"/>
      <c r="AB29" s="752"/>
      <c r="AC29" s="752"/>
      <c r="AD29" s="752"/>
      <c r="AE29" s="752"/>
      <c r="AF29" s="752"/>
      <c r="AI29" s="752" t="str">
        <f>M4S9</f>
        <v>Miscellaneous</v>
      </c>
      <c r="AJ29" s="752"/>
      <c r="AK29" s="752"/>
      <c r="AL29" s="752"/>
      <c r="AM29" s="752"/>
      <c r="AN29" s="752"/>
      <c r="AO29" s="752"/>
    </row>
    <row r="30" spans="8:41" ht="15.95" customHeight="1">
      <c r="H30" s="752"/>
      <c r="I30" s="752"/>
      <c r="J30" s="752"/>
      <c r="K30" s="752"/>
      <c r="L30" s="752"/>
      <c r="M30" s="752"/>
      <c r="N30" s="752"/>
      <c r="Q30" s="752"/>
      <c r="R30" s="752"/>
      <c r="S30" s="752"/>
      <c r="T30" s="752"/>
      <c r="U30" s="752"/>
      <c r="V30" s="752"/>
      <c r="W30" s="752"/>
      <c r="Z30" s="752"/>
      <c r="AA30" s="752"/>
      <c r="AB30" s="752"/>
      <c r="AC30" s="752"/>
      <c r="AD30" s="752"/>
      <c r="AE30" s="752"/>
      <c r="AF30" s="752"/>
      <c r="AI30" s="752"/>
      <c r="AJ30" s="752"/>
      <c r="AK30" s="752"/>
      <c r="AL30" s="752"/>
      <c r="AM30" s="752"/>
      <c r="AN30" s="752"/>
      <c r="AO30" s="752"/>
    </row>
    <row r="31" spans="8:41" ht="15.95" customHeight="1"/>
    <row r="32" spans="8:41" ht="15.95" customHeight="1"/>
    <row r="34" spans="21:39" ht="15.95" hidden="1" customHeight="1">
      <c r="X34" s="751"/>
      <c r="Y34" s="751"/>
      <c r="Z34" s="751"/>
      <c r="AA34" s="751"/>
      <c r="AB34" s="751"/>
      <c r="AC34" s="751"/>
      <c r="AD34" s="751"/>
    </row>
    <row r="35" spans="21:39" ht="15.95" hidden="1" customHeight="1">
      <c r="V35" s="77"/>
      <c r="W35" s="77"/>
      <c r="X35" s="751"/>
      <c r="Y35" s="751"/>
      <c r="Z35" s="751"/>
      <c r="AA35" s="751"/>
      <c r="AB35" s="751"/>
      <c r="AC35" s="751"/>
      <c r="AD35" s="751"/>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mIReGawCa9974iwtOXndNVymmstakJeDyFn1U+5dDHt0nMGAlni4OvyxF6l3EeuRl2fTCCxBkaCaKNaUeyiD/w==" saltValue="2OMY+lhLX5bq2s/MohvhSw==" spinCount="100000" sheet="1" objects="1" scenarios="1" selectLockedCells="1"/>
  <mergeCells count="24">
    <mergeCell ref="O200:AI201"/>
    <mergeCell ref="A9:AW10"/>
    <mergeCell ref="P11:AH11"/>
    <mergeCell ref="H19:N20"/>
    <mergeCell ref="Q19:W20"/>
    <mergeCell ref="Z19:AF20"/>
    <mergeCell ref="AI19:AO20"/>
    <mergeCell ref="H29:N30"/>
    <mergeCell ref="Q29:W30"/>
    <mergeCell ref="Z29:AF30"/>
    <mergeCell ref="AI29:AO30"/>
    <mergeCell ref="X34:AD35"/>
    <mergeCell ref="AT1:AW3"/>
    <mergeCell ref="A4:E6"/>
    <mergeCell ref="AS5:AW6"/>
    <mergeCell ref="A7:E8"/>
    <mergeCell ref="AS7:AW7"/>
    <mergeCell ref="AS8:AW8"/>
    <mergeCell ref="F1:I3"/>
    <mergeCell ref="J1:M3"/>
    <mergeCell ref="N1:T3"/>
    <mergeCell ref="U1:AK3"/>
    <mergeCell ref="AL1:AO3"/>
    <mergeCell ref="AP1:AS3"/>
  </mergeCells>
  <conditionalFormatting sqref="AS8:AW8">
    <cfRule type="expression" dxfId="136" priority="1">
      <formula>IF($AS$8=PROJSTATMEASURE,FALSE,TRUE)</formula>
    </cfRule>
  </conditionalFormatting>
  <hyperlinks>
    <hyperlink ref="B202" r:id="rId1" display="businessrebates@evergy.com" xr:uid="{848D334E-9EB0-4579-9CE7-19C952585B8F}"/>
    <hyperlink ref="Z19:AF20" location="'M04-S13'!A1" tooltip="HVAC" display="'M04-S13'!A1" xr:uid="{AD708503-909A-4E22-8A54-EFFB38FFD586}"/>
    <hyperlink ref="Q19:W20" location="'M04-S10'!A1" tooltip="Lighting" display="'M04-S10'!A1" xr:uid="{86A5BAD8-A3FA-4B52-89B4-5834B760D920}"/>
    <hyperlink ref="J1:M3" location="'M01-S02'!J1" tooltip="Instructions" display="'M01-S02'!J1" xr:uid="{CA6F5EA2-A972-4696-9281-344AAE555BA0}"/>
    <hyperlink ref="AP1:AS3" location="'M05-S05'!AL1" tooltip=" " display="'M05-S05'!AL1" xr:uid="{368F5B4B-EB87-41BD-95CF-918F9381678A}"/>
    <hyperlink ref="AL1:AO3" location="'M05-S04'!AH1" tooltip=" " display="'M05-S04'!AH1" xr:uid="{6E239521-DE12-4803-B9ED-5C14E979E848}"/>
    <hyperlink ref="AT1:AW3" location="'M01-S03'!AP1" tooltip="Contact" display="'M01-S03'!AP1" xr:uid="{A3687329-A8DA-441D-B6C7-56B68C09B31F}"/>
  </hyperlinks>
  <printOptions horizontalCentered="1"/>
  <pageMargins left="0" right="0" top="0" bottom="0" header="0" footer="0"/>
  <pageSetup scale="4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C6"/>
  <sheetViews>
    <sheetView zoomScale="85" zoomScaleNormal="85" workbookViewId="0">
      <selection activeCell="B2" sqref="B2"/>
    </sheetView>
  </sheetViews>
  <sheetFormatPr defaultColWidth="0" defaultRowHeight="14.45" customHeight="1" zeroHeight="1"/>
  <cols>
    <col min="1" max="1" width="23.85546875" bestFit="1" customWidth="1"/>
    <col min="2" max="2" width="63.42578125" bestFit="1" customWidth="1"/>
    <col min="3" max="3" width="10.28515625" hidden="1" customWidth="1"/>
    <col min="4" max="16384" width="4.7109375" hidden="1"/>
  </cols>
  <sheetData>
    <row r="1" spans="1:2" ht="15">
      <c r="A1" s="332" t="s">
        <v>66</v>
      </c>
      <c r="B1" s="7" t="s">
        <v>3103</v>
      </c>
    </row>
    <row r="2" spans="1:2" ht="15.75" customHeight="1">
      <c r="A2" s="332" t="s">
        <v>0</v>
      </c>
      <c r="B2" s="7" t="s">
        <v>2273</v>
      </c>
    </row>
    <row r="3" spans="1:2" ht="15" customHeight="1">
      <c r="A3" s="332" t="s">
        <v>1801</v>
      </c>
      <c r="B3" s="335" t="str" cm="1">
        <f t="array" aca="1" ref="B3" ca="1">_xlfn.LET(
_xlpm.Main,
IF(ISNUMBER(_xlfn.SHEET("TEMPLATE")), 1, 0),
_xlpm.NC,
IF(ISNUMBER(_xlfn.SHEET("TEMPLATE_N")), 2, 0),
_xlpm.RCx,
IF(ISNUMBER(_xlfn.SHEET("TEMPLATE_X")), 3, 0),
_xlfn.SWITCH(_xlpm.Main+_xlpm.NC+_xlpm.RCx, 6, "Master App", 1, "General App", 2, "New Con App", 3, "RCx App", "")
)</f>
        <v>General App</v>
      </c>
    </row>
    <row r="4" spans="1:2" ht="15.75" customHeight="1">
      <c r="A4" s="332" t="s">
        <v>1089</v>
      </c>
      <c r="B4" s="7" t="s">
        <v>2168</v>
      </c>
    </row>
    <row r="5" spans="1:2" ht="15">
      <c r="A5" s="332" t="s">
        <v>1802</v>
      </c>
      <c r="B5" s="337">
        <v>46022</v>
      </c>
    </row>
    <row r="6" spans="1:2" ht="15">
      <c r="A6" s="332" t="s">
        <v>1803</v>
      </c>
      <c r="B6" s="337" t="str">
        <f ca="1">IF(AND(EXPIRATION_DATE&lt;TODAY(), NOT(OR(IFERROR(OR(ACTIVEOFFER="Yes", ACTIVECOMPL="Yes"), FALSE),IFERROR(OR(ACTIVEOFFER_N="Yes",ACTIVECOMPL_N="Yes"), FALSE), IFERROR(OR(ACTIVEOFFER_X="Yes", ACTIVECOMPL_X="Yes"), FALSE),))),PROJSTATEXP,"")</f>
        <v/>
      </c>
    </row>
  </sheetData>
  <sheetProtection algorithmName="SHA-512" hashValue="tHILO5PQArpOOaK2TZt1hyB7UyuOmKqbXGAMja/naXENV/aBpS8qKf34eJwSfrY3xQOdxPQG9Bq2wugAvlfV3Q==" saltValue="IVpi8OWp81lOsQJruarxYw==" spinCount="100000" sheet="1" objects="1" scenarios="1"/>
  <dataValidations count="1">
    <dataValidation type="list" allowBlank="1" showInputMessage="1" showErrorMessage="1" sqref="B3" xr:uid="{63B44002-0529-485F-B583-55A3DA34EF9D}">
      <formula1>"Master App, General App, New Con App, RCx App"</formula1>
    </dataValidation>
  </dataValidation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5C722-03A3-429B-A2AE-7414059E939E}">
  <sheetPr codeName="Sheet1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50"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50"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50" ht="15.95" customHeight="1">
      <c r="A4" s="691">
        <f>INCENTOTAL</f>
        <v>0</v>
      </c>
      <c r="B4" s="691"/>
      <c r="C4" s="691"/>
      <c r="D4" s="691"/>
      <c r="E4" s="691"/>
      <c r="F4" s="179"/>
      <c r="G4" s="179"/>
      <c r="H4" s="179"/>
      <c r="I4" s="179"/>
    </row>
    <row r="5" spans="1:50" ht="15.95" customHeight="1">
      <c r="A5" s="692"/>
      <c r="B5" s="692"/>
      <c r="C5" s="692"/>
      <c r="D5" s="692"/>
      <c r="E5" s="692"/>
      <c r="F5" s="372"/>
      <c r="G5" s="372"/>
      <c r="H5" s="372"/>
      <c r="I5" s="372"/>
      <c r="AS5" s="663">
        <f ca="1">PROGRESSSTATUS</f>
        <v>0</v>
      </c>
      <c r="AT5" s="663"/>
      <c r="AU5" s="663"/>
      <c r="AV5" s="663"/>
      <c r="AW5" s="663"/>
    </row>
    <row r="6" spans="1:50" ht="15.95" customHeight="1">
      <c r="A6" s="692"/>
      <c r="B6" s="692"/>
      <c r="C6" s="692"/>
      <c r="D6" s="692"/>
      <c r="E6" s="692"/>
      <c r="F6" s="372"/>
      <c r="G6" s="372"/>
      <c r="H6" s="372"/>
      <c r="I6" s="372"/>
      <c r="L6" s="178"/>
      <c r="AS6" s="663"/>
      <c r="AT6" s="663"/>
      <c r="AU6" s="663"/>
      <c r="AV6" s="663"/>
      <c r="AW6" s="663"/>
    </row>
    <row r="7" spans="1:50" ht="15.95" customHeight="1">
      <c r="A7" s="662" t="s">
        <v>83</v>
      </c>
      <c r="B7" s="662"/>
      <c r="C7" s="662"/>
      <c r="D7" s="662"/>
      <c r="E7" s="662"/>
      <c r="F7" s="75"/>
      <c r="G7" s="75"/>
      <c r="H7" s="75"/>
      <c r="I7" s="75"/>
      <c r="AS7" s="662" t="s">
        <v>299</v>
      </c>
      <c r="AT7" s="662"/>
      <c r="AU7" s="662"/>
      <c r="AV7" s="662"/>
      <c r="AW7" s="662"/>
    </row>
    <row r="8" spans="1:50" ht="15.95" customHeight="1" thickBot="1">
      <c r="A8" s="665"/>
      <c r="B8" s="665"/>
      <c r="C8" s="665"/>
      <c r="D8" s="665"/>
      <c r="E8" s="665"/>
      <c r="F8" s="373"/>
      <c r="G8" s="373"/>
      <c r="H8" s="373"/>
      <c r="I8" s="373"/>
      <c r="AS8" s="661" t="str">
        <f ca="1">PROJSTATUS</f>
        <v>Enter Measures</v>
      </c>
      <c r="AT8" s="661"/>
      <c r="AU8" s="661"/>
      <c r="AV8" s="661"/>
      <c r="AW8" s="661"/>
    </row>
    <row r="9" spans="1:50" s="78" customFormat="1" ht="15.95" customHeight="1">
      <c r="A9" s="664" t="s">
        <v>2296</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50" s="7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50" s="78" customFormat="1" ht="15.95" customHeight="1">
      <c r="A11" s="96"/>
      <c r="B11" s="96"/>
      <c r="C11" s="96"/>
      <c r="D11" s="96"/>
      <c r="E11" s="96"/>
      <c r="F11" s="96"/>
      <c r="G11" s="96"/>
      <c r="H11" s="96"/>
      <c r="I11" s="96"/>
      <c r="J11" s="96"/>
      <c r="K11" s="96"/>
      <c r="L11" s="96"/>
      <c r="M11" s="96"/>
      <c r="N11" s="96"/>
      <c r="O11" s="96"/>
      <c r="P11" s="679" t="s">
        <v>1236</v>
      </c>
      <c r="Q11" s="679"/>
      <c r="R11" s="679"/>
      <c r="S11" s="679"/>
      <c r="T11" s="679"/>
      <c r="U11" s="679"/>
      <c r="V11" s="679"/>
      <c r="W11" s="679"/>
      <c r="X11" s="679"/>
      <c r="Y11" s="679"/>
      <c r="Z11" s="679"/>
      <c r="AA11" s="679"/>
      <c r="AB11" s="679"/>
      <c r="AC11" s="679"/>
      <c r="AD11" s="679"/>
      <c r="AE11" s="679"/>
      <c r="AF11" s="679"/>
      <c r="AG11" s="679"/>
      <c r="AH11" s="679"/>
      <c r="AI11" s="79"/>
      <c r="AJ11" s="96"/>
      <c r="AK11" s="96"/>
      <c r="AL11" s="96"/>
      <c r="AM11" s="96"/>
      <c r="AN11" s="96"/>
      <c r="AO11" s="96"/>
      <c r="AP11" s="96"/>
      <c r="AQ11" s="96"/>
      <c r="AR11" s="96"/>
      <c r="AS11" s="96"/>
      <c r="AT11" s="96"/>
      <c r="AU11" s="96"/>
      <c r="AV11" s="96"/>
      <c r="AW11" s="96"/>
    </row>
    <row r="12" spans="1:50" ht="15.95" customHeight="1">
      <c r="A12" s="80"/>
      <c r="B12" s="80"/>
      <c r="C12" s="80"/>
      <c r="D12" s="80"/>
      <c r="E12" s="80"/>
      <c r="F12" s="80"/>
      <c r="G12" s="80"/>
      <c r="H12" s="80"/>
      <c r="I12" s="80"/>
      <c r="J12" s="80"/>
      <c r="K12" s="80"/>
      <c r="T12" s="79"/>
      <c r="U12" s="79"/>
      <c r="V12" s="79"/>
      <c r="W12" s="79"/>
      <c r="X12" s="79"/>
      <c r="Y12" s="79"/>
      <c r="Z12" s="79"/>
      <c r="AA12" s="79"/>
      <c r="AB12" s="79"/>
      <c r="AC12" s="79"/>
      <c r="AD12" s="79"/>
      <c r="AE12" s="79"/>
      <c r="AF12" s="79"/>
      <c r="AG12" s="79"/>
      <c r="AH12" s="79"/>
      <c r="AI12" s="79"/>
      <c r="AM12" s="80"/>
      <c r="AN12" s="80"/>
      <c r="AO12" s="80"/>
      <c r="AP12" s="80"/>
      <c r="AQ12" s="80"/>
      <c r="AR12" s="80"/>
      <c r="AS12" s="80"/>
      <c r="AT12" s="80"/>
      <c r="AU12" s="80"/>
      <c r="AV12" s="80"/>
      <c r="AW12" s="80"/>
      <c r="AX12" s="80"/>
    </row>
    <row r="13" spans="1:50" ht="15.95" customHeight="1">
      <c r="A13" s="80"/>
      <c r="B13" s="80"/>
      <c r="C13" s="80"/>
      <c r="D13" s="80"/>
      <c r="E13" s="80"/>
      <c r="F13" s="80"/>
      <c r="I13" s="79"/>
      <c r="J13" s="79"/>
      <c r="K13" s="79"/>
      <c r="AM13" s="80"/>
      <c r="AN13" s="80"/>
      <c r="AO13" s="80"/>
      <c r="AP13" s="80"/>
      <c r="AQ13" s="80"/>
      <c r="AR13" s="80"/>
      <c r="AS13" s="80"/>
      <c r="AT13" s="80"/>
      <c r="AU13" s="80"/>
      <c r="AV13" s="80"/>
      <c r="AW13" s="80"/>
      <c r="AX13" s="80"/>
    </row>
    <row r="14" spans="1:50" ht="15.95" customHeight="1"/>
    <row r="15" spans="1:50" ht="15.95" customHeight="1"/>
    <row r="16" spans="1:50" ht="15.95" customHeight="1"/>
    <row r="17" spans="9:42" ht="15.95" customHeight="1"/>
    <row r="18" spans="9:42" ht="15.95" customHeight="1"/>
    <row r="19" spans="9:42" ht="15.95" customHeight="1">
      <c r="I19" s="751" t="str">
        <f>M3S2</f>
        <v>Lighting</v>
      </c>
      <c r="J19" s="751"/>
      <c r="K19" s="751"/>
      <c r="L19" s="751"/>
      <c r="M19" s="751"/>
      <c r="N19" s="751"/>
      <c r="O19" s="751"/>
      <c r="R19" s="751" t="str">
        <f>M3S3</f>
        <v>Lighting Controls</v>
      </c>
      <c r="S19" s="751"/>
      <c r="T19" s="751"/>
      <c r="U19" s="751"/>
      <c r="V19" s="751"/>
      <c r="W19" s="751"/>
      <c r="X19" s="751"/>
      <c r="AA19" s="751" t="str">
        <f>M3S4</f>
        <v>Refrigeration</v>
      </c>
      <c r="AB19" s="751"/>
      <c r="AC19" s="751"/>
      <c r="AD19" s="751"/>
      <c r="AE19" s="751"/>
      <c r="AF19" s="751"/>
      <c r="AG19" s="751"/>
      <c r="AJ19" s="751" t="str">
        <f>M3S5</f>
        <v>HVAC</v>
      </c>
      <c r="AK19" s="751"/>
      <c r="AL19" s="751"/>
      <c r="AM19" s="751"/>
      <c r="AN19" s="751"/>
      <c r="AO19" s="751"/>
      <c r="AP19" s="751"/>
    </row>
    <row r="20" spans="9:42" ht="15.95" customHeight="1">
      <c r="I20" s="751"/>
      <c r="J20" s="751"/>
      <c r="K20" s="751"/>
      <c r="L20" s="751"/>
      <c r="M20" s="751"/>
      <c r="N20" s="751"/>
      <c r="O20" s="751"/>
      <c r="R20" s="751"/>
      <c r="S20" s="751"/>
      <c r="T20" s="751"/>
      <c r="U20" s="751"/>
      <c r="V20" s="751"/>
      <c r="W20" s="751"/>
      <c r="X20" s="751"/>
      <c r="AA20" s="751"/>
      <c r="AB20" s="751"/>
      <c r="AC20" s="751"/>
      <c r="AD20" s="751"/>
      <c r="AE20" s="751"/>
      <c r="AF20" s="751"/>
      <c r="AG20" s="751"/>
      <c r="AJ20" s="751"/>
      <c r="AK20" s="751"/>
      <c r="AL20" s="751"/>
      <c r="AM20" s="751"/>
      <c r="AN20" s="751"/>
      <c r="AO20" s="751"/>
      <c r="AP20" s="751"/>
    </row>
    <row r="21" spans="9:42" ht="15.95" customHeight="1"/>
    <row r="22" spans="9:42" ht="15.95" customHeight="1"/>
    <row r="23" spans="9:42" ht="15.95" customHeight="1">
      <c r="L23" s="77"/>
    </row>
    <row r="24" spans="9:42" ht="15.95" customHeight="1"/>
    <row r="25" spans="9:42" ht="15.95" customHeight="1"/>
    <row r="26" spans="9:42" ht="15.95" customHeight="1"/>
    <row r="27" spans="9:42" ht="15.95" customHeight="1"/>
    <row r="28" spans="9:42" ht="15.95" customHeight="1"/>
    <row r="29" spans="9:42" ht="15.95" customHeight="1">
      <c r="I29" s="751" t="str">
        <f>M4S8</f>
        <v>Motors and Drives</v>
      </c>
      <c r="J29" s="751"/>
      <c r="K29" s="751"/>
      <c r="L29" s="751"/>
      <c r="M29" s="751"/>
      <c r="N29" s="751"/>
      <c r="O29" s="751"/>
      <c r="R29" s="751" t="str">
        <f>M3S6</f>
        <v>Compressed Air / Process</v>
      </c>
      <c r="S29" s="751"/>
      <c r="T29" s="751"/>
      <c r="U29" s="751"/>
      <c r="V29" s="751"/>
      <c r="W29" s="751"/>
      <c r="X29" s="751"/>
      <c r="AA29" s="751" t="str">
        <f>M3S7</f>
        <v>Water Heating / Food Services</v>
      </c>
      <c r="AB29" s="751"/>
      <c r="AC29" s="751"/>
      <c r="AD29" s="751"/>
      <c r="AE29" s="751"/>
      <c r="AF29" s="751"/>
      <c r="AG29" s="751"/>
      <c r="AJ29" s="751" t="str">
        <f>M4S9</f>
        <v>Miscellaneous</v>
      </c>
      <c r="AK29" s="751"/>
      <c r="AL29" s="751"/>
      <c r="AM29" s="751"/>
      <c r="AN29" s="751"/>
      <c r="AO29" s="751"/>
      <c r="AP29" s="751"/>
    </row>
    <row r="30" spans="9:42" ht="15.95" customHeight="1">
      <c r="I30" s="751"/>
      <c r="J30" s="751"/>
      <c r="K30" s="751"/>
      <c r="L30" s="751"/>
      <c r="M30" s="751"/>
      <c r="N30" s="751"/>
      <c r="O30" s="751"/>
      <c r="R30" s="751"/>
      <c r="S30" s="751"/>
      <c r="T30" s="751"/>
      <c r="U30" s="751"/>
      <c r="V30" s="751"/>
      <c r="W30" s="751"/>
      <c r="X30" s="751"/>
      <c r="AA30" s="751"/>
      <c r="AB30" s="751"/>
      <c r="AC30" s="751"/>
      <c r="AD30" s="751"/>
      <c r="AE30" s="751"/>
      <c r="AF30" s="751"/>
      <c r="AG30" s="751"/>
      <c r="AJ30" s="751"/>
      <c r="AK30" s="751"/>
      <c r="AL30" s="751"/>
      <c r="AM30" s="751"/>
      <c r="AN30" s="751"/>
      <c r="AO30" s="751"/>
      <c r="AP30" s="751"/>
    </row>
    <row r="31" spans="9:42" ht="15.95" customHeight="1"/>
    <row r="32" spans="9:42" ht="15.95" customHeight="1"/>
    <row r="34" spans="21:39" ht="15.95" hidden="1" customHeight="1">
      <c r="X34" s="751"/>
      <c r="Y34" s="751"/>
      <c r="Z34" s="751"/>
      <c r="AA34" s="751"/>
      <c r="AB34" s="751"/>
      <c r="AC34" s="751"/>
      <c r="AD34" s="751"/>
    </row>
    <row r="35" spans="21:39" ht="15.95" hidden="1" customHeight="1">
      <c r="V35" s="77"/>
      <c r="W35" s="77"/>
      <c r="X35" s="751"/>
      <c r="Y35" s="751"/>
      <c r="Z35" s="751"/>
      <c r="AA35" s="751"/>
      <c r="AB35" s="751"/>
      <c r="AC35" s="751"/>
      <c r="AD35" s="751"/>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yu3HUVIrj5iLSGxJYDQWWrIni5HNODbZEl9J5FDBPxMtPBLX7Q9kmDjrzEymSp0K8e0QHHDGXLtw1MpMpnDoKw==" saltValue="IESnp7EWCoCA8jLbFxKFlw==" spinCount="100000" sheet="1" objects="1" scenarios="1" selectLockedCells="1"/>
  <mergeCells count="24">
    <mergeCell ref="O200:AI201"/>
    <mergeCell ref="A9:AW10"/>
    <mergeCell ref="P11:AH11"/>
    <mergeCell ref="I19:O20"/>
    <mergeCell ref="R19:X20"/>
    <mergeCell ref="AA19:AG20"/>
    <mergeCell ref="AJ19:AP20"/>
    <mergeCell ref="I29:O30"/>
    <mergeCell ref="R29:X30"/>
    <mergeCell ref="AA29:AG30"/>
    <mergeCell ref="AJ29:AP30"/>
    <mergeCell ref="X34:AD35"/>
    <mergeCell ref="AT1:AW3"/>
    <mergeCell ref="A4:E6"/>
    <mergeCell ref="AS5:AW6"/>
    <mergeCell ref="A7:E8"/>
    <mergeCell ref="AS7:AW7"/>
    <mergeCell ref="AS8:AW8"/>
    <mergeCell ref="F1:I3"/>
    <mergeCell ref="J1:M3"/>
    <mergeCell ref="N1:T3"/>
    <mergeCell ref="U1:AK3"/>
    <mergeCell ref="AL1:AO3"/>
    <mergeCell ref="AP1:AS3"/>
  </mergeCells>
  <conditionalFormatting sqref="AS8:AW8">
    <cfRule type="expression" dxfId="135" priority="1">
      <formula>IF($AS$8=PROJSTATMEASURE,FALSE,TRUE)</formula>
    </cfRule>
  </conditionalFormatting>
  <hyperlinks>
    <hyperlink ref="B202" r:id="rId1" display="businessrebates@evergy.com" xr:uid="{664CA8E5-7390-4CA7-8107-D828A985F36C}"/>
    <hyperlink ref="R29:X30" location="'M04-S06'!A1" tooltip="Compressed Air / Process" display="'M04-S06'!A1" xr:uid="{8A1CDDE5-1D6A-4F27-8CAB-1EF5A38F2B8F}"/>
    <hyperlink ref="AA29:AG30" location="'M04-S07'!A1" tooltip="Water Heating / Food Services" display="'M04-S07'!A1" xr:uid="{9BB83940-D320-4B69-9F11-73126A221F3F}"/>
    <hyperlink ref="I29:O30" location="'M04-S08'!A1" tooltip="Motors and Drives" display="'M04-S08'!A1" xr:uid="{527FB62F-DADC-4F60-B9E2-BFFD9EC763F6}"/>
    <hyperlink ref="AJ29:AP30" location="'M04-S09'!A1" tooltip="Miscellaneous" display="'M04-S09'!A1" xr:uid="{4052FD5C-4E7B-48F4-893C-AA2AD83E3994}"/>
    <hyperlink ref="AJ19:AP20" location="'M04-S05'!A1" tooltip="HVAC" display="'M04-S05'!A1" xr:uid="{06C05E25-0D8E-4AC8-BF3B-331BD9FC5E42}"/>
    <hyperlink ref="AA19:AG20" location="'M04-S04'!A1" tooltip="Refrigeration" display="'M04-S04'!A1" xr:uid="{08F664CE-CAFA-4FEC-9BE0-35CCD57A18D2}"/>
    <hyperlink ref="R19:X20" location="'M04-S03'!A1" tooltip="Lighting Controls" display="'M04-S03'!A1" xr:uid="{1E189587-61D4-44AD-96E9-B18525299642}"/>
    <hyperlink ref="I19:O20" location="'M04-S02'!A1" tooltip="Lighting" display="'M04-S02'!A1" xr:uid="{51DB7D7D-48B1-4793-8E23-4D78FE095896}"/>
    <hyperlink ref="J1:M3" location="'M01-S02'!J1" tooltip="Instructions" display="'M01-S02'!J1" xr:uid="{C0B6862A-3BBF-4CA9-9B2F-CF75A6E27C7E}"/>
    <hyperlink ref="AP1:AS3" location="'M05-S05'!AL1" tooltip=" " display="'M05-S05'!AL1" xr:uid="{6E94082E-198E-44A7-9CE7-832941625201}"/>
    <hyperlink ref="AL1:AO3" location="'M05-S04'!AH1" tooltip=" " display="'M05-S04'!AH1" xr:uid="{F2088B3C-A88B-408D-A8C8-540790C2BA33}"/>
    <hyperlink ref="AT1:AW3" location="'M01-S03'!AP1" tooltip="Contact" display="'M01-S03'!AP1" xr:uid="{B0A78EE6-7F85-4C4B-98B2-EC804F93D9F7}"/>
  </hyperlinks>
  <printOptions horizontalCentered="1"/>
  <pageMargins left="0" right="0" top="0" bottom="0" header="0" footer="0"/>
  <pageSetup scale="46"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tabColor theme="8" tint="0.59999389629810485"/>
    <pageSetUpPr fitToPage="1"/>
  </sheetPr>
  <dimension ref="A1:CW204"/>
  <sheetViews>
    <sheetView showGridLines="0" showRowColHeaders="0" zoomScale="85" zoomScaleNormal="85" workbookViewId="0">
      <selection activeCell="C18" sqref="C18:F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872">
        <f>INCENTOTAL</f>
        <v>0</v>
      </c>
      <c r="B4" s="872"/>
      <c r="C4" s="872"/>
      <c r="D4" s="872"/>
      <c r="E4" s="872"/>
      <c r="F4" s="179"/>
      <c r="G4" s="179"/>
      <c r="H4" s="179"/>
      <c r="I4" s="179"/>
      <c r="BC4" s="78"/>
      <c r="BD4" s="78"/>
    </row>
    <row r="5" spans="1:81" ht="15.95" customHeight="1">
      <c r="A5" s="692"/>
      <c r="B5" s="692"/>
      <c r="C5" s="692"/>
      <c r="D5" s="692"/>
      <c r="E5" s="692"/>
      <c r="F5" s="372"/>
      <c r="G5" s="372"/>
      <c r="H5" s="372"/>
      <c r="I5" s="372"/>
      <c r="AS5" s="663">
        <f ca="1">PROGRESSSTATUS</f>
        <v>0</v>
      </c>
      <c r="AT5" s="663"/>
      <c r="AU5" s="663"/>
      <c r="AV5" s="663"/>
      <c r="AW5" s="663"/>
      <c r="AY5" s="17"/>
      <c r="AZ5" s="108" t="s">
        <v>933</v>
      </c>
      <c r="BA5" s="108" t="s">
        <v>325</v>
      </c>
    </row>
    <row r="6" spans="1:81" ht="15.95" customHeight="1">
      <c r="A6" s="692"/>
      <c r="B6" s="692"/>
      <c r="C6" s="692"/>
      <c r="D6" s="692"/>
      <c r="E6" s="692"/>
      <c r="F6" s="372"/>
      <c r="G6" s="372"/>
      <c r="H6" s="372"/>
      <c r="I6" s="372"/>
      <c r="AS6" s="663"/>
      <c r="AT6" s="663"/>
      <c r="AU6" s="663"/>
      <c r="AV6" s="663"/>
      <c r="AW6" s="663"/>
      <c r="AY6" s="107" t="s">
        <v>938</v>
      </c>
      <c r="AZ6" s="106" t="str">
        <f>CBPRESE</f>
        <v>NA</v>
      </c>
      <c r="BA6" s="106" t="str">
        <f>PAYPRESE</f>
        <v>NA</v>
      </c>
    </row>
    <row r="7" spans="1:81" ht="15.95" customHeight="1">
      <c r="A7" s="662" t="s">
        <v>83</v>
      </c>
      <c r="B7" s="662"/>
      <c r="C7" s="662"/>
      <c r="D7" s="662"/>
      <c r="E7" s="662"/>
      <c r="F7" s="75"/>
      <c r="G7" s="75"/>
      <c r="H7" s="75"/>
      <c r="I7" s="75"/>
      <c r="AS7" s="662" t="s">
        <v>299</v>
      </c>
      <c r="AT7" s="662"/>
      <c r="AU7" s="662"/>
      <c r="AV7" s="662"/>
      <c r="AW7" s="662"/>
      <c r="AY7" s="107" t="s">
        <v>135</v>
      </c>
      <c r="AZ7" s="106" t="str">
        <f>CBCUSE</f>
        <v>NA</v>
      </c>
      <c r="BA7" s="106" t="str">
        <f>PAYCUSE</f>
        <v>NA</v>
      </c>
    </row>
    <row r="8" spans="1:81" ht="15.95" customHeight="1" thickBot="1">
      <c r="A8" s="665"/>
      <c r="B8" s="665"/>
      <c r="C8" s="665"/>
      <c r="D8" s="665"/>
      <c r="E8" s="665"/>
      <c r="F8" s="373"/>
      <c r="G8" s="373"/>
      <c r="H8" s="373"/>
      <c r="I8" s="75"/>
      <c r="AS8" s="661" t="str">
        <f ca="1">PROJSTATUS</f>
        <v>Enter Measures</v>
      </c>
      <c r="AT8" s="661"/>
      <c r="AU8" s="661"/>
      <c r="AV8" s="661"/>
      <c r="AW8" s="661"/>
      <c r="AY8" s="107" t="s">
        <v>596</v>
      </c>
      <c r="AZ8" s="106" t="str">
        <f>CBALL</f>
        <v>NA</v>
      </c>
      <c r="BA8" s="106" t="str">
        <f>PAYALL</f>
        <v>NA</v>
      </c>
    </row>
    <row r="9" spans="1:81" s="78" customFormat="1" ht="15.95" customHeight="1">
      <c r="B9" s="79"/>
      <c r="C9" s="79"/>
      <c r="D9" s="79"/>
      <c r="E9" s="79"/>
      <c r="F9" s="79"/>
      <c r="G9" s="100"/>
      <c r="H9" s="100"/>
      <c r="I9" s="100"/>
      <c r="J9" s="842" t="str">
        <f>M3S2</f>
        <v>Lighting</v>
      </c>
      <c r="K9" s="842"/>
      <c r="L9" s="842"/>
      <c r="M9" s="842"/>
      <c r="N9" s="829" t="str">
        <f>M3S3</f>
        <v>Lighting Controls</v>
      </c>
      <c r="O9" s="830"/>
      <c r="P9" s="830"/>
      <c r="Q9" s="830"/>
      <c r="R9" s="829" t="str">
        <f>M3S4</f>
        <v>Refrigeration</v>
      </c>
      <c r="S9" s="830"/>
      <c r="T9" s="830"/>
      <c r="U9" s="830"/>
      <c r="V9" s="834" t="str">
        <f>M3S5</f>
        <v>HVAC</v>
      </c>
      <c r="W9" s="834"/>
      <c r="X9" s="834"/>
      <c r="Y9" s="834"/>
      <c r="Z9" s="829" t="str">
        <f>M4S8</f>
        <v>Motors and Drives</v>
      </c>
      <c r="AA9" s="830"/>
      <c r="AB9" s="830"/>
      <c r="AC9" s="830"/>
      <c r="AD9" s="829" t="str">
        <f>M3S6</f>
        <v>Compressed Air / Process</v>
      </c>
      <c r="AE9" s="830"/>
      <c r="AF9" s="830"/>
      <c r="AG9" s="830"/>
      <c r="AH9" s="829" t="str">
        <f>M3S7</f>
        <v>Water Heating / Food Services</v>
      </c>
      <c r="AI9" s="830"/>
      <c r="AJ9" s="830"/>
      <c r="AK9" s="830"/>
      <c r="AL9" s="834" t="str">
        <f>M4S9</f>
        <v>Miscellaneous</v>
      </c>
      <c r="AM9" s="834"/>
      <c r="AN9" s="834"/>
      <c r="AO9" s="834"/>
      <c r="AP9" s="99"/>
      <c r="AQ9" s="99"/>
      <c r="AR9" s="99"/>
      <c r="AS9" s="99"/>
      <c r="AT9" s="99"/>
      <c r="AU9" s="99"/>
      <c r="AV9" s="99"/>
    </row>
    <row r="10" spans="1:81" s="78" customFormat="1" ht="15.95" customHeight="1">
      <c r="B10" s="79"/>
      <c r="C10" s="79"/>
      <c r="D10" s="79"/>
      <c r="E10" s="79"/>
      <c r="F10" s="79"/>
      <c r="J10" s="843"/>
      <c r="K10" s="843"/>
      <c r="L10" s="843"/>
      <c r="M10" s="843"/>
      <c r="N10" s="831"/>
      <c r="O10" s="831"/>
      <c r="P10" s="831"/>
      <c r="Q10" s="831"/>
      <c r="R10" s="831"/>
      <c r="S10" s="831"/>
      <c r="T10" s="831"/>
      <c r="U10" s="831"/>
      <c r="V10" s="835"/>
      <c r="W10" s="835"/>
      <c r="X10" s="835"/>
      <c r="Y10" s="835"/>
      <c r="Z10" s="831"/>
      <c r="AA10" s="831"/>
      <c r="AB10" s="831"/>
      <c r="AC10" s="831"/>
      <c r="AD10" s="831"/>
      <c r="AE10" s="831"/>
      <c r="AF10" s="831"/>
      <c r="AG10" s="831"/>
      <c r="AH10" s="831"/>
      <c r="AI10" s="831"/>
      <c r="AJ10" s="831"/>
      <c r="AK10" s="831"/>
      <c r="AL10" s="835"/>
      <c r="AM10" s="835"/>
      <c r="AN10" s="835"/>
      <c r="AO10" s="835"/>
      <c r="AP10" s="79"/>
      <c r="AQ10" s="79"/>
      <c r="AR10" s="79"/>
      <c r="AS10" s="79"/>
      <c r="AT10" s="79"/>
      <c r="AU10" s="79"/>
      <c r="AV10" s="79"/>
      <c r="BW10" s="78" t="s">
        <v>3089</v>
      </c>
    </row>
    <row r="11" spans="1:81" ht="15.95" customHeight="1">
      <c r="B11" s="96"/>
      <c r="C11" s="96"/>
      <c r="D11" s="96"/>
      <c r="E11" s="96"/>
      <c r="F11" s="96"/>
      <c r="J11" s="843"/>
      <c r="K11" s="843"/>
      <c r="L11" s="843"/>
      <c r="M11" s="843"/>
      <c r="N11" s="831"/>
      <c r="O11" s="831"/>
      <c r="P11" s="831"/>
      <c r="Q11" s="831"/>
      <c r="R11" s="831"/>
      <c r="S11" s="831"/>
      <c r="T11" s="831"/>
      <c r="U11" s="831"/>
      <c r="V11" s="835"/>
      <c r="W11" s="835"/>
      <c r="X11" s="835"/>
      <c r="Y11" s="835"/>
      <c r="Z11" s="831"/>
      <c r="AA11" s="831"/>
      <c r="AB11" s="831"/>
      <c r="AC11" s="831"/>
      <c r="AD11" s="831"/>
      <c r="AE11" s="831"/>
      <c r="AF11" s="831"/>
      <c r="AG11" s="831"/>
      <c r="AH11" s="831"/>
      <c r="AI11" s="831"/>
      <c r="AJ11" s="831"/>
      <c r="AK11" s="831"/>
      <c r="AL11" s="835"/>
      <c r="AM11" s="835"/>
      <c r="AN11" s="835"/>
      <c r="AO11" s="835"/>
      <c r="AP11" s="96"/>
      <c r="AQ11" s="96"/>
      <c r="AR11" s="96"/>
      <c r="AS11" s="96"/>
      <c r="AT11" s="96"/>
      <c r="AU11" s="96"/>
      <c r="AV11" s="96"/>
      <c r="AZ11" t="str" cm="1">
        <f t="array" ref="AZ11">IF(Program_Banner="","X","Y")</f>
        <v>Y</v>
      </c>
      <c r="BH11" s="554">
        <v>6003.7761</v>
      </c>
      <c r="BI11" s="555">
        <v>2.0246</v>
      </c>
    </row>
    <row r="12" spans="1:81" ht="15.95" customHeight="1">
      <c r="A12" s="76"/>
      <c r="B12" s="76"/>
      <c r="C12" s="76"/>
      <c r="D12" s="76"/>
      <c r="E12" s="76"/>
      <c r="F12" s="76"/>
      <c r="G12" s="76"/>
      <c r="T12" s="837">
        <f>SUM(AR18:AU199)</f>
        <v>0</v>
      </c>
      <c r="U12" s="837"/>
      <c r="V12" s="837"/>
      <c r="W12" s="837"/>
      <c r="X12" s="837">
        <f>SUM(BL18:BL199)</f>
        <v>0</v>
      </c>
      <c r="Y12" s="837"/>
      <c r="Z12" s="837"/>
      <c r="AA12" s="837"/>
      <c r="AB12" s="836">
        <f ca="1">SUMIF(AR18:AU199,"&gt;0",AO18:AQ199)</f>
        <v>0</v>
      </c>
      <c r="AC12" s="836"/>
      <c r="AD12" s="836"/>
      <c r="AE12" s="836"/>
      <c r="AT12" s="320"/>
      <c r="AZ12" t="e" cm="1">
        <f t="array" ref="AZ12">INDEX(V18*_xlfn.SWITCH(Program_Banner,"Business Energy Savings",STDLIGHT[Coincident Peak Demand Savings WBE (kW/unit)],"Small Business / Non-Profit",STDLIGHT[Coincident Peak Demand Savings HTRB (kW/unit)],0),MATCH(G18,STDLIGHT[Measure Name],0))</f>
        <v>#N/A</v>
      </c>
    </row>
    <row r="13" spans="1:81" ht="15.95" customHeight="1">
      <c r="A13" s="76"/>
      <c r="B13" s="76"/>
      <c r="C13" s="76"/>
      <c r="D13" s="76"/>
      <c r="T13" s="837"/>
      <c r="U13" s="837"/>
      <c r="V13" s="837"/>
      <c r="W13" s="837"/>
      <c r="X13" s="837"/>
      <c r="Y13" s="837"/>
      <c r="Z13" s="837"/>
      <c r="AA13" s="837"/>
      <c r="AB13" s="836"/>
      <c r="AC13" s="836"/>
      <c r="AD13" s="836"/>
      <c r="AE13" s="836"/>
      <c r="AJ13" s="321"/>
      <c r="AK13" s="321"/>
      <c r="AL13" s="321"/>
      <c r="AM13" s="839" t="str">
        <f>IF(IFERROR(MATCH("100% Total Cost", BI:BI, 0), FALSE), "The incentive for one or more measures is capped due to measure cost.", "")</f>
        <v/>
      </c>
      <c r="AN13" s="839"/>
      <c r="AO13" s="839"/>
      <c r="AP13" s="839"/>
      <c r="AQ13" s="839"/>
      <c r="AR13" s="839"/>
      <c r="AS13" s="839"/>
      <c r="AT13" s="839"/>
      <c r="AU13" s="839"/>
      <c r="AV13" s="321"/>
    </row>
    <row r="14" spans="1:81" ht="15.95" customHeight="1">
      <c r="T14" s="838" t="s">
        <v>1226</v>
      </c>
      <c r="U14" s="838"/>
      <c r="V14" s="838"/>
      <c r="W14" s="838"/>
      <c r="X14" s="838" t="s">
        <v>67</v>
      </c>
      <c r="Y14" s="838"/>
      <c r="Z14" s="838"/>
      <c r="AA14" s="838"/>
      <c r="AB14" s="838" t="s">
        <v>787</v>
      </c>
      <c r="AC14" s="838"/>
      <c r="AD14" s="838"/>
      <c r="AE14" s="838"/>
      <c r="AI14" s="321"/>
      <c r="AJ14" s="321"/>
      <c r="AK14" s="321"/>
      <c r="AL14" s="321"/>
      <c r="AM14" s="839"/>
      <c r="AN14" s="839"/>
      <c r="AO14" s="839"/>
      <c r="AP14" s="839"/>
      <c r="AQ14" s="839"/>
      <c r="AR14" s="839"/>
      <c r="AS14" s="839"/>
      <c r="AT14" s="839"/>
      <c r="AU14" s="839"/>
      <c r="AV14" s="321"/>
      <c r="AY14" s="542" t="s">
        <v>2112</v>
      </c>
      <c r="AZ14" s="542" t="s">
        <v>2112</v>
      </c>
      <c r="BL14" s="51" t="s">
        <v>3048</v>
      </c>
      <c r="BM14" s="51" t="s">
        <v>3048</v>
      </c>
      <c r="BN14" s="542" t="s">
        <v>2112</v>
      </c>
      <c r="BO14" s="542" t="s">
        <v>2112</v>
      </c>
      <c r="BV14" s="542" t="s">
        <v>2112</v>
      </c>
      <c r="BX14" s="542" t="s">
        <v>2112</v>
      </c>
    </row>
    <row r="15" spans="1:81" ht="15.95" customHeight="1"/>
    <row r="16" spans="1:81" ht="15.95" customHeight="1">
      <c r="C16" s="832" t="s">
        <v>861</v>
      </c>
      <c r="D16" s="832"/>
      <c r="E16" s="832"/>
      <c r="F16" s="832"/>
      <c r="G16" s="832" t="s">
        <v>870</v>
      </c>
      <c r="H16" s="832"/>
      <c r="I16" s="832"/>
      <c r="J16" s="832"/>
      <c r="K16" s="832"/>
      <c r="L16" s="832"/>
      <c r="M16" s="832" t="s">
        <v>1402</v>
      </c>
      <c r="N16" s="832"/>
      <c r="O16" s="832" t="s">
        <v>1403</v>
      </c>
      <c r="P16" s="832"/>
      <c r="Q16" s="832"/>
      <c r="R16" s="832" t="s">
        <v>788</v>
      </c>
      <c r="S16" s="832"/>
      <c r="T16" s="832" t="s">
        <v>789</v>
      </c>
      <c r="U16" s="832"/>
      <c r="V16" s="832" t="s">
        <v>74</v>
      </c>
      <c r="W16" s="832"/>
      <c r="X16" s="832" t="s">
        <v>940</v>
      </c>
      <c r="Y16" s="832"/>
      <c r="Z16" s="832" t="s">
        <v>2170</v>
      </c>
      <c r="AA16" s="832"/>
      <c r="AB16" s="832"/>
      <c r="AC16" s="832" t="s">
        <v>2171</v>
      </c>
      <c r="AD16" s="832"/>
      <c r="AE16" s="832"/>
      <c r="AF16" s="832"/>
      <c r="AG16" s="832" t="s">
        <v>869</v>
      </c>
      <c r="AH16" s="832"/>
      <c r="AI16" s="860" t="s">
        <v>864</v>
      </c>
      <c r="AJ16" s="860"/>
      <c r="AK16" s="860"/>
      <c r="AL16" s="860"/>
      <c r="AM16" s="832" t="s">
        <v>1227</v>
      </c>
      <c r="AN16" s="832"/>
      <c r="AO16" s="832" t="s">
        <v>735</v>
      </c>
      <c r="AP16" s="832"/>
      <c r="AQ16" s="832"/>
      <c r="AR16" s="832" t="s">
        <v>83</v>
      </c>
      <c r="AS16" s="832"/>
      <c r="AT16" s="832"/>
      <c r="AU16" s="832"/>
      <c r="AX16" s="783" t="s">
        <v>743</v>
      </c>
      <c r="AY16" s="779" t="s">
        <v>1985</v>
      </c>
      <c r="AZ16" s="779" t="s">
        <v>942</v>
      </c>
      <c r="BA16" s="779" t="s">
        <v>635</v>
      </c>
      <c r="BB16" s="779" t="s">
        <v>875</v>
      </c>
      <c r="BC16" s="783" t="s">
        <v>924</v>
      </c>
      <c r="BD16" s="781" t="s">
        <v>1701</v>
      </c>
      <c r="BE16" s="828" t="s">
        <v>874</v>
      </c>
      <c r="BF16" s="828"/>
      <c r="BG16" s="779"/>
      <c r="BH16" s="828" t="s">
        <v>873</v>
      </c>
      <c r="BI16" s="828"/>
      <c r="BJ16" s="781" t="s">
        <v>88</v>
      </c>
      <c r="BK16" s="781" t="s">
        <v>1619</v>
      </c>
      <c r="BL16" s="783" t="s">
        <v>876</v>
      </c>
      <c r="BM16" s="781" t="s">
        <v>922</v>
      </c>
      <c r="BN16" s="779" t="s">
        <v>132</v>
      </c>
      <c r="BO16" s="779" t="s">
        <v>325</v>
      </c>
      <c r="BP16" s="781" t="s">
        <v>1833</v>
      </c>
      <c r="BQ16" s="783" t="s">
        <v>2107</v>
      </c>
      <c r="BR16" s="781"/>
      <c r="BS16" s="783"/>
      <c r="BT16" s="779"/>
      <c r="BU16" s="783" t="s">
        <v>925</v>
      </c>
      <c r="BV16" s="781" t="s">
        <v>691</v>
      </c>
      <c r="BW16" s="783" t="s">
        <v>85</v>
      </c>
      <c r="BX16" s="783" t="s">
        <v>840</v>
      </c>
      <c r="BY16" s="783" t="s">
        <v>309</v>
      </c>
      <c r="BZ16" s="755"/>
      <c r="CA16" s="755"/>
      <c r="CB16" s="755"/>
      <c r="CC16" s="755"/>
    </row>
    <row r="17" spans="1:81" ht="15.95" customHeight="1" thickBot="1">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t="s">
        <v>862</v>
      </c>
      <c r="AJ17" s="833"/>
      <c r="AK17" s="833" t="s">
        <v>863</v>
      </c>
      <c r="AL17" s="833"/>
      <c r="AM17" s="833"/>
      <c r="AN17" s="833"/>
      <c r="AO17" s="833"/>
      <c r="AP17" s="833"/>
      <c r="AQ17" s="833"/>
      <c r="AR17" s="833"/>
      <c r="AS17" s="833"/>
      <c r="AT17" s="833"/>
      <c r="AU17" s="833"/>
      <c r="AX17" s="784"/>
      <c r="AY17" s="780"/>
      <c r="AZ17" s="780"/>
      <c r="BA17" s="780"/>
      <c r="BB17" s="780"/>
      <c r="BC17" s="784"/>
      <c r="BD17" s="782"/>
      <c r="BE17" s="97" t="s">
        <v>871</v>
      </c>
      <c r="BF17" s="97" t="s">
        <v>872</v>
      </c>
      <c r="BG17" s="780"/>
      <c r="BH17" s="97" t="s">
        <v>871</v>
      </c>
      <c r="BI17" s="97" t="s">
        <v>872</v>
      </c>
      <c r="BJ17" s="782"/>
      <c r="BK17" s="782"/>
      <c r="BL17" s="784"/>
      <c r="BM17" s="782"/>
      <c r="BN17" s="780"/>
      <c r="BO17" s="780"/>
      <c r="BP17" s="782"/>
      <c r="BQ17" s="784"/>
      <c r="BR17" s="782"/>
      <c r="BS17" s="784"/>
      <c r="BT17" s="780"/>
      <c r="BU17" s="784"/>
      <c r="BV17" s="782"/>
      <c r="BW17" s="784"/>
      <c r="BX17" s="784"/>
      <c r="BY17" s="784"/>
      <c r="BZ17" s="756"/>
      <c r="CA17" s="756"/>
      <c r="CB17" s="756"/>
      <c r="CC17" s="756"/>
    </row>
    <row r="18" spans="1:81" ht="15.95" customHeight="1">
      <c r="B18" s="785">
        <v>1</v>
      </c>
      <c r="C18" s="793"/>
      <c r="D18" s="795"/>
      <c r="E18" s="795"/>
      <c r="F18" s="794"/>
      <c r="G18" s="789"/>
      <c r="H18" s="790"/>
      <c r="I18" s="790"/>
      <c r="J18" s="790"/>
      <c r="K18" s="790"/>
      <c r="L18" s="790"/>
      <c r="M18" s="793"/>
      <c r="N18" s="794"/>
      <c r="O18" s="793"/>
      <c r="P18" s="795"/>
      <c r="Q18" s="794"/>
      <c r="R18" s="858"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859"/>
      <c r="T18" s="799" t="str">
        <f>IF(C18="Permanent Lamp Removal",0,"")</f>
        <v/>
      </c>
      <c r="U18" s="800"/>
      <c r="V18" s="801"/>
      <c r="W18" s="801"/>
      <c r="X18" s="803"/>
      <c r="Y18" s="803"/>
      <c r="Z18" s="873"/>
      <c r="AA18" s="874"/>
      <c r="AB18" s="875"/>
      <c r="AC18" s="876"/>
      <c r="AD18" s="877"/>
      <c r="AE18" s="877"/>
      <c r="AF18" s="878"/>
      <c r="AG18" s="805"/>
      <c r="AH18" s="793"/>
      <c r="AI18" s="807"/>
      <c r="AJ18" s="808"/>
      <c r="AK18" s="808"/>
      <c r="AL18" s="811"/>
      <c r="AM18" s="813" t="str" cm="1">
        <f t="array" ref="AM18">IFERROR(IF(G18="","",IF(C18&lt;&gt;INDEX(STDLIGHT[Eff Category 1],MATCH(G18,STDLIGHT[Measure Name],0)),0,INDEX(IF(AND(ACTIVEBONUS = TRUE,INDEX(STDLIGHT[Bonus Incentive],MATCH(G18,STDLIGHT[Measure Name],0))&lt;&gt; ""),STDLIGHT[Bonus Incentive],_xlfn.SWITCH(Program_Banner,"Business Energy Savings",STDLIGHT[BESP Incentive],"Small Business / Non-Profit",STDLIGHT[SBNP Incentive],0)),MATCH(G18,STDLIGHT[Measure Name],0)))),"")</f>
        <v/>
      </c>
      <c r="AN18" s="814"/>
      <c r="AO18" s="817" t="str">
        <f>IFERROR(IF(OR(C18="",G18="",M18="",O18="",R18="",T18="",V18="",X18="",AC18="",AG18="",AI18="",AK18=""),"",IF(BD18="Deemed",BH18,IF(BD18="Calculated",BE18,""))),"")</f>
        <v/>
      </c>
      <c r="AP18" s="817"/>
      <c r="AQ18" s="817"/>
      <c r="AR18" s="840" t="str">
        <f>IFERROR(IF(OR(C18="",G18="",M18="",O18="",R18="",T18="",V18="",X18="",AC18="",AG18="",AI18="",AK18=""),"",IF(BY18&lt;&gt;"",BY18,IF(BP18&gt;0,BP18,ROUND(IF(AO18&lt;=0,0,MIN(BL18,BQ18)),2)))),"")</f>
        <v/>
      </c>
      <c r="AS18" s="840"/>
      <c r="AT18" s="840"/>
      <c r="AU18" s="840"/>
      <c r="AV18" s="17"/>
      <c r="AX18" s="773" t="str">
        <f>IFERROR(IF(OR(C18="",G18="",M18="",O18="",R18="",T18="",V18="",X18="",AC18="",AG18="",AI18="",AK18=""),"",INDEX(STDLIGHT[Current Unit],MATCH(G18,STDLIGHT[Measure Name],0))),"Err")</f>
        <v/>
      </c>
      <c r="AY18" s="759" t="str">
        <f t="shared" ref="AY18" si="0">IF(V18="", "",  V18)</f>
        <v/>
      </c>
      <c r="AZ18" s="759" t="str">
        <f t="shared" ref="AZ18" si="1">IF(V18="", "",  V18)</f>
        <v/>
      </c>
      <c r="BA18" s="771"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B18" s="771"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C18" s="773" t="str">
        <f>IFERROR(IF(OR(C18="",G18="",M18="",O18="",R18="",T18="",V18="",X18="",AC18="",AG18="",AI18="",AK18=""),"",INDEX(STDLIGHT[End Use],MATCH(G18,STDLIGHT[Measure Name],0))),"Err")</f>
        <v/>
      </c>
      <c r="BD18" s="757" t="str">
        <f>IFERROR(IF(OR(C18="",G18="",M18="",O18="",R18="",T18="",V18="",X18="",AC18="",AG18="",AI18="",AK18=""),"",INDEX(STDLIGHT[Reporting Methodology],MATCH(G18,STDLIGHT[Measure Name],0))),"Err")</f>
        <v/>
      </c>
      <c r="BE18" s="775" t="str">
        <f>IFERROR(IF(OR(C18="",G18="",M18="",O18="",R18="",T18="",V18="",X18="",AC18="",AG18="",AI18="",AK18=""),"",
IF(BA18&lt;=BB18,0,
IF(OR(ISNUMBER(SEARCH("Exterior",C18)),ISNUMBER(SEARCH("Parking",C18)),M02S04F22="Unconditioned",M02S04F22="Electric Heat Only",M02S04F22="Natural Gas Heat Only"),ROUND((R18-T18)*V18*X18/1000,4),
ROUND((R18-T18)*V18*X18/1000*INDEX(BUILDINGTYPE[Waste Heat Factor (e)],MATCH(M02S04F19,BUILDINGTYPE[Building Type],0)),4)))),"")</f>
        <v/>
      </c>
      <c r="BF18" s="775" t="str">
        <f>IFERROR(IF(OR(C18="",G18="",M18="",O18="",R18="",T18="",V18="",X18="",AC18="",AG18="",AI18="",AK18=""),"",
IF(BA18&lt;=BB18,0,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761"/>
      <c r="BH18" s="775" t="str" cm="1">
        <f t="array" ref="BH18">IF(OR(C18="",G18="",M18="",O18="",R18="",T18="",V18="",X18="",AC18="",AG18="",AI18="",AK18=""),"",IFERROR(IF(G18="","",IF(C18&lt;&gt;INDEX(STDLIGHT[Eff Category 1],MATCH(G18,STDLIGHT[Measure Name],0)),0,
IF(BA18&lt;=BB18,0,
ROUND(V18*INDEX(_xlfn.SWITCH(Program_Banner,"Business Energy Savings",STDLIGHT[Electric Energy Savings WBE (Annual kWh/unit)],"Small Business / Non-Profit",STDLIGHT[Electric Energy Savings HTRB (Annual kWh/unit)],0),MATCH('M03-S02'!G18,STDLIGHT[Measure Name],0)),4)))),""))</f>
        <v/>
      </c>
      <c r="BI18" s="775" t="str" cm="1">
        <f t="array" ref="BI18">IF(OR(C18="",G18="",M18="",O18="",R18="",T18="",V18="",X18="",AC18="",AG18="",AI18="",AK18=""),"",IFERROR(IF(G18="","",IF(C18&lt;&gt;INDEX(STDLIGHT[Eff Category 1],MATCH(G18,STDLIGHT[Measure Name],0)),0,
IF(BA18&lt;=BB18,0,
ROUND(V18*INDEX(_xlfn.SWITCH(Program_Banner,"Business Energy Savings",STDLIGHT[Coincident Peak Demand Savings WBE (kW/unit)],"Small Business / Non-Profit",STDLIGHT[Coincident Peak Demand Savings HTRB (kW/unit)],0),MATCH('M03-S02'!G18,STDLIGHT[Measure Name],0)),4)))),""))</f>
        <v/>
      </c>
      <c r="BJ18" s="777" t="str">
        <f>IFERROR(INDEX(STDLIGHT[Measure Life (Years)],MATCH(G18,STDLIGHT[Measure Name],0)),"")</f>
        <v/>
      </c>
      <c r="BK18" s="767" t="str">
        <f>IFERROR(IF(OR(C18="",G18="",M18="",O18="",R18="",T18="",V18="",X18="",AC18="",AG18="",AI18="",AK18=""),"",
ROUND(((1+ELOSS)*((BE18*INDEX(ELECCB[NPV AEC $/kWh],MATCH(BJ18,ELECCB[Year Number],1)))+(BF18*INDEX(ELECCB[NPV ACC $/kW],MATCH(BJ18,ELECCB[Year Number],1))))),2)),0)</f>
        <v/>
      </c>
      <c r="BL18" s="767" t="str">
        <f t="shared" ref="BL18:BL76" si="2">IF(OR(AI18="", AK18=""), "", AI18+AK18)</f>
        <v/>
      </c>
      <c r="BM18" s="767" t="str">
        <f>IF(OR(G18="", V18=""), "", V18 * INDEX(STDLIGHT[Incremental Measure Cost ($/Unit)],MATCH(G18,STDLIGHT[Measure Name],0)))</f>
        <v/>
      </c>
      <c r="BN18" s="763" t="str">
        <f t="shared" ref="BN18:BN76" si="3">IFERROR( BK18 / IF(BM18 &lt;&gt; "", BM18, BL18), "")</f>
        <v/>
      </c>
      <c r="BO18" s="763" t="str">
        <f>IFERROR(IF(BM18 &lt;&gt; "", BM18, BL18) / M02S04F06 / AO18, "")</f>
        <v/>
      </c>
      <c r="BP18" s="769"/>
      <c r="BQ18" s="767" t="str">
        <f>IFERROR(ROUND(V18*AM18, 2), "")</f>
        <v/>
      </c>
      <c r="BR18" s="765"/>
      <c r="BS18" s="765"/>
      <c r="BT18" s="765"/>
      <c r="BU18" s="757" t="str">
        <f>IFERROR(IF(BP18="",IF(AR18 &lt; BQ18, "100% Total Cost", ""), ""), "")</f>
        <v/>
      </c>
      <c r="BV18" s="767" t="str">
        <f t="shared" ref="BV18:BV76" si="4">IF(OR(AO18="", AR18=""), "", AR18/AO18)</f>
        <v/>
      </c>
      <c r="BW18" s="757" t="str">
        <f>IFERROR(IF(OR(C18="",G18="",M18="",O18="",R18="",T18="",V18="",X18="",AC18="",AG18="",AI18="",AK18=""),"",IF(BY18&lt;&gt;"", SPILLOVERNUMBER, INDEX(STDLIGHT[Measure Number],MATCH(G18,STDLIGHT[Measure Name],0)))),"Err")</f>
        <v/>
      </c>
      <c r="BX18" s="757" t="str" cm="1">
        <f t="array" ref="BX18">IFERROR(INDEX(_xlfn.SWITCH(Program_Banner,"Business Energy Savings",STDLIGHT[Primary Key WBE],"Small Business / Non-Profit",STDLIGHT[Primary Key HTRB],0),MATCH(BW18,STDLIGHT[Measure Number],0)),"")</f>
        <v/>
      </c>
      <c r="BY18" s="757" t="str">
        <f>IFERROR(IF(OR(C18="",G18="",M18="",O18="",R18="",T18="",V18="",X18="",AC18="",AG18="",AI18="",AK18=""),"",
IF(BP18&gt;0,"",
IF(EXPIRATION&lt;&gt;"",PROJSTATEXP,
IF(M02S04F19="",MEASUREBLDG,
IF(BA18&lt;=BB18,MEASURESAVE,""))))),MEASURESUBMIT)</f>
        <v/>
      </c>
      <c r="BZ18" s="753"/>
      <c r="CA18" s="753"/>
      <c r="CB18" s="753"/>
      <c r="CC18" s="753"/>
    </row>
    <row r="19" spans="1:81" ht="15.95" customHeight="1">
      <c r="B19" s="785"/>
      <c r="C19" s="786"/>
      <c r="D19" s="787"/>
      <c r="E19" s="787"/>
      <c r="F19" s="788"/>
      <c r="G19" s="791"/>
      <c r="H19" s="792"/>
      <c r="I19" s="792"/>
      <c r="J19" s="792"/>
      <c r="K19" s="792"/>
      <c r="L19" s="792"/>
      <c r="M19" s="786"/>
      <c r="N19" s="788"/>
      <c r="O19" s="786"/>
      <c r="P19" s="787"/>
      <c r="Q19" s="788"/>
      <c r="R19" s="796"/>
      <c r="S19" s="797"/>
      <c r="T19" s="799"/>
      <c r="U19" s="800"/>
      <c r="V19" s="802"/>
      <c r="W19" s="802"/>
      <c r="X19" s="804"/>
      <c r="Y19" s="804"/>
      <c r="Z19" s="793"/>
      <c r="AA19" s="795"/>
      <c r="AB19" s="794"/>
      <c r="AC19" s="793"/>
      <c r="AD19" s="795"/>
      <c r="AE19" s="795"/>
      <c r="AF19" s="794"/>
      <c r="AG19" s="806"/>
      <c r="AH19" s="786"/>
      <c r="AI19" s="809"/>
      <c r="AJ19" s="810"/>
      <c r="AK19" s="810"/>
      <c r="AL19" s="812"/>
      <c r="AM19" s="815"/>
      <c r="AN19" s="816"/>
      <c r="AO19" s="818"/>
      <c r="AP19" s="818"/>
      <c r="AQ19" s="818"/>
      <c r="AR19" s="841"/>
      <c r="AS19" s="841"/>
      <c r="AT19" s="841"/>
      <c r="AU19" s="841"/>
      <c r="AV19" s="17"/>
      <c r="AX19" s="774"/>
      <c r="AY19" s="760"/>
      <c r="AZ19" s="760"/>
      <c r="BA19" s="772"/>
      <c r="BB19" s="772"/>
      <c r="BC19" s="774"/>
      <c r="BD19" s="758"/>
      <c r="BE19" s="776"/>
      <c r="BF19" s="776"/>
      <c r="BG19" s="762"/>
      <c r="BH19" s="776"/>
      <c r="BI19" s="776"/>
      <c r="BJ19" s="778"/>
      <c r="BK19" s="768"/>
      <c r="BL19" s="768"/>
      <c r="BM19" s="768"/>
      <c r="BN19" s="764"/>
      <c r="BO19" s="764"/>
      <c r="BP19" s="770"/>
      <c r="BQ19" s="768"/>
      <c r="BR19" s="766"/>
      <c r="BS19" s="766"/>
      <c r="BT19" s="766"/>
      <c r="BU19" s="758"/>
      <c r="BV19" s="768"/>
      <c r="BW19" s="758"/>
      <c r="BX19" s="758"/>
      <c r="BY19" s="758"/>
      <c r="BZ19" s="754"/>
      <c r="CA19" s="754"/>
      <c r="CB19" s="754"/>
      <c r="CC19" s="754"/>
    </row>
    <row r="20" spans="1:81" ht="15.95" customHeight="1">
      <c r="A20" s="75"/>
      <c r="B20" s="785">
        <v>2</v>
      </c>
      <c r="C20" s="786"/>
      <c r="D20" s="787"/>
      <c r="E20" s="787"/>
      <c r="F20" s="788"/>
      <c r="G20" s="791"/>
      <c r="H20" s="792"/>
      <c r="I20" s="792"/>
      <c r="J20" s="792"/>
      <c r="K20" s="792"/>
      <c r="L20" s="792"/>
      <c r="M20" s="786"/>
      <c r="N20" s="788"/>
      <c r="O20" s="786"/>
      <c r="P20" s="787"/>
      <c r="Q20" s="788"/>
      <c r="R20" s="796"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797"/>
      <c r="T20" s="799" t="str">
        <f>IF(C20="Permanent Lamp Removal",0,"")</f>
        <v/>
      </c>
      <c r="U20" s="800"/>
      <c r="V20" s="801"/>
      <c r="W20" s="801"/>
      <c r="X20" s="803"/>
      <c r="Y20" s="803"/>
      <c r="Z20" s="825"/>
      <c r="AA20" s="826"/>
      <c r="AB20" s="827"/>
      <c r="AC20" s="825"/>
      <c r="AD20" s="826"/>
      <c r="AE20" s="826"/>
      <c r="AF20" s="827"/>
      <c r="AG20" s="806"/>
      <c r="AH20" s="786"/>
      <c r="AI20" s="809"/>
      <c r="AJ20" s="810"/>
      <c r="AK20" s="810"/>
      <c r="AL20" s="812"/>
      <c r="AM20" s="813" t="str" cm="1">
        <f t="array" ref="AM20">IFERROR(IF(G20="","",IF(C20&lt;&gt;INDEX(STDLIGHT[Eff Category 1],MATCH(G20,STDLIGHT[Measure Name],0)),0,INDEX(IF(AND(ACTIVEBONUS = TRUE,INDEX(STDLIGHT[Bonus Incentive],MATCH(G20,STDLIGHT[Measure Name],0))&lt;&gt; ""),STDLIGHT[Bonus Incentive],_xlfn.SWITCH(Program_Banner,"Business Energy Savings",STDLIGHT[BESP Incentive],"Small Business / Non-Profit",STDLIGHT[SBNP Incentive],0)),MATCH(G20,STDLIGHT[Measure Name],0)))),"")</f>
        <v/>
      </c>
      <c r="AN20" s="814"/>
      <c r="AO20" s="817" t="str">
        <f>IFERROR(IF(OR(C20="",G20="",M20="",O20="",R20="",T20="",V20="",X20="",AC20="",AG20="",AI20="",AK20=""),"",IF(BD20="Deemed",BH20,IF(BD20="Calculated",BE20,""))),"")</f>
        <v/>
      </c>
      <c r="AP20" s="817"/>
      <c r="AQ20" s="817"/>
      <c r="AR20" s="819" t="str">
        <f>IFERROR(IF(OR(C20="",G20="",M20="",O20="",R20="",T20="",V20="",X20="",AC20="",AG20="",AI20="",AK20=""),"",IF(BY20&lt;&gt;"",BY20,IF(BP20&gt;0,BP20,ROUND(IF(AO20&lt;=0,0,MIN(BL20,BQ20)),2)))),"")</f>
        <v/>
      </c>
      <c r="AS20" s="820"/>
      <c r="AT20" s="820"/>
      <c r="AU20" s="821"/>
      <c r="AV20" s="17"/>
      <c r="AX20" s="773" t="str">
        <f>IFERROR(IF(OR(C20="",G20="",M20="",O20="",R20="",T20="",V20="",X20="",AC20="",AG20="",AI20="",AK20=""),"",INDEX(STDLIGHT[Current Unit],MATCH(G20,STDLIGHT[Measure Name],0))),"Err")</f>
        <v/>
      </c>
      <c r="AY20" s="759" t="str">
        <f t="shared" ref="AY20" si="5">IF(V20="", "",  V20)</f>
        <v/>
      </c>
      <c r="AZ20" s="759" t="str">
        <f t="shared" ref="AZ20" si="6">IF(V20="", "",  V20)</f>
        <v/>
      </c>
      <c r="BA20" s="771"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B20" s="771"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C20" s="773" t="str">
        <f>IFERROR(IF(OR(C20="",G20="",M20="",O20="",R20="",T20="",V20="",X20="",AC20="",AG20="",AI20="",AK20=""),"",INDEX(STDLIGHT[End Use],MATCH(G20,STDLIGHT[Measure Name],0))),"Err")</f>
        <v/>
      </c>
      <c r="BD20" s="757" t="str">
        <f>IFERROR(IF(OR(C20="",G20="",M20="",O20="",R20="",T20="",V20="",X20="",AC20="",AG20="",AI20="",AK20=""),"",INDEX(STDLIGHT[Reporting Methodology],MATCH(G20,STDLIGHT[Measure Name],0))),"Err")</f>
        <v/>
      </c>
      <c r="BE20" s="775" t="str">
        <f>IFERROR(IF(OR(C20="",G20="",M20="",O20="",R20="",T20="",V20="",X20="",AC20="",AG20="",AI20="",AK20=""),"",
IF(BA20&lt;=BB20,0,
IF(OR(ISNUMBER(SEARCH("Exterior",C20)),ISNUMBER(SEARCH("Parking",C20)),M02S04F22="Unconditioned",M02S04F22="Electric Heat Only",M02S04F22="Natural Gas Heat Only"),ROUND((R20-T20)*V20*X20/1000,4),
ROUND((R20-T20)*V20*X20/1000*INDEX(BUILDINGTYPE[Waste Heat Factor (e)],MATCH(M02S04F19,BUILDINGTYPE[Building Type],0)),4)))),"")</f>
        <v/>
      </c>
      <c r="BF20" s="775" t="str">
        <f>IFERROR(IF(OR(C20="",G20="",M20="",O20="",R20="",T20="",V20="",X20="",AC20="",AG20="",AI20="",AK20=""),"",
IF(BA20&lt;=BB20,0,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761"/>
      <c r="BH20" s="775" t="str" cm="1">
        <f t="array" ref="BH20">IF(OR(C20="",G20="",M20="",O20="",R20="",T20="",V20="",X20="",AC20="",AG20="",AI20="",AK20=""),"",IFERROR(IF(G20="","",IF(C20&lt;&gt;INDEX(STDLIGHT[Eff Category 1],MATCH(G20,STDLIGHT[Measure Name],0)),0,
IF(BA20&lt;=BB20,0,
ROUND(V20*INDEX(_xlfn.SWITCH(Program_Banner,"Business Energy Savings",STDLIGHT[Electric Energy Savings WBE (Annual kWh/unit)],"Small Business / Non-Profit",STDLIGHT[Electric Energy Savings HTRB (Annual kWh/unit)],0),MATCH('M03-S02'!G20,STDLIGHT[Measure Name],0)),4)))),""))</f>
        <v/>
      </c>
      <c r="BI20" s="775" t="str" cm="1">
        <f t="array" ref="BI20">IF(OR(C20="",G20="",M20="",O20="",R20="",T20="",V20="",X20="",AC20="",AG20="",AI20="",AK20=""),"",IFERROR(IF(G20="","",IF(C20&lt;&gt;INDEX(STDLIGHT[Eff Category 1],MATCH(G20,STDLIGHT[Measure Name],0)),0,
IF(BA20&lt;=BB20,0,
ROUND(V20*INDEX(_xlfn.SWITCH(Program_Banner,"Business Energy Savings",STDLIGHT[Coincident Peak Demand Savings WBE (kW/unit)],"Small Business / Non-Profit",STDLIGHT[Coincident Peak Demand Savings HTRB (kW/unit)],0),MATCH('M03-S02'!G20,STDLIGHT[Measure Name],0)),4)))),""))</f>
        <v/>
      </c>
      <c r="BJ20" s="777" t="str">
        <f>IFERROR(INDEX(STDLIGHT[Measure Life (Years)],MATCH(G20,STDLIGHT[Measure Name],0)),"")</f>
        <v/>
      </c>
      <c r="BK20" s="767" t="str">
        <f>IFERROR(IF(OR(C20="",G20="",M20="",O20="",R20="",T20="",V20="",X20="",AC20="",AG20="",AI20="",AK20=""),"",
ROUND(((1+ELOSS)*((BE20*INDEX(ELECCB[NPV AEC $/kWh],MATCH(BJ20,ELECCB[Year Number],1)))+(BF20*INDEX(ELECCB[NPV ACC $/kW],MATCH(BJ20,ELECCB[Year Number],1))))),2)),0)</f>
        <v/>
      </c>
      <c r="BL20" s="767" t="str">
        <f t="shared" si="2"/>
        <v/>
      </c>
      <c r="BM20" s="767" t="str">
        <f>IF(OR(G20="", V20=""), "", V20 * INDEX(STDLIGHT[Incremental Measure Cost ($/Unit)],MATCH(G20,STDLIGHT[Measure Name],0)))</f>
        <v/>
      </c>
      <c r="BN20" s="763" t="str">
        <f t="shared" si="3"/>
        <v/>
      </c>
      <c r="BO20" s="763" t="str">
        <f>IFERROR(IF(BM20 &lt;&gt; "", BM20, BL20) / M02S04F06 / AO20, "")</f>
        <v/>
      </c>
      <c r="BP20" s="769"/>
      <c r="BQ20" s="767" t="str">
        <f t="shared" ref="BQ20" si="7">IFERROR(ROUND(V20*AM20, 2), "")</f>
        <v/>
      </c>
      <c r="BR20" s="765"/>
      <c r="BS20" s="765"/>
      <c r="BT20" s="765"/>
      <c r="BU20" s="757" t="str">
        <f t="shared" ref="BU20" si="8">IFERROR(IF(BP20="",IF(AR20 &lt; BQ20, "100% Total Cost", ""), ""), "")</f>
        <v/>
      </c>
      <c r="BV20" s="767" t="str">
        <f t="shared" si="4"/>
        <v/>
      </c>
      <c r="BW20" s="757" t="str">
        <f>IFERROR(IF(OR(C20="",G20="",M20="",O20="",R20="",T20="",V20="",X20="",AC20="",AG20="",AI20="",AK20=""),"",IF(BY20&lt;&gt;"", SPILLOVERNUMBER, INDEX(STDLIGHT[Measure Number],MATCH(G20,STDLIGHT[Measure Name],0)))),"Err")</f>
        <v/>
      </c>
      <c r="BX20" s="757" t="str" cm="1">
        <f t="array" ref="BX20">IFERROR(INDEX(_xlfn.SWITCH(Program_Banner,"Business Energy Savings",STDLIGHT[Primary Key WBE],"Small Business / Non-Profit",STDLIGHT[Primary Key HTRB],0),MATCH(BW20,STDLIGHT[Measure Number],0)),"")</f>
        <v/>
      </c>
      <c r="BY20" s="757" t="str">
        <f>IFERROR(IF(OR(C20="",G20="",M20="",O20="",R20="",T20="",V20="",X20="",AC20="",AG20="",AI20="",AK20=""),"",
IF(BP20&gt;0,"",
IF(EXPIRATION&lt;&gt;"",PROJSTATEXP,
IF(M02S04F19="",MEASUREBLDG,
IF(BA20&lt;=BB20,MEASURESAVE,""))))),MEASURESUBMIT)</f>
        <v/>
      </c>
      <c r="BZ20" s="753"/>
      <c r="CA20" s="753"/>
      <c r="CB20" s="753"/>
      <c r="CC20" s="753"/>
    </row>
    <row r="21" spans="1:81" ht="15.95" customHeight="1">
      <c r="B21" s="785"/>
      <c r="C21" s="786"/>
      <c r="D21" s="787"/>
      <c r="E21" s="787"/>
      <c r="F21" s="788"/>
      <c r="G21" s="791"/>
      <c r="H21" s="792"/>
      <c r="I21" s="792"/>
      <c r="J21" s="792"/>
      <c r="K21" s="792"/>
      <c r="L21" s="792"/>
      <c r="M21" s="786"/>
      <c r="N21" s="788"/>
      <c r="O21" s="786"/>
      <c r="P21" s="787"/>
      <c r="Q21" s="788"/>
      <c r="R21" s="798"/>
      <c r="S21" s="799"/>
      <c r="T21" s="799"/>
      <c r="U21" s="800"/>
      <c r="V21" s="802"/>
      <c r="W21" s="802"/>
      <c r="X21" s="804"/>
      <c r="Y21" s="804"/>
      <c r="Z21" s="793"/>
      <c r="AA21" s="795"/>
      <c r="AB21" s="794"/>
      <c r="AC21" s="793"/>
      <c r="AD21" s="795"/>
      <c r="AE21" s="795"/>
      <c r="AF21" s="794"/>
      <c r="AG21" s="806"/>
      <c r="AH21" s="786"/>
      <c r="AI21" s="809"/>
      <c r="AJ21" s="810"/>
      <c r="AK21" s="810"/>
      <c r="AL21" s="812"/>
      <c r="AM21" s="815"/>
      <c r="AN21" s="816"/>
      <c r="AO21" s="818"/>
      <c r="AP21" s="818"/>
      <c r="AQ21" s="818"/>
      <c r="AR21" s="822"/>
      <c r="AS21" s="823"/>
      <c r="AT21" s="823"/>
      <c r="AU21" s="824"/>
      <c r="AV21" s="17"/>
      <c r="AX21" s="774"/>
      <c r="AY21" s="760"/>
      <c r="AZ21" s="760"/>
      <c r="BA21" s="772"/>
      <c r="BB21" s="772"/>
      <c r="BC21" s="774"/>
      <c r="BD21" s="758"/>
      <c r="BE21" s="776"/>
      <c r="BF21" s="776"/>
      <c r="BG21" s="762"/>
      <c r="BH21" s="776"/>
      <c r="BI21" s="776"/>
      <c r="BJ21" s="778"/>
      <c r="BK21" s="768"/>
      <c r="BL21" s="768"/>
      <c r="BM21" s="768"/>
      <c r="BN21" s="764"/>
      <c r="BO21" s="764"/>
      <c r="BP21" s="770"/>
      <c r="BQ21" s="768"/>
      <c r="BR21" s="766"/>
      <c r="BS21" s="766"/>
      <c r="BT21" s="766"/>
      <c r="BU21" s="758"/>
      <c r="BV21" s="768"/>
      <c r="BW21" s="758"/>
      <c r="BX21" s="758"/>
      <c r="BY21" s="758"/>
      <c r="BZ21" s="754"/>
      <c r="CA21" s="754"/>
      <c r="CB21" s="754"/>
      <c r="CC21" s="754"/>
    </row>
    <row r="22" spans="1:81" ht="15.95" customHeight="1">
      <c r="B22" s="785">
        <v>3</v>
      </c>
      <c r="C22" s="786"/>
      <c r="D22" s="787"/>
      <c r="E22" s="787"/>
      <c r="F22" s="788"/>
      <c r="G22" s="791"/>
      <c r="H22" s="792"/>
      <c r="I22" s="792"/>
      <c r="J22" s="792"/>
      <c r="K22" s="792"/>
      <c r="L22" s="792"/>
      <c r="M22" s="786"/>
      <c r="N22" s="788"/>
      <c r="O22" s="786"/>
      <c r="P22" s="787"/>
      <c r="Q22" s="788"/>
      <c r="R22" s="796"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797"/>
      <c r="T22" s="799" t="str">
        <f t="shared" ref="T22" si="9">IF(C22="Permanent Lamp Removal",0,"")</f>
        <v/>
      </c>
      <c r="U22" s="800"/>
      <c r="V22" s="802"/>
      <c r="W22" s="802"/>
      <c r="X22" s="803"/>
      <c r="Y22" s="803"/>
      <c r="Z22" s="825"/>
      <c r="AA22" s="826"/>
      <c r="AB22" s="827"/>
      <c r="AC22" s="825"/>
      <c r="AD22" s="826"/>
      <c r="AE22" s="826"/>
      <c r="AF22" s="827"/>
      <c r="AG22" s="806"/>
      <c r="AH22" s="786"/>
      <c r="AI22" s="809"/>
      <c r="AJ22" s="810"/>
      <c r="AK22" s="810"/>
      <c r="AL22" s="812"/>
      <c r="AM22" s="813" t="str" cm="1">
        <f t="array" ref="AM22">IFERROR(IF(G22="","",IF(C22&lt;&gt;INDEX(STDLIGHT[Eff Category 1],MATCH(G22,STDLIGHT[Measure Name],0)),0,INDEX(IF(AND(ACTIVEBONUS = TRUE,INDEX(STDLIGHT[Bonus Incentive],MATCH(G22,STDLIGHT[Measure Name],0))&lt;&gt; ""),STDLIGHT[Bonus Incentive],_xlfn.SWITCH(Program_Banner,"Business Energy Savings",STDLIGHT[BESP Incentive],"Small Business / Non-Profit",STDLIGHT[SBNP Incentive],0)),MATCH(G22,STDLIGHT[Measure Name],0)))),"")</f>
        <v/>
      </c>
      <c r="AN22" s="814"/>
      <c r="AO22" s="817" t="str">
        <f>IFERROR(IF(OR(C22="",G22="",M22="",O22="",R22="",T22="",V22="",X22="",AC22="",AG22="",AI22="",AK22=""),"",IF(BD22="Deemed",BH22,IF(BD22="Calculated",BE22,""))),"")</f>
        <v/>
      </c>
      <c r="AP22" s="817"/>
      <c r="AQ22" s="817"/>
      <c r="AR22" s="819" t="str">
        <f>IFERROR(IF(OR(C22="",G22="",M22="",O22="",R22="",T22="",V22="",X22="",AC22="",AG22="",AI22="",AK22=""),"",IF(BY22&lt;&gt;"",BY22,IF(BP22&gt;0,BP22,ROUND(IF(AO22&lt;=0,0,MIN(BL22,BQ22)),2)))),"")</f>
        <v/>
      </c>
      <c r="AS22" s="820"/>
      <c r="AT22" s="820"/>
      <c r="AU22" s="821"/>
      <c r="AV22" s="17"/>
      <c r="AX22" s="773" t="str">
        <f>IFERROR(IF(OR(C22="",G22="",M22="",O22="",R22="",T22="",V22="",X22="",AC22="",AG22="",AI22="",AK22=""),"",INDEX(STDLIGHT[Current Unit],MATCH(G22,STDLIGHT[Measure Name],0))),"Err")</f>
        <v/>
      </c>
      <c r="AY22" s="759" t="str">
        <f t="shared" ref="AY22" si="10">IF(V22="", "",  V22)</f>
        <v/>
      </c>
      <c r="AZ22" s="759" t="str">
        <f t="shared" ref="AZ22" si="11">IF(V22="", "",  V22)</f>
        <v/>
      </c>
      <c r="BA22" s="771"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B22" s="771"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C22" s="773" t="str">
        <f>IFERROR(IF(OR(C22="",G22="",M22="",O22="",R22="",T22="",V22="",X22="",AC22="",AG22="",AI22="",AK22=""),"",INDEX(STDLIGHT[End Use],MATCH(G22,STDLIGHT[Measure Name],0))),"Err")</f>
        <v/>
      </c>
      <c r="BD22" s="757" t="str">
        <f>IFERROR(IF(OR(C22="",G22="",M22="",O22="",R22="",T22="",V22="",X22="",AC22="",AG22="",AI22="",AK22=""),"",INDEX(STDLIGHT[Reporting Methodology],MATCH(G22,STDLIGHT[Measure Name],0))),"Err")</f>
        <v/>
      </c>
      <c r="BE22" s="775" t="str">
        <f>IFERROR(IF(OR(C22="",G22="",M22="",O22="",R22="",T22="",V22="",X22="",AC22="",AG22="",AI22="",AK22=""),"",
IF(BA22&lt;=BB22,0,
IF(OR(ISNUMBER(SEARCH("Exterior",C22)),ISNUMBER(SEARCH("Parking",C22)),M02S04F22="Unconditioned",M02S04F22="Electric Heat Only",M02S04F22="Natural Gas Heat Only"),ROUND((R22-T22)*V22*X22/1000,4),
ROUND((R22-T22)*V22*X22/1000*INDEX(BUILDINGTYPE[Waste Heat Factor (e)],MATCH(M02S04F19,BUILDINGTYPE[Building Type],0)),4)))),"")</f>
        <v/>
      </c>
      <c r="BF22" s="775" t="str">
        <f>IFERROR(IF(OR(C22="",G22="",M22="",O22="",R22="",T22="",V22="",X22="",AC22="",AG22="",AI22="",AK22=""),"",
IF(BA22&lt;=BB22,0,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761"/>
      <c r="BH22" s="775" t="str" cm="1">
        <f t="array" ref="BH22">IF(OR(C22="",G22="",M22="",O22="",R22="",T22="",V22="",X22="",AC22="",AG22="",AI22="",AK22=""),"",IFERROR(IF(G22="","",IF(C22&lt;&gt;INDEX(STDLIGHT[Eff Category 1],MATCH(G22,STDLIGHT[Measure Name],0)),0,
IF(BA22&lt;=BB22,0,
ROUND(V22*INDEX(_xlfn.SWITCH(Program_Banner,"Business Energy Savings",STDLIGHT[Electric Energy Savings WBE (Annual kWh/unit)],"Small Business / Non-Profit",STDLIGHT[Electric Energy Savings HTRB (Annual kWh/unit)],0),MATCH('M03-S02'!G22,STDLIGHT[Measure Name],0)),4)))),""))</f>
        <v/>
      </c>
      <c r="BI22" s="775" t="str" cm="1">
        <f t="array" ref="BI22">IF(OR(C22="",G22="",M22="",O22="",R22="",T22="",V22="",X22="",AC22="",AG22="",AI22="",AK22=""),"",IFERROR(IF(G22="","",IF(C22&lt;&gt;INDEX(STDLIGHT[Eff Category 1],MATCH(G22,STDLIGHT[Measure Name],0)),0,
IF(BA22&lt;=BB22,0,
ROUND(V22*INDEX(_xlfn.SWITCH(Program_Banner,"Business Energy Savings",STDLIGHT[Coincident Peak Demand Savings WBE (kW/unit)],"Small Business / Non-Profit",STDLIGHT[Coincident Peak Demand Savings HTRB (kW/unit)],0),MATCH('M03-S02'!G22,STDLIGHT[Measure Name],0)),4)))),""))</f>
        <v/>
      </c>
      <c r="BJ22" s="777" t="str">
        <f>IFERROR(INDEX(STDLIGHT[Measure Life (Years)],MATCH(G22,STDLIGHT[Measure Name],0)),"")</f>
        <v/>
      </c>
      <c r="BK22" s="767" t="str">
        <f>IFERROR(IF(OR(C22="",G22="",M22="",O22="",R22="",T22="",V22="",X22="",AC22="",AG22="",AI22="",AK22=""),"",
ROUND(((1+ELOSS)*((BE22*INDEX(ELECCB[NPV AEC $/kWh],MATCH(BJ22,ELECCB[Year Number],1)))+(BF22*INDEX(ELECCB[NPV ACC $/kW],MATCH(BJ22,ELECCB[Year Number],1))))),2)),0)</f>
        <v/>
      </c>
      <c r="BL22" s="767" t="str">
        <f t="shared" si="2"/>
        <v/>
      </c>
      <c r="BM22" s="767" t="str">
        <f>IF(OR(G22="", V22=""), "", V22 * INDEX(STDLIGHT[Incremental Measure Cost ($/Unit)],MATCH(G22,STDLIGHT[Measure Name],0)))</f>
        <v/>
      </c>
      <c r="BN22" s="763" t="str">
        <f t="shared" si="3"/>
        <v/>
      </c>
      <c r="BO22" s="763" t="str">
        <f>IFERROR(IF(BM22 &lt;&gt; "", BM22, BL22) / M02S04F06 / AO22, "")</f>
        <v/>
      </c>
      <c r="BP22" s="769"/>
      <c r="BQ22" s="767" t="str">
        <f t="shared" ref="BQ22" si="12">IFERROR(ROUND(V22*AM22, 2), "")</f>
        <v/>
      </c>
      <c r="BR22" s="765"/>
      <c r="BS22" s="765"/>
      <c r="BT22" s="765"/>
      <c r="BU22" s="757" t="str">
        <f t="shared" ref="BU22" si="13">IFERROR(IF(BP22="",IF(AR22 &lt; BQ22, "100% Total Cost", ""), ""), "")</f>
        <v/>
      </c>
      <c r="BV22" s="767" t="str">
        <f t="shared" si="4"/>
        <v/>
      </c>
      <c r="BW22" s="757" t="str">
        <f>IFERROR(IF(OR(C22="",G22="",M22="",O22="",R22="",T22="",V22="",X22="",AC22="",AG22="",AI22="",AK22=""),"",IF(BY22&lt;&gt;"", SPILLOVERNUMBER, INDEX(STDLIGHT[Measure Number],MATCH(G22,STDLIGHT[Measure Name],0)))),"Err")</f>
        <v/>
      </c>
      <c r="BX22" s="757" t="str" cm="1">
        <f t="array" ref="BX22">IFERROR(INDEX(_xlfn.SWITCH(Program_Banner,"Business Energy Savings",STDLIGHT[Primary Key WBE],"Small Business / Non-Profit",STDLIGHT[Primary Key HTRB],0),MATCH(BW22,STDLIGHT[Measure Number],0)),"")</f>
        <v/>
      </c>
      <c r="BY22" s="757" t="str">
        <f>IFERROR(IF(OR(C22="",G22="",M22="",O22="",R22="",T22="",V22="",X22="",AC22="",AG22="",AI22="",AK22=""),"",
IF(BP22&gt;0,"",
IF(EXPIRATION&lt;&gt;"",PROJSTATEXP,
IF(M02S04F19="",MEASUREBLDG,
IF(BA22&lt;=BB22,MEASURESAVE,""))))),MEASURESUBMIT)</f>
        <v/>
      </c>
      <c r="BZ22" s="753"/>
      <c r="CA22" s="753"/>
      <c r="CB22" s="753"/>
      <c r="CC22" s="753"/>
    </row>
    <row r="23" spans="1:81" ht="15.95" customHeight="1">
      <c r="A23" s="75"/>
      <c r="B23" s="785"/>
      <c r="C23" s="786"/>
      <c r="D23" s="787"/>
      <c r="E23" s="787"/>
      <c r="F23" s="788"/>
      <c r="G23" s="791"/>
      <c r="H23" s="792"/>
      <c r="I23" s="792"/>
      <c r="J23" s="792"/>
      <c r="K23" s="792"/>
      <c r="L23" s="792"/>
      <c r="M23" s="786"/>
      <c r="N23" s="788"/>
      <c r="O23" s="786"/>
      <c r="P23" s="787"/>
      <c r="Q23" s="788"/>
      <c r="R23" s="798"/>
      <c r="S23" s="799"/>
      <c r="T23" s="799"/>
      <c r="U23" s="800"/>
      <c r="V23" s="802"/>
      <c r="W23" s="802"/>
      <c r="X23" s="804"/>
      <c r="Y23" s="804"/>
      <c r="Z23" s="793"/>
      <c r="AA23" s="795"/>
      <c r="AB23" s="794"/>
      <c r="AC23" s="793"/>
      <c r="AD23" s="795"/>
      <c r="AE23" s="795"/>
      <c r="AF23" s="794"/>
      <c r="AG23" s="806"/>
      <c r="AH23" s="786"/>
      <c r="AI23" s="809"/>
      <c r="AJ23" s="810"/>
      <c r="AK23" s="810"/>
      <c r="AL23" s="812"/>
      <c r="AM23" s="815"/>
      <c r="AN23" s="816"/>
      <c r="AO23" s="818"/>
      <c r="AP23" s="818"/>
      <c r="AQ23" s="818"/>
      <c r="AR23" s="822"/>
      <c r="AS23" s="823"/>
      <c r="AT23" s="823"/>
      <c r="AU23" s="824"/>
      <c r="AV23" s="17"/>
      <c r="AX23" s="774"/>
      <c r="AY23" s="760"/>
      <c r="AZ23" s="760"/>
      <c r="BA23" s="772"/>
      <c r="BB23" s="772"/>
      <c r="BC23" s="774"/>
      <c r="BD23" s="758"/>
      <c r="BE23" s="776"/>
      <c r="BF23" s="776"/>
      <c r="BG23" s="762"/>
      <c r="BH23" s="776"/>
      <c r="BI23" s="776"/>
      <c r="BJ23" s="778"/>
      <c r="BK23" s="768"/>
      <c r="BL23" s="768"/>
      <c r="BM23" s="768"/>
      <c r="BN23" s="764"/>
      <c r="BO23" s="764"/>
      <c r="BP23" s="770"/>
      <c r="BQ23" s="768"/>
      <c r="BR23" s="766"/>
      <c r="BS23" s="766"/>
      <c r="BT23" s="766"/>
      <c r="BU23" s="758"/>
      <c r="BV23" s="768"/>
      <c r="BW23" s="758"/>
      <c r="BX23" s="758"/>
      <c r="BY23" s="758"/>
      <c r="BZ23" s="754"/>
      <c r="CA23" s="754"/>
      <c r="CB23" s="754"/>
      <c r="CC23" s="754"/>
    </row>
    <row r="24" spans="1:81" ht="15.95" customHeight="1">
      <c r="B24" s="785">
        <v>4</v>
      </c>
      <c r="C24" s="786"/>
      <c r="D24" s="787"/>
      <c r="E24" s="787"/>
      <c r="F24" s="788"/>
      <c r="G24" s="791"/>
      <c r="H24" s="792"/>
      <c r="I24" s="792"/>
      <c r="J24" s="792"/>
      <c r="K24" s="792"/>
      <c r="L24" s="792"/>
      <c r="M24" s="786"/>
      <c r="N24" s="788"/>
      <c r="O24" s="786"/>
      <c r="P24" s="787"/>
      <c r="Q24" s="788"/>
      <c r="R24" s="796"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797"/>
      <c r="T24" s="799" t="str">
        <f t="shared" ref="T24" si="14">IF(C24="Permanent Lamp Removal",0,"")</f>
        <v/>
      </c>
      <c r="U24" s="800"/>
      <c r="V24" s="802"/>
      <c r="W24" s="802"/>
      <c r="X24" s="803"/>
      <c r="Y24" s="803"/>
      <c r="Z24" s="825"/>
      <c r="AA24" s="826"/>
      <c r="AB24" s="827"/>
      <c r="AC24" s="825"/>
      <c r="AD24" s="826"/>
      <c r="AE24" s="826"/>
      <c r="AF24" s="827"/>
      <c r="AG24" s="806"/>
      <c r="AH24" s="786"/>
      <c r="AI24" s="809"/>
      <c r="AJ24" s="810"/>
      <c r="AK24" s="810"/>
      <c r="AL24" s="812"/>
      <c r="AM24" s="813" t="str" cm="1">
        <f t="array" ref="AM24">IFERROR(IF(G24="","",IF(C24&lt;&gt;INDEX(STDLIGHT[Eff Category 1],MATCH(G24,STDLIGHT[Measure Name],0)),0,INDEX(IF(AND(ACTIVEBONUS = TRUE,INDEX(STDLIGHT[Bonus Incentive],MATCH(G24,STDLIGHT[Measure Name],0))&lt;&gt; ""),STDLIGHT[Bonus Incentive],_xlfn.SWITCH(Program_Banner,"Business Energy Savings",STDLIGHT[BESP Incentive],"Small Business / Non-Profit",STDLIGHT[SBNP Incentive],0)),MATCH(G24,STDLIGHT[Measure Name],0)))),"")</f>
        <v/>
      </c>
      <c r="AN24" s="814"/>
      <c r="AO24" s="817" t="str">
        <f>IFERROR(IF(OR(C24="",G24="",M24="",O24="",R24="",T24="",V24="",X24="",AC24="",AG24="",AI24="",AK24=""),"",IF(BD24="Deemed",BH24,IF(BD24="Calculated",BE24,""))),"")</f>
        <v/>
      </c>
      <c r="AP24" s="817"/>
      <c r="AQ24" s="817"/>
      <c r="AR24" s="819" t="str">
        <f>IFERROR(IF(OR(C24="",G24="",M24="",O24="",R24="",T24="",V24="",X24="",AC24="",AG24="",AI24="",AK24=""),"",IF(BY24&lt;&gt;"",BY24,IF(BP24&gt;0,BP24,ROUND(IF(AO24&lt;=0,0,MIN(BL24,BQ24)),2)))),"")</f>
        <v/>
      </c>
      <c r="AS24" s="820"/>
      <c r="AT24" s="820"/>
      <c r="AU24" s="821"/>
      <c r="AV24" s="17"/>
      <c r="AX24" s="773" t="str">
        <f>IFERROR(IF(OR(C24="",G24="",M24="",O24="",R24="",T24="",V24="",X24="",AC24="",AG24="",AI24="",AK24=""),"",INDEX(STDLIGHT[Current Unit],MATCH(G24,STDLIGHT[Measure Name],0))),"Err")</f>
        <v/>
      </c>
      <c r="AY24" s="759" t="str">
        <f t="shared" ref="AY24" si="15">IF(V24="", "",  V24)</f>
        <v/>
      </c>
      <c r="AZ24" s="759" t="str">
        <f t="shared" ref="AZ24" si="16">IF(V24="", "",  V24)</f>
        <v/>
      </c>
      <c r="BA24" s="771"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B24" s="771"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C24" s="773" t="str">
        <f>IFERROR(IF(OR(C24="",G24="",M24="",O24="",R24="",T24="",V24="",X24="",AC24="",AG24="",AI24="",AK24=""),"",INDEX(STDLIGHT[End Use],MATCH(G24,STDLIGHT[Measure Name],0))),"Err")</f>
        <v/>
      </c>
      <c r="BD24" s="757" t="str">
        <f>IFERROR(IF(OR(C24="",G24="",M24="",O24="",R24="",T24="",V24="",X24="",AC24="",AG24="",AI24="",AK24=""),"",INDEX(STDLIGHT[Reporting Methodology],MATCH(G24,STDLIGHT[Measure Name],0))),"Err")</f>
        <v/>
      </c>
      <c r="BE24" s="775" t="str">
        <f>IFERROR(IF(OR(C24="",G24="",M24="",O24="",R24="",T24="",V24="",X24="",AC24="",AG24="",AI24="",AK24=""),"",
IF(BA24&lt;=BB24,0,
IF(OR(ISNUMBER(SEARCH("Exterior",C24)),ISNUMBER(SEARCH("Parking",C24)),M02S04F22="Unconditioned",M02S04F22="Electric Heat Only",M02S04F22="Natural Gas Heat Only"),ROUND((R24-T24)*V24*X24/1000,4),
ROUND((R24-T24)*V24*X24/1000*INDEX(BUILDINGTYPE[Waste Heat Factor (e)],MATCH(M02S04F19,BUILDINGTYPE[Building Type],0)),4)))),"")</f>
        <v/>
      </c>
      <c r="BF24" s="775" t="str">
        <f>IFERROR(IF(OR(C24="",G24="",M24="",O24="",R24="",T24="",V24="",X24="",AC24="",AG24="",AI24="",AK24=""),"",
IF(BA24&lt;=BB24,0,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761"/>
      <c r="BH24" s="775" t="str" cm="1">
        <f t="array" ref="BH24">IF(OR(C24="",G24="",M24="",O24="",R24="",T24="",V24="",X24="",AC24="",AG24="",AI24="",AK24=""),"",IFERROR(IF(G24="","",IF(C24&lt;&gt;INDEX(STDLIGHT[Eff Category 1],MATCH(G24,STDLIGHT[Measure Name],0)),0,
IF(BA24&lt;=BB24,0,
ROUND(V24*INDEX(_xlfn.SWITCH(Program_Banner,"Business Energy Savings",STDLIGHT[Electric Energy Savings WBE (Annual kWh/unit)],"Small Business / Non-Profit",STDLIGHT[Electric Energy Savings HTRB (Annual kWh/unit)],0),MATCH('M03-S02'!G24,STDLIGHT[Measure Name],0)),4)))),""))</f>
        <v/>
      </c>
      <c r="BI24" s="775" t="str" cm="1">
        <f t="array" ref="BI24">IF(OR(C24="",G24="",M24="",O24="",R24="",T24="",V24="",X24="",AC24="",AG24="",AI24="",AK24=""),"",IFERROR(IF(G24="","",IF(C24&lt;&gt;INDEX(STDLIGHT[Eff Category 1],MATCH(G24,STDLIGHT[Measure Name],0)),0,
IF(BA24&lt;=BB24,0,
ROUND(V24*INDEX(_xlfn.SWITCH(Program_Banner,"Business Energy Savings",STDLIGHT[Coincident Peak Demand Savings WBE (kW/unit)],"Small Business / Non-Profit",STDLIGHT[Coincident Peak Demand Savings HTRB (kW/unit)],0),MATCH('M03-S02'!G24,STDLIGHT[Measure Name],0)),4)))),""))</f>
        <v/>
      </c>
      <c r="BJ24" s="777" t="str">
        <f>IFERROR(INDEX(STDLIGHT[Measure Life (Years)],MATCH(G24,STDLIGHT[Measure Name],0)),"")</f>
        <v/>
      </c>
      <c r="BK24" s="767" t="str">
        <f>IFERROR(IF(OR(C24="",G24="",M24="",O24="",R24="",T24="",V24="",X24="",AC24="",AG24="",AI24="",AK24=""),"",
ROUND(((1+ELOSS)*((BE24*INDEX(ELECCB[NPV AEC $/kWh],MATCH(BJ24,ELECCB[Year Number],1)))+(BF24*INDEX(ELECCB[NPV ACC $/kW],MATCH(BJ24,ELECCB[Year Number],1))))),2)),0)</f>
        <v/>
      </c>
      <c r="BL24" s="767" t="str">
        <f t="shared" si="2"/>
        <v/>
      </c>
      <c r="BM24" s="767" t="str">
        <f>IF(OR(G24="", V24=""), "", V24 * INDEX(STDLIGHT[Incremental Measure Cost ($/Unit)],MATCH(G24,STDLIGHT[Measure Name],0)))</f>
        <v/>
      </c>
      <c r="BN24" s="763" t="str">
        <f t="shared" si="3"/>
        <v/>
      </c>
      <c r="BO24" s="763" t="str">
        <f>IFERROR(IF(BM24 &lt;&gt; "", BM24, BL24) / M02S04F06 / AO24, "")</f>
        <v/>
      </c>
      <c r="BP24" s="769"/>
      <c r="BQ24" s="767" t="str">
        <f t="shared" ref="BQ24" si="17">IFERROR(ROUND(V24*AM24, 2), "")</f>
        <v/>
      </c>
      <c r="BR24" s="765"/>
      <c r="BS24" s="765"/>
      <c r="BT24" s="765"/>
      <c r="BU24" s="757" t="str">
        <f t="shared" ref="BU24" si="18">IFERROR(IF(BP24="",IF(AR24 &lt; BQ24, "100% Total Cost", ""), ""), "")</f>
        <v/>
      </c>
      <c r="BV24" s="767" t="str">
        <f t="shared" si="4"/>
        <v/>
      </c>
      <c r="BW24" s="757" t="str">
        <f>IFERROR(IF(OR(C24="",G24="",M24="",O24="",R24="",T24="",V24="",X24="",AC24="",AG24="",AI24="",AK24=""),"",IF(BY24&lt;&gt;"", SPILLOVERNUMBER, INDEX(STDLIGHT[Measure Number],MATCH(G24,STDLIGHT[Measure Name],0)))),"Err")</f>
        <v/>
      </c>
      <c r="BX24" s="757" t="str" cm="1">
        <f t="array" ref="BX24">IFERROR(INDEX(_xlfn.SWITCH(Program_Banner,"Business Energy Savings",STDLIGHT[Primary Key WBE],"Small Business / Non-Profit",STDLIGHT[Primary Key HTRB],0),MATCH(BW24,STDLIGHT[Measure Number],0)),"")</f>
        <v/>
      </c>
      <c r="BY24" s="757" t="str">
        <f>IFERROR(IF(OR(C24="",G24="",M24="",O24="",R24="",T24="",V24="",X24="",AC24="",AG24="",AI24="",AK24=""),"",
IF(BP24&gt;0,"",
IF(EXPIRATION&lt;&gt;"",PROJSTATEXP,
IF(M02S04F19="",MEASUREBLDG,
IF(BA24&lt;=BB24,MEASURESAVE,""))))),MEASURESUBMIT)</f>
        <v/>
      </c>
      <c r="BZ24" s="753"/>
      <c r="CA24" s="753"/>
      <c r="CB24" s="753"/>
      <c r="CC24" s="753"/>
    </row>
    <row r="25" spans="1:81" ht="15.95" customHeight="1">
      <c r="A25" s="75"/>
      <c r="B25" s="785"/>
      <c r="C25" s="786"/>
      <c r="D25" s="787"/>
      <c r="E25" s="787"/>
      <c r="F25" s="788"/>
      <c r="G25" s="791"/>
      <c r="H25" s="792"/>
      <c r="I25" s="792"/>
      <c r="J25" s="792"/>
      <c r="K25" s="792"/>
      <c r="L25" s="792"/>
      <c r="M25" s="786"/>
      <c r="N25" s="788"/>
      <c r="O25" s="786"/>
      <c r="P25" s="787"/>
      <c r="Q25" s="788"/>
      <c r="R25" s="798"/>
      <c r="S25" s="799"/>
      <c r="T25" s="799"/>
      <c r="U25" s="800"/>
      <c r="V25" s="802"/>
      <c r="W25" s="802"/>
      <c r="X25" s="804"/>
      <c r="Y25" s="804"/>
      <c r="Z25" s="793"/>
      <c r="AA25" s="795"/>
      <c r="AB25" s="794"/>
      <c r="AC25" s="793"/>
      <c r="AD25" s="795"/>
      <c r="AE25" s="795"/>
      <c r="AF25" s="794"/>
      <c r="AG25" s="806"/>
      <c r="AH25" s="786"/>
      <c r="AI25" s="809"/>
      <c r="AJ25" s="810"/>
      <c r="AK25" s="810"/>
      <c r="AL25" s="812"/>
      <c r="AM25" s="815"/>
      <c r="AN25" s="816"/>
      <c r="AO25" s="818"/>
      <c r="AP25" s="818"/>
      <c r="AQ25" s="818"/>
      <c r="AR25" s="822"/>
      <c r="AS25" s="823"/>
      <c r="AT25" s="823"/>
      <c r="AU25" s="824"/>
      <c r="AV25" s="17"/>
      <c r="AX25" s="774"/>
      <c r="AY25" s="760"/>
      <c r="AZ25" s="760"/>
      <c r="BA25" s="772"/>
      <c r="BB25" s="772"/>
      <c r="BC25" s="774"/>
      <c r="BD25" s="758"/>
      <c r="BE25" s="776"/>
      <c r="BF25" s="776"/>
      <c r="BG25" s="762"/>
      <c r="BH25" s="776"/>
      <c r="BI25" s="776"/>
      <c r="BJ25" s="778"/>
      <c r="BK25" s="768"/>
      <c r="BL25" s="768"/>
      <c r="BM25" s="768"/>
      <c r="BN25" s="764"/>
      <c r="BO25" s="764"/>
      <c r="BP25" s="770"/>
      <c r="BQ25" s="768"/>
      <c r="BR25" s="766"/>
      <c r="BS25" s="766"/>
      <c r="BT25" s="766"/>
      <c r="BU25" s="758"/>
      <c r="BV25" s="768"/>
      <c r="BW25" s="758"/>
      <c r="BX25" s="758"/>
      <c r="BY25" s="758"/>
      <c r="BZ25" s="754"/>
      <c r="CA25" s="754"/>
      <c r="CB25" s="754"/>
      <c r="CC25" s="754"/>
    </row>
    <row r="26" spans="1:81" ht="15.95" customHeight="1">
      <c r="B26" s="785">
        <v>5</v>
      </c>
      <c r="C26" s="786"/>
      <c r="D26" s="787"/>
      <c r="E26" s="787"/>
      <c r="F26" s="788"/>
      <c r="G26" s="864"/>
      <c r="H26" s="865"/>
      <c r="I26" s="865"/>
      <c r="J26" s="865"/>
      <c r="K26" s="865"/>
      <c r="L26" s="866"/>
      <c r="M26" s="786"/>
      <c r="N26" s="788"/>
      <c r="O26" s="786"/>
      <c r="P26" s="787"/>
      <c r="Q26" s="788"/>
      <c r="R26" s="796"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797"/>
      <c r="T26" s="799" t="str">
        <f t="shared" ref="T26" si="19">IF(C26="Permanent Lamp Removal",0,"")</f>
        <v/>
      </c>
      <c r="U26" s="800"/>
      <c r="V26" s="802"/>
      <c r="W26" s="802"/>
      <c r="X26" s="803"/>
      <c r="Y26" s="803"/>
      <c r="Z26" s="825"/>
      <c r="AA26" s="826"/>
      <c r="AB26" s="827"/>
      <c r="AC26" s="825"/>
      <c r="AD26" s="826"/>
      <c r="AE26" s="826"/>
      <c r="AF26" s="827"/>
      <c r="AG26" s="806"/>
      <c r="AH26" s="786"/>
      <c r="AI26" s="809"/>
      <c r="AJ26" s="810"/>
      <c r="AK26" s="810"/>
      <c r="AL26" s="812"/>
      <c r="AM26" s="813" t="str" cm="1">
        <f t="array" ref="AM26">IFERROR(IF(G26="","",IF(C26&lt;&gt;INDEX(STDLIGHT[Eff Category 1],MATCH(G26,STDLIGHT[Measure Name],0)),0,INDEX(IF(AND(ACTIVEBONUS = TRUE,INDEX(STDLIGHT[Bonus Incentive],MATCH(G26,STDLIGHT[Measure Name],0))&lt;&gt; ""),STDLIGHT[Bonus Incentive],_xlfn.SWITCH(Program_Banner,"Business Energy Savings",STDLIGHT[BESP Incentive],"Small Business / Non-Profit",STDLIGHT[SBNP Incentive],0)),MATCH(G26,STDLIGHT[Measure Name],0)))),"")</f>
        <v/>
      </c>
      <c r="AN26" s="814"/>
      <c r="AO26" s="817" t="str">
        <f>IFERROR(IF(OR(C26="",G26="",M26="",O26="",R26="",T26="",V26="",X26="",AC26="",AG26="",AI26="",AK26=""),"",IF(BD26="Deemed",BH26,IF(BD26="Calculated",BE26,""))),"")</f>
        <v/>
      </c>
      <c r="AP26" s="817"/>
      <c r="AQ26" s="817"/>
      <c r="AR26" s="819" t="str">
        <f>IFERROR(IF(OR(C26="",G26="",M26="",O26="",R26="",T26="",V26="",X26="",AC26="",AG26="",AI26="",AK26=""),"",IF(BY26&lt;&gt;"",BY26,IF(BP26&gt;0,BP26,ROUND(IF(AO26&lt;=0,0,MIN(BL26,BQ26)),2)))),"")</f>
        <v/>
      </c>
      <c r="AS26" s="820"/>
      <c r="AT26" s="820"/>
      <c r="AU26" s="821"/>
      <c r="AV26" s="17"/>
      <c r="AX26" s="773" t="str">
        <f>IFERROR(IF(OR(C26="",G26="",M26="",O26="",R26="",T26="",V26="",X26="",AC26="",AG26="",AI26="",AK26=""),"",INDEX(STDLIGHT[Current Unit],MATCH(G26,STDLIGHT[Measure Name],0))),"Err")</f>
        <v/>
      </c>
      <c r="AY26" s="759" t="str">
        <f t="shared" ref="AY26" si="20">IF(V26="", "",  V26)</f>
        <v/>
      </c>
      <c r="AZ26" s="759" t="str">
        <f t="shared" ref="AZ26" si="21">IF(V26="", "",  V26)</f>
        <v/>
      </c>
      <c r="BA26" s="771"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B26" s="771"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C26" s="773" t="str">
        <f>IFERROR(IF(OR(C26="",G26="",M26="",O26="",R26="",T26="",V26="",X26="",AC26="",AG26="",AI26="",AK26=""),"",INDEX(STDLIGHT[End Use],MATCH(G26,STDLIGHT[Measure Name],0))),"Err")</f>
        <v/>
      </c>
      <c r="BD26" s="757" t="str">
        <f>IFERROR(IF(OR(C26="",G26="",M26="",O26="",R26="",T26="",V26="",X26="",AC26="",AG26="",AI26="",AK26=""),"",INDEX(STDLIGHT[Reporting Methodology],MATCH(G26,STDLIGHT[Measure Name],0))),"Err")</f>
        <v/>
      </c>
      <c r="BE26" s="775" t="str">
        <f>IFERROR(IF(OR(C26="",G26="",M26="",O26="",R26="",T26="",V26="",X26="",AC26="",AG26="",AI26="",AK26=""),"",
IF(BA26&lt;=BB26,0,
IF(OR(ISNUMBER(SEARCH("Exterior",C26)),ISNUMBER(SEARCH("Parking",C26)),M02S04F22="Unconditioned",M02S04F22="Electric Heat Only",M02S04F22="Natural Gas Heat Only"),ROUND((R26-T26)*V26*X26/1000,4),
ROUND((R26-T26)*V26*X26/1000*INDEX(BUILDINGTYPE[Waste Heat Factor (e)],MATCH(M02S04F19,BUILDINGTYPE[Building Type],0)),4)))),"")</f>
        <v/>
      </c>
      <c r="BF26" s="775" t="str">
        <f>IFERROR(IF(OR(C26="",G26="",M26="",O26="",R26="",T26="",V26="",X26="",AC26="",AG26="",AI26="",AK26=""),"",
IF(BA26&lt;=BB26,0,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761"/>
      <c r="BH26" s="775" t="str" cm="1">
        <f t="array" ref="BH26">IF(OR(C26="",G26="",M26="",O26="",R26="",T26="",V26="",X26="",AC26="",AG26="",AI26="",AK26=""),"",IFERROR(IF(G26="","",IF(C26&lt;&gt;INDEX(STDLIGHT[Eff Category 1],MATCH(G26,STDLIGHT[Measure Name],0)),0,
IF(BA26&lt;=BB26,0,
ROUND(V26*INDEX(_xlfn.SWITCH(Program_Banner,"Business Energy Savings",STDLIGHT[Electric Energy Savings WBE (Annual kWh/unit)],"Small Business / Non-Profit",STDLIGHT[Electric Energy Savings HTRB (Annual kWh/unit)],0),MATCH('M03-S02'!G26,STDLIGHT[Measure Name],0)),4)))),""))</f>
        <v/>
      </c>
      <c r="BI26" s="775" t="str" cm="1">
        <f t="array" ref="BI26">IF(OR(C26="",G26="",M26="",O26="",R26="",T26="",V26="",X26="",AC26="",AG26="",AI26="",AK26=""),"",IFERROR(IF(G26="","",IF(C26&lt;&gt;INDEX(STDLIGHT[Eff Category 1],MATCH(G26,STDLIGHT[Measure Name],0)),0,
IF(BA26&lt;=BB26,0,
ROUND(V26*INDEX(_xlfn.SWITCH(Program_Banner,"Business Energy Savings",STDLIGHT[Coincident Peak Demand Savings WBE (kW/unit)],"Small Business / Non-Profit",STDLIGHT[Coincident Peak Demand Savings HTRB (kW/unit)],0),MATCH('M03-S02'!G26,STDLIGHT[Measure Name],0)),4)))),""))</f>
        <v/>
      </c>
      <c r="BJ26" s="777" t="str">
        <f>IFERROR(INDEX(STDLIGHT[Measure Life (Years)],MATCH(G26,STDLIGHT[Measure Name],0)),"")</f>
        <v/>
      </c>
      <c r="BK26" s="767" t="str">
        <f>IFERROR(IF(OR(C26="",G26="",M26="",O26="",R26="",T26="",V26="",X26="",AC26="",AG26="",AI26="",AK26=""),"",
ROUND(((1+ELOSS)*((BE26*INDEX(ELECCB[NPV AEC $/kWh],MATCH(BJ26,ELECCB[Year Number],1)))+(BF26*INDEX(ELECCB[NPV ACC $/kW],MATCH(BJ26,ELECCB[Year Number],1))))),2)),0)</f>
        <v/>
      </c>
      <c r="BL26" s="767" t="str">
        <f t="shared" si="2"/>
        <v/>
      </c>
      <c r="BM26" s="767" t="str">
        <f>IF(OR(G26="", V26=""), "", V26 * INDEX(STDLIGHT[Incremental Measure Cost ($/Unit)],MATCH(G26,STDLIGHT[Measure Name],0)))</f>
        <v/>
      </c>
      <c r="BN26" s="763" t="str">
        <f t="shared" si="3"/>
        <v/>
      </c>
      <c r="BO26" s="763" t="str">
        <f>IFERROR(IF(BM26 &lt;&gt; "", BM26, BL26) / M02S04F06 / AO26, "")</f>
        <v/>
      </c>
      <c r="BP26" s="769"/>
      <c r="BQ26" s="767" t="str">
        <f t="shared" ref="BQ26" si="22">IFERROR(ROUND(V26*AM26, 2), "")</f>
        <v/>
      </c>
      <c r="BR26" s="765"/>
      <c r="BS26" s="765"/>
      <c r="BT26" s="765"/>
      <c r="BU26" s="757" t="str">
        <f t="shared" ref="BU26" si="23">IFERROR(IF(BP26="",IF(AR26 &lt; BQ26, "100% Total Cost", ""), ""), "")</f>
        <v/>
      </c>
      <c r="BV26" s="767" t="str">
        <f t="shared" si="4"/>
        <v/>
      </c>
      <c r="BW26" s="757" t="str">
        <f>IFERROR(IF(OR(C26="",G26="",M26="",O26="",R26="",T26="",V26="",X26="",AC26="",AG26="",AI26="",AK26=""),"",IF(BY26&lt;&gt;"", SPILLOVERNUMBER, INDEX(STDLIGHT[Measure Number],MATCH(G26,STDLIGHT[Measure Name],0)))),"Err")</f>
        <v/>
      </c>
      <c r="BX26" s="757" t="str" cm="1">
        <f t="array" ref="BX26">IFERROR(INDEX(_xlfn.SWITCH(Program_Banner,"Business Energy Savings",STDLIGHT[Primary Key WBE],"Small Business / Non-Profit",STDLIGHT[Primary Key HTRB],0),MATCH(BW26,STDLIGHT[Measure Number],0)),"")</f>
        <v/>
      </c>
      <c r="BY26" s="757" t="str">
        <f>IFERROR(IF(OR(C26="",G26="",M26="",O26="",R26="",T26="",V26="",X26="",AC26="",AG26="",AI26="",AK26=""),"",
IF(BP26&gt;0,"",
IF(EXPIRATION&lt;&gt;"",PROJSTATEXP,
IF(M02S04F19="",MEASUREBLDG,
IF(BA26&lt;=BB26,MEASURESAVE,""))))),MEASURESUBMIT)</f>
        <v/>
      </c>
      <c r="BZ26" s="753"/>
      <c r="CA26" s="753"/>
      <c r="CB26" s="753"/>
      <c r="CC26" s="753"/>
    </row>
    <row r="27" spans="1:81" ht="15.95" customHeight="1">
      <c r="B27" s="785"/>
      <c r="C27" s="786"/>
      <c r="D27" s="787"/>
      <c r="E27" s="787"/>
      <c r="F27" s="788"/>
      <c r="G27" s="789"/>
      <c r="H27" s="790"/>
      <c r="I27" s="790"/>
      <c r="J27" s="790"/>
      <c r="K27" s="790"/>
      <c r="L27" s="867"/>
      <c r="M27" s="786"/>
      <c r="N27" s="788"/>
      <c r="O27" s="786"/>
      <c r="P27" s="787"/>
      <c r="Q27" s="788"/>
      <c r="R27" s="798"/>
      <c r="S27" s="799"/>
      <c r="T27" s="799"/>
      <c r="U27" s="800"/>
      <c r="V27" s="802"/>
      <c r="W27" s="802"/>
      <c r="X27" s="804"/>
      <c r="Y27" s="804"/>
      <c r="Z27" s="793"/>
      <c r="AA27" s="795"/>
      <c r="AB27" s="794"/>
      <c r="AC27" s="793"/>
      <c r="AD27" s="795"/>
      <c r="AE27" s="795"/>
      <c r="AF27" s="794"/>
      <c r="AG27" s="806"/>
      <c r="AH27" s="786"/>
      <c r="AI27" s="809"/>
      <c r="AJ27" s="810"/>
      <c r="AK27" s="810"/>
      <c r="AL27" s="812"/>
      <c r="AM27" s="815"/>
      <c r="AN27" s="816"/>
      <c r="AO27" s="818"/>
      <c r="AP27" s="818"/>
      <c r="AQ27" s="818"/>
      <c r="AR27" s="822"/>
      <c r="AS27" s="823"/>
      <c r="AT27" s="823"/>
      <c r="AU27" s="824"/>
      <c r="AV27" s="17"/>
      <c r="AX27" s="774"/>
      <c r="AY27" s="760"/>
      <c r="AZ27" s="760"/>
      <c r="BA27" s="772"/>
      <c r="BB27" s="772"/>
      <c r="BC27" s="774"/>
      <c r="BD27" s="758"/>
      <c r="BE27" s="776"/>
      <c r="BF27" s="776"/>
      <c r="BG27" s="762"/>
      <c r="BH27" s="776"/>
      <c r="BI27" s="776"/>
      <c r="BJ27" s="778"/>
      <c r="BK27" s="768"/>
      <c r="BL27" s="768"/>
      <c r="BM27" s="768"/>
      <c r="BN27" s="764"/>
      <c r="BO27" s="764"/>
      <c r="BP27" s="770"/>
      <c r="BQ27" s="768"/>
      <c r="BR27" s="766"/>
      <c r="BS27" s="766"/>
      <c r="BT27" s="766"/>
      <c r="BU27" s="758"/>
      <c r="BV27" s="768"/>
      <c r="BW27" s="758"/>
      <c r="BX27" s="758"/>
      <c r="BY27" s="758"/>
      <c r="BZ27" s="754"/>
      <c r="CA27" s="754"/>
      <c r="CB27" s="754"/>
      <c r="CC27" s="754"/>
    </row>
    <row r="28" spans="1:81" ht="15.95" customHeight="1">
      <c r="B28" s="785">
        <v>6</v>
      </c>
      <c r="C28" s="786"/>
      <c r="D28" s="787"/>
      <c r="E28" s="787"/>
      <c r="F28" s="788"/>
      <c r="G28" s="864"/>
      <c r="H28" s="865"/>
      <c r="I28" s="865"/>
      <c r="J28" s="865"/>
      <c r="K28" s="865"/>
      <c r="L28" s="866"/>
      <c r="M28" s="825"/>
      <c r="N28" s="827"/>
      <c r="O28" s="825"/>
      <c r="P28" s="826"/>
      <c r="Q28" s="827"/>
      <c r="R28" s="796"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797"/>
      <c r="T28" s="799" t="str">
        <f t="shared" ref="T28" si="24">IF(C28="Permanent Lamp Removal",0,"")</f>
        <v/>
      </c>
      <c r="U28" s="800"/>
      <c r="V28" s="868"/>
      <c r="W28" s="869"/>
      <c r="X28" s="846"/>
      <c r="Y28" s="847"/>
      <c r="Z28" s="825"/>
      <c r="AA28" s="826"/>
      <c r="AB28" s="827"/>
      <c r="AC28" s="825"/>
      <c r="AD28" s="826"/>
      <c r="AE28" s="826"/>
      <c r="AF28" s="827"/>
      <c r="AG28" s="825"/>
      <c r="AH28" s="844"/>
      <c r="AI28" s="850"/>
      <c r="AJ28" s="851"/>
      <c r="AK28" s="854"/>
      <c r="AL28" s="855"/>
      <c r="AM28" s="813" t="str" cm="1">
        <f t="array" ref="AM28">IFERROR(IF(G28="","",IF(C28&lt;&gt;INDEX(STDLIGHT[Eff Category 1],MATCH(G28,STDLIGHT[Measure Name],0)),0,INDEX(IF(AND(ACTIVEBONUS = TRUE,INDEX(STDLIGHT[Bonus Incentive],MATCH(G28,STDLIGHT[Measure Name],0))&lt;&gt; ""),STDLIGHT[Bonus Incentive],_xlfn.SWITCH(Program_Banner,"Business Energy Savings",STDLIGHT[BESP Incentive],"Small Business / Non-Profit",STDLIGHT[SBNP Incentive],0)),MATCH(G28,STDLIGHT[Measure Name],0)))),"")</f>
        <v/>
      </c>
      <c r="AN28" s="814"/>
      <c r="AO28" s="817" t="str">
        <f>IFERROR(IF(OR(C28="",G28="",M28="",O28="",R28="",T28="",V28="",X28="",AC28="",AG28="",AI28="",AK28=""),"",IF(BD28="Deemed",BH28,IF(BD28="Calculated",BE28,""))),"")</f>
        <v/>
      </c>
      <c r="AP28" s="817"/>
      <c r="AQ28" s="817"/>
      <c r="AR28" s="819" t="str">
        <f>IFERROR(IF(OR(C28="",G28="",M28="",O28="",R28="",T28="",V28="",X28="",AC28="",AG28="",AI28="",AK28=""),"",IF(BY28&lt;&gt;"",BY28,IF(BP28&gt;0,BP28,ROUND(IF(AO28&lt;=0,0,MIN(BL28,BQ28)),2)))),"")</f>
        <v/>
      </c>
      <c r="AS28" s="820"/>
      <c r="AT28" s="820"/>
      <c r="AU28" s="821"/>
      <c r="AV28" s="17"/>
      <c r="AX28" s="773" t="str">
        <f>IFERROR(IF(OR(C28="",G28="",M28="",O28="",R28="",T28="",V28="",X28="",AC28="",AG28="",AI28="",AK28=""),"",INDEX(STDLIGHT[Current Unit],MATCH(G28,STDLIGHT[Measure Name],0))),"Err")</f>
        <v/>
      </c>
      <c r="AY28" s="759" t="str">
        <f t="shared" ref="AY28" si="25">IF(V28="", "",  V28)</f>
        <v/>
      </c>
      <c r="AZ28" s="759" t="str">
        <f t="shared" ref="AZ28" si="26">IF(V28="", "",  V28)</f>
        <v/>
      </c>
      <c r="BA28" s="771"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B28" s="771"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C28" s="773" t="str">
        <f>IFERROR(IF(OR(C28="",G28="",M28="",O28="",R28="",T28="",V28="",X28="",AC28="",AG28="",AI28="",AK28=""),"",INDEX(STDLIGHT[End Use],MATCH(G28,STDLIGHT[Measure Name],0))),"Err")</f>
        <v/>
      </c>
      <c r="BD28" s="757" t="str">
        <f>IFERROR(IF(OR(C28="",G28="",M28="",O28="",R28="",T28="",V28="",X28="",AC28="",AG28="",AI28="",AK28=""),"",INDEX(STDLIGHT[Reporting Methodology],MATCH(G28,STDLIGHT[Measure Name],0))),"Err")</f>
        <v/>
      </c>
      <c r="BE28" s="775" t="str">
        <f>IFERROR(IF(OR(C28="",G28="",M28="",O28="",R28="",T28="",V28="",X28="",AC28="",AG28="",AI28="",AK28=""),"",
IF(BA28&lt;=BB28,0,
IF(OR(ISNUMBER(SEARCH("Exterior",C28)),ISNUMBER(SEARCH("Parking",C28)),M02S04F22="Unconditioned",M02S04F22="Electric Heat Only",M02S04F22="Natural Gas Heat Only"),ROUND((R28-T28)*V28*X28/1000,4),
ROUND((R28-T28)*V28*X28/1000*INDEX(BUILDINGTYPE[Waste Heat Factor (e)],MATCH(M02S04F19,BUILDINGTYPE[Building Type],0)),4)))),"")</f>
        <v/>
      </c>
      <c r="BF28" s="775" t="str">
        <f>IFERROR(IF(OR(C28="",G28="",M28="",O28="",R28="",T28="",V28="",X28="",AC28="",AG28="",AI28="",AK28=""),"",
IF(BA28&lt;=BB28,0,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761"/>
      <c r="BH28" s="775" t="str" cm="1">
        <f t="array" ref="BH28">IF(OR(C28="",G28="",M28="",O28="",R28="",T28="",V28="",X28="",AC28="",AG28="",AI28="",AK28=""),"",IFERROR(IF(G28="","",IF(C28&lt;&gt;INDEX(STDLIGHT[Eff Category 1],MATCH(G28,STDLIGHT[Measure Name],0)),0,
IF(BA28&lt;=BB28,0,
ROUND(V28*INDEX(_xlfn.SWITCH(Program_Banner,"Business Energy Savings",STDLIGHT[Electric Energy Savings WBE (Annual kWh/unit)],"Small Business / Non-Profit",STDLIGHT[Electric Energy Savings HTRB (Annual kWh/unit)],0),MATCH('M03-S02'!G28,STDLIGHT[Measure Name],0)),4)))),""))</f>
        <v/>
      </c>
      <c r="BI28" s="775" t="str" cm="1">
        <f t="array" ref="BI28">IF(OR(C28="",G28="",M28="",O28="",R28="",T28="",V28="",X28="",AC28="",AG28="",AI28="",AK28=""),"",IFERROR(IF(G28="","",IF(C28&lt;&gt;INDEX(STDLIGHT[Eff Category 1],MATCH(G28,STDLIGHT[Measure Name],0)),0,
IF(BA28&lt;=BB28,0,
ROUND(V28*INDEX(_xlfn.SWITCH(Program_Banner,"Business Energy Savings",STDLIGHT[Coincident Peak Demand Savings WBE (kW/unit)],"Small Business / Non-Profit",STDLIGHT[Coincident Peak Demand Savings HTRB (kW/unit)],0),MATCH('M03-S02'!G28,STDLIGHT[Measure Name],0)),4)))),""))</f>
        <v/>
      </c>
      <c r="BJ28" s="777" t="str">
        <f>IFERROR(INDEX(STDLIGHT[Measure Life (Years)],MATCH(G28,STDLIGHT[Measure Name],0)),"")</f>
        <v/>
      </c>
      <c r="BK28" s="767" t="str">
        <f>IFERROR(IF(OR(C28="",G28="",M28="",O28="",R28="",T28="",V28="",X28="",AC28="",AG28="",AI28="",AK28=""),"",
ROUND(((1+ELOSS)*((BE28*INDEX(ELECCB[NPV AEC $/kWh],MATCH(BJ28,ELECCB[Year Number],1)))+(BF28*INDEX(ELECCB[NPV ACC $/kW],MATCH(BJ28,ELECCB[Year Number],1))))),2)),0)</f>
        <v/>
      </c>
      <c r="BL28" s="767" t="str">
        <f t="shared" si="2"/>
        <v/>
      </c>
      <c r="BM28" s="767" t="str">
        <f>IF(OR(G28="", V28=""), "", V28 * INDEX(STDLIGHT[Incremental Measure Cost ($/Unit)],MATCH(G28,STDLIGHT[Measure Name],0)))</f>
        <v/>
      </c>
      <c r="BN28" s="763" t="str">
        <f t="shared" si="3"/>
        <v/>
      </c>
      <c r="BO28" s="763" t="str">
        <f>IFERROR(IF(BM28 &lt;&gt; "", BM28, BL28) / M02S04F06 / AO28, "")</f>
        <v/>
      </c>
      <c r="BP28" s="769"/>
      <c r="BQ28" s="767" t="str">
        <f t="shared" ref="BQ28" si="27">IFERROR(ROUND(V28*AM28, 2), "")</f>
        <v/>
      </c>
      <c r="BR28" s="765"/>
      <c r="BS28" s="765"/>
      <c r="BT28" s="765"/>
      <c r="BU28" s="757" t="str">
        <f t="shared" ref="BU28" si="28">IFERROR(IF(BP28="",IF(AR28 &lt; BQ28, "100% Total Cost", ""), ""), "")</f>
        <v/>
      </c>
      <c r="BV28" s="767" t="str">
        <f t="shared" si="4"/>
        <v/>
      </c>
      <c r="BW28" s="757" t="str">
        <f>IFERROR(IF(OR(C28="",G28="",M28="",O28="",R28="",T28="",V28="",X28="",AC28="",AG28="",AI28="",AK28=""),"",IF(BY28&lt;&gt;"", SPILLOVERNUMBER, INDEX(STDLIGHT[Measure Number],MATCH(G28,STDLIGHT[Measure Name],0)))),"Err")</f>
        <v/>
      </c>
      <c r="BX28" s="757" t="str" cm="1">
        <f t="array" ref="BX28">IFERROR(INDEX(_xlfn.SWITCH(Program_Banner,"Business Energy Savings",STDLIGHT[Primary Key WBE],"Small Business / Non-Profit",STDLIGHT[Primary Key HTRB],0),MATCH(BW28,STDLIGHT[Measure Number],0)),"")</f>
        <v/>
      </c>
      <c r="BY28" s="757" t="str">
        <f>IFERROR(IF(OR(C28="",G28="",M28="",O28="",R28="",T28="",V28="",X28="",AC28="",AG28="",AI28="",AK28=""),"",
IF(BP28&gt;0,"",
IF(EXPIRATION&lt;&gt;"",PROJSTATEXP,
IF(M02S04F19="",MEASUREBLDG,
IF(BA28&lt;=BB28,MEASURESAVE,""))))),MEASURESUBMIT)</f>
        <v/>
      </c>
      <c r="BZ28" s="753"/>
      <c r="CA28" s="753"/>
      <c r="CB28" s="753"/>
      <c r="CC28" s="753"/>
    </row>
    <row r="29" spans="1:81" ht="15.95" customHeight="1">
      <c r="B29" s="785"/>
      <c r="C29" s="786"/>
      <c r="D29" s="787"/>
      <c r="E29" s="787"/>
      <c r="F29" s="788"/>
      <c r="G29" s="789"/>
      <c r="H29" s="790"/>
      <c r="I29" s="790"/>
      <c r="J29" s="790"/>
      <c r="K29" s="790"/>
      <c r="L29" s="867"/>
      <c r="M29" s="793"/>
      <c r="N29" s="794"/>
      <c r="O29" s="793"/>
      <c r="P29" s="795"/>
      <c r="Q29" s="794"/>
      <c r="R29" s="798"/>
      <c r="S29" s="799"/>
      <c r="T29" s="799"/>
      <c r="U29" s="800"/>
      <c r="V29" s="870"/>
      <c r="W29" s="871"/>
      <c r="X29" s="848"/>
      <c r="Y29" s="849"/>
      <c r="Z29" s="793"/>
      <c r="AA29" s="795"/>
      <c r="AB29" s="794"/>
      <c r="AC29" s="793"/>
      <c r="AD29" s="795"/>
      <c r="AE29" s="795"/>
      <c r="AF29" s="794"/>
      <c r="AG29" s="793"/>
      <c r="AH29" s="845"/>
      <c r="AI29" s="852"/>
      <c r="AJ29" s="853"/>
      <c r="AK29" s="856"/>
      <c r="AL29" s="857"/>
      <c r="AM29" s="815"/>
      <c r="AN29" s="816"/>
      <c r="AO29" s="818"/>
      <c r="AP29" s="818"/>
      <c r="AQ29" s="818"/>
      <c r="AR29" s="822"/>
      <c r="AS29" s="823"/>
      <c r="AT29" s="823"/>
      <c r="AU29" s="824"/>
      <c r="AV29" s="17"/>
      <c r="AX29" s="774"/>
      <c r="AY29" s="760"/>
      <c r="AZ29" s="760"/>
      <c r="BA29" s="772"/>
      <c r="BB29" s="772"/>
      <c r="BC29" s="774"/>
      <c r="BD29" s="758"/>
      <c r="BE29" s="776"/>
      <c r="BF29" s="776"/>
      <c r="BG29" s="762"/>
      <c r="BH29" s="776"/>
      <c r="BI29" s="776"/>
      <c r="BJ29" s="778"/>
      <c r="BK29" s="768"/>
      <c r="BL29" s="768"/>
      <c r="BM29" s="768"/>
      <c r="BN29" s="764"/>
      <c r="BO29" s="764"/>
      <c r="BP29" s="770"/>
      <c r="BQ29" s="768"/>
      <c r="BR29" s="766"/>
      <c r="BS29" s="766"/>
      <c r="BT29" s="766"/>
      <c r="BU29" s="758"/>
      <c r="BV29" s="768"/>
      <c r="BW29" s="758"/>
      <c r="BX29" s="758"/>
      <c r="BY29" s="758"/>
      <c r="BZ29" s="754"/>
      <c r="CA29" s="754"/>
      <c r="CB29" s="754"/>
      <c r="CC29" s="754"/>
    </row>
    <row r="30" spans="1:81" ht="15.95" customHeight="1">
      <c r="B30" s="785">
        <v>7</v>
      </c>
      <c r="C30" s="786"/>
      <c r="D30" s="787"/>
      <c r="E30" s="787"/>
      <c r="F30" s="788"/>
      <c r="G30" s="864"/>
      <c r="H30" s="865"/>
      <c r="I30" s="865"/>
      <c r="J30" s="865"/>
      <c r="K30" s="865"/>
      <c r="L30" s="866"/>
      <c r="M30" s="786"/>
      <c r="N30" s="788"/>
      <c r="O30" s="786"/>
      <c r="P30" s="787"/>
      <c r="Q30" s="788"/>
      <c r="R30" s="796"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797"/>
      <c r="T30" s="799" t="str">
        <f t="shared" ref="T30" si="29">IF(C30="Permanent Lamp Removal",0,"")</f>
        <v/>
      </c>
      <c r="U30" s="800"/>
      <c r="V30" s="802"/>
      <c r="W30" s="802"/>
      <c r="X30" s="803"/>
      <c r="Y30" s="803"/>
      <c r="Z30" s="825"/>
      <c r="AA30" s="826"/>
      <c r="AB30" s="827"/>
      <c r="AC30" s="825"/>
      <c r="AD30" s="826"/>
      <c r="AE30" s="826"/>
      <c r="AF30" s="827"/>
      <c r="AG30" s="806"/>
      <c r="AH30" s="786"/>
      <c r="AI30" s="809"/>
      <c r="AJ30" s="810"/>
      <c r="AK30" s="810"/>
      <c r="AL30" s="812"/>
      <c r="AM30" s="813" t="str" cm="1">
        <f t="array" ref="AM30">IFERROR(IF(G30="","",IF(C30&lt;&gt;INDEX(STDLIGHT[Eff Category 1],MATCH(G30,STDLIGHT[Measure Name],0)),0,INDEX(IF(AND(ACTIVEBONUS = TRUE,INDEX(STDLIGHT[Bonus Incentive],MATCH(G30,STDLIGHT[Measure Name],0))&lt;&gt; ""),STDLIGHT[Bonus Incentive],_xlfn.SWITCH(Program_Banner,"Business Energy Savings",STDLIGHT[BESP Incentive],"Small Business / Non-Profit",STDLIGHT[SBNP Incentive],0)),MATCH(G30,STDLIGHT[Measure Name],0)))),"")</f>
        <v/>
      </c>
      <c r="AN30" s="814"/>
      <c r="AO30" s="817" t="str">
        <f>IFERROR(IF(OR(C30="",G30="",M30="",O30="",R30="",T30="",V30="",X30="",AC30="",AG30="",AI30="",AK30=""),"",IF(BD30="Deemed",BH30,IF(BD30="Calculated",BE30,""))),"")</f>
        <v/>
      </c>
      <c r="AP30" s="817"/>
      <c r="AQ30" s="817"/>
      <c r="AR30" s="819" t="str">
        <f>IFERROR(IF(OR(C30="",G30="",M30="",O30="",R30="",T30="",V30="",X30="",AC30="",AG30="",AI30="",AK30=""),"",IF(BY30&lt;&gt;"",BY30,IF(BP30&gt;0,BP30,ROUND(IF(AO30&lt;=0,0,MIN(BL30,BQ30)),2)))),"")</f>
        <v/>
      </c>
      <c r="AS30" s="820"/>
      <c r="AT30" s="820"/>
      <c r="AU30" s="821"/>
      <c r="AV30" s="17"/>
      <c r="AX30" s="773" t="str">
        <f>IFERROR(IF(OR(C30="",G30="",M30="",O30="",R30="",T30="",V30="",X30="",AC30="",AG30="",AI30="",AK30=""),"",INDEX(STDLIGHT[Current Unit],MATCH(G30,STDLIGHT[Measure Name],0))),"Err")</f>
        <v/>
      </c>
      <c r="AY30" s="759" t="str">
        <f t="shared" ref="AY30" si="30">IF(V30="", "",  V30)</f>
        <v/>
      </c>
      <c r="AZ30" s="759" t="str">
        <f t="shared" ref="AZ30" si="31">IF(V30="", "",  V30)</f>
        <v/>
      </c>
      <c r="BA30" s="771"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B30" s="771"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C30" s="773" t="str">
        <f>IFERROR(IF(OR(C30="",G30="",M30="",O30="",R30="",T30="",V30="",X30="",AC30="",AG30="",AI30="",AK30=""),"",INDEX(STDLIGHT[End Use],MATCH(G30,STDLIGHT[Measure Name],0))),"Err")</f>
        <v/>
      </c>
      <c r="BD30" s="757" t="str">
        <f>IFERROR(IF(OR(C30="",G30="",M30="",O30="",R30="",T30="",V30="",X30="",AC30="",AG30="",AI30="",AK30=""),"",INDEX(STDLIGHT[Reporting Methodology],MATCH(G30,STDLIGHT[Measure Name],0))),"Err")</f>
        <v/>
      </c>
      <c r="BE30" s="775" t="str">
        <f>IFERROR(IF(OR(C30="",G30="",M30="",O30="",R30="",T30="",V30="",X30="",AC30="",AG30="",AI30="",AK30=""),"",
IF(BA30&lt;=BB30,0,
IF(OR(ISNUMBER(SEARCH("Exterior",C30)),ISNUMBER(SEARCH("Parking",C30)),M02S04F22="Unconditioned",M02S04F22="Electric Heat Only",M02S04F22="Natural Gas Heat Only"),ROUND((R30-T30)*V30*X30/1000,4),
ROUND((R30-T30)*V30*X30/1000*INDEX(BUILDINGTYPE[Waste Heat Factor (e)],MATCH(M02S04F19,BUILDINGTYPE[Building Type],0)),4)))),"")</f>
        <v/>
      </c>
      <c r="BF30" s="775" t="str">
        <f>IFERROR(IF(OR(C30="",G30="",M30="",O30="",R30="",T30="",V30="",X30="",AC30="",AG30="",AI30="",AK30=""),"",
IF(BA30&lt;=BB30,0,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761"/>
      <c r="BH30" s="775" t="str" cm="1">
        <f t="array" ref="BH30">IF(OR(C30="",G30="",M30="",O30="",R30="",T30="",V30="",X30="",AC30="",AG30="",AI30="",AK30=""),"",IFERROR(IF(G30="","",IF(C30&lt;&gt;INDEX(STDLIGHT[Eff Category 1],MATCH(G30,STDLIGHT[Measure Name],0)),0,
IF(BA30&lt;=BB30,0,
ROUND(V30*INDEX(_xlfn.SWITCH(Program_Banner,"Business Energy Savings",STDLIGHT[Electric Energy Savings WBE (Annual kWh/unit)],"Small Business / Non-Profit",STDLIGHT[Electric Energy Savings HTRB (Annual kWh/unit)],0),MATCH('M03-S02'!G30,STDLIGHT[Measure Name],0)),4)))),""))</f>
        <v/>
      </c>
      <c r="BI30" s="775" t="str" cm="1">
        <f t="array" ref="BI30">IF(OR(C30="",G30="",M30="",O30="",R30="",T30="",V30="",X30="",AC30="",AG30="",AI30="",AK30=""),"",IFERROR(IF(G30="","",IF(C30&lt;&gt;INDEX(STDLIGHT[Eff Category 1],MATCH(G30,STDLIGHT[Measure Name],0)),0,
IF(BA30&lt;=BB30,0,
ROUND(V30*INDEX(_xlfn.SWITCH(Program_Banner,"Business Energy Savings",STDLIGHT[Coincident Peak Demand Savings WBE (kW/unit)],"Small Business / Non-Profit",STDLIGHT[Coincident Peak Demand Savings HTRB (kW/unit)],0),MATCH('M03-S02'!G30,STDLIGHT[Measure Name],0)),4)))),""))</f>
        <v/>
      </c>
      <c r="BJ30" s="777" t="str">
        <f>IFERROR(INDEX(STDLIGHT[Measure Life (Years)],MATCH(G30,STDLIGHT[Measure Name],0)),"")</f>
        <v/>
      </c>
      <c r="BK30" s="767" t="str">
        <f>IFERROR(IF(OR(C30="",G30="",M30="",O30="",R30="",T30="",V30="",X30="",AC30="",AG30="",AI30="",AK30=""),"",
ROUND(((1+ELOSS)*((BE30*INDEX(ELECCB[NPV AEC $/kWh],MATCH(BJ30,ELECCB[Year Number],1)))+(BF30*INDEX(ELECCB[NPV ACC $/kW],MATCH(BJ30,ELECCB[Year Number],1))))),2)),0)</f>
        <v/>
      </c>
      <c r="BL30" s="767" t="str">
        <f t="shared" si="2"/>
        <v/>
      </c>
      <c r="BM30" s="767" t="str">
        <f>IF(OR(G30="", V30=""), "", V30 * INDEX(STDLIGHT[Incremental Measure Cost ($/Unit)],MATCH(G30,STDLIGHT[Measure Name],0)))</f>
        <v/>
      </c>
      <c r="BN30" s="763" t="str">
        <f t="shared" si="3"/>
        <v/>
      </c>
      <c r="BO30" s="763" t="str">
        <f>IFERROR(IF(BM30 &lt;&gt; "", BM30, BL30) / M02S04F06 / AO30, "")</f>
        <v/>
      </c>
      <c r="BP30" s="769"/>
      <c r="BQ30" s="767" t="str">
        <f t="shared" ref="BQ30" si="32">IFERROR(ROUND(V30*AM30, 2), "")</f>
        <v/>
      </c>
      <c r="BR30" s="765"/>
      <c r="BS30" s="765"/>
      <c r="BT30" s="765"/>
      <c r="BU30" s="757" t="str">
        <f t="shared" ref="BU30" si="33">IFERROR(IF(BP30="",IF(AR30 &lt; BQ30, "100% Total Cost", ""), ""), "")</f>
        <v/>
      </c>
      <c r="BV30" s="767" t="str">
        <f t="shared" si="4"/>
        <v/>
      </c>
      <c r="BW30" s="757" t="str">
        <f>IFERROR(IF(OR(C30="",G30="",M30="",O30="",R30="",T30="",V30="",X30="",AC30="",AG30="",AI30="",AK30=""),"",IF(BY30&lt;&gt;"", SPILLOVERNUMBER, INDEX(STDLIGHT[Measure Number],MATCH(G30,STDLIGHT[Measure Name],0)))),"Err")</f>
        <v/>
      </c>
      <c r="BX30" s="757" t="str" cm="1">
        <f t="array" ref="BX30">IFERROR(INDEX(_xlfn.SWITCH(Program_Banner,"Business Energy Savings",STDLIGHT[Primary Key WBE],"Small Business / Non-Profit",STDLIGHT[Primary Key HTRB],0),MATCH(BW30,STDLIGHT[Measure Number],0)),"")</f>
        <v/>
      </c>
      <c r="BY30" s="757" t="str">
        <f>IFERROR(IF(OR(C30="",G30="",M30="",O30="",R30="",T30="",V30="",X30="",AC30="",AG30="",AI30="",AK30=""),"",
IF(BP30&gt;0,"",
IF(EXPIRATION&lt;&gt;"",PROJSTATEXP,
IF(M02S04F19="",MEASUREBLDG,
IF(BA30&lt;=BB30,MEASURESAVE,""))))),MEASURESUBMIT)</f>
        <v/>
      </c>
      <c r="BZ30" s="753"/>
      <c r="CA30" s="753"/>
      <c r="CB30" s="753"/>
      <c r="CC30" s="753"/>
    </row>
    <row r="31" spans="1:81" ht="15.95" customHeight="1">
      <c r="B31" s="785"/>
      <c r="C31" s="786"/>
      <c r="D31" s="787"/>
      <c r="E31" s="787"/>
      <c r="F31" s="788"/>
      <c r="G31" s="789"/>
      <c r="H31" s="790"/>
      <c r="I31" s="790"/>
      <c r="J31" s="790"/>
      <c r="K31" s="790"/>
      <c r="L31" s="867"/>
      <c r="M31" s="786"/>
      <c r="N31" s="788"/>
      <c r="O31" s="786"/>
      <c r="P31" s="787"/>
      <c r="Q31" s="788"/>
      <c r="R31" s="798"/>
      <c r="S31" s="799"/>
      <c r="T31" s="799"/>
      <c r="U31" s="800"/>
      <c r="V31" s="802"/>
      <c r="W31" s="802"/>
      <c r="X31" s="804"/>
      <c r="Y31" s="804"/>
      <c r="Z31" s="793"/>
      <c r="AA31" s="795"/>
      <c r="AB31" s="794"/>
      <c r="AC31" s="793"/>
      <c r="AD31" s="795"/>
      <c r="AE31" s="795"/>
      <c r="AF31" s="794"/>
      <c r="AG31" s="806"/>
      <c r="AH31" s="786"/>
      <c r="AI31" s="809"/>
      <c r="AJ31" s="810"/>
      <c r="AK31" s="810"/>
      <c r="AL31" s="812"/>
      <c r="AM31" s="815"/>
      <c r="AN31" s="816"/>
      <c r="AO31" s="818"/>
      <c r="AP31" s="818"/>
      <c r="AQ31" s="818"/>
      <c r="AR31" s="822"/>
      <c r="AS31" s="823"/>
      <c r="AT31" s="823"/>
      <c r="AU31" s="824"/>
      <c r="AV31" s="17"/>
      <c r="AX31" s="774"/>
      <c r="AY31" s="760"/>
      <c r="AZ31" s="760"/>
      <c r="BA31" s="772"/>
      <c r="BB31" s="772"/>
      <c r="BC31" s="774"/>
      <c r="BD31" s="758"/>
      <c r="BE31" s="776"/>
      <c r="BF31" s="776"/>
      <c r="BG31" s="762"/>
      <c r="BH31" s="776"/>
      <c r="BI31" s="776"/>
      <c r="BJ31" s="778"/>
      <c r="BK31" s="768"/>
      <c r="BL31" s="768"/>
      <c r="BM31" s="768"/>
      <c r="BN31" s="764"/>
      <c r="BO31" s="764"/>
      <c r="BP31" s="770"/>
      <c r="BQ31" s="768"/>
      <c r="BR31" s="766"/>
      <c r="BS31" s="766"/>
      <c r="BT31" s="766"/>
      <c r="BU31" s="758"/>
      <c r="BV31" s="768"/>
      <c r="BW31" s="758"/>
      <c r="BX31" s="758"/>
      <c r="BY31" s="758"/>
      <c r="BZ31" s="754"/>
      <c r="CA31" s="754"/>
      <c r="CB31" s="754"/>
      <c r="CC31" s="754"/>
    </row>
    <row r="32" spans="1:81" ht="15.95" customHeight="1">
      <c r="B32" s="785">
        <v>8</v>
      </c>
      <c r="C32" s="786"/>
      <c r="D32" s="787"/>
      <c r="E32" s="787"/>
      <c r="F32" s="788"/>
      <c r="G32" s="864"/>
      <c r="H32" s="865"/>
      <c r="I32" s="865"/>
      <c r="J32" s="865"/>
      <c r="K32" s="865"/>
      <c r="L32" s="866"/>
      <c r="M32" s="786"/>
      <c r="N32" s="788"/>
      <c r="O32" s="786"/>
      <c r="P32" s="787"/>
      <c r="Q32" s="788"/>
      <c r="R32" s="796"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797"/>
      <c r="T32" s="799" t="str">
        <f t="shared" ref="T32" si="34">IF(C32="Permanent Lamp Removal",0,"")</f>
        <v/>
      </c>
      <c r="U32" s="800"/>
      <c r="V32" s="802"/>
      <c r="W32" s="802"/>
      <c r="X32" s="803"/>
      <c r="Y32" s="803"/>
      <c r="Z32" s="825"/>
      <c r="AA32" s="826"/>
      <c r="AB32" s="827"/>
      <c r="AC32" s="825"/>
      <c r="AD32" s="826"/>
      <c r="AE32" s="826"/>
      <c r="AF32" s="827"/>
      <c r="AG32" s="806"/>
      <c r="AH32" s="786"/>
      <c r="AI32" s="809"/>
      <c r="AJ32" s="810"/>
      <c r="AK32" s="810"/>
      <c r="AL32" s="812"/>
      <c r="AM32" s="813" t="str" cm="1">
        <f t="array" ref="AM32">IFERROR(IF(G32="","",IF(C32&lt;&gt;INDEX(STDLIGHT[Eff Category 1],MATCH(G32,STDLIGHT[Measure Name],0)),0,INDEX(IF(AND(ACTIVEBONUS = TRUE,INDEX(STDLIGHT[Bonus Incentive],MATCH(G32,STDLIGHT[Measure Name],0))&lt;&gt; ""),STDLIGHT[Bonus Incentive],_xlfn.SWITCH(Program_Banner,"Business Energy Savings",STDLIGHT[BESP Incentive],"Small Business / Non-Profit",STDLIGHT[SBNP Incentive],0)),MATCH(G32,STDLIGHT[Measure Name],0)))),"")</f>
        <v/>
      </c>
      <c r="AN32" s="814"/>
      <c r="AO32" s="817" t="str">
        <f>IFERROR(IF(OR(C32="",G32="",M32="",O32="",R32="",T32="",V32="",X32="",AC32="",AG32="",AI32="",AK32=""),"",IF(BD32="Deemed",BH32,IF(BD32="Calculated",BE32,""))),"")</f>
        <v/>
      </c>
      <c r="AP32" s="817"/>
      <c r="AQ32" s="817"/>
      <c r="AR32" s="819" t="str">
        <f>IFERROR(IF(OR(C32="",G32="",M32="",O32="",R32="",T32="",V32="",X32="",AC32="",AG32="",AI32="",AK32=""),"",IF(BY32&lt;&gt;"",BY32,IF(BP32&gt;0,BP32,ROUND(IF(AO32&lt;=0,0,MIN(BL32,BQ32)),2)))),"")</f>
        <v/>
      </c>
      <c r="AS32" s="820"/>
      <c r="AT32" s="820"/>
      <c r="AU32" s="821"/>
      <c r="AV32" s="17"/>
      <c r="AX32" s="773" t="str">
        <f>IFERROR(IF(OR(C32="",G32="",M32="",O32="",R32="",T32="",V32="",X32="",AC32="",AG32="",AI32="",AK32=""),"",INDEX(STDLIGHT[Current Unit],MATCH(G32,STDLIGHT[Measure Name],0))),"Err")</f>
        <v/>
      </c>
      <c r="AY32" s="759" t="str">
        <f t="shared" ref="AY32" si="35">IF(V32="", "",  V32)</f>
        <v/>
      </c>
      <c r="AZ32" s="759" t="str">
        <f t="shared" ref="AZ32" si="36">IF(V32="", "",  V32)</f>
        <v/>
      </c>
      <c r="BA32" s="771"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B32" s="771"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C32" s="773" t="str">
        <f>IFERROR(IF(OR(C32="",G32="",M32="",O32="",R32="",T32="",V32="",X32="",AC32="",AG32="",AI32="",AK32=""),"",INDEX(STDLIGHT[End Use],MATCH(G32,STDLIGHT[Measure Name],0))),"Err")</f>
        <v/>
      </c>
      <c r="BD32" s="757" t="str">
        <f>IFERROR(IF(OR(C32="",G32="",M32="",O32="",R32="",T32="",V32="",X32="",AC32="",AG32="",AI32="",AK32=""),"",INDEX(STDLIGHT[Reporting Methodology],MATCH(G32,STDLIGHT[Measure Name],0))),"Err")</f>
        <v/>
      </c>
      <c r="BE32" s="775" t="str">
        <f>IFERROR(IF(OR(C32="",G32="",M32="",O32="",R32="",T32="",V32="",X32="",AC32="",AG32="",AI32="",AK32=""),"",
IF(BA32&lt;=BB32,0,
IF(OR(ISNUMBER(SEARCH("Exterior",C32)),ISNUMBER(SEARCH("Parking",C32)),M02S04F22="Unconditioned",M02S04F22="Electric Heat Only",M02S04F22="Natural Gas Heat Only"),ROUND((R32-T32)*V32*X32/1000,4),
ROUND((R32-T32)*V32*X32/1000*INDEX(BUILDINGTYPE[Waste Heat Factor (e)],MATCH(M02S04F19,BUILDINGTYPE[Building Type],0)),4)))),"")</f>
        <v/>
      </c>
      <c r="BF32" s="775" t="str">
        <f>IFERROR(IF(OR(C32="",G32="",M32="",O32="",R32="",T32="",V32="",X32="",AC32="",AG32="",AI32="",AK32=""),"",
IF(BA32&lt;=BB32,0,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761"/>
      <c r="BH32" s="775" t="str" cm="1">
        <f t="array" ref="BH32">IF(OR(C32="",G32="",M32="",O32="",R32="",T32="",V32="",X32="",AC32="",AG32="",AI32="",AK32=""),"",IFERROR(IF(G32="","",IF(C32&lt;&gt;INDEX(STDLIGHT[Eff Category 1],MATCH(G32,STDLIGHT[Measure Name],0)),0,
IF(BA32&lt;=BB32,0,
ROUND(V32*INDEX(_xlfn.SWITCH(Program_Banner,"Business Energy Savings",STDLIGHT[Electric Energy Savings WBE (Annual kWh/unit)],"Small Business / Non-Profit",STDLIGHT[Electric Energy Savings HTRB (Annual kWh/unit)],0),MATCH('M03-S02'!G32,STDLIGHT[Measure Name],0)),4)))),""))</f>
        <v/>
      </c>
      <c r="BI32" s="775" t="str" cm="1">
        <f t="array" ref="BI32">IF(OR(C32="",G32="",M32="",O32="",R32="",T32="",V32="",X32="",AC32="",AG32="",AI32="",AK32=""),"",IFERROR(IF(G32="","",IF(C32&lt;&gt;INDEX(STDLIGHT[Eff Category 1],MATCH(G32,STDLIGHT[Measure Name],0)),0,
IF(BA32&lt;=BB32,0,
ROUND(V32*INDEX(_xlfn.SWITCH(Program_Banner,"Business Energy Savings",STDLIGHT[Coincident Peak Demand Savings WBE (kW/unit)],"Small Business / Non-Profit",STDLIGHT[Coincident Peak Demand Savings HTRB (kW/unit)],0),MATCH('M03-S02'!G32,STDLIGHT[Measure Name],0)),4)))),""))</f>
        <v/>
      </c>
      <c r="BJ32" s="777" t="str">
        <f>IFERROR(INDEX(STDLIGHT[Measure Life (Years)],MATCH(G32,STDLIGHT[Measure Name],0)),"")</f>
        <v/>
      </c>
      <c r="BK32" s="767" t="str">
        <f>IFERROR(IF(OR(C32="",G32="",M32="",O32="",R32="",T32="",V32="",X32="",AC32="",AG32="",AI32="",AK32=""),"",
ROUND(((1+ELOSS)*((BE32*INDEX(ELECCB[NPV AEC $/kWh],MATCH(BJ32,ELECCB[Year Number],1)))+(BF32*INDEX(ELECCB[NPV ACC $/kW],MATCH(BJ32,ELECCB[Year Number],1))))),2)),0)</f>
        <v/>
      </c>
      <c r="BL32" s="767" t="str">
        <f t="shared" si="2"/>
        <v/>
      </c>
      <c r="BM32" s="767" t="str">
        <f>IF(OR(G32="", V32=""), "", V32 * INDEX(STDLIGHT[Incremental Measure Cost ($/Unit)],MATCH(G32,STDLIGHT[Measure Name],0)))</f>
        <v/>
      </c>
      <c r="BN32" s="763" t="str">
        <f t="shared" si="3"/>
        <v/>
      </c>
      <c r="BO32" s="763" t="str">
        <f>IFERROR(IF(BM32 &lt;&gt; "", BM32, BL32) / M02S04F06 / AO32, "")</f>
        <v/>
      </c>
      <c r="BP32" s="769"/>
      <c r="BQ32" s="767" t="str">
        <f t="shared" ref="BQ32" si="37">IFERROR(ROUND(V32*AM32, 2), "")</f>
        <v/>
      </c>
      <c r="BR32" s="765"/>
      <c r="BS32" s="765"/>
      <c r="BT32" s="765"/>
      <c r="BU32" s="757" t="str">
        <f t="shared" ref="BU32" si="38">IFERROR(IF(BP32="",IF(AR32 &lt; BQ32, "100% Total Cost", ""), ""), "")</f>
        <v/>
      </c>
      <c r="BV32" s="767" t="str">
        <f t="shared" si="4"/>
        <v/>
      </c>
      <c r="BW32" s="757" t="str">
        <f>IFERROR(IF(OR(C32="",G32="",M32="",O32="",R32="",T32="",V32="",X32="",AC32="",AG32="",AI32="",AK32=""),"",IF(BY32&lt;&gt;"", SPILLOVERNUMBER, INDEX(STDLIGHT[Measure Number],MATCH(G32,STDLIGHT[Measure Name],0)))),"Err")</f>
        <v/>
      </c>
      <c r="BX32" s="757" t="str" cm="1">
        <f t="array" ref="BX32">IFERROR(INDEX(_xlfn.SWITCH(Program_Banner,"Business Energy Savings",STDLIGHT[Primary Key WBE],"Small Business / Non-Profit",STDLIGHT[Primary Key HTRB],0),MATCH(BW32,STDLIGHT[Measure Number],0)),"")</f>
        <v/>
      </c>
      <c r="BY32" s="757" t="str">
        <f>IFERROR(IF(OR(C32="",G32="",M32="",O32="",R32="",T32="",V32="",X32="",AC32="",AG32="",AI32="",AK32=""),"",
IF(BP32&gt;0,"",
IF(EXPIRATION&lt;&gt;"",PROJSTATEXP,
IF(M02S04F19="",MEASUREBLDG,
IF(BA32&lt;=BB32,MEASURESAVE,""))))),MEASURESUBMIT)</f>
        <v/>
      </c>
      <c r="BZ32" s="753"/>
      <c r="CA32" s="753"/>
      <c r="CB32" s="753"/>
      <c r="CC32" s="753"/>
    </row>
    <row r="33" spans="2:81" ht="15.95" customHeight="1">
      <c r="B33" s="785"/>
      <c r="C33" s="786"/>
      <c r="D33" s="787"/>
      <c r="E33" s="787"/>
      <c r="F33" s="788"/>
      <c r="G33" s="789"/>
      <c r="H33" s="790"/>
      <c r="I33" s="790"/>
      <c r="J33" s="790"/>
      <c r="K33" s="790"/>
      <c r="L33" s="867"/>
      <c r="M33" s="786"/>
      <c r="N33" s="788"/>
      <c r="O33" s="786"/>
      <c r="P33" s="787"/>
      <c r="Q33" s="788"/>
      <c r="R33" s="798"/>
      <c r="S33" s="799"/>
      <c r="T33" s="799"/>
      <c r="U33" s="800"/>
      <c r="V33" s="802"/>
      <c r="W33" s="802"/>
      <c r="X33" s="804"/>
      <c r="Y33" s="804"/>
      <c r="Z33" s="793"/>
      <c r="AA33" s="795"/>
      <c r="AB33" s="794"/>
      <c r="AC33" s="793"/>
      <c r="AD33" s="795"/>
      <c r="AE33" s="795"/>
      <c r="AF33" s="794"/>
      <c r="AG33" s="806"/>
      <c r="AH33" s="786"/>
      <c r="AI33" s="809"/>
      <c r="AJ33" s="810"/>
      <c r="AK33" s="810"/>
      <c r="AL33" s="812"/>
      <c r="AM33" s="815"/>
      <c r="AN33" s="816"/>
      <c r="AO33" s="818"/>
      <c r="AP33" s="818"/>
      <c r="AQ33" s="818"/>
      <c r="AR33" s="822"/>
      <c r="AS33" s="823"/>
      <c r="AT33" s="823"/>
      <c r="AU33" s="824"/>
      <c r="AV33" s="17"/>
      <c r="AX33" s="774"/>
      <c r="AY33" s="760"/>
      <c r="AZ33" s="760"/>
      <c r="BA33" s="772"/>
      <c r="BB33" s="772"/>
      <c r="BC33" s="774"/>
      <c r="BD33" s="758"/>
      <c r="BE33" s="776"/>
      <c r="BF33" s="776"/>
      <c r="BG33" s="762"/>
      <c r="BH33" s="776"/>
      <c r="BI33" s="776"/>
      <c r="BJ33" s="778"/>
      <c r="BK33" s="768"/>
      <c r="BL33" s="768"/>
      <c r="BM33" s="768"/>
      <c r="BN33" s="764"/>
      <c r="BO33" s="764"/>
      <c r="BP33" s="770"/>
      <c r="BQ33" s="768"/>
      <c r="BR33" s="766"/>
      <c r="BS33" s="766"/>
      <c r="BT33" s="766"/>
      <c r="BU33" s="758"/>
      <c r="BV33" s="768"/>
      <c r="BW33" s="758"/>
      <c r="BX33" s="758"/>
      <c r="BY33" s="758"/>
      <c r="BZ33" s="754"/>
      <c r="CA33" s="754"/>
      <c r="CB33" s="754"/>
      <c r="CC33" s="754"/>
    </row>
    <row r="34" spans="2:81" ht="15.95" customHeight="1">
      <c r="B34" s="785">
        <v>9</v>
      </c>
      <c r="C34" s="786"/>
      <c r="D34" s="787"/>
      <c r="E34" s="787"/>
      <c r="F34" s="788"/>
      <c r="G34" s="864"/>
      <c r="H34" s="865"/>
      <c r="I34" s="865"/>
      <c r="J34" s="865"/>
      <c r="K34" s="865"/>
      <c r="L34" s="866"/>
      <c r="M34" s="786"/>
      <c r="N34" s="788"/>
      <c r="O34" s="786"/>
      <c r="P34" s="787"/>
      <c r="Q34" s="788"/>
      <c r="R34" s="796"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797"/>
      <c r="T34" s="799" t="str">
        <f t="shared" ref="T34" si="39">IF(C34="Permanent Lamp Removal",0,"")</f>
        <v/>
      </c>
      <c r="U34" s="800"/>
      <c r="V34" s="802"/>
      <c r="W34" s="802"/>
      <c r="X34" s="803"/>
      <c r="Y34" s="803"/>
      <c r="Z34" s="825"/>
      <c r="AA34" s="826"/>
      <c r="AB34" s="827"/>
      <c r="AC34" s="825"/>
      <c r="AD34" s="826"/>
      <c r="AE34" s="826"/>
      <c r="AF34" s="827"/>
      <c r="AG34" s="806"/>
      <c r="AH34" s="786"/>
      <c r="AI34" s="809"/>
      <c r="AJ34" s="810"/>
      <c r="AK34" s="810"/>
      <c r="AL34" s="812"/>
      <c r="AM34" s="813" t="str" cm="1">
        <f t="array" ref="AM34">IFERROR(IF(G34="","",IF(C34&lt;&gt;INDEX(STDLIGHT[Eff Category 1],MATCH(G34,STDLIGHT[Measure Name],0)),0,INDEX(IF(AND(ACTIVEBONUS = TRUE,INDEX(STDLIGHT[Bonus Incentive],MATCH(G34,STDLIGHT[Measure Name],0))&lt;&gt; ""),STDLIGHT[Bonus Incentive],_xlfn.SWITCH(Program_Banner,"Business Energy Savings",STDLIGHT[BESP Incentive],"Small Business / Non-Profit",STDLIGHT[SBNP Incentive],0)),MATCH(G34,STDLIGHT[Measure Name],0)))),"")</f>
        <v/>
      </c>
      <c r="AN34" s="814"/>
      <c r="AO34" s="817" t="str">
        <f>IFERROR(IF(OR(C34="",G34="",M34="",O34="",R34="",T34="",V34="",X34="",AC34="",AG34="",AI34="",AK34=""),"",IF(BD34="Deemed",BH34,IF(BD34="Calculated",BE34,""))),"")</f>
        <v/>
      </c>
      <c r="AP34" s="817"/>
      <c r="AQ34" s="817"/>
      <c r="AR34" s="819" t="str">
        <f>IFERROR(IF(OR(C34="",G34="",M34="",O34="",R34="",T34="",V34="",X34="",AC34="",AG34="",AI34="",AK34=""),"",IF(BY34&lt;&gt;"",BY34,IF(BP34&gt;0,BP34,ROUND(IF(AO34&lt;=0,0,MIN(BL34,BQ34)),2)))),"")</f>
        <v/>
      </c>
      <c r="AS34" s="820"/>
      <c r="AT34" s="820"/>
      <c r="AU34" s="821"/>
      <c r="AV34" s="17"/>
      <c r="AX34" s="773" t="str">
        <f>IFERROR(IF(OR(C34="",G34="",M34="",O34="",R34="",T34="",V34="",X34="",AC34="",AG34="",AI34="",AK34=""),"",INDEX(STDLIGHT[Current Unit],MATCH(G34,STDLIGHT[Measure Name],0))),"Err")</f>
        <v/>
      </c>
      <c r="AY34" s="759" t="str">
        <f t="shared" ref="AY34" si="40">IF(V34="", "",  V34)</f>
        <v/>
      </c>
      <c r="AZ34" s="759" t="str">
        <f t="shared" ref="AZ34" si="41">IF(V34="", "",  V34)</f>
        <v/>
      </c>
      <c r="BA34" s="771"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B34" s="771"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C34" s="773" t="str">
        <f>IFERROR(IF(OR(C34="",G34="",M34="",O34="",R34="",T34="",V34="",X34="",AC34="",AG34="",AI34="",AK34=""),"",INDEX(STDLIGHT[End Use],MATCH(G34,STDLIGHT[Measure Name],0))),"Err")</f>
        <v/>
      </c>
      <c r="BD34" s="757" t="str">
        <f>IFERROR(IF(OR(C34="",G34="",M34="",O34="",R34="",T34="",V34="",X34="",AC34="",AG34="",AI34="",AK34=""),"",INDEX(STDLIGHT[Reporting Methodology],MATCH(G34,STDLIGHT[Measure Name],0))),"Err")</f>
        <v/>
      </c>
      <c r="BE34" s="775" t="str">
        <f>IFERROR(IF(OR(C34="",G34="",M34="",O34="",R34="",T34="",V34="",X34="",AC34="",AG34="",AI34="",AK34=""),"",
IF(BA34&lt;=BB34,0,
IF(OR(ISNUMBER(SEARCH("Exterior",C34)),ISNUMBER(SEARCH("Parking",C34)),M02S04F22="Unconditioned",M02S04F22="Electric Heat Only",M02S04F22="Natural Gas Heat Only"),ROUND((R34-T34)*V34*X34/1000,4),
ROUND((R34-T34)*V34*X34/1000*INDEX(BUILDINGTYPE[Waste Heat Factor (e)],MATCH(M02S04F19,BUILDINGTYPE[Building Type],0)),4)))),"")</f>
        <v/>
      </c>
      <c r="BF34" s="775" t="str">
        <f>IFERROR(IF(OR(C34="",G34="",M34="",O34="",R34="",T34="",V34="",X34="",AC34="",AG34="",AI34="",AK34=""),"",
IF(BA34&lt;=BB34,0,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761"/>
      <c r="BH34" s="775" t="str" cm="1">
        <f t="array" ref="BH34">IF(OR(C34="",G34="",M34="",O34="",R34="",T34="",V34="",X34="",AC34="",AG34="",AI34="",AK34=""),"",IFERROR(IF(G34="","",IF(C34&lt;&gt;INDEX(STDLIGHT[Eff Category 1],MATCH(G34,STDLIGHT[Measure Name],0)),0,
IF(BA34&lt;=BB34,0,
ROUND(V34*INDEX(_xlfn.SWITCH(Program_Banner,"Business Energy Savings",STDLIGHT[Electric Energy Savings WBE (Annual kWh/unit)],"Small Business / Non-Profit",STDLIGHT[Electric Energy Savings HTRB (Annual kWh/unit)],0),MATCH('M03-S02'!G34,STDLIGHT[Measure Name],0)),4)))),""))</f>
        <v/>
      </c>
      <c r="BI34" s="775" t="str" cm="1">
        <f t="array" ref="BI34">IF(OR(C34="",G34="",M34="",O34="",R34="",T34="",V34="",X34="",AC34="",AG34="",AI34="",AK34=""),"",IFERROR(IF(G34="","",IF(C34&lt;&gt;INDEX(STDLIGHT[Eff Category 1],MATCH(G34,STDLIGHT[Measure Name],0)),0,
IF(BA34&lt;=BB34,0,
ROUND(V34*INDEX(_xlfn.SWITCH(Program_Banner,"Business Energy Savings",STDLIGHT[Coincident Peak Demand Savings WBE (kW/unit)],"Small Business / Non-Profit",STDLIGHT[Coincident Peak Demand Savings HTRB (kW/unit)],0),MATCH('M03-S02'!G34,STDLIGHT[Measure Name],0)),4)))),""))</f>
        <v/>
      </c>
      <c r="BJ34" s="777" t="str">
        <f>IFERROR(INDEX(STDLIGHT[Measure Life (Years)],MATCH(G34,STDLIGHT[Measure Name],0)),"")</f>
        <v/>
      </c>
      <c r="BK34" s="767" t="str">
        <f>IFERROR(IF(OR(C34="",G34="",M34="",O34="",R34="",T34="",V34="",X34="",AC34="",AG34="",AI34="",AK34=""),"",
ROUND(((1+ELOSS)*((BE34*INDEX(ELECCB[NPV AEC $/kWh],MATCH(BJ34,ELECCB[Year Number],1)))+(BF34*INDEX(ELECCB[NPV ACC $/kW],MATCH(BJ34,ELECCB[Year Number],1))))),2)),0)</f>
        <v/>
      </c>
      <c r="BL34" s="767" t="str">
        <f t="shared" si="2"/>
        <v/>
      </c>
      <c r="BM34" s="767" t="str">
        <f>IF(OR(G34="", V34=""), "", V34 * INDEX(STDLIGHT[Incremental Measure Cost ($/Unit)],MATCH(G34,STDLIGHT[Measure Name],0)))</f>
        <v/>
      </c>
      <c r="BN34" s="763" t="str">
        <f t="shared" si="3"/>
        <v/>
      </c>
      <c r="BO34" s="763" t="str">
        <f>IFERROR(IF(BM34 &lt;&gt; "", BM34, BL34) / M02S04F06 / AO34, "")</f>
        <v/>
      </c>
      <c r="BP34" s="769"/>
      <c r="BQ34" s="767" t="str">
        <f t="shared" ref="BQ34" si="42">IFERROR(ROUND(V34*AM34, 2), "")</f>
        <v/>
      </c>
      <c r="BR34" s="765"/>
      <c r="BS34" s="765"/>
      <c r="BT34" s="765"/>
      <c r="BU34" s="757" t="str">
        <f t="shared" ref="BU34" si="43">IFERROR(IF(BP34="",IF(AR34 &lt; BQ34, "100% Total Cost", ""), ""), "")</f>
        <v/>
      </c>
      <c r="BV34" s="767" t="str">
        <f t="shared" si="4"/>
        <v/>
      </c>
      <c r="BW34" s="757" t="str">
        <f>IFERROR(IF(OR(C34="",G34="",M34="",O34="",R34="",T34="",V34="",X34="",AC34="",AG34="",AI34="",AK34=""),"",IF(BY34&lt;&gt;"", SPILLOVERNUMBER, INDEX(STDLIGHT[Measure Number],MATCH(G34,STDLIGHT[Measure Name],0)))),"Err")</f>
        <v/>
      </c>
      <c r="BX34" s="757" t="str" cm="1">
        <f t="array" ref="BX34">IFERROR(INDEX(_xlfn.SWITCH(Program_Banner,"Business Energy Savings",STDLIGHT[Primary Key WBE],"Small Business / Non-Profit",STDLIGHT[Primary Key HTRB],0),MATCH(BW34,STDLIGHT[Measure Number],0)),"")</f>
        <v/>
      </c>
      <c r="BY34" s="757" t="str">
        <f>IFERROR(IF(OR(C34="",G34="",M34="",O34="",R34="",T34="",V34="",X34="",AC34="",AG34="",AI34="",AK34=""),"",
IF(BP34&gt;0,"",
IF(EXPIRATION&lt;&gt;"",PROJSTATEXP,
IF(M02S04F19="",MEASUREBLDG,
IF(BA34&lt;=BB34,MEASURESAVE,""))))),MEASURESUBMIT)</f>
        <v/>
      </c>
      <c r="BZ34" s="753"/>
      <c r="CA34" s="753"/>
      <c r="CB34" s="753"/>
      <c r="CC34" s="753"/>
    </row>
    <row r="35" spans="2:81" ht="15.95" customHeight="1">
      <c r="B35" s="785"/>
      <c r="C35" s="786"/>
      <c r="D35" s="787"/>
      <c r="E35" s="787"/>
      <c r="F35" s="788"/>
      <c r="G35" s="789"/>
      <c r="H35" s="790"/>
      <c r="I35" s="790"/>
      <c r="J35" s="790"/>
      <c r="K35" s="790"/>
      <c r="L35" s="867"/>
      <c r="M35" s="786"/>
      <c r="N35" s="788"/>
      <c r="O35" s="786"/>
      <c r="P35" s="787"/>
      <c r="Q35" s="788"/>
      <c r="R35" s="798"/>
      <c r="S35" s="799"/>
      <c r="T35" s="799"/>
      <c r="U35" s="800"/>
      <c r="V35" s="802"/>
      <c r="W35" s="802"/>
      <c r="X35" s="804"/>
      <c r="Y35" s="804"/>
      <c r="Z35" s="793"/>
      <c r="AA35" s="795"/>
      <c r="AB35" s="794"/>
      <c r="AC35" s="793"/>
      <c r="AD35" s="795"/>
      <c r="AE35" s="795"/>
      <c r="AF35" s="794"/>
      <c r="AG35" s="806"/>
      <c r="AH35" s="786"/>
      <c r="AI35" s="809"/>
      <c r="AJ35" s="810"/>
      <c r="AK35" s="810"/>
      <c r="AL35" s="812"/>
      <c r="AM35" s="815"/>
      <c r="AN35" s="816"/>
      <c r="AO35" s="818"/>
      <c r="AP35" s="818"/>
      <c r="AQ35" s="818"/>
      <c r="AR35" s="822"/>
      <c r="AS35" s="823"/>
      <c r="AT35" s="823"/>
      <c r="AU35" s="824"/>
      <c r="AV35" s="17"/>
      <c r="AX35" s="774"/>
      <c r="AY35" s="760"/>
      <c r="AZ35" s="760"/>
      <c r="BA35" s="772"/>
      <c r="BB35" s="772"/>
      <c r="BC35" s="774"/>
      <c r="BD35" s="758"/>
      <c r="BE35" s="776"/>
      <c r="BF35" s="776"/>
      <c r="BG35" s="762"/>
      <c r="BH35" s="776"/>
      <c r="BI35" s="776"/>
      <c r="BJ35" s="778"/>
      <c r="BK35" s="768"/>
      <c r="BL35" s="768"/>
      <c r="BM35" s="768"/>
      <c r="BN35" s="764"/>
      <c r="BO35" s="764"/>
      <c r="BP35" s="770"/>
      <c r="BQ35" s="768"/>
      <c r="BR35" s="766"/>
      <c r="BS35" s="766"/>
      <c r="BT35" s="766"/>
      <c r="BU35" s="758"/>
      <c r="BV35" s="768"/>
      <c r="BW35" s="758"/>
      <c r="BX35" s="758"/>
      <c r="BY35" s="758"/>
      <c r="BZ35" s="754"/>
      <c r="CA35" s="754"/>
      <c r="CB35" s="754"/>
      <c r="CC35" s="754"/>
    </row>
    <row r="36" spans="2:81" ht="15.95" customHeight="1">
      <c r="B36" s="785">
        <v>10</v>
      </c>
      <c r="C36" s="786"/>
      <c r="D36" s="787"/>
      <c r="E36" s="787"/>
      <c r="F36" s="788"/>
      <c r="G36" s="864"/>
      <c r="H36" s="865"/>
      <c r="I36" s="865"/>
      <c r="J36" s="865"/>
      <c r="K36" s="865"/>
      <c r="L36" s="866"/>
      <c r="M36" s="786"/>
      <c r="N36" s="788"/>
      <c r="O36" s="786"/>
      <c r="P36" s="787"/>
      <c r="Q36" s="788"/>
      <c r="R36" s="796"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797"/>
      <c r="T36" s="799" t="str">
        <f t="shared" ref="T36" si="44">IF(C36="Permanent Lamp Removal",0,"")</f>
        <v/>
      </c>
      <c r="U36" s="800"/>
      <c r="V36" s="802"/>
      <c r="W36" s="802"/>
      <c r="X36" s="803"/>
      <c r="Y36" s="803"/>
      <c r="Z36" s="825"/>
      <c r="AA36" s="826"/>
      <c r="AB36" s="827"/>
      <c r="AC36" s="825"/>
      <c r="AD36" s="826"/>
      <c r="AE36" s="826"/>
      <c r="AF36" s="827"/>
      <c r="AG36" s="806"/>
      <c r="AH36" s="786"/>
      <c r="AI36" s="809"/>
      <c r="AJ36" s="810"/>
      <c r="AK36" s="810"/>
      <c r="AL36" s="812"/>
      <c r="AM36" s="813" t="str" cm="1">
        <f t="array" ref="AM36">IFERROR(IF(G36="","",IF(C36&lt;&gt;INDEX(STDLIGHT[Eff Category 1],MATCH(G36,STDLIGHT[Measure Name],0)),0,INDEX(IF(AND(ACTIVEBONUS = TRUE,INDEX(STDLIGHT[Bonus Incentive],MATCH(G36,STDLIGHT[Measure Name],0))&lt;&gt; ""),STDLIGHT[Bonus Incentive],_xlfn.SWITCH(Program_Banner,"Business Energy Savings",STDLIGHT[BESP Incentive],"Small Business / Non-Profit",STDLIGHT[SBNP Incentive],0)),MATCH(G36,STDLIGHT[Measure Name],0)))),"")</f>
        <v/>
      </c>
      <c r="AN36" s="814"/>
      <c r="AO36" s="817" t="str">
        <f>IFERROR(IF(OR(C36="",G36="",M36="",O36="",R36="",T36="",V36="",X36="",AC36="",AG36="",AI36="",AK36=""),"",IF(BD36="Deemed",BH36,IF(BD36="Calculated",BE36,""))),"")</f>
        <v/>
      </c>
      <c r="AP36" s="817"/>
      <c r="AQ36" s="817"/>
      <c r="AR36" s="819" t="str">
        <f>IFERROR(IF(OR(C36="",G36="",M36="",O36="",R36="",T36="",V36="",X36="",AC36="",AG36="",AI36="",AK36=""),"",IF(BY36&lt;&gt;"",BY36,IF(BP36&gt;0,BP36,ROUND(IF(AO36&lt;=0,0,MIN(BL36,BQ36)),2)))),"")</f>
        <v/>
      </c>
      <c r="AS36" s="820"/>
      <c r="AT36" s="820"/>
      <c r="AU36" s="821"/>
      <c r="AV36" s="17"/>
      <c r="AX36" s="773" t="str">
        <f>IFERROR(IF(OR(C36="",G36="",M36="",O36="",R36="",T36="",V36="",X36="",AC36="",AG36="",AI36="",AK36=""),"",INDEX(STDLIGHT[Current Unit],MATCH(G36,STDLIGHT[Measure Name],0))),"Err")</f>
        <v/>
      </c>
      <c r="AY36" s="759" t="str">
        <f t="shared" ref="AY36" si="45">IF(V36="", "",  V36)</f>
        <v/>
      </c>
      <c r="AZ36" s="759" t="str">
        <f t="shared" ref="AZ36" si="46">IF(V36="", "",  V36)</f>
        <v/>
      </c>
      <c r="BA36" s="771"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B36" s="771"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C36" s="773" t="str">
        <f>IFERROR(IF(OR(C36="",G36="",M36="",O36="",R36="",T36="",V36="",X36="",AC36="",AG36="",AI36="",AK36=""),"",INDEX(STDLIGHT[End Use],MATCH(G36,STDLIGHT[Measure Name],0))),"Err")</f>
        <v/>
      </c>
      <c r="BD36" s="757" t="str">
        <f>IFERROR(IF(OR(C36="",G36="",M36="",O36="",R36="",T36="",V36="",X36="",AC36="",AG36="",AI36="",AK36=""),"",INDEX(STDLIGHT[Reporting Methodology],MATCH(G36,STDLIGHT[Measure Name],0))),"Err")</f>
        <v/>
      </c>
      <c r="BE36" s="775" t="str">
        <f>IFERROR(IF(OR(C36="",G36="",M36="",O36="",R36="",T36="",V36="",X36="",AC36="",AG36="",AI36="",AK36=""),"",
IF(BA36&lt;=BB36,0,
IF(OR(ISNUMBER(SEARCH("Exterior",C36)),ISNUMBER(SEARCH("Parking",C36)),M02S04F22="Unconditioned",M02S04F22="Electric Heat Only",M02S04F22="Natural Gas Heat Only"),ROUND((R36-T36)*V36*X36/1000,4),
ROUND((R36-T36)*V36*X36/1000*INDEX(BUILDINGTYPE[Waste Heat Factor (e)],MATCH(M02S04F19,BUILDINGTYPE[Building Type],0)),4)))),"")</f>
        <v/>
      </c>
      <c r="BF36" s="775" t="str">
        <f>IFERROR(IF(OR(C36="",G36="",M36="",O36="",R36="",T36="",V36="",X36="",AC36="",AG36="",AI36="",AK36=""),"",
IF(BA36&lt;=BB36,0,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761"/>
      <c r="BH36" s="775" t="str" cm="1">
        <f t="array" ref="BH36">IF(OR(C36="",G36="",M36="",O36="",R36="",T36="",V36="",X36="",AC36="",AG36="",AI36="",AK36=""),"",IFERROR(IF(G36="","",IF(C36&lt;&gt;INDEX(STDLIGHT[Eff Category 1],MATCH(G36,STDLIGHT[Measure Name],0)),0,
IF(BA36&lt;=BB36,0,
ROUND(V36*INDEX(_xlfn.SWITCH(Program_Banner,"Business Energy Savings",STDLIGHT[Electric Energy Savings WBE (Annual kWh/unit)],"Small Business / Non-Profit",STDLIGHT[Electric Energy Savings HTRB (Annual kWh/unit)],0),MATCH('M03-S02'!G36,STDLIGHT[Measure Name],0)),4)))),""))</f>
        <v/>
      </c>
      <c r="BI36" s="775" t="str" cm="1">
        <f t="array" ref="BI36">IF(OR(C36="",G36="",M36="",O36="",R36="",T36="",V36="",X36="",AC36="",AG36="",AI36="",AK36=""),"",IFERROR(IF(G36="","",IF(C36&lt;&gt;INDEX(STDLIGHT[Eff Category 1],MATCH(G36,STDLIGHT[Measure Name],0)),0,
IF(BA36&lt;=BB36,0,
ROUND(V36*INDEX(_xlfn.SWITCH(Program_Banner,"Business Energy Savings",STDLIGHT[Coincident Peak Demand Savings WBE (kW/unit)],"Small Business / Non-Profit",STDLIGHT[Coincident Peak Demand Savings HTRB (kW/unit)],0),MATCH('M03-S02'!G36,STDLIGHT[Measure Name],0)),4)))),""))</f>
        <v/>
      </c>
      <c r="BJ36" s="777" t="str">
        <f>IFERROR(INDEX(STDLIGHT[Measure Life (Years)],MATCH(G36,STDLIGHT[Measure Name],0)),"")</f>
        <v/>
      </c>
      <c r="BK36" s="767" t="str">
        <f>IFERROR(IF(OR(C36="",G36="",M36="",O36="",R36="",T36="",V36="",X36="",AC36="",AG36="",AI36="",AK36=""),"",
ROUND(((1+ELOSS)*((BE36*INDEX(ELECCB[NPV AEC $/kWh],MATCH(BJ36,ELECCB[Year Number],1)))+(BF36*INDEX(ELECCB[NPV ACC $/kW],MATCH(BJ36,ELECCB[Year Number],1))))),2)),0)</f>
        <v/>
      </c>
      <c r="BL36" s="767" t="str">
        <f t="shared" si="2"/>
        <v/>
      </c>
      <c r="BM36" s="767" t="str">
        <f>IF(OR(G36="", V36=""), "", V36 * INDEX(STDLIGHT[Incremental Measure Cost ($/Unit)],MATCH(G36,STDLIGHT[Measure Name],0)))</f>
        <v/>
      </c>
      <c r="BN36" s="763" t="str">
        <f t="shared" si="3"/>
        <v/>
      </c>
      <c r="BO36" s="763" t="str">
        <f>IFERROR(IF(BM36 &lt;&gt; "", BM36, BL36) / M02S04F06 / AO36, "")</f>
        <v/>
      </c>
      <c r="BP36" s="769"/>
      <c r="BQ36" s="767" t="str">
        <f t="shared" ref="BQ36" si="47">IFERROR(ROUND(V36*AM36, 2), "")</f>
        <v/>
      </c>
      <c r="BR36" s="765"/>
      <c r="BS36" s="765"/>
      <c r="BT36" s="765"/>
      <c r="BU36" s="757" t="str">
        <f t="shared" ref="BU36" si="48">IFERROR(IF(BP36="",IF(AR36 &lt; BQ36, "100% Total Cost", ""), ""), "")</f>
        <v/>
      </c>
      <c r="BV36" s="767" t="str">
        <f t="shared" si="4"/>
        <v/>
      </c>
      <c r="BW36" s="757" t="str">
        <f>IFERROR(IF(OR(C36="",G36="",M36="",O36="",R36="",T36="",V36="",X36="",AC36="",AG36="",AI36="",AK36=""),"",IF(BY36&lt;&gt;"", SPILLOVERNUMBER, INDEX(STDLIGHT[Measure Number],MATCH(G36,STDLIGHT[Measure Name],0)))),"Err")</f>
        <v/>
      </c>
      <c r="BX36" s="757" t="str" cm="1">
        <f t="array" ref="BX36">IFERROR(INDEX(_xlfn.SWITCH(Program_Banner,"Business Energy Savings",STDLIGHT[Primary Key WBE],"Small Business / Non-Profit",STDLIGHT[Primary Key HTRB],0),MATCH(BW36,STDLIGHT[Measure Number],0)),"")</f>
        <v/>
      </c>
      <c r="BY36" s="757" t="str">
        <f>IFERROR(IF(OR(C36="",G36="",M36="",O36="",R36="",T36="",V36="",X36="",AC36="",AG36="",AI36="",AK36=""),"",
IF(BP36&gt;0,"",
IF(EXPIRATION&lt;&gt;"",PROJSTATEXP,
IF(M02S04F19="",MEASUREBLDG,
IF(BA36&lt;=BB36,MEASURESAVE,""))))),MEASURESUBMIT)</f>
        <v/>
      </c>
      <c r="BZ36" s="753"/>
      <c r="CA36" s="753"/>
      <c r="CB36" s="753"/>
      <c r="CC36" s="753"/>
    </row>
    <row r="37" spans="2:81" ht="15.95" customHeight="1">
      <c r="B37" s="785"/>
      <c r="C37" s="786"/>
      <c r="D37" s="787"/>
      <c r="E37" s="787"/>
      <c r="F37" s="788"/>
      <c r="G37" s="789"/>
      <c r="H37" s="790"/>
      <c r="I37" s="790"/>
      <c r="J37" s="790"/>
      <c r="K37" s="790"/>
      <c r="L37" s="867"/>
      <c r="M37" s="786"/>
      <c r="N37" s="788"/>
      <c r="O37" s="786"/>
      <c r="P37" s="787"/>
      <c r="Q37" s="788"/>
      <c r="R37" s="798"/>
      <c r="S37" s="799"/>
      <c r="T37" s="799"/>
      <c r="U37" s="800"/>
      <c r="V37" s="802"/>
      <c r="W37" s="802"/>
      <c r="X37" s="804"/>
      <c r="Y37" s="804"/>
      <c r="Z37" s="793"/>
      <c r="AA37" s="795"/>
      <c r="AB37" s="794"/>
      <c r="AC37" s="793"/>
      <c r="AD37" s="795"/>
      <c r="AE37" s="795"/>
      <c r="AF37" s="794"/>
      <c r="AG37" s="806"/>
      <c r="AH37" s="786"/>
      <c r="AI37" s="809"/>
      <c r="AJ37" s="810"/>
      <c r="AK37" s="810"/>
      <c r="AL37" s="812"/>
      <c r="AM37" s="815"/>
      <c r="AN37" s="816"/>
      <c r="AO37" s="818"/>
      <c r="AP37" s="818"/>
      <c r="AQ37" s="818"/>
      <c r="AR37" s="822"/>
      <c r="AS37" s="823"/>
      <c r="AT37" s="823"/>
      <c r="AU37" s="824"/>
      <c r="AV37" s="17"/>
      <c r="AX37" s="774"/>
      <c r="AY37" s="760"/>
      <c r="AZ37" s="760"/>
      <c r="BA37" s="772"/>
      <c r="BB37" s="772"/>
      <c r="BC37" s="774"/>
      <c r="BD37" s="758"/>
      <c r="BE37" s="776"/>
      <c r="BF37" s="776"/>
      <c r="BG37" s="762"/>
      <c r="BH37" s="776"/>
      <c r="BI37" s="776"/>
      <c r="BJ37" s="778"/>
      <c r="BK37" s="768"/>
      <c r="BL37" s="768"/>
      <c r="BM37" s="768"/>
      <c r="BN37" s="764"/>
      <c r="BO37" s="764"/>
      <c r="BP37" s="770"/>
      <c r="BQ37" s="768"/>
      <c r="BR37" s="766"/>
      <c r="BS37" s="766"/>
      <c r="BT37" s="766"/>
      <c r="BU37" s="758"/>
      <c r="BV37" s="768"/>
      <c r="BW37" s="758"/>
      <c r="BX37" s="758"/>
      <c r="BY37" s="758"/>
      <c r="BZ37" s="754"/>
      <c r="CA37" s="754"/>
      <c r="CB37" s="754"/>
      <c r="CC37" s="754"/>
    </row>
    <row r="38" spans="2:81" ht="15.95" customHeight="1">
      <c r="B38" s="785">
        <v>11</v>
      </c>
      <c r="C38" s="786"/>
      <c r="D38" s="787"/>
      <c r="E38" s="787"/>
      <c r="F38" s="788"/>
      <c r="G38" s="864"/>
      <c r="H38" s="865"/>
      <c r="I38" s="865"/>
      <c r="J38" s="865"/>
      <c r="K38" s="865"/>
      <c r="L38" s="866"/>
      <c r="M38" s="786"/>
      <c r="N38" s="788"/>
      <c r="O38" s="786"/>
      <c r="P38" s="787"/>
      <c r="Q38" s="788"/>
      <c r="R38" s="796"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797"/>
      <c r="T38" s="799" t="str">
        <f t="shared" ref="T38" si="49">IF(C38="Permanent Lamp Removal",0,"")</f>
        <v/>
      </c>
      <c r="U38" s="800"/>
      <c r="V38" s="802"/>
      <c r="W38" s="802"/>
      <c r="X38" s="803"/>
      <c r="Y38" s="803"/>
      <c r="Z38" s="825"/>
      <c r="AA38" s="826"/>
      <c r="AB38" s="827"/>
      <c r="AC38" s="825"/>
      <c r="AD38" s="826"/>
      <c r="AE38" s="826"/>
      <c r="AF38" s="827"/>
      <c r="AG38" s="806"/>
      <c r="AH38" s="786"/>
      <c r="AI38" s="809"/>
      <c r="AJ38" s="810"/>
      <c r="AK38" s="810"/>
      <c r="AL38" s="812"/>
      <c r="AM38" s="813" t="str" cm="1">
        <f t="array" ref="AM38">IFERROR(IF(G38="","",IF(C38&lt;&gt;INDEX(STDLIGHT[Eff Category 1],MATCH(G38,STDLIGHT[Measure Name],0)),0,INDEX(IF(AND(ACTIVEBONUS = TRUE,INDEX(STDLIGHT[Bonus Incentive],MATCH(G38,STDLIGHT[Measure Name],0))&lt;&gt; ""),STDLIGHT[Bonus Incentive],_xlfn.SWITCH(Program_Banner,"Business Energy Savings",STDLIGHT[BESP Incentive],"Small Business / Non-Profit",STDLIGHT[SBNP Incentive],0)),MATCH(G38,STDLIGHT[Measure Name],0)))),"")</f>
        <v/>
      </c>
      <c r="AN38" s="814"/>
      <c r="AO38" s="817" t="str">
        <f>IFERROR(IF(OR(C38="",G38="",M38="",O38="",R38="",T38="",V38="",X38="",AC38="",AG38="",AI38="",AK38=""),"",IF(BD38="Deemed",BH38,IF(BD38="Calculated",BE38,""))),"")</f>
        <v/>
      </c>
      <c r="AP38" s="817"/>
      <c r="AQ38" s="817"/>
      <c r="AR38" s="819" t="str">
        <f>IFERROR(IF(OR(C38="",G38="",M38="",O38="",R38="",T38="",V38="",X38="",AC38="",AG38="",AI38="",AK38=""),"",IF(BY38&lt;&gt;"",BY38,IF(BP38&gt;0,BP38,ROUND(IF(AO38&lt;=0,0,MIN(BL38,BQ38)),2)))),"")</f>
        <v/>
      </c>
      <c r="AS38" s="820"/>
      <c r="AT38" s="820"/>
      <c r="AU38" s="821"/>
      <c r="AV38" s="17"/>
      <c r="AX38" s="773" t="str">
        <f>IFERROR(IF(OR(C38="",G38="",M38="",O38="",R38="",T38="",V38="",X38="",AC38="",AG38="",AI38="",AK38=""),"",INDEX(STDLIGHT[Current Unit],MATCH(G38,STDLIGHT[Measure Name],0))),"Err")</f>
        <v/>
      </c>
      <c r="AY38" s="759" t="str">
        <f t="shared" ref="AY38" si="50">IF(V38="", "",  V38)</f>
        <v/>
      </c>
      <c r="AZ38" s="759" t="str">
        <f t="shared" ref="AZ38" si="51">IF(V38="", "",  V38)</f>
        <v/>
      </c>
      <c r="BA38" s="771"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B38" s="771"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C38" s="773" t="str">
        <f>IFERROR(IF(OR(C38="",G38="",M38="",O38="",R38="",T38="",V38="",X38="",AC38="",AG38="",AI38="",AK38=""),"",INDEX(STDLIGHT[End Use],MATCH(G38,STDLIGHT[Measure Name],0))),"Err")</f>
        <v/>
      </c>
      <c r="BD38" s="757" t="str">
        <f>IFERROR(IF(OR(C38="",G38="",M38="",O38="",R38="",T38="",V38="",X38="",AC38="",AG38="",AI38="",AK38=""),"",INDEX(STDLIGHT[Reporting Methodology],MATCH(G38,STDLIGHT[Measure Name],0))),"Err")</f>
        <v/>
      </c>
      <c r="BE38" s="775" t="str">
        <f>IFERROR(IF(OR(C38="",G38="",M38="",O38="",R38="",T38="",V38="",X38="",AC38="",AG38="",AI38="",AK38=""),"",
IF(BA38&lt;=BB38,0,
IF(OR(ISNUMBER(SEARCH("Exterior",C38)),ISNUMBER(SEARCH("Parking",C38)),M02S04F22="Unconditioned",M02S04F22="Electric Heat Only",M02S04F22="Natural Gas Heat Only"),ROUND((R38-T38)*V38*X38/1000,4),
ROUND((R38-T38)*V38*X38/1000*INDEX(BUILDINGTYPE[Waste Heat Factor (e)],MATCH(M02S04F19,BUILDINGTYPE[Building Type],0)),4)))),"")</f>
        <v/>
      </c>
      <c r="BF38" s="775" t="str">
        <f>IFERROR(IF(OR(C38="",G38="",M38="",O38="",R38="",T38="",V38="",X38="",AC38="",AG38="",AI38="",AK38=""),"",
IF(BA38&lt;=BB38,0,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761"/>
      <c r="BH38" s="775" t="str" cm="1">
        <f t="array" ref="BH38">IF(OR(C38="",G38="",M38="",O38="",R38="",T38="",V38="",X38="",AC38="",AG38="",AI38="",AK38=""),"",IFERROR(IF(G38="","",IF(C38&lt;&gt;INDEX(STDLIGHT[Eff Category 1],MATCH(G38,STDLIGHT[Measure Name],0)),0,
IF(BA38&lt;=BB38,0,
ROUND(V38*INDEX(_xlfn.SWITCH(Program_Banner,"Business Energy Savings",STDLIGHT[Electric Energy Savings WBE (Annual kWh/unit)],"Small Business / Non-Profit",STDLIGHT[Electric Energy Savings HTRB (Annual kWh/unit)],0),MATCH('M03-S02'!G38,STDLIGHT[Measure Name],0)),4)))),""))</f>
        <v/>
      </c>
      <c r="BI38" s="775" t="str" cm="1">
        <f t="array" ref="BI38">IF(OR(C38="",G38="",M38="",O38="",R38="",T38="",V38="",X38="",AC38="",AG38="",AI38="",AK38=""),"",IFERROR(IF(G38="","",IF(C38&lt;&gt;INDEX(STDLIGHT[Eff Category 1],MATCH(G38,STDLIGHT[Measure Name],0)),0,
IF(BA38&lt;=BB38,0,
ROUND(V38*INDEX(_xlfn.SWITCH(Program_Banner,"Business Energy Savings",STDLIGHT[Coincident Peak Demand Savings WBE (kW/unit)],"Small Business / Non-Profit",STDLIGHT[Coincident Peak Demand Savings HTRB (kW/unit)],0),MATCH('M03-S02'!G38,STDLIGHT[Measure Name],0)),4)))),""))</f>
        <v/>
      </c>
      <c r="BJ38" s="777" t="str">
        <f>IFERROR(INDEX(STDLIGHT[Measure Life (Years)],MATCH(G38,STDLIGHT[Measure Name],0)),"")</f>
        <v/>
      </c>
      <c r="BK38" s="767" t="str">
        <f>IFERROR(IF(OR(C38="",G38="",M38="",O38="",R38="",T38="",V38="",X38="",AC38="",AG38="",AI38="",AK38=""),"",
ROUND(((1+ELOSS)*((BE38*INDEX(ELECCB[NPV AEC $/kWh],MATCH(BJ38,ELECCB[Year Number],1)))+(BF38*INDEX(ELECCB[NPV ACC $/kW],MATCH(BJ38,ELECCB[Year Number],1))))),2)),0)</f>
        <v/>
      </c>
      <c r="BL38" s="767" t="str">
        <f t="shared" si="2"/>
        <v/>
      </c>
      <c r="BM38" s="767" t="str">
        <f>IF(OR(G38="", V38=""), "", V38 * INDEX(STDLIGHT[Incremental Measure Cost ($/Unit)],MATCH(G38,STDLIGHT[Measure Name],0)))</f>
        <v/>
      </c>
      <c r="BN38" s="763" t="str">
        <f t="shared" si="3"/>
        <v/>
      </c>
      <c r="BO38" s="763" t="str">
        <f>IFERROR(IF(BM38 &lt;&gt; "", BM38, BL38) / M02S04F06 / AO38, "")</f>
        <v/>
      </c>
      <c r="BP38" s="769"/>
      <c r="BQ38" s="767" t="str">
        <f t="shared" ref="BQ38" si="52">IFERROR(ROUND(V38*AM38, 2), "")</f>
        <v/>
      </c>
      <c r="BR38" s="765"/>
      <c r="BS38" s="765"/>
      <c r="BT38" s="765"/>
      <c r="BU38" s="757" t="str">
        <f t="shared" ref="BU38" si="53">IFERROR(IF(BP38="",IF(AR38 &lt; BQ38, "100% Total Cost", ""), ""), "")</f>
        <v/>
      </c>
      <c r="BV38" s="767" t="str">
        <f t="shared" si="4"/>
        <v/>
      </c>
      <c r="BW38" s="757" t="str">
        <f>IFERROR(IF(OR(C38="",G38="",M38="",O38="",R38="",T38="",V38="",X38="",AC38="",AG38="",AI38="",AK38=""),"",IF(BY38&lt;&gt;"", SPILLOVERNUMBER, INDEX(STDLIGHT[Measure Number],MATCH(G38,STDLIGHT[Measure Name],0)))),"Err")</f>
        <v/>
      </c>
      <c r="BX38" s="757" t="str" cm="1">
        <f t="array" ref="BX38">IFERROR(INDEX(_xlfn.SWITCH(Program_Banner,"Business Energy Savings",STDLIGHT[Primary Key WBE],"Small Business / Non-Profit",STDLIGHT[Primary Key HTRB],0),MATCH(BW38,STDLIGHT[Measure Number],0)),"")</f>
        <v/>
      </c>
      <c r="BY38" s="757" t="str">
        <f>IFERROR(IF(OR(C38="",G38="",M38="",O38="",R38="",T38="",V38="",X38="",AC38="",AG38="",AI38="",AK38=""),"",
IF(BP38&gt;0,"",
IF(EXPIRATION&lt;&gt;"",PROJSTATEXP,
IF(M02S04F19="",MEASUREBLDG,
IF(BA38&lt;=BB38,MEASURESAVE,""))))),MEASURESUBMIT)</f>
        <v/>
      </c>
      <c r="BZ38" s="753"/>
      <c r="CA38" s="753"/>
      <c r="CB38" s="753"/>
      <c r="CC38" s="753"/>
    </row>
    <row r="39" spans="2:81" ht="15.95" customHeight="1">
      <c r="B39" s="785"/>
      <c r="C39" s="786"/>
      <c r="D39" s="787"/>
      <c r="E39" s="787"/>
      <c r="F39" s="788"/>
      <c r="G39" s="789"/>
      <c r="H39" s="790"/>
      <c r="I39" s="790"/>
      <c r="J39" s="790"/>
      <c r="K39" s="790"/>
      <c r="L39" s="867"/>
      <c r="M39" s="786"/>
      <c r="N39" s="788"/>
      <c r="O39" s="786"/>
      <c r="P39" s="787"/>
      <c r="Q39" s="788"/>
      <c r="R39" s="798"/>
      <c r="S39" s="799"/>
      <c r="T39" s="799"/>
      <c r="U39" s="800"/>
      <c r="V39" s="802"/>
      <c r="W39" s="802"/>
      <c r="X39" s="804"/>
      <c r="Y39" s="804"/>
      <c r="Z39" s="793"/>
      <c r="AA39" s="795"/>
      <c r="AB39" s="794"/>
      <c r="AC39" s="793"/>
      <c r="AD39" s="795"/>
      <c r="AE39" s="795"/>
      <c r="AF39" s="794"/>
      <c r="AG39" s="806"/>
      <c r="AH39" s="786"/>
      <c r="AI39" s="809"/>
      <c r="AJ39" s="810"/>
      <c r="AK39" s="810"/>
      <c r="AL39" s="812"/>
      <c r="AM39" s="815"/>
      <c r="AN39" s="816"/>
      <c r="AO39" s="818"/>
      <c r="AP39" s="818"/>
      <c r="AQ39" s="818"/>
      <c r="AR39" s="822"/>
      <c r="AS39" s="823"/>
      <c r="AT39" s="823"/>
      <c r="AU39" s="824"/>
      <c r="AV39" s="17"/>
      <c r="AX39" s="774"/>
      <c r="AY39" s="760"/>
      <c r="AZ39" s="760"/>
      <c r="BA39" s="772"/>
      <c r="BB39" s="772"/>
      <c r="BC39" s="774"/>
      <c r="BD39" s="758"/>
      <c r="BE39" s="776"/>
      <c r="BF39" s="776"/>
      <c r="BG39" s="762"/>
      <c r="BH39" s="776"/>
      <c r="BI39" s="776"/>
      <c r="BJ39" s="778"/>
      <c r="BK39" s="768"/>
      <c r="BL39" s="768"/>
      <c r="BM39" s="768"/>
      <c r="BN39" s="764"/>
      <c r="BO39" s="764"/>
      <c r="BP39" s="770"/>
      <c r="BQ39" s="768"/>
      <c r="BR39" s="766"/>
      <c r="BS39" s="766"/>
      <c r="BT39" s="766"/>
      <c r="BU39" s="758"/>
      <c r="BV39" s="768"/>
      <c r="BW39" s="758"/>
      <c r="BX39" s="758"/>
      <c r="BY39" s="758"/>
      <c r="BZ39" s="754"/>
      <c r="CA39" s="754"/>
      <c r="CB39" s="754"/>
      <c r="CC39" s="754"/>
    </row>
    <row r="40" spans="2:81" ht="15.95" customHeight="1">
      <c r="B40" s="785">
        <v>12</v>
      </c>
      <c r="C40" s="786"/>
      <c r="D40" s="787"/>
      <c r="E40" s="787"/>
      <c r="F40" s="788"/>
      <c r="G40" s="864"/>
      <c r="H40" s="865"/>
      <c r="I40" s="865"/>
      <c r="J40" s="865"/>
      <c r="K40" s="865"/>
      <c r="L40" s="866"/>
      <c r="M40" s="786"/>
      <c r="N40" s="788"/>
      <c r="O40" s="786"/>
      <c r="P40" s="787"/>
      <c r="Q40" s="788"/>
      <c r="R40" s="796"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797"/>
      <c r="T40" s="799" t="str">
        <f t="shared" ref="T40" si="54">IF(C40="Permanent Lamp Removal",0,"")</f>
        <v/>
      </c>
      <c r="U40" s="800"/>
      <c r="V40" s="802"/>
      <c r="W40" s="802"/>
      <c r="X40" s="803"/>
      <c r="Y40" s="803"/>
      <c r="Z40" s="825"/>
      <c r="AA40" s="826"/>
      <c r="AB40" s="827"/>
      <c r="AC40" s="825"/>
      <c r="AD40" s="826"/>
      <c r="AE40" s="826"/>
      <c r="AF40" s="827"/>
      <c r="AG40" s="806"/>
      <c r="AH40" s="786"/>
      <c r="AI40" s="809"/>
      <c r="AJ40" s="810"/>
      <c r="AK40" s="810"/>
      <c r="AL40" s="812"/>
      <c r="AM40" s="813" t="str" cm="1">
        <f t="array" ref="AM40">IFERROR(IF(G40="","",IF(C40&lt;&gt;INDEX(STDLIGHT[Eff Category 1],MATCH(G40,STDLIGHT[Measure Name],0)),0,INDEX(IF(AND(ACTIVEBONUS = TRUE,INDEX(STDLIGHT[Bonus Incentive],MATCH(G40,STDLIGHT[Measure Name],0))&lt;&gt; ""),STDLIGHT[Bonus Incentive],_xlfn.SWITCH(Program_Banner,"Business Energy Savings",STDLIGHT[BESP Incentive],"Small Business / Non-Profit",STDLIGHT[SBNP Incentive],0)),MATCH(G40,STDLIGHT[Measure Name],0)))),"")</f>
        <v/>
      </c>
      <c r="AN40" s="814"/>
      <c r="AO40" s="817" t="str">
        <f>IFERROR(IF(OR(C40="",G40="",M40="",O40="",R40="",T40="",V40="",X40="",AC40="",AG40="",AI40="",AK40=""),"",IF(BD40="Deemed",BH40,IF(BD40="Calculated",BE40,""))),"")</f>
        <v/>
      </c>
      <c r="AP40" s="817"/>
      <c r="AQ40" s="817"/>
      <c r="AR40" s="819" t="str">
        <f>IFERROR(IF(OR(C40="",G40="",M40="",O40="",R40="",T40="",V40="",X40="",AC40="",AG40="",AI40="",AK40=""),"",IF(BY40&lt;&gt;"",BY40,IF(BP40&gt;0,BP40,ROUND(IF(AO40&lt;=0,0,MIN(BL40,BQ40)),2)))),"")</f>
        <v/>
      </c>
      <c r="AS40" s="820"/>
      <c r="AT40" s="820"/>
      <c r="AU40" s="821"/>
      <c r="AV40" s="17"/>
      <c r="AX40" s="773" t="str">
        <f>IFERROR(IF(OR(C40="",G40="",M40="",O40="",R40="",T40="",V40="",X40="",AC40="",AG40="",AI40="",AK40=""),"",INDEX(STDLIGHT[Current Unit],MATCH(G40,STDLIGHT[Measure Name],0))),"Err")</f>
        <v/>
      </c>
      <c r="AY40" s="759" t="str">
        <f t="shared" ref="AY40" si="55">IF(V40="", "",  V40)</f>
        <v/>
      </c>
      <c r="AZ40" s="759" t="str">
        <f t="shared" ref="AZ40" si="56">IF(V40="", "",  V40)</f>
        <v/>
      </c>
      <c r="BA40" s="771"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B40" s="771"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C40" s="773" t="str">
        <f>IFERROR(IF(OR(C40="",G40="",M40="",O40="",R40="",T40="",V40="",X40="",AC40="",AG40="",AI40="",AK40=""),"",INDEX(STDLIGHT[End Use],MATCH(G40,STDLIGHT[Measure Name],0))),"Err")</f>
        <v/>
      </c>
      <c r="BD40" s="757" t="str">
        <f>IFERROR(IF(OR(C40="",G40="",M40="",O40="",R40="",T40="",V40="",X40="",AC40="",AG40="",AI40="",AK40=""),"",INDEX(STDLIGHT[Reporting Methodology],MATCH(G40,STDLIGHT[Measure Name],0))),"Err")</f>
        <v/>
      </c>
      <c r="BE40" s="775" t="str">
        <f>IFERROR(IF(OR(C40="",G40="",M40="",O40="",R40="",T40="",V40="",X40="",AC40="",AG40="",AI40="",AK40=""),"",
IF(BA40&lt;=BB40,0,
IF(OR(ISNUMBER(SEARCH("Exterior",C40)),ISNUMBER(SEARCH("Parking",C40)),M02S04F22="Unconditioned",M02S04F22="Electric Heat Only",M02S04F22="Natural Gas Heat Only"),ROUND((R40-T40)*V40*X40/1000,4),
ROUND((R40-T40)*V40*X40/1000*INDEX(BUILDINGTYPE[Waste Heat Factor (e)],MATCH(M02S04F19,BUILDINGTYPE[Building Type],0)),4)))),"")</f>
        <v/>
      </c>
      <c r="BF40" s="775" t="str">
        <f>IFERROR(IF(OR(C40="",G40="",M40="",O40="",R40="",T40="",V40="",X40="",AC40="",AG40="",AI40="",AK40=""),"",
IF(BA40&lt;=BB40,0,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761"/>
      <c r="BH40" s="775" t="str" cm="1">
        <f t="array" ref="BH40">IF(OR(C40="",G40="",M40="",O40="",R40="",T40="",V40="",X40="",AC40="",AG40="",AI40="",AK40=""),"",IFERROR(IF(G40="","",IF(C40&lt;&gt;INDEX(STDLIGHT[Eff Category 1],MATCH(G40,STDLIGHT[Measure Name],0)),0,
IF(BA40&lt;=BB40,0,
ROUND(V40*INDEX(_xlfn.SWITCH(Program_Banner,"Business Energy Savings",STDLIGHT[Electric Energy Savings WBE (Annual kWh/unit)],"Small Business / Non-Profit",STDLIGHT[Electric Energy Savings HTRB (Annual kWh/unit)],0),MATCH('M03-S02'!G40,STDLIGHT[Measure Name],0)),4)))),""))</f>
        <v/>
      </c>
      <c r="BI40" s="775" t="str" cm="1">
        <f t="array" ref="BI40">IF(OR(C40="",G40="",M40="",O40="",R40="",T40="",V40="",X40="",AC40="",AG40="",AI40="",AK40=""),"",IFERROR(IF(G40="","",IF(C40&lt;&gt;INDEX(STDLIGHT[Eff Category 1],MATCH(G40,STDLIGHT[Measure Name],0)),0,
IF(BA40&lt;=BB40,0,
ROUND(V40*INDEX(_xlfn.SWITCH(Program_Banner,"Business Energy Savings",STDLIGHT[Coincident Peak Demand Savings WBE (kW/unit)],"Small Business / Non-Profit",STDLIGHT[Coincident Peak Demand Savings HTRB (kW/unit)],0),MATCH('M03-S02'!G40,STDLIGHT[Measure Name],0)),4)))),""))</f>
        <v/>
      </c>
      <c r="BJ40" s="777" t="str">
        <f>IFERROR(INDEX(STDLIGHT[Measure Life (Years)],MATCH(G40,STDLIGHT[Measure Name],0)),"")</f>
        <v/>
      </c>
      <c r="BK40" s="767" t="str">
        <f>IFERROR(IF(OR(C40="",G40="",M40="",O40="",R40="",T40="",V40="",X40="",AC40="",AG40="",AI40="",AK40=""),"",
ROUND(((1+ELOSS)*((BE40*INDEX(ELECCB[NPV AEC $/kWh],MATCH(BJ40,ELECCB[Year Number],1)))+(BF40*INDEX(ELECCB[NPV ACC $/kW],MATCH(BJ40,ELECCB[Year Number],1))))),2)),0)</f>
        <v/>
      </c>
      <c r="BL40" s="767" t="str">
        <f t="shared" si="2"/>
        <v/>
      </c>
      <c r="BM40" s="767" t="str">
        <f>IF(OR(G40="", V40=""), "", V40 * INDEX(STDLIGHT[Incremental Measure Cost ($/Unit)],MATCH(G40,STDLIGHT[Measure Name],0)))</f>
        <v/>
      </c>
      <c r="BN40" s="763" t="str">
        <f t="shared" si="3"/>
        <v/>
      </c>
      <c r="BO40" s="763" t="str">
        <f>IFERROR(IF(BM40 &lt;&gt; "", BM40, BL40) / M02S04F06 / AO40, "")</f>
        <v/>
      </c>
      <c r="BP40" s="769"/>
      <c r="BQ40" s="767" t="str">
        <f t="shared" ref="BQ40" si="57">IFERROR(ROUND(V40*AM40, 2), "")</f>
        <v/>
      </c>
      <c r="BR40" s="765"/>
      <c r="BS40" s="765"/>
      <c r="BT40" s="765"/>
      <c r="BU40" s="757" t="str">
        <f t="shared" ref="BU40" si="58">IFERROR(IF(BP40="",IF(AR40 &lt; BQ40, "100% Total Cost", ""), ""), "")</f>
        <v/>
      </c>
      <c r="BV40" s="767" t="str">
        <f t="shared" si="4"/>
        <v/>
      </c>
      <c r="BW40" s="757" t="str">
        <f>IFERROR(IF(OR(C40="",G40="",M40="",O40="",R40="",T40="",V40="",X40="",AC40="",AG40="",AI40="",AK40=""),"",IF(BY40&lt;&gt;"", SPILLOVERNUMBER, INDEX(STDLIGHT[Measure Number],MATCH(G40,STDLIGHT[Measure Name],0)))),"Err")</f>
        <v/>
      </c>
      <c r="BX40" s="757" t="str" cm="1">
        <f t="array" ref="BX40">IFERROR(INDEX(_xlfn.SWITCH(Program_Banner,"Business Energy Savings",STDLIGHT[Primary Key WBE],"Small Business / Non-Profit",STDLIGHT[Primary Key HTRB],0),MATCH(BW40,STDLIGHT[Measure Number],0)),"")</f>
        <v/>
      </c>
      <c r="BY40" s="757" t="str">
        <f>IFERROR(IF(OR(C40="",G40="",M40="",O40="",R40="",T40="",V40="",X40="",AC40="",AG40="",AI40="",AK40=""),"",
IF(BP40&gt;0,"",
IF(EXPIRATION&lt;&gt;"",PROJSTATEXP,
IF(M02S04F19="",MEASUREBLDG,
IF(BA40&lt;=BB40,MEASURESAVE,""))))),MEASURESUBMIT)</f>
        <v/>
      </c>
      <c r="BZ40" s="753"/>
      <c r="CA40" s="753"/>
      <c r="CB40" s="753"/>
      <c r="CC40" s="753"/>
    </row>
    <row r="41" spans="2:81" ht="15.95" customHeight="1">
      <c r="B41" s="785"/>
      <c r="C41" s="786"/>
      <c r="D41" s="787"/>
      <c r="E41" s="787"/>
      <c r="F41" s="788"/>
      <c r="G41" s="789"/>
      <c r="H41" s="790"/>
      <c r="I41" s="790"/>
      <c r="J41" s="790"/>
      <c r="K41" s="790"/>
      <c r="L41" s="867"/>
      <c r="M41" s="786"/>
      <c r="N41" s="788"/>
      <c r="O41" s="786"/>
      <c r="P41" s="787"/>
      <c r="Q41" s="788"/>
      <c r="R41" s="798"/>
      <c r="S41" s="799"/>
      <c r="T41" s="799"/>
      <c r="U41" s="800"/>
      <c r="V41" s="802"/>
      <c r="W41" s="802"/>
      <c r="X41" s="804"/>
      <c r="Y41" s="804"/>
      <c r="Z41" s="793"/>
      <c r="AA41" s="795"/>
      <c r="AB41" s="794"/>
      <c r="AC41" s="793"/>
      <c r="AD41" s="795"/>
      <c r="AE41" s="795"/>
      <c r="AF41" s="794"/>
      <c r="AG41" s="806"/>
      <c r="AH41" s="786"/>
      <c r="AI41" s="809"/>
      <c r="AJ41" s="810"/>
      <c r="AK41" s="810"/>
      <c r="AL41" s="812"/>
      <c r="AM41" s="815"/>
      <c r="AN41" s="816"/>
      <c r="AO41" s="818"/>
      <c r="AP41" s="818"/>
      <c r="AQ41" s="818"/>
      <c r="AR41" s="822"/>
      <c r="AS41" s="823"/>
      <c r="AT41" s="823"/>
      <c r="AU41" s="824"/>
      <c r="AV41" s="17"/>
      <c r="AX41" s="774"/>
      <c r="AY41" s="760"/>
      <c r="AZ41" s="760"/>
      <c r="BA41" s="772"/>
      <c r="BB41" s="772"/>
      <c r="BC41" s="774"/>
      <c r="BD41" s="758"/>
      <c r="BE41" s="776"/>
      <c r="BF41" s="776"/>
      <c r="BG41" s="762"/>
      <c r="BH41" s="776"/>
      <c r="BI41" s="776"/>
      <c r="BJ41" s="778"/>
      <c r="BK41" s="768"/>
      <c r="BL41" s="768"/>
      <c r="BM41" s="768"/>
      <c r="BN41" s="764"/>
      <c r="BO41" s="764"/>
      <c r="BP41" s="770"/>
      <c r="BQ41" s="768"/>
      <c r="BR41" s="766"/>
      <c r="BS41" s="766"/>
      <c r="BT41" s="766"/>
      <c r="BU41" s="758"/>
      <c r="BV41" s="768"/>
      <c r="BW41" s="758"/>
      <c r="BX41" s="758"/>
      <c r="BY41" s="758"/>
      <c r="BZ41" s="754"/>
      <c r="CA41" s="754"/>
      <c r="CB41" s="754"/>
      <c r="CC41" s="754"/>
    </row>
    <row r="42" spans="2:81" ht="15.95" customHeight="1">
      <c r="B42" s="785">
        <v>13</v>
      </c>
      <c r="C42" s="786"/>
      <c r="D42" s="787"/>
      <c r="E42" s="787"/>
      <c r="F42" s="788"/>
      <c r="G42" s="864"/>
      <c r="H42" s="865"/>
      <c r="I42" s="865"/>
      <c r="J42" s="865"/>
      <c r="K42" s="865"/>
      <c r="L42" s="866"/>
      <c r="M42" s="786"/>
      <c r="N42" s="788"/>
      <c r="O42" s="786"/>
      <c r="P42" s="787"/>
      <c r="Q42" s="788"/>
      <c r="R42" s="796"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797"/>
      <c r="T42" s="799" t="str">
        <f t="shared" ref="T42" si="59">IF(C42="Permanent Lamp Removal",0,"")</f>
        <v/>
      </c>
      <c r="U42" s="800"/>
      <c r="V42" s="802"/>
      <c r="W42" s="802"/>
      <c r="X42" s="803"/>
      <c r="Y42" s="803"/>
      <c r="Z42" s="825"/>
      <c r="AA42" s="826"/>
      <c r="AB42" s="827"/>
      <c r="AC42" s="825"/>
      <c r="AD42" s="826"/>
      <c r="AE42" s="826"/>
      <c r="AF42" s="827"/>
      <c r="AG42" s="806"/>
      <c r="AH42" s="786"/>
      <c r="AI42" s="809"/>
      <c r="AJ42" s="810"/>
      <c r="AK42" s="810"/>
      <c r="AL42" s="812"/>
      <c r="AM42" s="813" t="str" cm="1">
        <f t="array" ref="AM42">IFERROR(IF(G42="","",IF(C42&lt;&gt;INDEX(STDLIGHT[Eff Category 1],MATCH(G42,STDLIGHT[Measure Name],0)),0,INDEX(IF(AND(ACTIVEBONUS = TRUE,INDEX(STDLIGHT[Bonus Incentive],MATCH(G42,STDLIGHT[Measure Name],0))&lt;&gt; ""),STDLIGHT[Bonus Incentive],_xlfn.SWITCH(Program_Banner,"Business Energy Savings",STDLIGHT[BESP Incentive],"Small Business / Non-Profit",STDLIGHT[SBNP Incentive],0)),MATCH(G42,STDLIGHT[Measure Name],0)))),"")</f>
        <v/>
      </c>
      <c r="AN42" s="814"/>
      <c r="AO42" s="817" t="str">
        <f>IFERROR(IF(OR(C42="",G42="",M42="",O42="",R42="",T42="",V42="",X42="",AC42="",AG42="",AI42="",AK42=""),"",IF(BD42="Deemed",BH42,IF(BD42="Calculated",BE42,""))),"")</f>
        <v/>
      </c>
      <c r="AP42" s="817"/>
      <c r="AQ42" s="817"/>
      <c r="AR42" s="819" t="str">
        <f>IFERROR(IF(OR(C42="",G42="",M42="",O42="",R42="",T42="",V42="",X42="",AC42="",AG42="",AI42="",AK42=""),"",IF(BY42&lt;&gt;"",BY42,IF(BP42&gt;0,BP42,ROUND(IF(AO42&lt;=0,0,MIN(BL42,BQ42)),2)))),"")</f>
        <v/>
      </c>
      <c r="AS42" s="820"/>
      <c r="AT42" s="820"/>
      <c r="AU42" s="821"/>
      <c r="AV42" s="17"/>
      <c r="AX42" s="773" t="str">
        <f>IFERROR(IF(OR(C42="",G42="",M42="",O42="",R42="",T42="",V42="",X42="",AC42="",AG42="",AI42="",AK42=""),"",INDEX(STDLIGHT[Current Unit],MATCH(G42,STDLIGHT[Measure Name],0))),"Err")</f>
        <v/>
      </c>
      <c r="AY42" s="759" t="str">
        <f t="shared" ref="AY42" si="60">IF(V42="", "",  V42)</f>
        <v/>
      </c>
      <c r="AZ42" s="759" t="str">
        <f t="shared" ref="AZ42" si="61">IF(V42="", "",  V42)</f>
        <v/>
      </c>
      <c r="BA42" s="771"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B42" s="771"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C42" s="773" t="str">
        <f>IFERROR(IF(OR(C42="",G42="",M42="",O42="",R42="",T42="",V42="",X42="",AC42="",AG42="",AI42="",AK42=""),"",INDEX(STDLIGHT[End Use],MATCH(G42,STDLIGHT[Measure Name],0))),"Err")</f>
        <v/>
      </c>
      <c r="BD42" s="757" t="str">
        <f>IFERROR(IF(OR(C42="",G42="",M42="",O42="",R42="",T42="",V42="",X42="",AC42="",AG42="",AI42="",AK42=""),"",INDEX(STDLIGHT[Reporting Methodology],MATCH(G42,STDLIGHT[Measure Name],0))),"Err")</f>
        <v/>
      </c>
      <c r="BE42" s="775" t="str">
        <f>IFERROR(IF(OR(C42="",G42="",M42="",O42="",R42="",T42="",V42="",X42="",AC42="",AG42="",AI42="",AK42=""),"",
IF(BA42&lt;=BB42,0,
IF(OR(ISNUMBER(SEARCH("Exterior",C42)),ISNUMBER(SEARCH("Parking",C42)),M02S04F22="Unconditioned",M02S04F22="Electric Heat Only",M02S04F22="Natural Gas Heat Only"),ROUND((R42-T42)*V42*X42/1000,4),
ROUND((R42-T42)*V42*X42/1000*INDEX(BUILDINGTYPE[Waste Heat Factor (e)],MATCH(M02S04F19,BUILDINGTYPE[Building Type],0)),4)))),"")</f>
        <v/>
      </c>
      <c r="BF42" s="775" t="str">
        <f>IFERROR(IF(OR(C42="",G42="",M42="",O42="",R42="",T42="",V42="",X42="",AC42="",AG42="",AI42="",AK42=""),"",
IF(BA42&lt;=BB42,0,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761"/>
      <c r="BH42" s="775" t="str" cm="1">
        <f t="array" ref="BH42">IF(OR(C42="",G42="",M42="",O42="",R42="",T42="",V42="",X42="",AC42="",AG42="",AI42="",AK42=""),"",IFERROR(IF(G42="","",IF(C42&lt;&gt;INDEX(STDLIGHT[Eff Category 1],MATCH(G42,STDLIGHT[Measure Name],0)),0,
IF(BA42&lt;=BB42,0,
ROUND(V42*INDEX(_xlfn.SWITCH(Program_Banner,"Business Energy Savings",STDLIGHT[Electric Energy Savings WBE (Annual kWh/unit)],"Small Business / Non-Profit",STDLIGHT[Electric Energy Savings HTRB (Annual kWh/unit)],0),MATCH('M03-S02'!G42,STDLIGHT[Measure Name],0)),4)))),""))</f>
        <v/>
      </c>
      <c r="BI42" s="775" t="str" cm="1">
        <f t="array" ref="BI42">IF(OR(C42="",G42="",M42="",O42="",R42="",T42="",V42="",X42="",AC42="",AG42="",AI42="",AK42=""),"",IFERROR(IF(G42="","",IF(C42&lt;&gt;INDEX(STDLIGHT[Eff Category 1],MATCH(G42,STDLIGHT[Measure Name],0)),0,
IF(BA42&lt;=BB42,0,
ROUND(V42*INDEX(_xlfn.SWITCH(Program_Banner,"Business Energy Savings",STDLIGHT[Coincident Peak Demand Savings WBE (kW/unit)],"Small Business / Non-Profit",STDLIGHT[Coincident Peak Demand Savings HTRB (kW/unit)],0),MATCH('M03-S02'!G42,STDLIGHT[Measure Name],0)),4)))),""))</f>
        <v/>
      </c>
      <c r="BJ42" s="777" t="str">
        <f>IFERROR(INDEX(STDLIGHT[Measure Life (Years)],MATCH(G42,STDLIGHT[Measure Name],0)),"")</f>
        <v/>
      </c>
      <c r="BK42" s="767" t="str">
        <f>IFERROR(IF(OR(C42="",G42="",M42="",O42="",R42="",T42="",V42="",X42="",AC42="",AG42="",AI42="",AK42=""),"",
ROUND(((1+ELOSS)*((BE42*INDEX(ELECCB[NPV AEC $/kWh],MATCH(BJ42,ELECCB[Year Number],1)))+(BF42*INDEX(ELECCB[NPV ACC $/kW],MATCH(BJ42,ELECCB[Year Number],1))))),2)),0)</f>
        <v/>
      </c>
      <c r="BL42" s="767" t="str">
        <f t="shared" si="2"/>
        <v/>
      </c>
      <c r="BM42" s="767" t="str">
        <f>IF(OR(G42="", V42=""), "", V42 * INDEX(STDLIGHT[Incremental Measure Cost ($/Unit)],MATCH(G42,STDLIGHT[Measure Name],0)))</f>
        <v/>
      </c>
      <c r="BN42" s="763" t="str">
        <f t="shared" si="3"/>
        <v/>
      </c>
      <c r="BO42" s="763" t="str">
        <f>IFERROR(IF(BM42 &lt;&gt; "", BM42, BL42) / M02S04F06 / AO42, "")</f>
        <v/>
      </c>
      <c r="BP42" s="769"/>
      <c r="BQ42" s="767" t="str">
        <f t="shared" ref="BQ42" si="62">IFERROR(ROUND(V42*AM42, 2), "")</f>
        <v/>
      </c>
      <c r="BR42" s="765"/>
      <c r="BS42" s="765"/>
      <c r="BT42" s="765"/>
      <c r="BU42" s="757" t="str">
        <f t="shared" ref="BU42" si="63">IFERROR(IF(BP42="",IF(AR42 &lt; BQ42, "100% Total Cost", ""), ""), "")</f>
        <v/>
      </c>
      <c r="BV42" s="767" t="str">
        <f t="shared" si="4"/>
        <v/>
      </c>
      <c r="BW42" s="757" t="str">
        <f>IFERROR(IF(OR(C42="",G42="",M42="",O42="",R42="",T42="",V42="",X42="",AC42="",AG42="",AI42="",AK42=""),"",IF(BY42&lt;&gt;"", SPILLOVERNUMBER, INDEX(STDLIGHT[Measure Number],MATCH(G42,STDLIGHT[Measure Name],0)))),"Err")</f>
        <v/>
      </c>
      <c r="BX42" s="757" t="str" cm="1">
        <f t="array" ref="BX42">IFERROR(INDEX(_xlfn.SWITCH(Program_Banner,"Business Energy Savings",STDLIGHT[Primary Key WBE],"Small Business / Non-Profit",STDLIGHT[Primary Key HTRB],0),MATCH(BW42,STDLIGHT[Measure Number],0)),"")</f>
        <v/>
      </c>
      <c r="BY42" s="757" t="str">
        <f>IFERROR(IF(OR(C42="",G42="",M42="",O42="",R42="",T42="",V42="",X42="",AC42="",AG42="",AI42="",AK42=""),"",
IF(BP42&gt;0,"",
IF(EXPIRATION&lt;&gt;"",PROJSTATEXP,
IF(M02S04F19="",MEASUREBLDG,
IF(BA42&lt;=BB42,MEASURESAVE,""))))),MEASURESUBMIT)</f>
        <v/>
      </c>
      <c r="BZ42" s="753"/>
      <c r="CA42" s="753"/>
      <c r="CB42" s="753"/>
      <c r="CC42" s="753"/>
    </row>
    <row r="43" spans="2:81" ht="15.95" customHeight="1">
      <c r="B43" s="785"/>
      <c r="C43" s="786"/>
      <c r="D43" s="787"/>
      <c r="E43" s="787"/>
      <c r="F43" s="788"/>
      <c r="G43" s="789"/>
      <c r="H43" s="790"/>
      <c r="I43" s="790"/>
      <c r="J43" s="790"/>
      <c r="K43" s="790"/>
      <c r="L43" s="867"/>
      <c r="M43" s="786"/>
      <c r="N43" s="788"/>
      <c r="O43" s="786"/>
      <c r="P43" s="787"/>
      <c r="Q43" s="788"/>
      <c r="R43" s="798"/>
      <c r="S43" s="799"/>
      <c r="T43" s="799"/>
      <c r="U43" s="800"/>
      <c r="V43" s="802"/>
      <c r="W43" s="802"/>
      <c r="X43" s="804"/>
      <c r="Y43" s="804"/>
      <c r="Z43" s="793"/>
      <c r="AA43" s="795"/>
      <c r="AB43" s="794"/>
      <c r="AC43" s="793"/>
      <c r="AD43" s="795"/>
      <c r="AE43" s="795"/>
      <c r="AF43" s="794"/>
      <c r="AG43" s="806"/>
      <c r="AH43" s="786"/>
      <c r="AI43" s="809"/>
      <c r="AJ43" s="810"/>
      <c r="AK43" s="810"/>
      <c r="AL43" s="812"/>
      <c r="AM43" s="815"/>
      <c r="AN43" s="816"/>
      <c r="AO43" s="818"/>
      <c r="AP43" s="818"/>
      <c r="AQ43" s="818"/>
      <c r="AR43" s="822"/>
      <c r="AS43" s="823"/>
      <c r="AT43" s="823"/>
      <c r="AU43" s="824"/>
      <c r="AV43" s="17"/>
      <c r="AX43" s="774"/>
      <c r="AY43" s="760"/>
      <c r="AZ43" s="760"/>
      <c r="BA43" s="772"/>
      <c r="BB43" s="772"/>
      <c r="BC43" s="774"/>
      <c r="BD43" s="758"/>
      <c r="BE43" s="776"/>
      <c r="BF43" s="776"/>
      <c r="BG43" s="762"/>
      <c r="BH43" s="776"/>
      <c r="BI43" s="776"/>
      <c r="BJ43" s="778"/>
      <c r="BK43" s="768"/>
      <c r="BL43" s="768"/>
      <c r="BM43" s="768"/>
      <c r="BN43" s="764"/>
      <c r="BO43" s="764"/>
      <c r="BP43" s="770"/>
      <c r="BQ43" s="768"/>
      <c r="BR43" s="766"/>
      <c r="BS43" s="766"/>
      <c r="BT43" s="766"/>
      <c r="BU43" s="758"/>
      <c r="BV43" s="768"/>
      <c r="BW43" s="758"/>
      <c r="BX43" s="758"/>
      <c r="BY43" s="758"/>
      <c r="BZ43" s="754"/>
      <c r="CA43" s="754"/>
      <c r="CB43" s="754"/>
      <c r="CC43" s="754"/>
    </row>
    <row r="44" spans="2:81" ht="15.95" customHeight="1">
      <c r="B44" s="785">
        <v>14</v>
      </c>
      <c r="C44" s="786"/>
      <c r="D44" s="787"/>
      <c r="E44" s="787"/>
      <c r="F44" s="788"/>
      <c r="G44" s="791"/>
      <c r="H44" s="792"/>
      <c r="I44" s="792"/>
      <c r="J44" s="792"/>
      <c r="K44" s="792"/>
      <c r="L44" s="792"/>
      <c r="M44" s="786"/>
      <c r="N44" s="788"/>
      <c r="O44" s="786"/>
      <c r="P44" s="787"/>
      <c r="Q44" s="788"/>
      <c r="R44" s="796"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797"/>
      <c r="T44" s="799" t="str">
        <f t="shared" ref="T44" si="64">IF(C44="Permanent Lamp Removal",0,"")</f>
        <v/>
      </c>
      <c r="U44" s="800"/>
      <c r="V44" s="802"/>
      <c r="W44" s="802"/>
      <c r="X44" s="803"/>
      <c r="Y44" s="803"/>
      <c r="Z44" s="825"/>
      <c r="AA44" s="826"/>
      <c r="AB44" s="827"/>
      <c r="AC44" s="825"/>
      <c r="AD44" s="826"/>
      <c r="AE44" s="826"/>
      <c r="AF44" s="827"/>
      <c r="AG44" s="806"/>
      <c r="AH44" s="786"/>
      <c r="AI44" s="809"/>
      <c r="AJ44" s="810"/>
      <c r="AK44" s="810"/>
      <c r="AL44" s="812"/>
      <c r="AM44" s="813" t="str" cm="1">
        <f t="array" ref="AM44">IFERROR(IF(G44="","",IF(C44&lt;&gt;INDEX(STDLIGHT[Eff Category 1],MATCH(G44,STDLIGHT[Measure Name],0)),0,INDEX(IF(AND(ACTIVEBONUS = TRUE,INDEX(STDLIGHT[Bonus Incentive],MATCH(G44,STDLIGHT[Measure Name],0))&lt;&gt; ""),STDLIGHT[Bonus Incentive],_xlfn.SWITCH(Program_Banner,"Business Energy Savings",STDLIGHT[BESP Incentive],"Small Business / Non-Profit",STDLIGHT[SBNP Incentive],0)),MATCH(G44,STDLIGHT[Measure Name],0)))),"")</f>
        <v/>
      </c>
      <c r="AN44" s="814"/>
      <c r="AO44" s="817" t="str">
        <f>IFERROR(IF(OR(C44="",G44="",M44="",O44="",R44="",T44="",V44="",X44="",AC44="",AG44="",AI44="",AK44=""),"",IF(BD44="Deemed",BH44,IF(BD44="Calculated",BE44,""))),"")</f>
        <v/>
      </c>
      <c r="AP44" s="817"/>
      <c r="AQ44" s="817"/>
      <c r="AR44" s="819" t="str">
        <f>IFERROR(IF(OR(C44="",G44="",M44="",O44="",R44="",T44="",V44="",X44="",AC44="",AG44="",AI44="",AK44=""),"",IF(BY44&lt;&gt;"",BY44,IF(BP44&gt;0,BP44,ROUND(IF(AO44&lt;=0,0,MIN(BL44,BQ44)),2)))),"")</f>
        <v/>
      </c>
      <c r="AS44" s="820"/>
      <c r="AT44" s="820"/>
      <c r="AU44" s="821"/>
      <c r="AV44" s="17"/>
      <c r="AX44" s="773" t="str">
        <f>IFERROR(IF(OR(C44="",G44="",M44="",O44="",R44="",T44="",V44="",X44="",AC44="",AG44="",AI44="",AK44=""),"",INDEX(STDLIGHT[Current Unit],MATCH(G44,STDLIGHT[Measure Name],0))),"Err")</f>
        <v/>
      </c>
      <c r="AY44" s="759" t="str">
        <f t="shared" ref="AY44" si="65">IF(V44="", "",  V44)</f>
        <v/>
      </c>
      <c r="AZ44" s="759" t="str">
        <f t="shared" ref="AZ44" si="66">IF(V44="", "",  V44)</f>
        <v/>
      </c>
      <c r="BA44" s="771"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B44" s="771"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C44" s="773" t="str">
        <f>IFERROR(IF(OR(C44="",G44="",M44="",O44="",R44="",T44="",V44="",X44="",AC44="",AG44="",AI44="",AK44=""),"",INDEX(STDLIGHT[End Use],MATCH(G44,STDLIGHT[Measure Name],0))),"Err")</f>
        <v/>
      </c>
      <c r="BD44" s="757" t="str">
        <f>IFERROR(IF(OR(C44="",G44="",M44="",O44="",R44="",T44="",V44="",X44="",AC44="",AG44="",AI44="",AK44=""),"",INDEX(STDLIGHT[Reporting Methodology],MATCH(G44,STDLIGHT[Measure Name],0))),"Err")</f>
        <v/>
      </c>
      <c r="BE44" s="775" t="str">
        <f>IFERROR(IF(OR(C44="",G44="",M44="",O44="",R44="",T44="",V44="",X44="",AC44="",AG44="",AI44="",AK44=""),"",
IF(BA44&lt;=BB44,0,
IF(OR(ISNUMBER(SEARCH("Exterior",C44)),ISNUMBER(SEARCH("Parking",C44)),M02S04F22="Unconditioned",M02S04F22="Electric Heat Only",M02S04F22="Natural Gas Heat Only"),ROUND((R44-T44)*V44*X44/1000,4),
ROUND((R44-T44)*V44*X44/1000*INDEX(BUILDINGTYPE[Waste Heat Factor (e)],MATCH(M02S04F19,BUILDINGTYPE[Building Type],0)),4)))),"")</f>
        <v/>
      </c>
      <c r="BF44" s="775" t="str">
        <f>IFERROR(IF(OR(C44="",G44="",M44="",O44="",R44="",T44="",V44="",X44="",AC44="",AG44="",AI44="",AK44=""),"",
IF(BA44&lt;=BB44,0,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761"/>
      <c r="BH44" s="775" t="str" cm="1">
        <f t="array" ref="BH44">IF(OR(C44="",G44="",M44="",O44="",R44="",T44="",V44="",X44="",AC44="",AG44="",AI44="",AK44=""),"",IFERROR(IF(G44="","",IF(C44&lt;&gt;INDEX(STDLIGHT[Eff Category 1],MATCH(G44,STDLIGHT[Measure Name],0)),0,
IF(BA44&lt;=BB44,0,
ROUND(V44*INDEX(_xlfn.SWITCH(Program_Banner,"Business Energy Savings",STDLIGHT[Electric Energy Savings WBE (Annual kWh/unit)],"Small Business / Non-Profit",STDLIGHT[Electric Energy Savings HTRB (Annual kWh/unit)],0),MATCH('M03-S02'!G44,STDLIGHT[Measure Name],0)),4)))),""))</f>
        <v/>
      </c>
      <c r="BI44" s="775" t="str" cm="1">
        <f t="array" ref="BI44">IF(OR(C44="",G44="",M44="",O44="",R44="",T44="",V44="",X44="",AC44="",AG44="",AI44="",AK44=""),"",IFERROR(IF(G44="","",IF(C44&lt;&gt;INDEX(STDLIGHT[Eff Category 1],MATCH(G44,STDLIGHT[Measure Name],0)),0,
IF(BA44&lt;=BB44,0,
ROUND(V44*INDEX(_xlfn.SWITCH(Program_Banner,"Business Energy Savings",STDLIGHT[Coincident Peak Demand Savings WBE (kW/unit)],"Small Business / Non-Profit",STDLIGHT[Coincident Peak Demand Savings HTRB (kW/unit)],0),MATCH('M03-S02'!G44,STDLIGHT[Measure Name],0)),4)))),""))</f>
        <v/>
      </c>
      <c r="BJ44" s="777" t="str">
        <f>IFERROR(INDEX(STDLIGHT[Measure Life (Years)],MATCH(G44,STDLIGHT[Measure Name],0)),"")</f>
        <v/>
      </c>
      <c r="BK44" s="767" t="str">
        <f>IFERROR(IF(OR(C44="",G44="",M44="",O44="",R44="",T44="",V44="",X44="",AC44="",AG44="",AI44="",AK44=""),"",
ROUND(((1+ELOSS)*((BE44*INDEX(ELECCB[NPV AEC $/kWh],MATCH(BJ44,ELECCB[Year Number],1)))+(BF44*INDEX(ELECCB[NPV ACC $/kW],MATCH(BJ44,ELECCB[Year Number],1))))),2)),0)</f>
        <v/>
      </c>
      <c r="BL44" s="767" t="str">
        <f t="shared" si="2"/>
        <v/>
      </c>
      <c r="BM44" s="767" t="str">
        <f>IF(OR(G44="", V44=""), "", V44 * INDEX(STDLIGHT[Incremental Measure Cost ($/Unit)],MATCH(G44,STDLIGHT[Measure Name],0)))</f>
        <v/>
      </c>
      <c r="BN44" s="763" t="str">
        <f t="shared" si="3"/>
        <v/>
      </c>
      <c r="BO44" s="763" t="str">
        <f>IFERROR(IF(BM44 &lt;&gt; "", BM44, BL44) / M02S04F06 / AO44, "")</f>
        <v/>
      </c>
      <c r="BP44" s="769"/>
      <c r="BQ44" s="767" t="str">
        <f t="shared" ref="BQ44" si="67">IFERROR(ROUND(V44*AM44, 2), "")</f>
        <v/>
      </c>
      <c r="BR44" s="765"/>
      <c r="BS44" s="765"/>
      <c r="BT44" s="765"/>
      <c r="BU44" s="757" t="str">
        <f t="shared" ref="BU44" si="68">IFERROR(IF(BP44="",IF(AR44 &lt; BQ44, "100% Total Cost", ""), ""), "")</f>
        <v/>
      </c>
      <c r="BV44" s="767" t="str">
        <f t="shared" si="4"/>
        <v/>
      </c>
      <c r="BW44" s="757" t="str">
        <f>IFERROR(IF(OR(C44="",G44="",M44="",O44="",R44="",T44="",V44="",X44="",AC44="",AG44="",AI44="",AK44=""),"",IF(BY44&lt;&gt;"", SPILLOVERNUMBER, INDEX(STDLIGHT[Measure Number],MATCH(G44,STDLIGHT[Measure Name],0)))),"Err")</f>
        <v/>
      </c>
      <c r="BX44" s="757" t="str" cm="1">
        <f t="array" ref="BX44">IFERROR(INDEX(_xlfn.SWITCH(Program_Banner,"Business Energy Savings",STDLIGHT[Primary Key WBE],"Small Business / Non-Profit",STDLIGHT[Primary Key HTRB],0),MATCH(BW44,STDLIGHT[Measure Number],0)),"")</f>
        <v/>
      </c>
      <c r="BY44" s="757" t="str">
        <f>IFERROR(IF(OR(C44="",G44="",M44="",O44="",R44="",T44="",V44="",X44="",AC44="",AG44="",AI44="",AK44=""),"",
IF(BP44&gt;0,"",
IF(EXPIRATION&lt;&gt;"",PROJSTATEXP,
IF(M02S04F19="",MEASUREBLDG,
IF(BA44&lt;=BB44,MEASURESAVE,""))))),MEASURESUBMIT)</f>
        <v/>
      </c>
      <c r="BZ44" s="753"/>
      <c r="CA44" s="753"/>
      <c r="CB44" s="753"/>
      <c r="CC44" s="753"/>
    </row>
    <row r="45" spans="2:81" ht="15.95" customHeight="1">
      <c r="B45" s="785"/>
      <c r="C45" s="786"/>
      <c r="D45" s="787"/>
      <c r="E45" s="787"/>
      <c r="F45" s="788"/>
      <c r="G45" s="791"/>
      <c r="H45" s="792"/>
      <c r="I45" s="792"/>
      <c r="J45" s="792"/>
      <c r="K45" s="792"/>
      <c r="L45" s="792"/>
      <c r="M45" s="786"/>
      <c r="N45" s="788"/>
      <c r="O45" s="786"/>
      <c r="P45" s="787"/>
      <c r="Q45" s="788"/>
      <c r="R45" s="798"/>
      <c r="S45" s="799"/>
      <c r="T45" s="799"/>
      <c r="U45" s="800"/>
      <c r="V45" s="802"/>
      <c r="W45" s="802"/>
      <c r="X45" s="804"/>
      <c r="Y45" s="804"/>
      <c r="Z45" s="793"/>
      <c r="AA45" s="795"/>
      <c r="AB45" s="794"/>
      <c r="AC45" s="793"/>
      <c r="AD45" s="795"/>
      <c r="AE45" s="795"/>
      <c r="AF45" s="794"/>
      <c r="AG45" s="806"/>
      <c r="AH45" s="786"/>
      <c r="AI45" s="809"/>
      <c r="AJ45" s="810"/>
      <c r="AK45" s="810"/>
      <c r="AL45" s="812"/>
      <c r="AM45" s="815"/>
      <c r="AN45" s="816"/>
      <c r="AO45" s="818"/>
      <c r="AP45" s="818"/>
      <c r="AQ45" s="818"/>
      <c r="AR45" s="822"/>
      <c r="AS45" s="823"/>
      <c r="AT45" s="823"/>
      <c r="AU45" s="824"/>
      <c r="AV45" s="17"/>
      <c r="AX45" s="774"/>
      <c r="AY45" s="760"/>
      <c r="AZ45" s="760"/>
      <c r="BA45" s="772"/>
      <c r="BB45" s="772"/>
      <c r="BC45" s="774"/>
      <c r="BD45" s="758"/>
      <c r="BE45" s="776"/>
      <c r="BF45" s="776"/>
      <c r="BG45" s="762"/>
      <c r="BH45" s="776"/>
      <c r="BI45" s="776"/>
      <c r="BJ45" s="778"/>
      <c r="BK45" s="768"/>
      <c r="BL45" s="768"/>
      <c r="BM45" s="768"/>
      <c r="BN45" s="764"/>
      <c r="BO45" s="764"/>
      <c r="BP45" s="770"/>
      <c r="BQ45" s="768"/>
      <c r="BR45" s="766"/>
      <c r="BS45" s="766"/>
      <c r="BT45" s="766"/>
      <c r="BU45" s="758"/>
      <c r="BV45" s="768"/>
      <c r="BW45" s="758"/>
      <c r="BX45" s="758"/>
      <c r="BY45" s="758"/>
      <c r="BZ45" s="754"/>
      <c r="CA45" s="754"/>
      <c r="CB45" s="754"/>
      <c r="CC45" s="754"/>
    </row>
    <row r="46" spans="2:81" ht="15.95" customHeight="1">
      <c r="B46" s="785">
        <v>15</v>
      </c>
      <c r="C46" s="786"/>
      <c r="D46" s="787"/>
      <c r="E46" s="787"/>
      <c r="F46" s="788"/>
      <c r="G46" s="789"/>
      <c r="H46" s="790"/>
      <c r="I46" s="790"/>
      <c r="J46" s="790"/>
      <c r="K46" s="790"/>
      <c r="L46" s="790"/>
      <c r="M46" s="793"/>
      <c r="N46" s="794"/>
      <c r="O46" s="793"/>
      <c r="P46" s="795"/>
      <c r="Q46" s="794"/>
      <c r="R46" s="796"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797"/>
      <c r="T46" s="799" t="str">
        <f t="shared" ref="T46" si="69">IF(C46="Permanent Lamp Removal",0,"")</f>
        <v/>
      </c>
      <c r="U46" s="800"/>
      <c r="V46" s="801"/>
      <c r="W46" s="801"/>
      <c r="X46" s="803"/>
      <c r="Y46" s="803"/>
      <c r="Z46" s="873"/>
      <c r="AA46" s="874"/>
      <c r="AB46" s="875"/>
      <c r="AC46" s="825"/>
      <c r="AD46" s="826"/>
      <c r="AE46" s="826"/>
      <c r="AF46" s="827"/>
      <c r="AG46" s="805"/>
      <c r="AH46" s="793"/>
      <c r="AI46" s="807"/>
      <c r="AJ46" s="808"/>
      <c r="AK46" s="808"/>
      <c r="AL46" s="811"/>
      <c r="AM46" s="813" t="str" cm="1">
        <f t="array" ref="AM46">IFERROR(IF(G46="","",IF(C46&lt;&gt;INDEX(STDLIGHT[Eff Category 1],MATCH(G46,STDLIGHT[Measure Name],0)),0,INDEX(IF(AND(ACTIVEBONUS = TRUE,INDEX(STDLIGHT[Bonus Incentive],MATCH(G46,STDLIGHT[Measure Name],0))&lt;&gt; ""),STDLIGHT[Bonus Incentive],_xlfn.SWITCH(Program_Banner,"Business Energy Savings",STDLIGHT[BESP Incentive],"Small Business / Non-Profit",STDLIGHT[SBNP Incentive],0)),MATCH(G46,STDLIGHT[Measure Name],0)))),"")</f>
        <v/>
      </c>
      <c r="AN46" s="814"/>
      <c r="AO46" s="817" t="str">
        <f>IFERROR(IF(OR(C46="",G46="",M46="",O46="",R46="",T46="",V46="",X46="",AC46="",AG46="",AI46="",AK46=""),"",IF(BD46="Deemed",BH46,IF(BD46="Calculated",BE46,""))),"")</f>
        <v/>
      </c>
      <c r="AP46" s="817"/>
      <c r="AQ46" s="817"/>
      <c r="AR46" s="819" t="str">
        <f>IFERROR(IF(OR(C46="",G46="",M46="",O46="",R46="",T46="",V46="",X46="",AC46="",AG46="",AI46="",AK46=""),"",IF(BY46&lt;&gt;"",BY46,IF(BP46&gt;0,BP46,ROUND(IF(AO46&lt;=0,0,MIN(BL46,BQ46)),2)))),"")</f>
        <v/>
      </c>
      <c r="AS46" s="820"/>
      <c r="AT46" s="820"/>
      <c r="AU46" s="821"/>
      <c r="AV46" s="17"/>
      <c r="AX46" s="773" t="str">
        <f>IFERROR(IF(OR(C46="",G46="",M46="",O46="",R46="",T46="",V46="",X46="",AC46="",AG46="",AI46="",AK46=""),"",INDEX(STDLIGHT[Current Unit],MATCH(G46,STDLIGHT[Measure Name],0))),"Err")</f>
        <v/>
      </c>
      <c r="AY46" s="759" t="str">
        <f t="shared" ref="AY46" si="70">IF(V46="", "",  V46)</f>
        <v/>
      </c>
      <c r="AZ46" s="759" t="str">
        <f t="shared" ref="AZ46" si="71">IF(V46="", "",  V46)</f>
        <v/>
      </c>
      <c r="BA46" s="771"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B46" s="771"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C46" s="773" t="str">
        <f>IFERROR(IF(OR(C46="",G46="",M46="",O46="",R46="",T46="",V46="",X46="",AC46="",AG46="",AI46="",AK46=""),"",INDEX(STDLIGHT[End Use],MATCH(G46,STDLIGHT[Measure Name],0))),"Err")</f>
        <v/>
      </c>
      <c r="BD46" s="757" t="str">
        <f>IFERROR(IF(OR(C46="",G46="",M46="",O46="",R46="",T46="",V46="",X46="",AC46="",AG46="",AI46="",AK46=""),"",INDEX(STDLIGHT[Reporting Methodology],MATCH(G46,STDLIGHT[Measure Name],0))),"Err")</f>
        <v/>
      </c>
      <c r="BE46" s="775" t="str">
        <f>IFERROR(IF(OR(C46="",G46="",M46="",O46="",R46="",T46="",V46="",X46="",AC46="",AG46="",AI46="",AK46=""),"",
IF(BA46&lt;=BB46,0,
IF(OR(ISNUMBER(SEARCH("Exterior",C46)),ISNUMBER(SEARCH("Parking",C46)),M02S04F22="Unconditioned",M02S04F22="Electric Heat Only",M02S04F22="Natural Gas Heat Only"),ROUND((R46-T46)*V46*X46/1000,4),
ROUND((R46-T46)*V46*X46/1000*INDEX(BUILDINGTYPE[Waste Heat Factor (e)],MATCH(M02S04F19,BUILDINGTYPE[Building Type],0)),4)))),"")</f>
        <v/>
      </c>
      <c r="BF46" s="775" t="str">
        <f>IFERROR(IF(OR(C46="",G46="",M46="",O46="",R46="",T46="",V46="",X46="",AC46="",AG46="",AI46="",AK46=""),"",
IF(BA46&lt;=BB46,0,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761"/>
      <c r="BH46" s="775" t="str" cm="1">
        <f t="array" ref="BH46">IF(OR(C46="",G46="",M46="",O46="",R46="",T46="",V46="",X46="",AC46="",AG46="",AI46="",AK46=""),"",IFERROR(IF(G46="","",IF(C46&lt;&gt;INDEX(STDLIGHT[Eff Category 1],MATCH(G46,STDLIGHT[Measure Name],0)),0,
IF(BA46&lt;=BB46,0,
ROUND(V46*INDEX(_xlfn.SWITCH(Program_Banner,"Business Energy Savings",STDLIGHT[Electric Energy Savings WBE (Annual kWh/unit)],"Small Business / Non-Profit",STDLIGHT[Electric Energy Savings HTRB (Annual kWh/unit)],0),MATCH('M03-S02'!G46,STDLIGHT[Measure Name],0)),4)))),""))</f>
        <v/>
      </c>
      <c r="BI46" s="775" t="str" cm="1">
        <f t="array" ref="BI46">IF(OR(C46="",G46="",M46="",O46="",R46="",T46="",V46="",X46="",AC46="",AG46="",AI46="",AK46=""),"",IFERROR(IF(G46="","",IF(C46&lt;&gt;INDEX(STDLIGHT[Eff Category 1],MATCH(G46,STDLIGHT[Measure Name],0)),0,
IF(BA46&lt;=BB46,0,
ROUND(V46*INDEX(_xlfn.SWITCH(Program_Banner,"Business Energy Savings",STDLIGHT[Coincident Peak Demand Savings WBE (kW/unit)],"Small Business / Non-Profit",STDLIGHT[Coincident Peak Demand Savings HTRB (kW/unit)],0),MATCH('M03-S02'!G46,STDLIGHT[Measure Name],0)),4)))),""))</f>
        <v/>
      </c>
      <c r="BJ46" s="777" t="str">
        <f>IFERROR(INDEX(STDLIGHT[Measure Life (Years)],MATCH(G46,STDLIGHT[Measure Name],0)),"")</f>
        <v/>
      </c>
      <c r="BK46" s="767" t="str">
        <f>IFERROR(IF(OR(C46="",G46="",M46="",O46="",R46="",T46="",V46="",X46="",AC46="",AG46="",AI46="",AK46=""),"",
ROUND(((1+ELOSS)*((BE46*INDEX(ELECCB[NPV AEC $/kWh],MATCH(BJ46,ELECCB[Year Number],1)))+(BF46*INDEX(ELECCB[NPV ACC $/kW],MATCH(BJ46,ELECCB[Year Number],1))))),2)),0)</f>
        <v/>
      </c>
      <c r="BL46" s="767" t="str">
        <f t="shared" si="2"/>
        <v/>
      </c>
      <c r="BM46" s="767" t="str">
        <f>IF(OR(G46="", V46=""), "", V46 * INDEX(STDLIGHT[Incremental Measure Cost ($/Unit)],MATCH(G46,STDLIGHT[Measure Name],0)))</f>
        <v/>
      </c>
      <c r="BN46" s="763" t="str">
        <f t="shared" si="3"/>
        <v/>
      </c>
      <c r="BO46" s="763" t="str">
        <f>IFERROR(IF(BM46 &lt;&gt; "", BM46, BL46) / M02S04F06 / AO46, "")</f>
        <v/>
      </c>
      <c r="BP46" s="769"/>
      <c r="BQ46" s="767" t="str">
        <f t="shared" ref="BQ46" si="72">IFERROR(ROUND(V46*AM46, 2), "")</f>
        <v/>
      </c>
      <c r="BR46" s="765"/>
      <c r="BS46" s="765"/>
      <c r="BT46" s="765"/>
      <c r="BU46" s="757" t="str">
        <f t="shared" ref="BU46" si="73">IFERROR(IF(BP46="",IF(AR46 &lt; BQ46, "100% Total Cost", ""), ""), "")</f>
        <v/>
      </c>
      <c r="BV46" s="767" t="str">
        <f t="shared" si="4"/>
        <v/>
      </c>
      <c r="BW46" s="757" t="str">
        <f>IFERROR(IF(OR(C46="",G46="",M46="",O46="",R46="",T46="",V46="",X46="",AC46="",AG46="",AI46="",AK46=""),"",IF(BY46&lt;&gt;"", SPILLOVERNUMBER, INDEX(STDLIGHT[Measure Number],MATCH(G46,STDLIGHT[Measure Name],0)))),"Err")</f>
        <v/>
      </c>
      <c r="BX46" s="757" t="str" cm="1">
        <f t="array" ref="BX46">IFERROR(INDEX(_xlfn.SWITCH(Program_Banner,"Business Energy Savings",STDLIGHT[Primary Key WBE],"Small Business / Non-Profit",STDLIGHT[Primary Key HTRB],0),MATCH(BW46,STDLIGHT[Measure Number],0)),"")</f>
        <v/>
      </c>
      <c r="BY46" s="757" t="str">
        <f>IFERROR(IF(OR(C46="",G46="",M46="",O46="",R46="",T46="",V46="",X46="",AC46="",AG46="",AI46="",AK46=""),"",
IF(BP46&gt;0,"",
IF(EXPIRATION&lt;&gt;"",PROJSTATEXP,
IF(M02S04F19="",MEASUREBLDG,
IF(BA46&lt;=BB46,MEASURESAVE,""))))),MEASURESUBMIT)</f>
        <v/>
      </c>
      <c r="BZ46" s="753"/>
      <c r="CA46" s="753"/>
      <c r="CB46" s="753"/>
      <c r="CC46" s="753"/>
    </row>
    <row r="47" spans="2:81" ht="15.95" customHeight="1">
      <c r="B47" s="785"/>
      <c r="C47" s="786"/>
      <c r="D47" s="787"/>
      <c r="E47" s="787"/>
      <c r="F47" s="788"/>
      <c r="G47" s="791"/>
      <c r="H47" s="792"/>
      <c r="I47" s="792"/>
      <c r="J47" s="792"/>
      <c r="K47" s="792"/>
      <c r="L47" s="792"/>
      <c r="M47" s="786"/>
      <c r="N47" s="788"/>
      <c r="O47" s="786"/>
      <c r="P47" s="787"/>
      <c r="Q47" s="788"/>
      <c r="R47" s="798"/>
      <c r="S47" s="799"/>
      <c r="T47" s="799"/>
      <c r="U47" s="800"/>
      <c r="V47" s="802"/>
      <c r="W47" s="802"/>
      <c r="X47" s="804"/>
      <c r="Y47" s="804"/>
      <c r="Z47" s="793"/>
      <c r="AA47" s="795"/>
      <c r="AB47" s="794"/>
      <c r="AC47" s="793"/>
      <c r="AD47" s="795"/>
      <c r="AE47" s="795"/>
      <c r="AF47" s="794"/>
      <c r="AG47" s="806"/>
      <c r="AH47" s="786"/>
      <c r="AI47" s="809"/>
      <c r="AJ47" s="810"/>
      <c r="AK47" s="810"/>
      <c r="AL47" s="812"/>
      <c r="AM47" s="815"/>
      <c r="AN47" s="816"/>
      <c r="AO47" s="818"/>
      <c r="AP47" s="818"/>
      <c r="AQ47" s="818"/>
      <c r="AR47" s="822"/>
      <c r="AS47" s="823"/>
      <c r="AT47" s="823"/>
      <c r="AU47" s="824"/>
      <c r="AV47" s="17"/>
      <c r="AX47" s="774"/>
      <c r="AY47" s="760"/>
      <c r="AZ47" s="760"/>
      <c r="BA47" s="772"/>
      <c r="BB47" s="772"/>
      <c r="BC47" s="774"/>
      <c r="BD47" s="758"/>
      <c r="BE47" s="776"/>
      <c r="BF47" s="776"/>
      <c r="BG47" s="762"/>
      <c r="BH47" s="776"/>
      <c r="BI47" s="776"/>
      <c r="BJ47" s="778"/>
      <c r="BK47" s="768"/>
      <c r="BL47" s="768"/>
      <c r="BM47" s="768"/>
      <c r="BN47" s="764"/>
      <c r="BO47" s="764"/>
      <c r="BP47" s="770"/>
      <c r="BQ47" s="768"/>
      <c r="BR47" s="766"/>
      <c r="BS47" s="766"/>
      <c r="BT47" s="766"/>
      <c r="BU47" s="758"/>
      <c r="BV47" s="768"/>
      <c r="BW47" s="758"/>
      <c r="BX47" s="758"/>
      <c r="BY47" s="758"/>
      <c r="BZ47" s="754"/>
      <c r="CA47" s="754"/>
      <c r="CB47" s="754"/>
      <c r="CC47" s="754"/>
    </row>
    <row r="48" spans="2:81" ht="15.95" customHeight="1">
      <c r="B48" s="785">
        <v>16</v>
      </c>
      <c r="C48" s="786"/>
      <c r="D48" s="787"/>
      <c r="E48" s="787"/>
      <c r="F48" s="788"/>
      <c r="G48" s="789"/>
      <c r="H48" s="790"/>
      <c r="I48" s="790"/>
      <c r="J48" s="790"/>
      <c r="K48" s="790"/>
      <c r="L48" s="790"/>
      <c r="M48" s="793"/>
      <c r="N48" s="794"/>
      <c r="O48" s="793"/>
      <c r="P48" s="795"/>
      <c r="Q48" s="794"/>
      <c r="R48" s="796"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797"/>
      <c r="T48" s="799" t="str">
        <f t="shared" ref="T48" si="74">IF(C48="Permanent Lamp Removal",0,"")</f>
        <v/>
      </c>
      <c r="U48" s="800"/>
      <c r="V48" s="801"/>
      <c r="W48" s="801"/>
      <c r="X48" s="803"/>
      <c r="Y48" s="803"/>
      <c r="Z48" s="873"/>
      <c r="AA48" s="874"/>
      <c r="AB48" s="875"/>
      <c r="AC48" s="825"/>
      <c r="AD48" s="826"/>
      <c r="AE48" s="826"/>
      <c r="AF48" s="827"/>
      <c r="AG48" s="805"/>
      <c r="AH48" s="793"/>
      <c r="AI48" s="807"/>
      <c r="AJ48" s="808"/>
      <c r="AK48" s="808"/>
      <c r="AL48" s="811"/>
      <c r="AM48" s="813" t="str" cm="1">
        <f t="array" ref="AM48">IFERROR(IF(G48="","",IF(C48&lt;&gt;INDEX(STDLIGHT[Eff Category 1],MATCH(G48,STDLIGHT[Measure Name],0)),0,INDEX(IF(AND(ACTIVEBONUS = TRUE,INDEX(STDLIGHT[Bonus Incentive],MATCH(G48,STDLIGHT[Measure Name],0))&lt;&gt; ""),STDLIGHT[Bonus Incentive],_xlfn.SWITCH(Program_Banner,"Business Energy Savings",STDLIGHT[BESP Incentive],"Small Business / Non-Profit",STDLIGHT[SBNP Incentive],0)),MATCH(G48,STDLIGHT[Measure Name],0)))),"")</f>
        <v/>
      </c>
      <c r="AN48" s="814"/>
      <c r="AO48" s="817" t="str">
        <f>IFERROR(IF(OR(C48="",G48="",M48="",O48="",R48="",T48="",V48="",X48="",AC48="",AG48="",AI48="",AK48=""),"",IF(BD48="Deemed",BH48,IF(BD48="Calculated",BE48,""))),"")</f>
        <v/>
      </c>
      <c r="AP48" s="817"/>
      <c r="AQ48" s="817"/>
      <c r="AR48" s="819" t="str">
        <f>IFERROR(IF(OR(C48="",G48="",M48="",O48="",R48="",T48="",V48="",X48="",AC48="",AG48="",AI48="",AK48=""),"",IF(BY48&lt;&gt;"",BY48,IF(BP48&gt;0,BP48,ROUND(IF(AO48&lt;=0,0,MIN(BL48,BQ48)),2)))),"")</f>
        <v/>
      </c>
      <c r="AS48" s="820"/>
      <c r="AT48" s="820"/>
      <c r="AU48" s="821"/>
      <c r="AV48" s="17"/>
      <c r="AX48" s="773" t="str">
        <f>IFERROR(IF(OR(C48="",G48="",M48="",O48="",R48="",T48="",V48="",X48="",AC48="",AG48="",AI48="",AK48=""),"",INDEX(STDLIGHT[Current Unit],MATCH(G48,STDLIGHT[Measure Name],0))),"Err")</f>
        <v/>
      </c>
      <c r="AY48" s="759" t="str">
        <f t="shared" ref="AY48" si="75">IF(V48="", "",  V48)</f>
        <v/>
      </c>
      <c r="AZ48" s="759" t="str">
        <f t="shared" ref="AZ48" si="76">IF(V48="", "",  V48)</f>
        <v/>
      </c>
      <c r="BA48" s="771"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B48" s="771"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C48" s="773" t="str">
        <f>IFERROR(IF(OR(C48="",G48="",M48="",O48="",R48="",T48="",V48="",X48="",AC48="",AG48="",AI48="",AK48=""),"",INDEX(STDLIGHT[End Use],MATCH(G48,STDLIGHT[Measure Name],0))),"Err")</f>
        <v/>
      </c>
      <c r="BD48" s="757" t="str">
        <f>IFERROR(IF(OR(C48="",G48="",M48="",O48="",R48="",T48="",V48="",X48="",AC48="",AG48="",AI48="",AK48=""),"",INDEX(STDLIGHT[Reporting Methodology],MATCH(G48,STDLIGHT[Measure Name],0))),"Err")</f>
        <v/>
      </c>
      <c r="BE48" s="775" t="str">
        <f>IFERROR(IF(OR(C48="",G48="",M48="",O48="",R48="",T48="",V48="",X48="",AC48="",AG48="",AI48="",AK48=""),"",
IF(BA48&lt;=BB48,0,
IF(OR(ISNUMBER(SEARCH("Exterior",C48)),ISNUMBER(SEARCH("Parking",C48)),M02S04F22="Unconditioned",M02S04F22="Electric Heat Only",M02S04F22="Natural Gas Heat Only"),ROUND((R48-T48)*V48*X48/1000,4),
ROUND((R48-T48)*V48*X48/1000*INDEX(BUILDINGTYPE[Waste Heat Factor (e)],MATCH(M02S04F19,BUILDINGTYPE[Building Type],0)),4)))),"")</f>
        <v/>
      </c>
      <c r="BF48" s="775" t="str">
        <f>IFERROR(IF(OR(C48="",G48="",M48="",O48="",R48="",T48="",V48="",X48="",AC48="",AG48="",AI48="",AK48=""),"",
IF(BA48&lt;=BB48,0,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761"/>
      <c r="BH48" s="775" t="str" cm="1">
        <f t="array" ref="BH48">IF(OR(C48="",G48="",M48="",O48="",R48="",T48="",V48="",X48="",AC48="",AG48="",AI48="",AK48=""),"",IFERROR(IF(G48="","",IF(C48&lt;&gt;INDEX(STDLIGHT[Eff Category 1],MATCH(G48,STDLIGHT[Measure Name],0)),0,
IF(BA48&lt;=BB48,0,
ROUND(V48*INDEX(_xlfn.SWITCH(Program_Banner,"Business Energy Savings",STDLIGHT[Electric Energy Savings WBE (Annual kWh/unit)],"Small Business / Non-Profit",STDLIGHT[Electric Energy Savings HTRB (Annual kWh/unit)],0),MATCH('M03-S02'!G48,STDLIGHT[Measure Name],0)),4)))),""))</f>
        <v/>
      </c>
      <c r="BI48" s="775" t="str" cm="1">
        <f t="array" ref="BI48">IF(OR(C48="",G48="",M48="",O48="",R48="",T48="",V48="",X48="",AC48="",AG48="",AI48="",AK48=""),"",IFERROR(IF(G48="","",IF(C48&lt;&gt;INDEX(STDLIGHT[Eff Category 1],MATCH(G48,STDLIGHT[Measure Name],0)),0,
IF(BA48&lt;=BB48,0,
ROUND(V48*INDEX(_xlfn.SWITCH(Program_Banner,"Business Energy Savings",STDLIGHT[Coincident Peak Demand Savings WBE (kW/unit)],"Small Business / Non-Profit",STDLIGHT[Coincident Peak Demand Savings HTRB (kW/unit)],0),MATCH('M03-S02'!G48,STDLIGHT[Measure Name],0)),4)))),""))</f>
        <v/>
      </c>
      <c r="BJ48" s="777" t="str">
        <f>IFERROR(INDEX(STDLIGHT[Measure Life (Years)],MATCH(G48,STDLIGHT[Measure Name],0)),"")</f>
        <v/>
      </c>
      <c r="BK48" s="767" t="str">
        <f>IFERROR(IF(OR(C48="",G48="",M48="",O48="",R48="",T48="",V48="",X48="",AC48="",AG48="",AI48="",AK48=""),"",
ROUND(((1+ELOSS)*((BE48*INDEX(ELECCB[NPV AEC $/kWh],MATCH(BJ48,ELECCB[Year Number],1)))+(BF48*INDEX(ELECCB[NPV ACC $/kW],MATCH(BJ48,ELECCB[Year Number],1))))),2)),0)</f>
        <v/>
      </c>
      <c r="BL48" s="767" t="str">
        <f t="shared" si="2"/>
        <v/>
      </c>
      <c r="BM48" s="767" t="str">
        <f>IF(OR(G48="", V48=""), "", V48 * INDEX(STDLIGHT[Incremental Measure Cost ($/Unit)],MATCH(G48,STDLIGHT[Measure Name],0)))</f>
        <v/>
      </c>
      <c r="BN48" s="763" t="str">
        <f t="shared" si="3"/>
        <v/>
      </c>
      <c r="BO48" s="763" t="str">
        <f>IFERROR(IF(BM48 &lt;&gt; "", BM48, BL48) / M02S04F06 / AO48, "")</f>
        <v/>
      </c>
      <c r="BP48" s="769"/>
      <c r="BQ48" s="767" t="str">
        <f t="shared" ref="BQ48" si="77">IFERROR(ROUND(V48*AM48, 2), "")</f>
        <v/>
      </c>
      <c r="BR48" s="765"/>
      <c r="BS48" s="765"/>
      <c r="BT48" s="765"/>
      <c r="BU48" s="757" t="str">
        <f t="shared" ref="BU48" si="78">IFERROR(IF(BP48="",IF(AR48 &lt; BQ48, "100% Total Cost", ""), ""), "")</f>
        <v/>
      </c>
      <c r="BV48" s="767" t="str">
        <f t="shared" si="4"/>
        <v/>
      </c>
      <c r="BW48" s="757" t="str">
        <f>IFERROR(IF(OR(C48="",G48="",M48="",O48="",R48="",T48="",V48="",X48="",AC48="",AG48="",AI48="",AK48=""),"",IF(BY48&lt;&gt;"", SPILLOVERNUMBER, INDEX(STDLIGHT[Measure Number],MATCH(G48,STDLIGHT[Measure Name],0)))),"Err")</f>
        <v/>
      </c>
      <c r="BX48" s="757" t="str" cm="1">
        <f t="array" ref="BX48">IFERROR(INDEX(_xlfn.SWITCH(Program_Banner,"Business Energy Savings",STDLIGHT[Primary Key WBE],"Small Business / Non-Profit",STDLIGHT[Primary Key HTRB],0),MATCH(BW48,STDLIGHT[Measure Number],0)),"")</f>
        <v/>
      </c>
      <c r="BY48" s="757" t="str">
        <f>IFERROR(IF(OR(C48="",G48="",M48="",O48="",R48="",T48="",V48="",X48="",AC48="",AG48="",AI48="",AK48=""),"",
IF(BP48&gt;0,"",
IF(EXPIRATION&lt;&gt;"",PROJSTATEXP,
IF(M02S04F19="",MEASUREBLDG,
IF(BA48&lt;=BB48,MEASURESAVE,""))))),MEASURESUBMIT)</f>
        <v/>
      </c>
      <c r="BZ48" s="753"/>
      <c r="CA48" s="753"/>
      <c r="CB48" s="753"/>
      <c r="CC48" s="753"/>
    </row>
    <row r="49" spans="2:81" ht="15.95" customHeight="1">
      <c r="B49" s="785"/>
      <c r="C49" s="786"/>
      <c r="D49" s="787"/>
      <c r="E49" s="787"/>
      <c r="F49" s="788"/>
      <c r="G49" s="791"/>
      <c r="H49" s="792"/>
      <c r="I49" s="792"/>
      <c r="J49" s="792"/>
      <c r="K49" s="792"/>
      <c r="L49" s="792"/>
      <c r="M49" s="786"/>
      <c r="N49" s="788"/>
      <c r="O49" s="786"/>
      <c r="P49" s="787"/>
      <c r="Q49" s="788"/>
      <c r="R49" s="798"/>
      <c r="S49" s="799"/>
      <c r="T49" s="799"/>
      <c r="U49" s="800"/>
      <c r="V49" s="802"/>
      <c r="W49" s="802"/>
      <c r="X49" s="804"/>
      <c r="Y49" s="804"/>
      <c r="Z49" s="793"/>
      <c r="AA49" s="795"/>
      <c r="AB49" s="794"/>
      <c r="AC49" s="793"/>
      <c r="AD49" s="795"/>
      <c r="AE49" s="795"/>
      <c r="AF49" s="794"/>
      <c r="AG49" s="806"/>
      <c r="AH49" s="786"/>
      <c r="AI49" s="809"/>
      <c r="AJ49" s="810"/>
      <c r="AK49" s="810"/>
      <c r="AL49" s="812"/>
      <c r="AM49" s="815"/>
      <c r="AN49" s="816"/>
      <c r="AO49" s="818"/>
      <c r="AP49" s="818"/>
      <c r="AQ49" s="818"/>
      <c r="AR49" s="822"/>
      <c r="AS49" s="823"/>
      <c r="AT49" s="823"/>
      <c r="AU49" s="824"/>
      <c r="AV49" s="17"/>
      <c r="AX49" s="774"/>
      <c r="AY49" s="760"/>
      <c r="AZ49" s="760"/>
      <c r="BA49" s="772"/>
      <c r="BB49" s="772"/>
      <c r="BC49" s="774"/>
      <c r="BD49" s="758"/>
      <c r="BE49" s="776"/>
      <c r="BF49" s="776"/>
      <c r="BG49" s="762"/>
      <c r="BH49" s="776"/>
      <c r="BI49" s="776"/>
      <c r="BJ49" s="778"/>
      <c r="BK49" s="768"/>
      <c r="BL49" s="768"/>
      <c r="BM49" s="768"/>
      <c r="BN49" s="764"/>
      <c r="BO49" s="764"/>
      <c r="BP49" s="770"/>
      <c r="BQ49" s="768"/>
      <c r="BR49" s="766"/>
      <c r="BS49" s="766"/>
      <c r="BT49" s="766"/>
      <c r="BU49" s="758"/>
      <c r="BV49" s="768"/>
      <c r="BW49" s="758"/>
      <c r="BX49" s="758"/>
      <c r="BY49" s="758"/>
      <c r="BZ49" s="754"/>
      <c r="CA49" s="754"/>
      <c r="CB49" s="754"/>
      <c r="CC49" s="754"/>
    </row>
    <row r="50" spans="2:81" ht="15.95" customHeight="1">
      <c r="B50" s="785">
        <v>17</v>
      </c>
      <c r="C50" s="786"/>
      <c r="D50" s="787"/>
      <c r="E50" s="787"/>
      <c r="F50" s="788"/>
      <c r="G50" s="789"/>
      <c r="H50" s="790"/>
      <c r="I50" s="790"/>
      <c r="J50" s="790"/>
      <c r="K50" s="790"/>
      <c r="L50" s="790"/>
      <c r="M50" s="793"/>
      <c r="N50" s="794"/>
      <c r="O50" s="793"/>
      <c r="P50" s="795"/>
      <c r="Q50" s="794"/>
      <c r="R50" s="796"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797"/>
      <c r="T50" s="799" t="str">
        <f t="shared" ref="T50" si="79">IF(C50="Permanent Lamp Removal",0,"")</f>
        <v/>
      </c>
      <c r="U50" s="800"/>
      <c r="V50" s="801"/>
      <c r="W50" s="801"/>
      <c r="X50" s="803"/>
      <c r="Y50" s="803"/>
      <c r="Z50" s="873"/>
      <c r="AA50" s="874"/>
      <c r="AB50" s="875"/>
      <c r="AC50" s="825"/>
      <c r="AD50" s="826"/>
      <c r="AE50" s="826"/>
      <c r="AF50" s="827"/>
      <c r="AG50" s="805"/>
      <c r="AH50" s="793"/>
      <c r="AI50" s="807"/>
      <c r="AJ50" s="808"/>
      <c r="AK50" s="808"/>
      <c r="AL50" s="811"/>
      <c r="AM50" s="813" t="str" cm="1">
        <f t="array" ref="AM50">IFERROR(IF(G50="","",IF(C50&lt;&gt;INDEX(STDLIGHT[Eff Category 1],MATCH(G50,STDLIGHT[Measure Name],0)),0,INDEX(IF(AND(ACTIVEBONUS = TRUE,INDEX(STDLIGHT[Bonus Incentive],MATCH(G50,STDLIGHT[Measure Name],0))&lt;&gt; ""),STDLIGHT[Bonus Incentive],_xlfn.SWITCH(Program_Banner,"Business Energy Savings",STDLIGHT[BESP Incentive],"Small Business / Non-Profit",STDLIGHT[SBNP Incentive],0)),MATCH(G50,STDLIGHT[Measure Name],0)))),"")</f>
        <v/>
      </c>
      <c r="AN50" s="814"/>
      <c r="AO50" s="817" t="str">
        <f>IFERROR(IF(OR(C50="",G50="",M50="",O50="",R50="",T50="",V50="",X50="",AC50="",AG50="",AI50="",AK50=""),"",IF(BD50="Deemed",BH50,IF(BD50="Calculated",BE50,""))),"")</f>
        <v/>
      </c>
      <c r="AP50" s="817"/>
      <c r="AQ50" s="817"/>
      <c r="AR50" s="819" t="str">
        <f>IFERROR(IF(OR(C50="",G50="",M50="",O50="",R50="",T50="",V50="",X50="",AC50="",AG50="",AI50="",AK50=""),"",IF(BY50&lt;&gt;"",BY50,IF(BP50&gt;0,BP50,ROUND(IF(AO50&lt;=0,0,MIN(BL50,BQ50)),2)))),"")</f>
        <v/>
      </c>
      <c r="AS50" s="820"/>
      <c r="AT50" s="820"/>
      <c r="AU50" s="821"/>
      <c r="AV50" s="17"/>
      <c r="AX50" s="773" t="str">
        <f>IFERROR(IF(OR(C50="",G50="",M50="",O50="",R50="",T50="",V50="",X50="",AC50="",AG50="",AI50="",AK50=""),"",INDEX(STDLIGHT[Current Unit],MATCH(G50,STDLIGHT[Measure Name],0))),"Err")</f>
        <v/>
      </c>
      <c r="AY50" s="759" t="str">
        <f t="shared" ref="AY50" si="80">IF(V50="", "",  V50)</f>
        <v/>
      </c>
      <c r="AZ50" s="759" t="str">
        <f t="shared" ref="AZ50" si="81">IF(V50="", "",  V50)</f>
        <v/>
      </c>
      <c r="BA50" s="771"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B50" s="771"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C50" s="773" t="str">
        <f>IFERROR(IF(OR(C50="",G50="",M50="",O50="",R50="",T50="",V50="",X50="",AC50="",AG50="",AI50="",AK50=""),"",INDEX(STDLIGHT[End Use],MATCH(G50,STDLIGHT[Measure Name],0))),"Err")</f>
        <v/>
      </c>
      <c r="BD50" s="757" t="str">
        <f>IFERROR(IF(OR(C50="",G50="",M50="",O50="",R50="",T50="",V50="",X50="",AC50="",AG50="",AI50="",AK50=""),"",INDEX(STDLIGHT[Reporting Methodology],MATCH(G50,STDLIGHT[Measure Name],0))),"Err")</f>
        <v/>
      </c>
      <c r="BE50" s="775" t="str">
        <f>IFERROR(IF(OR(C50="",G50="",M50="",O50="",R50="",T50="",V50="",X50="",AC50="",AG50="",AI50="",AK50=""),"",
IF(BA50&lt;=BB50,0,
IF(OR(ISNUMBER(SEARCH("Exterior",C50)),ISNUMBER(SEARCH("Parking",C50)),M02S04F22="Unconditioned",M02S04F22="Electric Heat Only",M02S04F22="Natural Gas Heat Only"),ROUND((R50-T50)*V50*X50/1000,4),
ROUND((R50-T50)*V50*X50/1000*INDEX(BUILDINGTYPE[Waste Heat Factor (e)],MATCH(M02S04F19,BUILDINGTYPE[Building Type],0)),4)))),"")</f>
        <v/>
      </c>
      <c r="BF50" s="775" t="str">
        <f>IFERROR(IF(OR(C50="",G50="",M50="",O50="",R50="",T50="",V50="",X50="",AC50="",AG50="",AI50="",AK50=""),"",
IF(BA50&lt;=BB50,0,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761"/>
      <c r="BH50" s="775" t="str" cm="1">
        <f t="array" ref="BH50">IF(OR(C50="",G50="",M50="",O50="",R50="",T50="",V50="",X50="",AC50="",AG50="",AI50="",AK50=""),"",IFERROR(IF(G50="","",IF(C50&lt;&gt;INDEX(STDLIGHT[Eff Category 1],MATCH(G50,STDLIGHT[Measure Name],0)),0,
IF(BA50&lt;=BB50,0,
ROUND(V50*INDEX(_xlfn.SWITCH(Program_Banner,"Business Energy Savings",STDLIGHT[Electric Energy Savings WBE (Annual kWh/unit)],"Small Business / Non-Profit",STDLIGHT[Electric Energy Savings HTRB (Annual kWh/unit)],0),MATCH('M03-S02'!G50,STDLIGHT[Measure Name],0)),4)))),""))</f>
        <v/>
      </c>
      <c r="BI50" s="775" t="str" cm="1">
        <f t="array" ref="BI50">IF(OR(C50="",G50="",M50="",O50="",R50="",T50="",V50="",X50="",AC50="",AG50="",AI50="",AK50=""),"",IFERROR(IF(G50="","",IF(C50&lt;&gt;INDEX(STDLIGHT[Eff Category 1],MATCH(G50,STDLIGHT[Measure Name],0)),0,
IF(BA50&lt;=BB50,0,
ROUND(V50*INDEX(_xlfn.SWITCH(Program_Banner,"Business Energy Savings",STDLIGHT[Coincident Peak Demand Savings WBE (kW/unit)],"Small Business / Non-Profit",STDLIGHT[Coincident Peak Demand Savings HTRB (kW/unit)],0),MATCH('M03-S02'!G50,STDLIGHT[Measure Name],0)),4)))),""))</f>
        <v/>
      </c>
      <c r="BJ50" s="777" t="str">
        <f>IFERROR(INDEX(STDLIGHT[Measure Life (Years)],MATCH(G50,STDLIGHT[Measure Name],0)),"")</f>
        <v/>
      </c>
      <c r="BK50" s="767" t="str">
        <f>IFERROR(IF(OR(C50="",G50="",M50="",O50="",R50="",T50="",V50="",X50="",AC50="",AG50="",AI50="",AK50=""),"",
ROUND(((1+ELOSS)*((BE50*INDEX(ELECCB[NPV AEC $/kWh],MATCH(BJ50,ELECCB[Year Number],1)))+(BF50*INDEX(ELECCB[NPV ACC $/kW],MATCH(BJ50,ELECCB[Year Number],1))))),2)),0)</f>
        <v/>
      </c>
      <c r="BL50" s="767" t="str">
        <f t="shared" si="2"/>
        <v/>
      </c>
      <c r="BM50" s="767" t="str">
        <f>IF(OR(G50="", V50=""), "", V50 * INDEX(STDLIGHT[Incremental Measure Cost ($/Unit)],MATCH(G50,STDLIGHT[Measure Name],0)))</f>
        <v/>
      </c>
      <c r="BN50" s="763" t="str">
        <f t="shared" si="3"/>
        <v/>
      </c>
      <c r="BO50" s="763" t="str">
        <f>IFERROR(IF(BM50 &lt;&gt; "", BM50, BL50) / M02S04F06 / AO50, "")</f>
        <v/>
      </c>
      <c r="BP50" s="769"/>
      <c r="BQ50" s="767" t="str">
        <f t="shared" ref="BQ50" si="82">IFERROR(ROUND(V50*AM50, 2), "")</f>
        <v/>
      </c>
      <c r="BR50" s="765"/>
      <c r="BS50" s="765"/>
      <c r="BT50" s="765"/>
      <c r="BU50" s="757" t="str">
        <f t="shared" ref="BU50" si="83">IFERROR(IF(BP50="",IF(AR50 &lt; BQ50, "100% Total Cost", ""), ""), "")</f>
        <v/>
      </c>
      <c r="BV50" s="767" t="str">
        <f t="shared" si="4"/>
        <v/>
      </c>
      <c r="BW50" s="757" t="str">
        <f>IFERROR(IF(OR(C50="",G50="",M50="",O50="",R50="",T50="",V50="",X50="",AC50="",AG50="",AI50="",AK50=""),"",IF(BY50&lt;&gt;"", SPILLOVERNUMBER, INDEX(STDLIGHT[Measure Number],MATCH(G50,STDLIGHT[Measure Name],0)))),"Err")</f>
        <v/>
      </c>
      <c r="BX50" s="757" t="str" cm="1">
        <f t="array" ref="BX50">IFERROR(INDEX(_xlfn.SWITCH(Program_Banner,"Business Energy Savings",STDLIGHT[Primary Key WBE],"Small Business / Non-Profit",STDLIGHT[Primary Key HTRB],0),MATCH(BW50,STDLIGHT[Measure Number],0)),"")</f>
        <v/>
      </c>
      <c r="BY50" s="757" t="str">
        <f>IFERROR(IF(OR(C50="",G50="",M50="",O50="",R50="",T50="",V50="",X50="",AC50="",AG50="",AI50="",AK50=""),"",
IF(BP50&gt;0,"",
IF(EXPIRATION&lt;&gt;"",PROJSTATEXP,
IF(M02S04F19="",MEASUREBLDG,
IF(BA50&lt;=BB50,MEASURESAVE,""))))),MEASURESUBMIT)</f>
        <v/>
      </c>
      <c r="BZ50" s="753"/>
      <c r="CA50" s="753"/>
      <c r="CB50" s="753"/>
      <c r="CC50" s="753"/>
    </row>
    <row r="51" spans="2:81" ht="15.95" customHeight="1">
      <c r="B51" s="785"/>
      <c r="C51" s="786"/>
      <c r="D51" s="787"/>
      <c r="E51" s="787"/>
      <c r="F51" s="788"/>
      <c r="G51" s="791"/>
      <c r="H51" s="792"/>
      <c r="I51" s="792"/>
      <c r="J51" s="792"/>
      <c r="K51" s="792"/>
      <c r="L51" s="792"/>
      <c r="M51" s="786"/>
      <c r="N51" s="788"/>
      <c r="O51" s="786"/>
      <c r="P51" s="787"/>
      <c r="Q51" s="788"/>
      <c r="R51" s="798"/>
      <c r="S51" s="799"/>
      <c r="T51" s="799"/>
      <c r="U51" s="800"/>
      <c r="V51" s="802"/>
      <c r="W51" s="802"/>
      <c r="X51" s="804"/>
      <c r="Y51" s="804"/>
      <c r="Z51" s="793"/>
      <c r="AA51" s="795"/>
      <c r="AB51" s="794"/>
      <c r="AC51" s="793"/>
      <c r="AD51" s="795"/>
      <c r="AE51" s="795"/>
      <c r="AF51" s="794"/>
      <c r="AG51" s="806"/>
      <c r="AH51" s="786"/>
      <c r="AI51" s="809"/>
      <c r="AJ51" s="810"/>
      <c r="AK51" s="810"/>
      <c r="AL51" s="812"/>
      <c r="AM51" s="815"/>
      <c r="AN51" s="816"/>
      <c r="AO51" s="818"/>
      <c r="AP51" s="818"/>
      <c r="AQ51" s="818"/>
      <c r="AR51" s="822"/>
      <c r="AS51" s="823"/>
      <c r="AT51" s="823"/>
      <c r="AU51" s="824"/>
      <c r="AV51" s="17"/>
      <c r="AX51" s="774"/>
      <c r="AY51" s="760"/>
      <c r="AZ51" s="760"/>
      <c r="BA51" s="772"/>
      <c r="BB51" s="772"/>
      <c r="BC51" s="774"/>
      <c r="BD51" s="758"/>
      <c r="BE51" s="776"/>
      <c r="BF51" s="776"/>
      <c r="BG51" s="762"/>
      <c r="BH51" s="776"/>
      <c r="BI51" s="776"/>
      <c r="BJ51" s="778"/>
      <c r="BK51" s="768"/>
      <c r="BL51" s="768"/>
      <c r="BM51" s="768"/>
      <c r="BN51" s="764"/>
      <c r="BO51" s="764"/>
      <c r="BP51" s="770"/>
      <c r="BQ51" s="768"/>
      <c r="BR51" s="766"/>
      <c r="BS51" s="766"/>
      <c r="BT51" s="766"/>
      <c r="BU51" s="758"/>
      <c r="BV51" s="768"/>
      <c r="BW51" s="758"/>
      <c r="BX51" s="758"/>
      <c r="BY51" s="758"/>
      <c r="BZ51" s="754"/>
      <c r="CA51" s="754"/>
      <c r="CB51" s="754"/>
      <c r="CC51" s="754"/>
    </row>
    <row r="52" spans="2:81" ht="15.95" customHeight="1">
      <c r="B52" s="785">
        <v>18</v>
      </c>
      <c r="C52" s="786"/>
      <c r="D52" s="787"/>
      <c r="E52" s="787"/>
      <c r="F52" s="788"/>
      <c r="G52" s="789"/>
      <c r="H52" s="790"/>
      <c r="I52" s="790"/>
      <c r="J52" s="790"/>
      <c r="K52" s="790"/>
      <c r="L52" s="790"/>
      <c r="M52" s="793"/>
      <c r="N52" s="794"/>
      <c r="O52" s="793"/>
      <c r="P52" s="795"/>
      <c r="Q52" s="794"/>
      <c r="R52" s="796"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797"/>
      <c r="T52" s="799" t="str">
        <f t="shared" ref="T52" si="84">IF(C52="Permanent Lamp Removal",0,"")</f>
        <v/>
      </c>
      <c r="U52" s="800"/>
      <c r="V52" s="801"/>
      <c r="W52" s="801"/>
      <c r="X52" s="803"/>
      <c r="Y52" s="803"/>
      <c r="Z52" s="873"/>
      <c r="AA52" s="874"/>
      <c r="AB52" s="875"/>
      <c r="AC52" s="825"/>
      <c r="AD52" s="826"/>
      <c r="AE52" s="826"/>
      <c r="AF52" s="827"/>
      <c r="AG52" s="805"/>
      <c r="AH52" s="793"/>
      <c r="AI52" s="807"/>
      <c r="AJ52" s="808"/>
      <c r="AK52" s="808"/>
      <c r="AL52" s="811"/>
      <c r="AM52" s="813" t="str" cm="1">
        <f t="array" ref="AM52">IFERROR(IF(G52="","",IF(C52&lt;&gt;INDEX(STDLIGHT[Eff Category 1],MATCH(G52,STDLIGHT[Measure Name],0)),0,INDEX(IF(AND(ACTIVEBONUS = TRUE,INDEX(STDLIGHT[Bonus Incentive],MATCH(G52,STDLIGHT[Measure Name],0))&lt;&gt; ""),STDLIGHT[Bonus Incentive],_xlfn.SWITCH(Program_Banner,"Business Energy Savings",STDLIGHT[BESP Incentive],"Small Business / Non-Profit",STDLIGHT[SBNP Incentive],0)),MATCH(G52,STDLIGHT[Measure Name],0)))),"")</f>
        <v/>
      </c>
      <c r="AN52" s="814"/>
      <c r="AO52" s="817" t="str">
        <f>IFERROR(IF(OR(C52="",G52="",M52="",O52="",R52="",T52="",V52="",X52="",AC52="",AG52="",AI52="",AK52=""),"",IF(BD52="Deemed",BH52,IF(BD52="Calculated",BE52,""))),"")</f>
        <v/>
      </c>
      <c r="AP52" s="817"/>
      <c r="AQ52" s="817"/>
      <c r="AR52" s="819" t="str">
        <f>IFERROR(IF(OR(C52="",G52="",M52="",O52="",R52="",T52="",V52="",X52="",AC52="",AG52="",AI52="",AK52=""),"",IF(BY52&lt;&gt;"",BY52,IF(BP52&gt;0,BP52,ROUND(IF(AO52&lt;=0,0,MIN(BL52,BQ52)),2)))),"")</f>
        <v/>
      </c>
      <c r="AS52" s="820"/>
      <c r="AT52" s="820"/>
      <c r="AU52" s="821"/>
      <c r="AV52" s="17"/>
      <c r="AX52" s="773" t="str">
        <f>IFERROR(IF(OR(C52="",G52="",M52="",O52="",R52="",T52="",V52="",X52="",AC52="",AG52="",AI52="",AK52=""),"",INDEX(STDLIGHT[Current Unit],MATCH(G52,STDLIGHT[Measure Name],0))),"Err")</f>
        <v/>
      </c>
      <c r="AY52" s="759" t="str">
        <f t="shared" ref="AY52" si="85">IF(V52="", "",  V52)</f>
        <v/>
      </c>
      <c r="AZ52" s="759" t="str">
        <f t="shared" ref="AZ52" si="86">IF(V52="", "",  V52)</f>
        <v/>
      </c>
      <c r="BA52" s="771"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B52" s="771"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C52" s="773" t="str">
        <f>IFERROR(IF(OR(C52="",G52="",M52="",O52="",R52="",T52="",V52="",X52="",AC52="",AG52="",AI52="",AK52=""),"",INDEX(STDLIGHT[End Use],MATCH(G52,STDLIGHT[Measure Name],0))),"Err")</f>
        <v/>
      </c>
      <c r="BD52" s="757" t="str">
        <f>IFERROR(IF(OR(C52="",G52="",M52="",O52="",R52="",T52="",V52="",X52="",AC52="",AG52="",AI52="",AK52=""),"",INDEX(STDLIGHT[Reporting Methodology],MATCH(G52,STDLIGHT[Measure Name],0))),"Err")</f>
        <v/>
      </c>
      <c r="BE52" s="775" t="str">
        <f>IFERROR(IF(OR(C52="",G52="",M52="",O52="",R52="",T52="",V52="",X52="",AC52="",AG52="",AI52="",AK52=""),"",
IF(BA52&lt;=BB52,0,
IF(OR(ISNUMBER(SEARCH("Exterior",C52)),ISNUMBER(SEARCH("Parking",C52)),M02S04F22="Unconditioned",M02S04F22="Electric Heat Only",M02S04F22="Natural Gas Heat Only"),ROUND((R52-T52)*V52*X52/1000,4),
ROUND((R52-T52)*V52*X52/1000*INDEX(BUILDINGTYPE[Waste Heat Factor (e)],MATCH(M02S04F19,BUILDINGTYPE[Building Type],0)),4)))),"")</f>
        <v/>
      </c>
      <c r="BF52" s="775" t="str">
        <f>IFERROR(IF(OR(C52="",G52="",M52="",O52="",R52="",T52="",V52="",X52="",AC52="",AG52="",AI52="",AK52=""),"",
IF(BA52&lt;=BB52,0,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761"/>
      <c r="BH52" s="775" t="str" cm="1">
        <f t="array" ref="BH52">IF(OR(C52="",G52="",M52="",O52="",R52="",T52="",V52="",X52="",AC52="",AG52="",AI52="",AK52=""),"",IFERROR(IF(G52="","",IF(C52&lt;&gt;INDEX(STDLIGHT[Eff Category 1],MATCH(G52,STDLIGHT[Measure Name],0)),0,
IF(BA52&lt;=BB52,0,
ROUND(V52*INDEX(_xlfn.SWITCH(Program_Banner,"Business Energy Savings",STDLIGHT[Electric Energy Savings WBE (Annual kWh/unit)],"Small Business / Non-Profit",STDLIGHT[Electric Energy Savings HTRB (Annual kWh/unit)],0),MATCH('M03-S02'!G52,STDLIGHT[Measure Name],0)),4)))),""))</f>
        <v/>
      </c>
      <c r="BI52" s="775" t="str" cm="1">
        <f t="array" ref="BI52">IF(OR(C52="",G52="",M52="",O52="",R52="",T52="",V52="",X52="",AC52="",AG52="",AI52="",AK52=""),"",IFERROR(IF(G52="","",IF(C52&lt;&gt;INDEX(STDLIGHT[Eff Category 1],MATCH(G52,STDLIGHT[Measure Name],0)),0,
IF(BA52&lt;=BB52,0,
ROUND(V52*INDEX(_xlfn.SWITCH(Program_Banner,"Business Energy Savings",STDLIGHT[Coincident Peak Demand Savings WBE (kW/unit)],"Small Business / Non-Profit",STDLIGHT[Coincident Peak Demand Savings HTRB (kW/unit)],0),MATCH('M03-S02'!G52,STDLIGHT[Measure Name],0)),4)))),""))</f>
        <v/>
      </c>
      <c r="BJ52" s="777" t="str">
        <f>IFERROR(INDEX(STDLIGHT[Measure Life (Years)],MATCH(G52,STDLIGHT[Measure Name],0)),"")</f>
        <v/>
      </c>
      <c r="BK52" s="767" t="str">
        <f>IFERROR(IF(OR(C52="",G52="",M52="",O52="",R52="",T52="",V52="",X52="",AC52="",AG52="",AI52="",AK52=""),"",
ROUND(((1+ELOSS)*((BE52*INDEX(ELECCB[NPV AEC $/kWh],MATCH(BJ52,ELECCB[Year Number],1)))+(BF52*INDEX(ELECCB[NPV ACC $/kW],MATCH(BJ52,ELECCB[Year Number],1))))),2)),0)</f>
        <v/>
      </c>
      <c r="BL52" s="767" t="str">
        <f t="shared" si="2"/>
        <v/>
      </c>
      <c r="BM52" s="767" t="str">
        <f>IF(OR(G52="", V52=""), "", V52 * INDEX(STDLIGHT[Incremental Measure Cost ($/Unit)],MATCH(G52,STDLIGHT[Measure Name],0)))</f>
        <v/>
      </c>
      <c r="BN52" s="763" t="str">
        <f t="shared" si="3"/>
        <v/>
      </c>
      <c r="BO52" s="763" t="str">
        <f>IFERROR(IF(BM52 &lt;&gt; "", BM52, BL52) / M02S04F06 / AO52, "")</f>
        <v/>
      </c>
      <c r="BP52" s="769"/>
      <c r="BQ52" s="767" t="str">
        <f t="shared" ref="BQ52" si="87">IFERROR(ROUND(V52*AM52, 2), "")</f>
        <v/>
      </c>
      <c r="BR52" s="765"/>
      <c r="BS52" s="765"/>
      <c r="BT52" s="765"/>
      <c r="BU52" s="757" t="str">
        <f t="shared" ref="BU52" si="88">IFERROR(IF(BP52="",IF(AR52 &lt; BQ52, "100% Total Cost", ""), ""), "")</f>
        <v/>
      </c>
      <c r="BV52" s="767" t="str">
        <f t="shared" si="4"/>
        <v/>
      </c>
      <c r="BW52" s="757" t="str">
        <f>IFERROR(IF(OR(C52="",G52="",M52="",O52="",R52="",T52="",V52="",X52="",AC52="",AG52="",AI52="",AK52=""),"",IF(BY52&lt;&gt;"", SPILLOVERNUMBER, INDEX(STDLIGHT[Measure Number],MATCH(G52,STDLIGHT[Measure Name],0)))),"Err")</f>
        <v/>
      </c>
      <c r="BX52" s="757" t="str" cm="1">
        <f t="array" ref="BX52">IFERROR(INDEX(_xlfn.SWITCH(Program_Banner,"Business Energy Savings",STDLIGHT[Primary Key WBE],"Small Business / Non-Profit",STDLIGHT[Primary Key HTRB],0),MATCH(BW52,STDLIGHT[Measure Number],0)),"")</f>
        <v/>
      </c>
      <c r="BY52" s="757" t="str">
        <f>IFERROR(IF(OR(C52="",G52="",M52="",O52="",R52="",T52="",V52="",X52="",AC52="",AG52="",AI52="",AK52=""),"",
IF(BP52&gt;0,"",
IF(EXPIRATION&lt;&gt;"",PROJSTATEXP,
IF(M02S04F19="",MEASUREBLDG,
IF(BA52&lt;=BB52,MEASURESAVE,""))))),MEASURESUBMIT)</f>
        <v/>
      </c>
      <c r="BZ52" s="753"/>
      <c r="CA52" s="753"/>
      <c r="CB52" s="753"/>
      <c r="CC52" s="753"/>
    </row>
    <row r="53" spans="2:81" ht="15.95" customHeight="1">
      <c r="B53" s="785"/>
      <c r="C53" s="786"/>
      <c r="D53" s="787"/>
      <c r="E53" s="787"/>
      <c r="F53" s="788"/>
      <c r="G53" s="791"/>
      <c r="H53" s="792"/>
      <c r="I53" s="792"/>
      <c r="J53" s="792"/>
      <c r="K53" s="792"/>
      <c r="L53" s="792"/>
      <c r="M53" s="786"/>
      <c r="N53" s="788"/>
      <c r="O53" s="786"/>
      <c r="P53" s="787"/>
      <c r="Q53" s="788"/>
      <c r="R53" s="798"/>
      <c r="S53" s="799"/>
      <c r="T53" s="799"/>
      <c r="U53" s="800"/>
      <c r="V53" s="802"/>
      <c r="W53" s="802"/>
      <c r="X53" s="804"/>
      <c r="Y53" s="804"/>
      <c r="Z53" s="793"/>
      <c r="AA53" s="795"/>
      <c r="AB53" s="794"/>
      <c r="AC53" s="793"/>
      <c r="AD53" s="795"/>
      <c r="AE53" s="795"/>
      <c r="AF53" s="794"/>
      <c r="AG53" s="806"/>
      <c r="AH53" s="786"/>
      <c r="AI53" s="809"/>
      <c r="AJ53" s="810"/>
      <c r="AK53" s="810"/>
      <c r="AL53" s="812"/>
      <c r="AM53" s="815"/>
      <c r="AN53" s="816"/>
      <c r="AO53" s="818"/>
      <c r="AP53" s="818"/>
      <c r="AQ53" s="818"/>
      <c r="AR53" s="822"/>
      <c r="AS53" s="823"/>
      <c r="AT53" s="823"/>
      <c r="AU53" s="824"/>
      <c r="AV53" s="17"/>
      <c r="AX53" s="774"/>
      <c r="AY53" s="760"/>
      <c r="AZ53" s="760"/>
      <c r="BA53" s="772"/>
      <c r="BB53" s="772"/>
      <c r="BC53" s="774"/>
      <c r="BD53" s="758"/>
      <c r="BE53" s="776"/>
      <c r="BF53" s="776"/>
      <c r="BG53" s="762"/>
      <c r="BH53" s="776"/>
      <c r="BI53" s="776"/>
      <c r="BJ53" s="778"/>
      <c r="BK53" s="768"/>
      <c r="BL53" s="768"/>
      <c r="BM53" s="768"/>
      <c r="BN53" s="764"/>
      <c r="BO53" s="764"/>
      <c r="BP53" s="770"/>
      <c r="BQ53" s="768"/>
      <c r="BR53" s="766"/>
      <c r="BS53" s="766"/>
      <c r="BT53" s="766"/>
      <c r="BU53" s="758"/>
      <c r="BV53" s="768"/>
      <c r="BW53" s="758"/>
      <c r="BX53" s="758"/>
      <c r="BY53" s="758"/>
      <c r="BZ53" s="754"/>
      <c r="CA53" s="754"/>
      <c r="CB53" s="754"/>
      <c r="CC53" s="754"/>
    </row>
    <row r="54" spans="2:81" ht="15.95" customHeight="1">
      <c r="B54" s="785">
        <v>19</v>
      </c>
      <c r="C54" s="786"/>
      <c r="D54" s="787"/>
      <c r="E54" s="787"/>
      <c r="F54" s="788"/>
      <c r="G54" s="789"/>
      <c r="H54" s="790"/>
      <c r="I54" s="790"/>
      <c r="J54" s="790"/>
      <c r="K54" s="790"/>
      <c r="L54" s="790"/>
      <c r="M54" s="793"/>
      <c r="N54" s="794"/>
      <c r="O54" s="793"/>
      <c r="P54" s="795"/>
      <c r="Q54" s="794"/>
      <c r="R54" s="796"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797"/>
      <c r="T54" s="799" t="str">
        <f t="shared" ref="T54" si="89">IF(C54="Permanent Lamp Removal",0,"")</f>
        <v/>
      </c>
      <c r="U54" s="800"/>
      <c r="V54" s="801"/>
      <c r="W54" s="801"/>
      <c r="X54" s="803"/>
      <c r="Y54" s="803"/>
      <c r="Z54" s="873"/>
      <c r="AA54" s="874"/>
      <c r="AB54" s="875"/>
      <c r="AC54" s="825"/>
      <c r="AD54" s="826"/>
      <c r="AE54" s="826"/>
      <c r="AF54" s="827"/>
      <c r="AG54" s="805"/>
      <c r="AH54" s="793"/>
      <c r="AI54" s="807"/>
      <c r="AJ54" s="808"/>
      <c r="AK54" s="808"/>
      <c r="AL54" s="811"/>
      <c r="AM54" s="813" t="str" cm="1">
        <f t="array" ref="AM54">IFERROR(IF(G54="","",IF(C54&lt;&gt;INDEX(STDLIGHT[Eff Category 1],MATCH(G54,STDLIGHT[Measure Name],0)),0,INDEX(IF(AND(ACTIVEBONUS = TRUE,INDEX(STDLIGHT[Bonus Incentive],MATCH(G54,STDLIGHT[Measure Name],0))&lt;&gt; ""),STDLIGHT[Bonus Incentive],_xlfn.SWITCH(Program_Banner,"Business Energy Savings",STDLIGHT[BESP Incentive],"Small Business / Non-Profit",STDLIGHT[SBNP Incentive],0)),MATCH(G54,STDLIGHT[Measure Name],0)))),"")</f>
        <v/>
      </c>
      <c r="AN54" s="814"/>
      <c r="AO54" s="817" t="str">
        <f>IFERROR(IF(OR(C54="",G54="",M54="",O54="",R54="",T54="",V54="",X54="",AC54="",AG54="",AI54="",AK54=""),"",IF(BD54="Deemed",BH54,IF(BD54="Calculated",BE54,""))),"")</f>
        <v/>
      </c>
      <c r="AP54" s="817"/>
      <c r="AQ54" s="817"/>
      <c r="AR54" s="819" t="str">
        <f>IFERROR(IF(OR(C54="",G54="",M54="",O54="",R54="",T54="",V54="",X54="",AC54="",AG54="",AI54="",AK54=""),"",IF(BY54&lt;&gt;"",BY54,IF(BP54&gt;0,BP54,ROUND(IF(AO54&lt;=0,0,MIN(BL54,BQ54)),2)))),"")</f>
        <v/>
      </c>
      <c r="AS54" s="820"/>
      <c r="AT54" s="820"/>
      <c r="AU54" s="821"/>
      <c r="AV54" s="17"/>
      <c r="AX54" s="773" t="str">
        <f>IFERROR(IF(OR(C54="",G54="",M54="",O54="",R54="",T54="",V54="",X54="",AC54="",AG54="",AI54="",AK54=""),"",INDEX(STDLIGHT[Current Unit],MATCH(G54,STDLIGHT[Measure Name],0))),"Err")</f>
        <v/>
      </c>
      <c r="AY54" s="759" t="str">
        <f t="shared" ref="AY54" si="90">IF(V54="", "",  V54)</f>
        <v/>
      </c>
      <c r="AZ54" s="759" t="str">
        <f t="shared" ref="AZ54" si="91">IF(V54="", "",  V54)</f>
        <v/>
      </c>
      <c r="BA54" s="771"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B54" s="771"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C54" s="773" t="str">
        <f>IFERROR(IF(OR(C54="",G54="",M54="",O54="",R54="",T54="",V54="",X54="",AC54="",AG54="",AI54="",AK54=""),"",INDEX(STDLIGHT[End Use],MATCH(G54,STDLIGHT[Measure Name],0))),"Err")</f>
        <v/>
      </c>
      <c r="BD54" s="757" t="str">
        <f>IFERROR(IF(OR(C54="",G54="",M54="",O54="",R54="",T54="",V54="",X54="",AC54="",AG54="",AI54="",AK54=""),"",INDEX(STDLIGHT[Reporting Methodology],MATCH(G54,STDLIGHT[Measure Name],0))),"Err")</f>
        <v/>
      </c>
      <c r="BE54" s="775" t="str">
        <f>IFERROR(IF(OR(C54="",G54="",M54="",O54="",R54="",T54="",V54="",X54="",AC54="",AG54="",AI54="",AK54=""),"",
IF(BA54&lt;=BB54,0,
IF(OR(ISNUMBER(SEARCH("Exterior",C54)),ISNUMBER(SEARCH("Parking",C54)),M02S04F22="Unconditioned",M02S04F22="Electric Heat Only",M02S04F22="Natural Gas Heat Only"),ROUND((R54-T54)*V54*X54/1000,4),
ROUND((R54-T54)*V54*X54/1000*INDEX(BUILDINGTYPE[Waste Heat Factor (e)],MATCH(M02S04F19,BUILDINGTYPE[Building Type],0)),4)))),"")</f>
        <v/>
      </c>
      <c r="BF54" s="775" t="str">
        <f>IFERROR(IF(OR(C54="",G54="",M54="",O54="",R54="",T54="",V54="",X54="",AC54="",AG54="",AI54="",AK54=""),"",
IF(BA54&lt;=BB54,0,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761"/>
      <c r="BH54" s="775" t="str" cm="1">
        <f t="array" ref="BH54">IF(OR(C54="",G54="",M54="",O54="",R54="",T54="",V54="",X54="",AC54="",AG54="",AI54="",AK54=""),"",IFERROR(IF(G54="","",IF(C54&lt;&gt;INDEX(STDLIGHT[Eff Category 1],MATCH(G54,STDLIGHT[Measure Name],0)),0,
IF(BA54&lt;=BB54,0,
ROUND(V54*INDEX(_xlfn.SWITCH(Program_Banner,"Business Energy Savings",STDLIGHT[Electric Energy Savings WBE (Annual kWh/unit)],"Small Business / Non-Profit",STDLIGHT[Electric Energy Savings HTRB (Annual kWh/unit)],0),MATCH('M03-S02'!G54,STDLIGHT[Measure Name],0)),4)))),""))</f>
        <v/>
      </c>
      <c r="BI54" s="775" t="str" cm="1">
        <f t="array" ref="BI54">IF(OR(C54="",G54="",M54="",O54="",R54="",T54="",V54="",X54="",AC54="",AG54="",AI54="",AK54=""),"",IFERROR(IF(G54="","",IF(C54&lt;&gt;INDEX(STDLIGHT[Eff Category 1],MATCH(G54,STDLIGHT[Measure Name],0)),0,
IF(BA54&lt;=BB54,0,
ROUND(V54*INDEX(_xlfn.SWITCH(Program_Banner,"Business Energy Savings",STDLIGHT[Coincident Peak Demand Savings WBE (kW/unit)],"Small Business / Non-Profit",STDLIGHT[Coincident Peak Demand Savings HTRB (kW/unit)],0),MATCH('M03-S02'!G54,STDLIGHT[Measure Name],0)),4)))),""))</f>
        <v/>
      </c>
      <c r="BJ54" s="777" t="str">
        <f>IFERROR(INDEX(STDLIGHT[Measure Life (Years)],MATCH(G54,STDLIGHT[Measure Name],0)),"")</f>
        <v/>
      </c>
      <c r="BK54" s="767" t="str">
        <f>IFERROR(IF(OR(C54="",G54="",M54="",O54="",R54="",T54="",V54="",X54="",AC54="",AG54="",AI54="",AK54=""),"",
ROUND(((1+ELOSS)*((BE54*INDEX(ELECCB[NPV AEC $/kWh],MATCH(BJ54,ELECCB[Year Number],1)))+(BF54*INDEX(ELECCB[NPV ACC $/kW],MATCH(BJ54,ELECCB[Year Number],1))))),2)),0)</f>
        <v/>
      </c>
      <c r="BL54" s="767" t="str">
        <f t="shared" si="2"/>
        <v/>
      </c>
      <c r="BM54" s="767" t="str">
        <f>IF(OR(G54="", V54=""), "", V54 * INDEX(STDLIGHT[Incremental Measure Cost ($/Unit)],MATCH(G54,STDLIGHT[Measure Name],0)))</f>
        <v/>
      </c>
      <c r="BN54" s="763" t="str">
        <f t="shared" si="3"/>
        <v/>
      </c>
      <c r="BO54" s="763" t="str">
        <f>IFERROR(IF(BM54 &lt;&gt; "", BM54, BL54) / M02S04F06 / AO54, "")</f>
        <v/>
      </c>
      <c r="BP54" s="769"/>
      <c r="BQ54" s="767" t="str">
        <f t="shared" ref="BQ54" si="92">IFERROR(ROUND(V54*AM54, 2), "")</f>
        <v/>
      </c>
      <c r="BR54" s="765"/>
      <c r="BS54" s="765"/>
      <c r="BT54" s="765"/>
      <c r="BU54" s="757" t="str">
        <f t="shared" ref="BU54" si="93">IFERROR(IF(BP54="",IF(AR54 &lt; BQ54, "100% Total Cost", ""), ""), "")</f>
        <v/>
      </c>
      <c r="BV54" s="767" t="str">
        <f t="shared" si="4"/>
        <v/>
      </c>
      <c r="BW54" s="757" t="str">
        <f>IFERROR(IF(OR(C54="",G54="",M54="",O54="",R54="",T54="",V54="",X54="",AC54="",AG54="",AI54="",AK54=""),"",IF(BY54&lt;&gt;"", SPILLOVERNUMBER, INDEX(STDLIGHT[Measure Number],MATCH(G54,STDLIGHT[Measure Name],0)))),"Err")</f>
        <v/>
      </c>
      <c r="BX54" s="757" t="str" cm="1">
        <f t="array" ref="BX54">IFERROR(INDEX(_xlfn.SWITCH(Program_Banner,"Business Energy Savings",STDLIGHT[Primary Key WBE],"Small Business / Non-Profit",STDLIGHT[Primary Key HTRB],0),MATCH(BW54,STDLIGHT[Measure Number],0)),"")</f>
        <v/>
      </c>
      <c r="BY54" s="757" t="str">
        <f>IFERROR(IF(OR(C54="",G54="",M54="",O54="",R54="",T54="",V54="",X54="",AC54="",AG54="",AI54="",AK54=""),"",
IF(BP54&gt;0,"",
IF(EXPIRATION&lt;&gt;"",PROJSTATEXP,
IF(M02S04F19="",MEASUREBLDG,
IF(BA54&lt;=BB54,MEASURESAVE,""))))),MEASURESUBMIT)</f>
        <v/>
      </c>
      <c r="BZ54" s="753"/>
      <c r="CA54" s="753"/>
      <c r="CB54" s="753"/>
      <c r="CC54" s="753"/>
    </row>
    <row r="55" spans="2:81" ht="15.95" customHeight="1">
      <c r="B55" s="785"/>
      <c r="C55" s="786"/>
      <c r="D55" s="787"/>
      <c r="E55" s="787"/>
      <c r="F55" s="788"/>
      <c r="G55" s="791"/>
      <c r="H55" s="792"/>
      <c r="I55" s="792"/>
      <c r="J55" s="792"/>
      <c r="K55" s="792"/>
      <c r="L55" s="792"/>
      <c r="M55" s="786"/>
      <c r="N55" s="788"/>
      <c r="O55" s="786"/>
      <c r="P55" s="787"/>
      <c r="Q55" s="788"/>
      <c r="R55" s="798"/>
      <c r="S55" s="799"/>
      <c r="T55" s="799"/>
      <c r="U55" s="800"/>
      <c r="V55" s="802"/>
      <c r="W55" s="802"/>
      <c r="X55" s="804"/>
      <c r="Y55" s="804"/>
      <c r="Z55" s="793"/>
      <c r="AA55" s="795"/>
      <c r="AB55" s="794"/>
      <c r="AC55" s="793"/>
      <c r="AD55" s="795"/>
      <c r="AE55" s="795"/>
      <c r="AF55" s="794"/>
      <c r="AG55" s="806"/>
      <c r="AH55" s="786"/>
      <c r="AI55" s="809"/>
      <c r="AJ55" s="810"/>
      <c r="AK55" s="810"/>
      <c r="AL55" s="812"/>
      <c r="AM55" s="815"/>
      <c r="AN55" s="816"/>
      <c r="AO55" s="818"/>
      <c r="AP55" s="818"/>
      <c r="AQ55" s="818"/>
      <c r="AR55" s="822"/>
      <c r="AS55" s="823"/>
      <c r="AT55" s="823"/>
      <c r="AU55" s="824"/>
      <c r="AV55" s="17"/>
      <c r="AX55" s="774"/>
      <c r="AY55" s="760"/>
      <c r="AZ55" s="760"/>
      <c r="BA55" s="772"/>
      <c r="BB55" s="772"/>
      <c r="BC55" s="774"/>
      <c r="BD55" s="758"/>
      <c r="BE55" s="776"/>
      <c r="BF55" s="776"/>
      <c r="BG55" s="762"/>
      <c r="BH55" s="776"/>
      <c r="BI55" s="776"/>
      <c r="BJ55" s="778"/>
      <c r="BK55" s="768"/>
      <c r="BL55" s="768"/>
      <c r="BM55" s="768"/>
      <c r="BN55" s="764"/>
      <c r="BO55" s="764"/>
      <c r="BP55" s="770"/>
      <c r="BQ55" s="768"/>
      <c r="BR55" s="766"/>
      <c r="BS55" s="766"/>
      <c r="BT55" s="766"/>
      <c r="BU55" s="758"/>
      <c r="BV55" s="768"/>
      <c r="BW55" s="758"/>
      <c r="BX55" s="758"/>
      <c r="BY55" s="758"/>
      <c r="BZ55" s="754"/>
      <c r="CA55" s="754"/>
      <c r="CB55" s="754"/>
      <c r="CC55" s="754"/>
    </row>
    <row r="56" spans="2:81" ht="15.95" customHeight="1">
      <c r="B56" s="785">
        <v>20</v>
      </c>
      <c r="C56" s="786"/>
      <c r="D56" s="787"/>
      <c r="E56" s="787"/>
      <c r="F56" s="788"/>
      <c r="G56" s="789"/>
      <c r="H56" s="790"/>
      <c r="I56" s="790"/>
      <c r="J56" s="790"/>
      <c r="K56" s="790"/>
      <c r="L56" s="790"/>
      <c r="M56" s="793"/>
      <c r="N56" s="794"/>
      <c r="O56" s="793"/>
      <c r="P56" s="795"/>
      <c r="Q56" s="794"/>
      <c r="R56" s="796"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797"/>
      <c r="T56" s="799" t="str">
        <f t="shared" ref="T56" si="94">IF(C56="Permanent Lamp Removal",0,"")</f>
        <v/>
      </c>
      <c r="U56" s="800"/>
      <c r="V56" s="801"/>
      <c r="W56" s="801"/>
      <c r="X56" s="803"/>
      <c r="Y56" s="803"/>
      <c r="Z56" s="873"/>
      <c r="AA56" s="874"/>
      <c r="AB56" s="875"/>
      <c r="AC56" s="825"/>
      <c r="AD56" s="826"/>
      <c r="AE56" s="826"/>
      <c r="AF56" s="827"/>
      <c r="AG56" s="805"/>
      <c r="AH56" s="793"/>
      <c r="AI56" s="807"/>
      <c r="AJ56" s="808"/>
      <c r="AK56" s="808"/>
      <c r="AL56" s="811"/>
      <c r="AM56" s="813" t="str" cm="1">
        <f t="array" ref="AM56">IFERROR(IF(G56="","",IF(C56&lt;&gt;INDEX(STDLIGHT[Eff Category 1],MATCH(G56,STDLIGHT[Measure Name],0)),0,INDEX(IF(AND(ACTIVEBONUS = TRUE,INDEX(STDLIGHT[Bonus Incentive],MATCH(G56,STDLIGHT[Measure Name],0))&lt;&gt; ""),STDLIGHT[Bonus Incentive],_xlfn.SWITCH(Program_Banner,"Business Energy Savings",STDLIGHT[BESP Incentive],"Small Business / Non-Profit",STDLIGHT[SBNP Incentive],0)),MATCH(G56,STDLIGHT[Measure Name],0)))),"")</f>
        <v/>
      </c>
      <c r="AN56" s="814"/>
      <c r="AO56" s="817" t="str">
        <f>IFERROR(IF(OR(C56="",G56="",M56="",O56="",R56="",T56="",V56="",X56="",AC56="",AG56="",AI56="",AK56=""),"",IF(BD56="Deemed",BH56,IF(BD56="Calculated",BE56,""))),"")</f>
        <v/>
      </c>
      <c r="AP56" s="817"/>
      <c r="AQ56" s="817"/>
      <c r="AR56" s="819" t="str">
        <f>IFERROR(IF(OR(C56="",G56="",M56="",O56="",R56="",T56="",V56="",X56="",AC56="",AG56="",AI56="",AK56=""),"",IF(BY56&lt;&gt;"",BY56,IF(BP56&gt;0,BP56,ROUND(IF(AO56&lt;=0,0,MIN(BL56,BQ56)),2)))),"")</f>
        <v/>
      </c>
      <c r="AS56" s="820"/>
      <c r="AT56" s="820"/>
      <c r="AU56" s="821"/>
      <c r="AV56" s="17"/>
      <c r="AX56" s="773" t="str">
        <f>IFERROR(IF(OR(C56="",G56="",M56="",O56="",R56="",T56="",V56="",X56="",AC56="",AG56="",AI56="",AK56=""),"",INDEX(STDLIGHT[Current Unit],MATCH(G56,STDLIGHT[Measure Name],0))),"Err")</f>
        <v/>
      </c>
      <c r="AY56" s="759" t="str">
        <f t="shared" ref="AY56" si="95">IF(V56="", "",  V56)</f>
        <v/>
      </c>
      <c r="AZ56" s="759" t="str">
        <f t="shared" ref="AZ56" si="96">IF(V56="", "",  V56)</f>
        <v/>
      </c>
      <c r="BA56" s="771"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B56" s="771"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C56" s="773" t="str">
        <f>IFERROR(IF(OR(C56="",G56="",M56="",O56="",R56="",T56="",V56="",X56="",AC56="",AG56="",AI56="",AK56=""),"",INDEX(STDLIGHT[End Use],MATCH(G56,STDLIGHT[Measure Name],0))),"Err")</f>
        <v/>
      </c>
      <c r="BD56" s="757" t="str">
        <f>IFERROR(IF(OR(C56="",G56="",M56="",O56="",R56="",T56="",V56="",X56="",AC56="",AG56="",AI56="",AK56=""),"",INDEX(STDLIGHT[Reporting Methodology],MATCH(G56,STDLIGHT[Measure Name],0))),"Err")</f>
        <v/>
      </c>
      <c r="BE56" s="775" t="str">
        <f>IFERROR(IF(OR(C56="",G56="",M56="",O56="",R56="",T56="",V56="",X56="",AC56="",AG56="",AI56="",AK56=""),"",
IF(BA56&lt;=BB56,0,
IF(OR(ISNUMBER(SEARCH("Exterior",C56)),ISNUMBER(SEARCH("Parking",C56)),M02S04F22="Unconditioned",M02S04F22="Electric Heat Only",M02S04F22="Natural Gas Heat Only"),ROUND((R56-T56)*V56*X56/1000,4),
ROUND((R56-T56)*V56*X56/1000*INDEX(BUILDINGTYPE[Waste Heat Factor (e)],MATCH(M02S04F19,BUILDINGTYPE[Building Type],0)),4)))),"")</f>
        <v/>
      </c>
      <c r="BF56" s="775" t="str">
        <f>IFERROR(IF(OR(C56="",G56="",M56="",O56="",R56="",T56="",V56="",X56="",AC56="",AG56="",AI56="",AK56=""),"",
IF(BA56&lt;=BB56,0,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761"/>
      <c r="BH56" s="775" t="str" cm="1">
        <f t="array" ref="BH56">IF(OR(C56="",G56="",M56="",O56="",R56="",T56="",V56="",X56="",AC56="",AG56="",AI56="",AK56=""),"",IFERROR(IF(G56="","",IF(C56&lt;&gt;INDEX(STDLIGHT[Eff Category 1],MATCH(G56,STDLIGHT[Measure Name],0)),0,
IF(BA56&lt;=BB56,0,
ROUND(V56*INDEX(_xlfn.SWITCH(Program_Banner,"Business Energy Savings",STDLIGHT[Electric Energy Savings WBE (Annual kWh/unit)],"Small Business / Non-Profit",STDLIGHT[Electric Energy Savings HTRB (Annual kWh/unit)],0),MATCH('M03-S02'!G56,STDLIGHT[Measure Name],0)),4)))),""))</f>
        <v/>
      </c>
      <c r="BI56" s="775" t="str" cm="1">
        <f t="array" ref="BI56">IF(OR(C56="",G56="",M56="",O56="",R56="",T56="",V56="",X56="",AC56="",AG56="",AI56="",AK56=""),"",IFERROR(IF(G56="","",IF(C56&lt;&gt;INDEX(STDLIGHT[Eff Category 1],MATCH(G56,STDLIGHT[Measure Name],0)),0,
IF(BA56&lt;=BB56,0,
ROUND(V56*INDEX(_xlfn.SWITCH(Program_Banner,"Business Energy Savings",STDLIGHT[Coincident Peak Demand Savings WBE (kW/unit)],"Small Business / Non-Profit",STDLIGHT[Coincident Peak Demand Savings HTRB (kW/unit)],0),MATCH('M03-S02'!G56,STDLIGHT[Measure Name],0)),4)))),""))</f>
        <v/>
      </c>
      <c r="BJ56" s="777" t="str">
        <f>IFERROR(INDEX(STDLIGHT[Measure Life (Years)],MATCH(G56,STDLIGHT[Measure Name],0)),"")</f>
        <v/>
      </c>
      <c r="BK56" s="767" t="str">
        <f>IFERROR(IF(OR(C56="",G56="",M56="",O56="",R56="",T56="",V56="",X56="",AC56="",AG56="",AI56="",AK56=""),"",
ROUND(((1+ELOSS)*((BE56*INDEX(ELECCB[NPV AEC $/kWh],MATCH(BJ56,ELECCB[Year Number],1)))+(BF56*INDEX(ELECCB[NPV ACC $/kW],MATCH(BJ56,ELECCB[Year Number],1))))),2)),0)</f>
        <v/>
      </c>
      <c r="BL56" s="767" t="str">
        <f t="shared" si="2"/>
        <v/>
      </c>
      <c r="BM56" s="767" t="str">
        <f>IF(OR(G56="", V56=""), "", V56 * INDEX(STDLIGHT[Incremental Measure Cost ($/Unit)],MATCH(G56,STDLIGHT[Measure Name],0)))</f>
        <v/>
      </c>
      <c r="BN56" s="763" t="str">
        <f t="shared" si="3"/>
        <v/>
      </c>
      <c r="BO56" s="763" t="str">
        <f>IFERROR(IF(BM56 &lt;&gt; "", BM56, BL56) / M02S04F06 / AO56, "")</f>
        <v/>
      </c>
      <c r="BP56" s="769"/>
      <c r="BQ56" s="767" t="str">
        <f t="shared" ref="BQ56" si="97">IFERROR(ROUND(V56*AM56, 2), "")</f>
        <v/>
      </c>
      <c r="BR56" s="765"/>
      <c r="BS56" s="765"/>
      <c r="BT56" s="765"/>
      <c r="BU56" s="757" t="str">
        <f t="shared" ref="BU56" si="98">IFERROR(IF(BP56="",IF(AR56 &lt; BQ56, "100% Total Cost", ""), ""), "")</f>
        <v/>
      </c>
      <c r="BV56" s="767" t="str">
        <f t="shared" si="4"/>
        <v/>
      </c>
      <c r="BW56" s="757" t="str">
        <f>IFERROR(IF(OR(C56="",G56="",M56="",O56="",R56="",T56="",V56="",X56="",AC56="",AG56="",AI56="",AK56=""),"",IF(BY56&lt;&gt;"", SPILLOVERNUMBER, INDEX(STDLIGHT[Measure Number],MATCH(G56,STDLIGHT[Measure Name],0)))),"Err")</f>
        <v/>
      </c>
      <c r="BX56" s="757" t="str" cm="1">
        <f t="array" ref="BX56">IFERROR(INDEX(_xlfn.SWITCH(Program_Banner,"Business Energy Savings",STDLIGHT[Primary Key WBE],"Small Business / Non-Profit",STDLIGHT[Primary Key HTRB],0),MATCH(BW56,STDLIGHT[Measure Number],0)),"")</f>
        <v/>
      </c>
      <c r="BY56" s="757" t="str">
        <f>IFERROR(IF(OR(C56="",G56="",M56="",O56="",R56="",T56="",V56="",X56="",AC56="",AG56="",AI56="",AK56=""),"",
IF(BP56&gt;0,"",
IF(EXPIRATION&lt;&gt;"",PROJSTATEXP,
IF(M02S04F19="",MEASUREBLDG,
IF(BA56&lt;=BB56,MEASURESAVE,""))))),MEASURESUBMIT)</f>
        <v/>
      </c>
      <c r="BZ56" s="753"/>
      <c r="CA56" s="753"/>
      <c r="CB56" s="753"/>
      <c r="CC56" s="753"/>
    </row>
    <row r="57" spans="2:81" ht="15.95" customHeight="1">
      <c r="B57" s="785"/>
      <c r="C57" s="786"/>
      <c r="D57" s="787"/>
      <c r="E57" s="787"/>
      <c r="F57" s="788"/>
      <c r="G57" s="791"/>
      <c r="H57" s="792"/>
      <c r="I57" s="792"/>
      <c r="J57" s="792"/>
      <c r="K57" s="792"/>
      <c r="L57" s="792"/>
      <c r="M57" s="786"/>
      <c r="N57" s="788"/>
      <c r="O57" s="786"/>
      <c r="P57" s="787"/>
      <c r="Q57" s="788"/>
      <c r="R57" s="798"/>
      <c r="S57" s="799"/>
      <c r="T57" s="799"/>
      <c r="U57" s="800"/>
      <c r="V57" s="802"/>
      <c r="W57" s="802"/>
      <c r="X57" s="804"/>
      <c r="Y57" s="804"/>
      <c r="Z57" s="793"/>
      <c r="AA57" s="795"/>
      <c r="AB57" s="794"/>
      <c r="AC57" s="793"/>
      <c r="AD57" s="795"/>
      <c r="AE57" s="795"/>
      <c r="AF57" s="794"/>
      <c r="AG57" s="806"/>
      <c r="AH57" s="786"/>
      <c r="AI57" s="809"/>
      <c r="AJ57" s="810"/>
      <c r="AK57" s="810"/>
      <c r="AL57" s="812"/>
      <c r="AM57" s="815"/>
      <c r="AN57" s="816"/>
      <c r="AO57" s="818"/>
      <c r="AP57" s="818"/>
      <c r="AQ57" s="818"/>
      <c r="AR57" s="822"/>
      <c r="AS57" s="823"/>
      <c r="AT57" s="823"/>
      <c r="AU57" s="824"/>
      <c r="AV57" s="17"/>
      <c r="AX57" s="774"/>
      <c r="AY57" s="760"/>
      <c r="AZ57" s="760"/>
      <c r="BA57" s="772"/>
      <c r="BB57" s="772"/>
      <c r="BC57" s="774"/>
      <c r="BD57" s="758"/>
      <c r="BE57" s="776"/>
      <c r="BF57" s="776"/>
      <c r="BG57" s="762"/>
      <c r="BH57" s="776"/>
      <c r="BI57" s="776"/>
      <c r="BJ57" s="778"/>
      <c r="BK57" s="768"/>
      <c r="BL57" s="768"/>
      <c r="BM57" s="768"/>
      <c r="BN57" s="764"/>
      <c r="BO57" s="764"/>
      <c r="BP57" s="770"/>
      <c r="BQ57" s="768"/>
      <c r="BR57" s="766"/>
      <c r="BS57" s="766"/>
      <c r="BT57" s="766"/>
      <c r="BU57" s="758"/>
      <c r="BV57" s="768"/>
      <c r="BW57" s="758"/>
      <c r="BX57" s="758"/>
      <c r="BY57" s="758"/>
      <c r="BZ57" s="754"/>
      <c r="CA57" s="754"/>
      <c r="CB57" s="754"/>
      <c r="CC57" s="754"/>
    </row>
    <row r="58" spans="2:81" ht="15.95" customHeight="1">
      <c r="B58" s="785">
        <v>21</v>
      </c>
      <c r="C58" s="786"/>
      <c r="D58" s="787"/>
      <c r="E58" s="787"/>
      <c r="F58" s="788"/>
      <c r="G58" s="789"/>
      <c r="H58" s="790"/>
      <c r="I58" s="790"/>
      <c r="J58" s="790"/>
      <c r="K58" s="790"/>
      <c r="L58" s="790"/>
      <c r="M58" s="793"/>
      <c r="N58" s="794"/>
      <c r="O58" s="793"/>
      <c r="P58" s="795"/>
      <c r="Q58" s="794"/>
      <c r="R58" s="796"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797"/>
      <c r="T58" s="799" t="str">
        <f t="shared" ref="T58" si="99">IF(C58="Permanent Lamp Removal",0,"")</f>
        <v/>
      </c>
      <c r="U58" s="800"/>
      <c r="V58" s="801"/>
      <c r="W58" s="801"/>
      <c r="X58" s="803"/>
      <c r="Y58" s="803"/>
      <c r="Z58" s="873"/>
      <c r="AA58" s="874"/>
      <c r="AB58" s="875"/>
      <c r="AC58" s="825"/>
      <c r="AD58" s="826"/>
      <c r="AE58" s="826"/>
      <c r="AF58" s="827"/>
      <c r="AG58" s="805"/>
      <c r="AH58" s="793"/>
      <c r="AI58" s="807"/>
      <c r="AJ58" s="808"/>
      <c r="AK58" s="808"/>
      <c r="AL58" s="811"/>
      <c r="AM58" s="813" t="str" cm="1">
        <f t="array" ref="AM58">IFERROR(IF(G58="","",IF(C58&lt;&gt;INDEX(STDLIGHT[Eff Category 1],MATCH(G58,STDLIGHT[Measure Name],0)),0,INDEX(IF(AND(ACTIVEBONUS = TRUE,INDEX(STDLIGHT[Bonus Incentive],MATCH(G58,STDLIGHT[Measure Name],0))&lt;&gt; ""),STDLIGHT[Bonus Incentive],_xlfn.SWITCH(Program_Banner,"Business Energy Savings",STDLIGHT[BESP Incentive],"Small Business / Non-Profit",STDLIGHT[SBNP Incentive],0)),MATCH(G58,STDLIGHT[Measure Name],0)))),"")</f>
        <v/>
      </c>
      <c r="AN58" s="814"/>
      <c r="AO58" s="817" t="str">
        <f>IFERROR(IF(OR(C58="",G58="",M58="",O58="",R58="",T58="",V58="",X58="",AC58="",AG58="",AI58="",AK58=""),"",IF(BD58="Deemed",BH58,IF(BD58="Calculated",BE58,""))),"")</f>
        <v/>
      </c>
      <c r="AP58" s="817"/>
      <c r="AQ58" s="817"/>
      <c r="AR58" s="819" t="str">
        <f>IFERROR(IF(OR(C58="",G58="",M58="",O58="",R58="",T58="",V58="",X58="",AC58="",AG58="",AI58="",AK58=""),"",IF(BY58&lt;&gt;"",BY58,IF(BP58&gt;0,BP58,ROUND(IF(AO58&lt;=0,0,MIN(BL58,BQ58)),2)))),"")</f>
        <v/>
      </c>
      <c r="AS58" s="820"/>
      <c r="AT58" s="820"/>
      <c r="AU58" s="821"/>
      <c r="AV58" s="17"/>
      <c r="AX58" s="773" t="str">
        <f>IFERROR(IF(OR(C58="",G58="",M58="",O58="",R58="",T58="",V58="",X58="",AC58="",AG58="",AI58="",AK58=""),"",INDEX(STDLIGHT[Current Unit],MATCH(G58,STDLIGHT[Measure Name],0))),"Err")</f>
        <v/>
      </c>
      <c r="AY58" s="759" t="str">
        <f t="shared" ref="AY58" si="100">IF(V58="", "",  V58)</f>
        <v/>
      </c>
      <c r="AZ58" s="759" t="str">
        <f t="shared" ref="AZ58" si="101">IF(V58="", "",  V58)</f>
        <v/>
      </c>
      <c r="BA58" s="771"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B58" s="771"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C58" s="773" t="str">
        <f>IFERROR(IF(OR(C58="",G58="",M58="",O58="",R58="",T58="",V58="",X58="",AC58="",AG58="",AI58="",AK58=""),"",INDEX(STDLIGHT[End Use],MATCH(G58,STDLIGHT[Measure Name],0))),"Err")</f>
        <v/>
      </c>
      <c r="BD58" s="757" t="str">
        <f>IFERROR(IF(OR(C58="",G58="",M58="",O58="",R58="",T58="",V58="",X58="",AC58="",AG58="",AI58="",AK58=""),"",INDEX(STDLIGHT[Reporting Methodology],MATCH(G58,STDLIGHT[Measure Name],0))),"Err")</f>
        <v/>
      </c>
      <c r="BE58" s="775" t="str">
        <f>IFERROR(IF(OR(C58="",G58="",M58="",O58="",R58="",T58="",V58="",X58="",AC58="",AG58="",AI58="",AK58=""),"",
IF(BA58&lt;=BB58,0,
IF(OR(ISNUMBER(SEARCH("Exterior",C58)),ISNUMBER(SEARCH("Parking",C58)),M02S04F22="Unconditioned",M02S04F22="Electric Heat Only",M02S04F22="Natural Gas Heat Only"),ROUND((R58-T58)*V58*X58/1000,4),
ROUND((R58-T58)*V58*X58/1000*INDEX(BUILDINGTYPE[Waste Heat Factor (e)],MATCH(M02S04F19,BUILDINGTYPE[Building Type],0)),4)))),"")</f>
        <v/>
      </c>
      <c r="BF58" s="775" t="str">
        <f>IFERROR(IF(OR(C58="",G58="",M58="",O58="",R58="",T58="",V58="",X58="",AC58="",AG58="",AI58="",AK58=""),"",
IF(BA58&lt;=BB58,0,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761"/>
      <c r="BH58" s="775" t="str" cm="1">
        <f t="array" ref="BH58">IF(OR(C58="",G58="",M58="",O58="",R58="",T58="",V58="",X58="",AC58="",AG58="",AI58="",AK58=""),"",IFERROR(IF(G58="","",IF(C58&lt;&gt;INDEX(STDLIGHT[Eff Category 1],MATCH(G58,STDLIGHT[Measure Name],0)),0,
IF(BA58&lt;=BB58,0,
ROUND(V58*INDEX(_xlfn.SWITCH(Program_Banner,"Business Energy Savings",STDLIGHT[Electric Energy Savings WBE (Annual kWh/unit)],"Small Business / Non-Profit",STDLIGHT[Electric Energy Savings HTRB (Annual kWh/unit)],0),MATCH('M03-S02'!G58,STDLIGHT[Measure Name],0)),4)))),""))</f>
        <v/>
      </c>
      <c r="BI58" s="775" t="str" cm="1">
        <f t="array" ref="BI58">IF(OR(C58="",G58="",M58="",O58="",R58="",T58="",V58="",X58="",AC58="",AG58="",AI58="",AK58=""),"",IFERROR(IF(G58="","",IF(C58&lt;&gt;INDEX(STDLIGHT[Eff Category 1],MATCH(G58,STDLIGHT[Measure Name],0)),0,
IF(BA58&lt;=BB58,0,
ROUND(V58*INDEX(_xlfn.SWITCH(Program_Banner,"Business Energy Savings",STDLIGHT[Coincident Peak Demand Savings WBE (kW/unit)],"Small Business / Non-Profit",STDLIGHT[Coincident Peak Demand Savings HTRB (kW/unit)],0),MATCH('M03-S02'!G58,STDLIGHT[Measure Name],0)),4)))),""))</f>
        <v/>
      </c>
      <c r="BJ58" s="777" t="str">
        <f>IFERROR(INDEX(STDLIGHT[Measure Life (Years)],MATCH(G58,STDLIGHT[Measure Name],0)),"")</f>
        <v/>
      </c>
      <c r="BK58" s="767" t="str">
        <f>IFERROR(IF(OR(C58="",G58="",M58="",O58="",R58="",T58="",V58="",X58="",AC58="",AG58="",AI58="",AK58=""),"",
ROUND(((1+ELOSS)*((BE58*INDEX(ELECCB[NPV AEC $/kWh],MATCH(BJ58,ELECCB[Year Number],1)))+(BF58*INDEX(ELECCB[NPV ACC $/kW],MATCH(BJ58,ELECCB[Year Number],1))))),2)),0)</f>
        <v/>
      </c>
      <c r="BL58" s="767" t="str">
        <f t="shared" si="2"/>
        <v/>
      </c>
      <c r="BM58" s="767" t="str">
        <f>IF(OR(G58="", V58=""), "", V58 * INDEX(STDLIGHT[Incremental Measure Cost ($/Unit)],MATCH(G58,STDLIGHT[Measure Name],0)))</f>
        <v/>
      </c>
      <c r="BN58" s="763" t="str">
        <f t="shared" si="3"/>
        <v/>
      </c>
      <c r="BO58" s="763" t="str">
        <f>IFERROR(IF(BM58 &lt;&gt; "", BM58, BL58) / M02S04F06 / AO58, "")</f>
        <v/>
      </c>
      <c r="BP58" s="769"/>
      <c r="BQ58" s="767" t="str">
        <f t="shared" ref="BQ58" si="102">IFERROR(ROUND(V58*AM58, 2), "")</f>
        <v/>
      </c>
      <c r="BR58" s="765"/>
      <c r="BS58" s="765"/>
      <c r="BT58" s="765"/>
      <c r="BU58" s="757" t="str">
        <f t="shared" ref="BU58" si="103">IFERROR(IF(BP58="",IF(AR58 &lt; BQ58, "100% Total Cost", ""), ""), "")</f>
        <v/>
      </c>
      <c r="BV58" s="767" t="str">
        <f t="shared" si="4"/>
        <v/>
      </c>
      <c r="BW58" s="757" t="str">
        <f>IFERROR(IF(OR(C58="",G58="",M58="",O58="",R58="",T58="",V58="",X58="",AC58="",AG58="",AI58="",AK58=""),"",IF(BY58&lt;&gt;"", SPILLOVERNUMBER, INDEX(STDLIGHT[Measure Number],MATCH(G58,STDLIGHT[Measure Name],0)))),"Err")</f>
        <v/>
      </c>
      <c r="BX58" s="757" t="str" cm="1">
        <f t="array" ref="BX58">IFERROR(INDEX(_xlfn.SWITCH(Program_Banner,"Business Energy Savings",STDLIGHT[Primary Key WBE],"Small Business / Non-Profit",STDLIGHT[Primary Key HTRB],0),MATCH(BW58,STDLIGHT[Measure Number],0)),"")</f>
        <v/>
      </c>
      <c r="BY58" s="757" t="str">
        <f>IFERROR(IF(OR(C58="",G58="",M58="",O58="",R58="",T58="",V58="",X58="",AC58="",AG58="",AI58="",AK58=""),"",
IF(BP58&gt;0,"",
IF(EXPIRATION&lt;&gt;"",PROJSTATEXP,
IF(M02S04F19="",MEASUREBLDG,
IF(BA58&lt;=BB58,MEASURESAVE,""))))),MEASURESUBMIT)</f>
        <v/>
      </c>
      <c r="BZ58" s="753"/>
      <c r="CA58" s="753"/>
      <c r="CB58" s="753"/>
      <c r="CC58" s="753"/>
    </row>
    <row r="59" spans="2:81" ht="15.95" customHeight="1">
      <c r="B59" s="785"/>
      <c r="C59" s="786"/>
      <c r="D59" s="787"/>
      <c r="E59" s="787"/>
      <c r="F59" s="788"/>
      <c r="G59" s="791"/>
      <c r="H59" s="792"/>
      <c r="I59" s="792"/>
      <c r="J59" s="792"/>
      <c r="K59" s="792"/>
      <c r="L59" s="792"/>
      <c r="M59" s="786"/>
      <c r="N59" s="788"/>
      <c r="O59" s="786"/>
      <c r="P59" s="787"/>
      <c r="Q59" s="788"/>
      <c r="R59" s="798"/>
      <c r="S59" s="799"/>
      <c r="T59" s="799"/>
      <c r="U59" s="800"/>
      <c r="V59" s="802"/>
      <c r="W59" s="802"/>
      <c r="X59" s="804"/>
      <c r="Y59" s="804"/>
      <c r="Z59" s="793"/>
      <c r="AA59" s="795"/>
      <c r="AB59" s="794"/>
      <c r="AC59" s="793"/>
      <c r="AD59" s="795"/>
      <c r="AE59" s="795"/>
      <c r="AF59" s="794"/>
      <c r="AG59" s="806"/>
      <c r="AH59" s="786"/>
      <c r="AI59" s="809"/>
      <c r="AJ59" s="810"/>
      <c r="AK59" s="810"/>
      <c r="AL59" s="812"/>
      <c r="AM59" s="815"/>
      <c r="AN59" s="816"/>
      <c r="AO59" s="818"/>
      <c r="AP59" s="818"/>
      <c r="AQ59" s="818"/>
      <c r="AR59" s="822"/>
      <c r="AS59" s="823"/>
      <c r="AT59" s="823"/>
      <c r="AU59" s="824"/>
      <c r="AV59" s="17"/>
      <c r="AX59" s="774"/>
      <c r="AY59" s="760"/>
      <c r="AZ59" s="760"/>
      <c r="BA59" s="772"/>
      <c r="BB59" s="772"/>
      <c r="BC59" s="774"/>
      <c r="BD59" s="758"/>
      <c r="BE59" s="776"/>
      <c r="BF59" s="776"/>
      <c r="BG59" s="762"/>
      <c r="BH59" s="776"/>
      <c r="BI59" s="776"/>
      <c r="BJ59" s="778"/>
      <c r="BK59" s="768"/>
      <c r="BL59" s="768"/>
      <c r="BM59" s="768"/>
      <c r="BN59" s="764"/>
      <c r="BO59" s="764"/>
      <c r="BP59" s="770"/>
      <c r="BQ59" s="768"/>
      <c r="BR59" s="766"/>
      <c r="BS59" s="766"/>
      <c r="BT59" s="766"/>
      <c r="BU59" s="758"/>
      <c r="BV59" s="768"/>
      <c r="BW59" s="758"/>
      <c r="BX59" s="758"/>
      <c r="BY59" s="758"/>
      <c r="BZ59" s="754"/>
      <c r="CA59" s="754"/>
      <c r="CB59" s="754"/>
      <c r="CC59" s="754"/>
    </row>
    <row r="60" spans="2:81" ht="15.95" customHeight="1">
      <c r="B60" s="785">
        <v>22</v>
      </c>
      <c r="C60" s="786"/>
      <c r="D60" s="787"/>
      <c r="E60" s="787"/>
      <c r="F60" s="788"/>
      <c r="G60" s="789"/>
      <c r="H60" s="790"/>
      <c r="I60" s="790"/>
      <c r="J60" s="790"/>
      <c r="K60" s="790"/>
      <c r="L60" s="790"/>
      <c r="M60" s="793"/>
      <c r="N60" s="794"/>
      <c r="O60" s="793"/>
      <c r="P60" s="795"/>
      <c r="Q60" s="794"/>
      <c r="R60" s="796"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797"/>
      <c r="T60" s="799" t="str">
        <f t="shared" ref="T60" si="104">IF(C60="Permanent Lamp Removal",0,"")</f>
        <v/>
      </c>
      <c r="U60" s="800"/>
      <c r="V60" s="801"/>
      <c r="W60" s="801"/>
      <c r="X60" s="803"/>
      <c r="Y60" s="803"/>
      <c r="Z60" s="873"/>
      <c r="AA60" s="874"/>
      <c r="AB60" s="875"/>
      <c r="AC60" s="825"/>
      <c r="AD60" s="826"/>
      <c r="AE60" s="826"/>
      <c r="AF60" s="827"/>
      <c r="AG60" s="805"/>
      <c r="AH60" s="793"/>
      <c r="AI60" s="807"/>
      <c r="AJ60" s="808"/>
      <c r="AK60" s="808"/>
      <c r="AL60" s="811"/>
      <c r="AM60" s="813" t="str" cm="1">
        <f t="array" ref="AM60">IFERROR(IF(G60="","",IF(C60&lt;&gt;INDEX(STDLIGHT[Eff Category 1],MATCH(G60,STDLIGHT[Measure Name],0)),0,INDEX(IF(AND(ACTIVEBONUS = TRUE,INDEX(STDLIGHT[Bonus Incentive],MATCH(G60,STDLIGHT[Measure Name],0))&lt;&gt; ""),STDLIGHT[Bonus Incentive],_xlfn.SWITCH(Program_Banner,"Business Energy Savings",STDLIGHT[BESP Incentive],"Small Business / Non-Profit",STDLIGHT[SBNP Incentive],0)),MATCH(G60,STDLIGHT[Measure Name],0)))),"")</f>
        <v/>
      </c>
      <c r="AN60" s="814"/>
      <c r="AO60" s="817" t="str">
        <f>IFERROR(IF(OR(C60="",G60="",M60="",O60="",R60="",T60="",V60="",X60="",AC60="",AG60="",AI60="",AK60=""),"",IF(BD60="Deemed",BH60,IF(BD60="Calculated",BE60,""))),"")</f>
        <v/>
      </c>
      <c r="AP60" s="817"/>
      <c r="AQ60" s="817"/>
      <c r="AR60" s="819" t="str">
        <f>IFERROR(IF(OR(C60="",G60="",M60="",O60="",R60="",T60="",V60="",X60="",AC60="",AG60="",AI60="",AK60=""),"",IF(BY60&lt;&gt;"",BY60,IF(BP60&gt;0,BP60,ROUND(IF(AO60&lt;=0,0,MIN(BL60,BQ60)),2)))),"")</f>
        <v/>
      </c>
      <c r="AS60" s="820"/>
      <c r="AT60" s="820"/>
      <c r="AU60" s="821"/>
      <c r="AV60" s="17"/>
      <c r="AX60" s="773" t="str">
        <f>IFERROR(IF(OR(C60="",G60="",M60="",O60="",R60="",T60="",V60="",X60="",AC60="",AG60="",AI60="",AK60=""),"",INDEX(STDLIGHT[Current Unit],MATCH(G60,STDLIGHT[Measure Name],0))),"Err")</f>
        <v/>
      </c>
      <c r="AY60" s="759" t="str">
        <f t="shared" ref="AY60" si="105">IF(V60="", "",  V60)</f>
        <v/>
      </c>
      <c r="AZ60" s="759" t="str">
        <f t="shared" ref="AZ60" si="106">IF(V60="", "",  V60)</f>
        <v/>
      </c>
      <c r="BA60" s="771"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B60" s="771"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C60" s="773" t="str">
        <f>IFERROR(IF(OR(C60="",G60="",M60="",O60="",R60="",T60="",V60="",X60="",AC60="",AG60="",AI60="",AK60=""),"",INDEX(STDLIGHT[End Use],MATCH(G60,STDLIGHT[Measure Name],0))),"Err")</f>
        <v/>
      </c>
      <c r="BD60" s="757" t="str">
        <f>IFERROR(IF(OR(C60="",G60="",M60="",O60="",R60="",T60="",V60="",X60="",AC60="",AG60="",AI60="",AK60=""),"",INDEX(STDLIGHT[Reporting Methodology],MATCH(G60,STDLIGHT[Measure Name],0))),"Err")</f>
        <v/>
      </c>
      <c r="BE60" s="775" t="str">
        <f>IFERROR(IF(OR(C60="",G60="",M60="",O60="",R60="",T60="",V60="",X60="",AC60="",AG60="",AI60="",AK60=""),"",
IF(BA60&lt;=BB60,0,
IF(OR(ISNUMBER(SEARCH("Exterior",C60)),ISNUMBER(SEARCH("Parking",C60)),M02S04F22="Unconditioned",M02S04F22="Electric Heat Only",M02S04F22="Natural Gas Heat Only"),ROUND((R60-T60)*V60*X60/1000,4),
ROUND((R60-T60)*V60*X60/1000*INDEX(BUILDINGTYPE[Waste Heat Factor (e)],MATCH(M02S04F19,BUILDINGTYPE[Building Type],0)),4)))),"")</f>
        <v/>
      </c>
      <c r="BF60" s="775" t="str">
        <f>IFERROR(IF(OR(C60="",G60="",M60="",O60="",R60="",T60="",V60="",X60="",AC60="",AG60="",AI60="",AK60=""),"",
IF(BA60&lt;=BB60,0,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761"/>
      <c r="BH60" s="775" t="str" cm="1">
        <f t="array" ref="BH60">IF(OR(C60="",G60="",M60="",O60="",R60="",T60="",V60="",X60="",AC60="",AG60="",AI60="",AK60=""),"",IFERROR(IF(G60="","",IF(C60&lt;&gt;INDEX(STDLIGHT[Eff Category 1],MATCH(G60,STDLIGHT[Measure Name],0)),0,
IF(BA60&lt;=BB60,0,
ROUND(V60*INDEX(_xlfn.SWITCH(Program_Banner,"Business Energy Savings",STDLIGHT[Electric Energy Savings WBE (Annual kWh/unit)],"Small Business / Non-Profit",STDLIGHT[Electric Energy Savings HTRB (Annual kWh/unit)],0),MATCH('M03-S02'!G60,STDLIGHT[Measure Name],0)),4)))),""))</f>
        <v/>
      </c>
      <c r="BI60" s="775" t="str" cm="1">
        <f t="array" ref="BI60">IF(OR(C60="",G60="",M60="",O60="",R60="",T60="",V60="",X60="",AC60="",AG60="",AI60="",AK60=""),"",IFERROR(IF(G60="","",IF(C60&lt;&gt;INDEX(STDLIGHT[Eff Category 1],MATCH(G60,STDLIGHT[Measure Name],0)),0,
IF(BA60&lt;=BB60,0,
ROUND(V60*INDEX(_xlfn.SWITCH(Program_Banner,"Business Energy Savings",STDLIGHT[Coincident Peak Demand Savings WBE (kW/unit)],"Small Business / Non-Profit",STDLIGHT[Coincident Peak Demand Savings HTRB (kW/unit)],0),MATCH('M03-S02'!G60,STDLIGHT[Measure Name],0)),4)))),""))</f>
        <v/>
      </c>
      <c r="BJ60" s="777" t="str">
        <f>IFERROR(INDEX(STDLIGHT[Measure Life (Years)],MATCH(G60,STDLIGHT[Measure Name],0)),"")</f>
        <v/>
      </c>
      <c r="BK60" s="767" t="str">
        <f>IFERROR(IF(OR(C60="",G60="",M60="",O60="",R60="",T60="",V60="",X60="",AC60="",AG60="",AI60="",AK60=""),"",
ROUND(((1+ELOSS)*((BE60*INDEX(ELECCB[NPV AEC $/kWh],MATCH(BJ60,ELECCB[Year Number],1)))+(BF60*INDEX(ELECCB[NPV ACC $/kW],MATCH(BJ60,ELECCB[Year Number],1))))),2)),0)</f>
        <v/>
      </c>
      <c r="BL60" s="767" t="str">
        <f t="shared" si="2"/>
        <v/>
      </c>
      <c r="BM60" s="767" t="str">
        <f>IF(OR(G60="", V60=""), "", V60 * INDEX(STDLIGHT[Incremental Measure Cost ($/Unit)],MATCH(G60,STDLIGHT[Measure Name],0)))</f>
        <v/>
      </c>
      <c r="BN60" s="763" t="str">
        <f t="shared" si="3"/>
        <v/>
      </c>
      <c r="BO60" s="763" t="str">
        <f>IFERROR(IF(BM60 &lt;&gt; "", BM60, BL60) / M02S04F06 / AO60, "")</f>
        <v/>
      </c>
      <c r="BP60" s="769"/>
      <c r="BQ60" s="767" t="str">
        <f t="shared" ref="BQ60" si="107">IFERROR(ROUND(V60*AM60, 2), "")</f>
        <v/>
      </c>
      <c r="BR60" s="765"/>
      <c r="BS60" s="765"/>
      <c r="BT60" s="765"/>
      <c r="BU60" s="757" t="str">
        <f t="shared" ref="BU60" si="108">IFERROR(IF(BP60="",IF(AR60 &lt; BQ60, "100% Total Cost", ""), ""), "")</f>
        <v/>
      </c>
      <c r="BV60" s="767" t="str">
        <f t="shared" si="4"/>
        <v/>
      </c>
      <c r="BW60" s="757" t="str">
        <f>IFERROR(IF(OR(C60="",G60="",M60="",O60="",R60="",T60="",V60="",X60="",AC60="",AG60="",AI60="",AK60=""),"",IF(BY60&lt;&gt;"", SPILLOVERNUMBER, INDEX(STDLIGHT[Measure Number],MATCH(G60,STDLIGHT[Measure Name],0)))),"Err")</f>
        <v/>
      </c>
      <c r="BX60" s="757" t="str" cm="1">
        <f t="array" ref="BX60">IFERROR(INDEX(_xlfn.SWITCH(Program_Banner,"Business Energy Savings",STDLIGHT[Primary Key WBE],"Small Business / Non-Profit",STDLIGHT[Primary Key HTRB],0),MATCH(BW60,STDLIGHT[Measure Number],0)),"")</f>
        <v/>
      </c>
      <c r="BY60" s="757" t="str">
        <f>IFERROR(IF(OR(C60="",G60="",M60="",O60="",R60="",T60="",V60="",X60="",AC60="",AG60="",AI60="",AK60=""),"",
IF(BP60&gt;0,"",
IF(EXPIRATION&lt;&gt;"",PROJSTATEXP,
IF(M02S04F19="",MEASUREBLDG,
IF(BA60&lt;=BB60,MEASURESAVE,""))))),MEASURESUBMIT)</f>
        <v/>
      </c>
      <c r="BZ60" s="753"/>
      <c r="CA60" s="753"/>
      <c r="CB60" s="753"/>
      <c r="CC60" s="753"/>
    </row>
    <row r="61" spans="2:81" ht="15.95" customHeight="1">
      <c r="B61" s="785"/>
      <c r="C61" s="786"/>
      <c r="D61" s="787"/>
      <c r="E61" s="787"/>
      <c r="F61" s="788"/>
      <c r="G61" s="791"/>
      <c r="H61" s="792"/>
      <c r="I61" s="792"/>
      <c r="J61" s="792"/>
      <c r="K61" s="792"/>
      <c r="L61" s="792"/>
      <c r="M61" s="786"/>
      <c r="N61" s="788"/>
      <c r="O61" s="786"/>
      <c r="P61" s="787"/>
      <c r="Q61" s="788"/>
      <c r="R61" s="798"/>
      <c r="S61" s="799"/>
      <c r="T61" s="799"/>
      <c r="U61" s="800"/>
      <c r="V61" s="802"/>
      <c r="W61" s="802"/>
      <c r="X61" s="804"/>
      <c r="Y61" s="804"/>
      <c r="Z61" s="793"/>
      <c r="AA61" s="795"/>
      <c r="AB61" s="794"/>
      <c r="AC61" s="793"/>
      <c r="AD61" s="795"/>
      <c r="AE61" s="795"/>
      <c r="AF61" s="794"/>
      <c r="AG61" s="806"/>
      <c r="AH61" s="786"/>
      <c r="AI61" s="809"/>
      <c r="AJ61" s="810"/>
      <c r="AK61" s="810"/>
      <c r="AL61" s="812"/>
      <c r="AM61" s="815"/>
      <c r="AN61" s="816"/>
      <c r="AO61" s="818"/>
      <c r="AP61" s="818"/>
      <c r="AQ61" s="818"/>
      <c r="AR61" s="822"/>
      <c r="AS61" s="823"/>
      <c r="AT61" s="823"/>
      <c r="AU61" s="824"/>
      <c r="AV61" s="17"/>
      <c r="AX61" s="774"/>
      <c r="AY61" s="760"/>
      <c r="AZ61" s="760"/>
      <c r="BA61" s="772"/>
      <c r="BB61" s="772"/>
      <c r="BC61" s="774"/>
      <c r="BD61" s="758"/>
      <c r="BE61" s="776"/>
      <c r="BF61" s="776"/>
      <c r="BG61" s="762"/>
      <c r="BH61" s="776"/>
      <c r="BI61" s="776"/>
      <c r="BJ61" s="778"/>
      <c r="BK61" s="768"/>
      <c r="BL61" s="768"/>
      <c r="BM61" s="768"/>
      <c r="BN61" s="764"/>
      <c r="BO61" s="764"/>
      <c r="BP61" s="770"/>
      <c r="BQ61" s="768"/>
      <c r="BR61" s="766"/>
      <c r="BS61" s="766"/>
      <c r="BT61" s="766"/>
      <c r="BU61" s="758"/>
      <c r="BV61" s="768"/>
      <c r="BW61" s="758"/>
      <c r="BX61" s="758"/>
      <c r="BY61" s="758"/>
      <c r="BZ61" s="754"/>
      <c r="CA61" s="754"/>
      <c r="CB61" s="754"/>
      <c r="CC61" s="754"/>
    </row>
    <row r="62" spans="2:81" ht="15.95" customHeight="1">
      <c r="B62" s="785">
        <v>23</v>
      </c>
      <c r="C62" s="786"/>
      <c r="D62" s="787"/>
      <c r="E62" s="787"/>
      <c r="F62" s="788"/>
      <c r="G62" s="789"/>
      <c r="H62" s="790"/>
      <c r="I62" s="790"/>
      <c r="J62" s="790"/>
      <c r="K62" s="790"/>
      <c r="L62" s="790"/>
      <c r="M62" s="793"/>
      <c r="N62" s="794"/>
      <c r="O62" s="793"/>
      <c r="P62" s="795"/>
      <c r="Q62" s="794"/>
      <c r="R62" s="796"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797"/>
      <c r="T62" s="799" t="str">
        <f t="shared" ref="T62" si="109">IF(C62="Permanent Lamp Removal",0,"")</f>
        <v/>
      </c>
      <c r="U62" s="800"/>
      <c r="V62" s="801"/>
      <c r="W62" s="801"/>
      <c r="X62" s="803"/>
      <c r="Y62" s="803"/>
      <c r="Z62" s="873"/>
      <c r="AA62" s="874"/>
      <c r="AB62" s="875"/>
      <c r="AC62" s="825"/>
      <c r="AD62" s="826"/>
      <c r="AE62" s="826"/>
      <c r="AF62" s="827"/>
      <c r="AG62" s="805"/>
      <c r="AH62" s="793"/>
      <c r="AI62" s="807"/>
      <c r="AJ62" s="808"/>
      <c r="AK62" s="808"/>
      <c r="AL62" s="811"/>
      <c r="AM62" s="813" t="str" cm="1">
        <f t="array" ref="AM62">IFERROR(IF(G62="","",IF(C62&lt;&gt;INDEX(STDLIGHT[Eff Category 1],MATCH(G62,STDLIGHT[Measure Name],0)),0,INDEX(IF(AND(ACTIVEBONUS = TRUE,INDEX(STDLIGHT[Bonus Incentive],MATCH(G62,STDLIGHT[Measure Name],0))&lt;&gt; ""),STDLIGHT[Bonus Incentive],_xlfn.SWITCH(Program_Banner,"Business Energy Savings",STDLIGHT[BESP Incentive],"Small Business / Non-Profit",STDLIGHT[SBNP Incentive],0)),MATCH(G62,STDLIGHT[Measure Name],0)))),"")</f>
        <v/>
      </c>
      <c r="AN62" s="814"/>
      <c r="AO62" s="817" t="str">
        <f>IFERROR(IF(OR(C62="",G62="",M62="",O62="",R62="",T62="",V62="",X62="",AC62="",AG62="",AI62="",AK62=""),"",IF(BD62="Deemed",BH62,IF(BD62="Calculated",BE62,""))),"")</f>
        <v/>
      </c>
      <c r="AP62" s="817"/>
      <c r="AQ62" s="817"/>
      <c r="AR62" s="819" t="str">
        <f>IFERROR(IF(OR(C62="",G62="",M62="",O62="",R62="",T62="",V62="",X62="",AC62="",AG62="",AI62="",AK62=""),"",IF(BY62&lt;&gt;"",BY62,IF(BP62&gt;0,BP62,ROUND(IF(AO62&lt;=0,0,MIN(BL62,BQ62)),2)))),"")</f>
        <v/>
      </c>
      <c r="AS62" s="820"/>
      <c r="AT62" s="820"/>
      <c r="AU62" s="821"/>
      <c r="AV62" s="17"/>
      <c r="AX62" s="773" t="str">
        <f>IFERROR(IF(OR(C62="",G62="",M62="",O62="",R62="",T62="",V62="",X62="",AC62="",AG62="",AI62="",AK62=""),"",INDEX(STDLIGHT[Current Unit],MATCH(G62,STDLIGHT[Measure Name],0))),"Err")</f>
        <v/>
      </c>
      <c r="AY62" s="759" t="str">
        <f t="shared" ref="AY62" si="110">IF(V62="", "",  V62)</f>
        <v/>
      </c>
      <c r="AZ62" s="759" t="str">
        <f t="shared" ref="AZ62" si="111">IF(V62="", "",  V62)</f>
        <v/>
      </c>
      <c r="BA62" s="771"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B62" s="771"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C62" s="773" t="str">
        <f>IFERROR(IF(OR(C62="",G62="",M62="",O62="",R62="",T62="",V62="",X62="",AC62="",AG62="",AI62="",AK62=""),"",INDEX(STDLIGHT[End Use],MATCH(G62,STDLIGHT[Measure Name],0))),"Err")</f>
        <v/>
      </c>
      <c r="BD62" s="757" t="str">
        <f>IFERROR(IF(OR(C62="",G62="",M62="",O62="",R62="",T62="",V62="",X62="",AC62="",AG62="",AI62="",AK62=""),"",INDEX(STDLIGHT[Reporting Methodology],MATCH(G62,STDLIGHT[Measure Name],0))),"Err")</f>
        <v/>
      </c>
      <c r="BE62" s="775" t="str">
        <f>IFERROR(IF(OR(C62="",G62="",M62="",O62="",R62="",T62="",V62="",X62="",AC62="",AG62="",AI62="",AK62=""),"",
IF(BA62&lt;=BB62,0,
IF(OR(ISNUMBER(SEARCH("Exterior",C62)),ISNUMBER(SEARCH("Parking",C62)),M02S04F22="Unconditioned",M02S04F22="Electric Heat Only",M02S04F22="Natural Gas Heat Only"),ROUND((R62-T62)*V62*X62/1000,4),
ROUND((R62-T62)*V62*X62/1000*INDEX(BUILDINGTYPE[Waste Heat Factor (e)],MATCH(M02S04F19,BUILDINGTYPE[Building Type],0)),4)))),"")</f>
        <v/>
      </c>
      <c r="BF62" s="775" t="str">
        <f>IFERROR(IF(OR(C62="",G62="",M62="",O62="",R62="",T62="",V62="",X62="",AC62="",AG62="",AI62="",AK62=""),"",
IF(BA62&lt;=BB62,0,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761"/>
      <c r="BH62" s="775" t="str" cm="1">
        <f t="array" ref="BH62">IF(OR(C62="",G62="",M62="",O62="",R62="",T62="",V62="",X62="",AC62="",AG62="",AI62="",AK62=""),"",IFERROR(IF(G62="","",IF(C62&lt;&gt;INDEX(STDLIGHT[Eff Category 1],MATCH(G62,STDLIGHT[Measure Name],0)),0,
IF(BA62&lt;=BB62,0,
ROUND(V62*INDEX(_xlfn.SWITCH(Program_Banner,"Business Energy Savings",STDLIGHT[Electric Energy Savings WBE (Annual kWh/unit)],"Small Business / Non-Profit",STDLIGHT[Electric Energy Savings HTRB (Annual kWh/unit)],0),MATCH('M03-S02'!G62,STDLIGHT[Measure Name],0)),4)))),""))</f>
        <v/>
      </c>
      <c r="BI62" s="775" t="str" cm="1">
        <f t="array" ref="BI62">IF(OR(C62="",G62="",M62="",O62="",R62="",T62="",V62="",X62="",AC62="",AG62="",AI62="",AK62=""),"",IFERROR(IF(G62="","",IF(C62&lt;&gt;INDEX(STDLIGHT[Eff Category 1],MATCH(G62,STDLIGHT[Measure Name],0)),0,
IF(BA62&lt;=BB62,0,
ROUND(V62*INDEX(_xlfn.SWITCH(Program_Banner,"Business Energy Savings",STDLIGHT[Coincident Peak Demand Savings WBE (kW/unit)],"Small Business / Non-Profit",STDLIGHT[Coincident Peak Demand Savings HTRB (kW/unit)],0),MATCH('M03-S02'!G62,STDLIGHT[Measure Name],0)),4)))),""))</f>
        <v/>
      </c>
      <c r="BJ62" s="777" t="str">
        <f>IFERROR(INDEX(STDLIGHT[Measure Life (Years)],MATCH(G62,STDLIGHT[Measure Name],0)),"")</f>
        <v/>
      </c>
      <c r="BK62" s="767" t="str">
        <f>IFERROR(IF(OR(C62="",G62="",M62="",O62="",R62="",T62="",V62="",X62="",AC62="",AG62="",AI62="",AK62=""),"",
ROUND(((1+ELOSS)*((BE62*INDEX(ELECCB[NPV AEC $/kWh],MATCH(BJ62,ELECCB[Year Number],1)))+(BF62*INDEX(ELECCB[NPV ACC $/kW],MATCH(BJ62,ELECCB[Year Number],1))))),2)),0)</f>
        <v/>
      </c>
      <c r="BL62" s="767" t="str">
        <f t="shared" si="2"/>
        <v/>
      </c>
      <c r="BM62" s="767" t="str">
        <f>IF(OR(G62="", V62=""), "", V62 * INDEX(STDLIGHT[Incremental Measure Cost ($/Unit)],MATCH(G62,STDLIGHT[Measure Name],0)))</f>
        <v/>
      </c>
      <c r="BN62" s="763" t="str">
        <f t="shared" si="3"/>
        <v/>
      </c>
      <c r="BO62" s="763" t="str">
        <f>IFERROR(IF(BM62 &lt;&gt; "", BM62, BL62) / M02S04F06 / AO62, "")</f>
        <v/>
      </c>
      <c r="BP62" s="769"/>
      <c r="BQ62" s="767" t="str">
        <f t="shared" ref="BQ62" si="112">IFERROR(ROUND(V62*AM62, 2), "")</f>
        <v/>
      </c>
      <c r="BR62" s="765"/>
      <c r="BS62" s="765"/>
      <c r="BT62" s="765"/>
      <c r="BU62" s="757" t="str">
        <f t="shared" ref="BU62" si="113">IFERROR(IF(BP62="",IF(AR62 &lt; BQ62, "100% Total Cost", ""), ""), "")</f>
        <v/>
      </c>
      <c r="BV62" s="767" t="str">
        <f t="shared" si="4"/>
        <v/>
      </c>
      <c r="BW62" s="757" t="str">
        <f>IFERROR(IF(OR(C62="",G62="",M62="",O62="",R62="",T62="",V62="",X62="",AC62="",AG62="",AI62="",AK62=""),"",IF(BY62&lt;&gt;"", SPILLOVERNUMBER, INDEX(STDLIGHT[Measure Number],MATCH(G62,STDLIGHT[Measure Name],0)))),"Err")</f>
        <v/>
      </c>
      <c r="BX62" s="757" t="str" cm="1">
        <f t="array" ref="BX62">IFERROR(INDEX(_xlfn.SWITCH(Program_Banner,"Business Energy Savings",STDLIGHT[Primary Key WBE],"Small Business / Non-Profit",STDLIGHT[Primary Key HTRB],0),MATCH(BW62,STDLIGHT[Measure Number],0)),"")</f>
        <v/>
      </c>
      <c r="BY62" s="757" t="str">
        <f>IFERROR(IF(OR(C62="",G62="",M62="",O62="",R62="",T62="",V62="",X62="",AC62="",AG62="",AI62="",AK62=""),"",
IF(BP62&gt;0,"",
IF(EXPIRATION&lt;&gt;"",PROJSTATEXP,
IF(M02S04F19="",MEASUREBLDG,
IF(BA62&lt;=BB62,MEASURESAVE,""))))),MEASURESUBMIT)</f>
        <v/>
      </c>
      <c r="BZ62" s="753"/>
      <c r="CA62" s="753"/>
      <c r="CB62" s="753"/>
      <c r="CC62" s="753"/>
    </row>
    <row r="63" spans="2:81" ht="15.95" customHeight="1">
      <c r="B63" s="785"/>
      <c r="C63" s="786"/>
      <c r="D63" s="787"/>
      <c r="E63" s="787"/>
      <c r="F63" s="788"/>
      <c r="G63" s="791"/>
      <c r="H63" s="792"/>
      <c r="I63" s="792"/>
      <c r="J63" s="792"/>
      <c r="K63" s="792"/>
      <c r="L63" s="792"/>
      <c r="M63" s="786"/>
      <c r="N63" s="788"/>
      <c r="O63" s="786"/>
      <c r="P63" s="787"/>
      <c r="Q63" s="788"/>
      <c r="R63" s="798"/>
      <c r="S63" s="799"/>
      <c r="T63" s="799"/>
      <c r="U63" s="800"/>
      <c r="V63" s="802"/>
      <c r="W63" s="802"/>
      <c r="X63" s="804"/>
      <c r="Y63" s="804"/>
      <c r="Z63" s="793"/>
      <c r="AA63" s="795"/>
      <c r="AB63" s="794"/>
      <c r="AC63" s="793"/>
      <c r="AD63" s="795"/>
      <c r="AE63" s="795"/>
      <c r="AF63" s="794"/>
      <c r="AG63" s="806"/>
      <c r="AH63" s="786"/>
      <c r="AI63" s="809"/>
      <c r="AJ63" s="810"/>
      <c r="AK63" s="810"/>
      <c r="AL63" s="812"/>
      <c r="AM63" s="815"/>
      <c r="AN63" s="816"/>
      <c r="AO63" s="818"/>
      <c r="AP63" s="818"/>
      <c r="AQ63" s="818"/>
      <c r="AR63" s="822"/>
      <c r="AS63" s="823"/>
      <c r="AT63" s="823"/>
      <c r="AU63" s="824"/>
      <c r="AV63" s="17"/>
      <c r="AX63" s="774"/>
      <c r="AY63" s="760"/>
      <c r="AZ63" s="760"/>
      <c r="BA63" s="772"/>
      <c r="BB63" s="772"/>
      <c r="BC63" s="774"/>
      <c r="BD63" s="758"/>
      <c r="BE63" s="776"/>
      <c r="BF63" s="776"/>
      <c r="BG63" s="762"/>
      <c r="BH63" s="776"/>
      <c r="BI63" s="776"/>
      <c r="BJ63" s="778"/>
      <c r="BK63" s="768"/>
      <c r="BL63" s="768"/>
      <c r="BM63" s="768"/>
      <c r="BN63" s="764"/>
      <c r="BO63" s="764"/>
      <c r="BP63" s="770"/>
      <c r="BQ63" s="768"/>
      <c r="BR63" s="766"/>
      <c r="BS63" s="766"/>
      <c r="BT63" s="766"/>
      <c r="BU63" s="758"/>
      <c r="BV63" s="768"/>
      <c r="BW63" s="758"/>
      <c r="BX63" s="758"/>
      <c r="BY63" s="758"/>
      <c r="BZ63" s="754"/>
      <c r="CA63" s="754"/>
      <c r="CB63" s="754"/>
      <c r="CC63" s="754"/>
    </row>
    <row r="64" spans="2:81" ht="15.95" customHeight="1">
      <c r="B64" s="785">
        <v>24</v>
      </c>
      <c r="C64" s="786"/>
      <c r="D64" s="787"/>
      <c r="E64" s="787"/>
      <c r="F64" s="788"/>
      <c r="G64" s="789"/>
      <c r="H64" s="790"/>
      <c r="I64" s="790"/>
      <c r="J64" s="790"/>
      <c r="K64" s="790"/>
      <c r="L64" s="790"/>
      <c r="M64" s="793"/>
      <c r="N64" s="794"/>
      <c r="O64" s="793"/>
      <c r="P64" s="795"/>
      <c r="Q64" s="794"/>
      <c r="R64" s="796"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797"/>
      <c r="T64" s="799" t="str">
        <f t="shared" ref="T64" si="114">IF(C64="Permanent Lamp Removal",0,"")</f>
        <v/>
      </c>
      <c r="U64" s="800"/>
      <c r="V64" s="801"/>
      <c r="W64" s="801"/>
      <c r="X64" s="803"/>
      <c r="Y64" s="803"/>
      <c r="Z64" s="873"/>
      <c r="AA64" s="874"/>
      <c r="AB64" s="875"/>
      <c r="AC64" s="825"/>
      <c r="AD64" s="826"/>
      <c r="AE64" s="826"/>
      <c r="AF64" s="827"/>
      <c r="AG64" s="805"/>
      <c r="AH64" s="793"/>
      <c r="AI64" s="807"/>
      <c r="AJ64" s="808"/>
      <c r="AK64" s="808"/>
      <c r="AL64" s="811"/>
      <c r="AM64" s="813" t="str" cm="1">
        <f t="array" ref="AM64">IFERROR(IF(G64="","",IF(C64&lt;&gt;INDEX(STDLIGHT[Eff Category 1],MATCH(G64,STDLIGHT[Measure Name],0)),0,INDEX(IF(AND(ACTIVEBONUS = TRUE,INDEX(STDLIGHT[Bonus Incentive],MATCH(G64,STDLIGHT[Measure Name],0))&lt;&gt; ""),STDLIGHT[Bonus Incentive],_xlfn.SWITCH(Program_Banner,"Business Energy Savings",STDLIGHT[BESP Incentive],"Small Business / Non-Profit",STDLIGHT[SBNP Incentive],0)),MATCH(G64,STDLIGHT[Measure Name],0)))),"")</f>
        <v/>
      </c>
      <c r="AN64" s="814"/>
      <c r="AO64" s="817" t="str">
        <f>IFERROR(IF(OR(C64="",G64="",M64="",O64="",R64="",T64="",V64="",X64="",AC64="",AG64="",AI64="",AK64=""),"",IF(BD64="Deemed",BH64,IF(BD64="Calculated",BE64,""))),"")</f>
        <v/>
      </c>
      <c r="AP64" s="817"/>
      <c r="AQ64" s="817"/>
      <c r="AR64" s="819" t="str">
        <f>IFERROR(IF(OR(C64="",G64="",M64="",O64="",R64="",T64="",V64="",X64="",AC64="",AG64="",AI64="",AK64=""),"",IF(BY64&lt;&gt;"",BY64,IF(BP64&gt;0,BP64,ROUND(IF(AO64&lt;=0,0,MIN(BL64,BQ64)),2)))),"")</f>
        <v/>
      </c>
      <c r="AS64" s="820"/>
      <c r="AT64" s="820"/>
      <c r="AU64" s="821"/>
      <c r="AV64" s="17"/>
      <c r="AX64" s="773" t="str">
        <f>IFERROR(IF(OR(C64="",G64="",M64="",O64="",R64="",T64="",V64="",X64="",AC64="",AG64="",AI64="",AK64=""),"",INDEX(STDLIGHT[Current Unit],MATCH(G64,STDLIGHT[Measure Name],0))),"Err")</f>
        <v/>
      </c>
      <c r="AY64" s="759" t="str">
        <f t="shared" ref="AY64" si="115">IF(V64="", "",  V64)</f>
        <v/>
      </c>
      <c r="AZ64" s="759" t="str">
        <f t="shared" ref="AZ64" si="116">IF(V64="", "",  V64)</f>
        <v/>
      </c>
      <c r="BA64" s="771"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B64" s="771"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C64" s="773" t="str">
        <f>IFERROR(IF(OR(C64="",G64="",M64="",O64="",R64="",T64="",V64="",X64="",AC64="",AG64="",AI64="",AK64=""),"",INDEX(STDLIGHT[End Use],MATCH(G64,STDLIGHT[Measure Name],0))),"Err")</f>
        <v/>
      </c>
      <c r="BD64" s="757" t="str">
        <f>IFERROR(IF(OR(C64="",G64="",M64="",O64="",R64="",T64="",V64="",X64="",AC64="",AG64="",AI64="",AK64=""),"",INDEX(STDLIGHT[Reporting Methodology],MATCH(G64,STDLIGHT[Measure Name],0))),"Err")</f>
        <v/>
      </c>
      <c r="BE64" s="775" t="str">
        <f>IFERROR(IF(OR(C64="",G64="",M64="",O64="",R64="",T64="",V64="",X64="",AC64="",AG64="",AI64="",AK64=""),"",
IF(BA64&lt;=BB64,0,
IF(OR(ISNUMBER(SEARCH("Exterior",C64)),ISNUMBER(SEARCH("Parking",C64)),M02S04F22="Unconditioned",M02S04F22="Electric Heat Only",M02S04F22="Natural Gas Heat Only"),ROUND((R64-T64)*V64*X64/1000,4),
ROUND((R64-T64)*V64*X64/1000*INDEX(BUILDINGTYPE[Waste Heat Factor (e)],MATCH(M02S04F19,BUILDINGTYPE[Building Type],0)),4)))),"")</f>
        <v/>
      </c>
      <c r="BF64" s="775" t="str">
        <f>IFERROR(IF(OR(C64="",G64="",M64="",O64="",R64="",T64="",V64="",X64="",AC64="",AG64="",AI64="",AK64=""),"",
IF(BA64&lt;=BB64,0,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761"/>
      <c r="BH64" s="775" t="str" cm="1">
        <f t="array" ref="BH64">IF(OR(C64="",G64="",M64="",O64="",R64="",T64="",V64="",X64="",AC64="",AG64="",AI64="",AK64=""),"",IFERROR(IF(G64="","",IF(C64&lt;&gt;INDEX(STDLIGHT[Eff Category 1],MATCH(G64,STDLIGHT[Measure Name],0)),0,
IF(BA64&lt;=BB64,0,
ROUND(V64*INDEX(_xlfn.SWITCH(Program_Banner,"Business Energy Savings",STDLIGHT[Electric Energy Savings WBE (Annual kWh/unit)],"Small Business / Non-Profit",STDLIGHT[Electric Energy Savings HTRB (Annual kWh/unit)],0),MATCH('M03-S02'!G64,STDLIGHT[Measure Name],0)),4)))),""))</f>
        <v/>
      </c>
      <c r="BI64" s="775" t="str" cm="1">
        <f t="array" ref="BI64">IF(OR(C64="",G64="",M64="",O64="",R64="",T64="",V64="",X64="",AC64="",AG64="",AI64="",AK64=""),"",IFERROR(IF(G64="","",IF(C64&lt;&gt;INDEX(STDLIGHT[Eff Category 1],MATCH(G64,STDLIGHT[Measure Name],0)),0,
IF(BA64&lt;=BB64,0,
ROUND(V64*INDEX(_xlfn.SWITCH(Program_Banner,"Business Energy Savings",STDLIGHT[Coincident Peak Demand Savings WBE (kW/unit)],"Small Business / Non-Profit",STDLIGHT[Coincident Peak Demand Savings HTRB (kW/unit)],0),MATCH('M03-S02'!G64,STDLIGHT[Measure Name],0)),4)))),""))</f>
        <v/>
      </c>
      <c r="BJ64" s="777" t="str">
        <f>IFERROR(INDEX(STDLIGHT[Measure Life (Years)],MATCH(G64,STDLIGHT[Measure Name],0)),"")</f>
        <v/>
      </c>
      <c r="BK64" s="767" t="str">
        <f>IFERROR(IF(OR(C64="",G64="",M64="",O64="",R64="",T64="",V64="",X64="",AC64="",AG64="",AI64="",AK64=""),"",
ROUND(((1+ELOSS)*((BE64*INDEX(ELECCB[NPV AEC $/kWh],MATCH(BJ64,ELECCB[Year Number],1)))+(BF64*INDEX(ELECCB[NPV ACC $/kW],MATCH(BJ64,ELECCB[Year Number],1))))),2)),0)</f>
        <v/>
      </c>
      <c r="BL64" s="767" t="str">
        <f t="shared" si="2"/>
        <v/>
      </c>
      <c r="BM64" s="767" t="str">
        <f>IF(OR(G64="", V64=""), "", V64 * INDEX(STDLIGHT[Incremental Measure Cost ($/Unit)],MATCH(G64,STDLIGHT[Measure Name],0)))</f>
        <v/>
      </c>
      <c r="BN64" s="763" t="str">
        <f t="shared" si="3"/>
        <v/>
      </c>
      <c r="BO64" s="763" t="str">
        <f>IFERROR(IF(BM64 &lt;&gt; "", BM64, BL64) / M02S04F06 / AO64, "")</f>
        <v/>
      </c>
      <c r="BP64" s="769"/>
      <c r="BQ64" s="767" t="str">
        <f t="shared" ref="BQ64" si="117">IFERROR(ROUND(V64*AM64, 2), "")</f>
        <v/>
      </c>
      <c r="BR64" s="765"/>
      <c r="BS64" s="765"/>
      <c r="BT64" s="765"/>
      <c r="BU64" s="757" t="str">
        <f t="shared" ref="BU64" si="118">IFERROR(IF(BP64="",IF(AR64 &lt; BQ64, "100% Total Cost", ""), ""), "")</f>
        <v/>
      </c>
      <c r="BV64" s="767" t="str">
        <f t="shared" si="4"/>
        <v/>
      </c>
      <c r="BW64" s="757" t="str">
        <f>IFERROR(IF(OR(C64="",G64="",M64="",O64="",R64="",T64="",V64="",X64="",AC64="",AG64="",AI64="",AK64=""),"",IF(BY64&lt;&gt;"", SPILLOVERNUMBER, INDEX(STDLIGHT[Measure Number],MATCH(G64,STDLIGHT[Measure Name],0)))),"Err")</f>
        <v/>
      </c>
      <c r="BX64" s="757" t="str" cm="1">
        <f t="array" ref="BX64">IFERROR(INDEX(_xlfn.SWITCH(Program_Banner,"Business Energy Savings",STDLIGHT[Primary Key WBE],"Small Business / Non-Profit",STDLIGHT[Primary Key HTRB],0),MATCH(BW64,STDLIGHT[Measure Number],0)),"")</f>
        <v/>
      </c>
      <c r="BY64" s="757" t="str">
        <f>IFERROR(IF(OR(C64="",G64="",M64="",O64="",R64="",T64="",V64="",X64="",AC64="",AG64="",AI64="",AK64=""),"",
IF(BP64&gt;0,"",
IF(EXPIRATION&lt;&gt;"",PROJSTATEXP,
IF(M02S04F19="",MEASUREBLDG,
IF(BA64&lt;=BB64,MEASURESAVE,""))))),MEASURESUBMIT)</f>
        <v/>
      </c>
      <c r="BZ64" s="753"/>
      <c r="CA64" s="753"/>
      <c r="CB64" s="753"/>
      <c r="CC64" s="753"/>
    </row>
    <row r="65" spans="2:81" ht="15.95" customHeight="1">
      <c r="B65" s="785"/>
      <c r="C65" s="786"/>
      <c r="D65" s="787"/>
      <c r="E65" s="787"/>
      <c r="F65" s="788"/>
      <c r="G65" s="791"/>
      <c r="H65" s="792"/>
      <c r="I65" s="792"/>
      <c r="J65" s="792"/>
      <c r="K65" s="792"/>
      <c r="L65" s="792"/>
      <c r="M65" s="786"/>
      <c r="N65" s="788"/>
      <c r="O65" s="786"/>
      <c r="P65" s="787"/>
      <c r="Q65" s="788"/>
      <c r="R65" s="798"/>
      <c r="S65" s="799"/>
      <c r="T65" s="799"/>
      <c r="U65" s="800"/>
      <c r="V65" s="802"/>
      <c r="W65" s="802"/>
      <c r="X65" s="804"/>
      <c r="Y65" s="804"/>
      <c r="Z65" s="793"/>
      <c r="AA65" s="795"/>
      <c r="AB65" s="794"/>
      <c r="AC65" s="793"/>
      <c r="AD65" s="795"/>
      <c r="AE65" s="795"/>
      <c r="AF65" s="794"/>
      <c r="AG65" s="806"/>
      <c r="AH65" s="786"/>
      <c r="AI65" s="809"/>
      <c r="AJ65" s="810"/>
      <c r="AK65" s="810"/>
      <c r="AL65" s="812"/>
      <c r="AM65" s="815"/>
      <c r="AN65" s="816"/>
      <c r="AO65" s="818"/>
      <c r="AP65" s="818"/>
      <c r="AQ65" s="818"/>
      <c r="AR65" s="822"/>
      <c r="AS65" s="823"/>
      <c r="AT65" s="823"/>
      <c r="AU65" s="824"/>
      <c r="AV65" s="17"/>
      <c r="AX65" s="774"/>
      <c r="AY65" s="760"/>
      <c r="AZ65" s="760"/>
      <c r="BA65" s="772"/>
      <c r="BB65" s="772"/>
      <c r="BC65" s="774"/>
      <c r="BD65" s="758"/>
      <c r="BE65" s="776"/>
      <c r="BF65" s="776"/>
      <c r="BG65" s="762"/>
      <c r="BH65" s="776"/>
      <c r="BI65" s="776"/>
      <c r="BJ65" s="778"/>
      <c r="BK65" s="768"/>
      <c r="BL65" s="768"/>
      <c r="BM65" s="768"/>
      <c r="BN65" s="764"/>
      <c r="BO65" s="764"/>
      <c r="BP65" s="770"/>
      <c r="BQ65" s="768"/>
      <c r="BR65" s="766"/>
      <c r="BS65" s="766"/>
      <c r="BT65" s="766"/>
      <c r="BU65" s="758"/>
      <c r="BV65" s="768"/>
      <c r="BW65" s="758"/>
      <c r="BX65" s="758"/>
      <c r="BY65" s="758"/>
      <c r="BZ65" s="754"/>
      <c r="CA65" s="754"/>
      <c r="CB65" s="754"/>
      <c r="CC65" s="754"/>
    </row>
    <row r="66" spans="2:81" ht="15.95" customHeight="1">
      <c r="B66" s="785">
        <v>25</v>
      </c>
      <c r="C66" s="786"/>
      <c r="D66" s="787"/>
      <c r="E66" s="787"/>
      <c r="F66" s="788"/>
      <c r="G66" s="789"/>
      <c r="H66" s="790"/>
      <c r="I66" s="790"/>
      <c r="J66" s="790"/>
      <c r="K66" s="790"/>
      <c r="L66" s="790"/>
      <c r="M66" s="793"/>
      <c r="N66" s="794"/>
      <c r="O66" s="793"/>
      <c r="P66" s="795"/>
      <c r="Q66" s="794"/>
      <c r="R66" s="796"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797"/>
      <c r="T66" s="799" t="str">
        <f t="shared" ref="T66" si="119">IF(C66="Permanent Lamp Removal",0,"")</f>
        <v/>
      </c>
      <c r="U66" s="800"/>
      <c r="V66" s="801"/>
      <c r="W66" s="801"/>
      <c r="X66" s="803"/>
      <c r="Y66" s="803"/>
      <c r="Z66" s="873"/>
      <c r="AA66" s="874"/>
      <c r="AB66" s="875"/>
      <c r="AC66" s="825"/>
      <c r="AD66" s="826"/>
      <c r="AE66" s="826"/>
      <c r="AF66" s="827"/>
      <c r="AG66" s="805"/>
      <c r="AH66" s="793"/>
      <c r="AI66" s="807"/>
      <c r="AJ66" s="808"/>
      <c r="AK66" s="808"/>
      <c r="AL66" s="811"/>
      <c r="AM66" s="813" t="str" cm="1">
        <f t="array" ref="AM66">IFERROR(IF(G66="","",IF(C66&lt;&gt;INDEX(STDLIGHT[Eff Category 1],MATCH(G66,STDLIGHT[Measure Name],0)),0,INDEX(IF(AND(ACTIVEBONUS = TRUE,INDEX(STDLIGHT[Bonus Incentive],MATCH(G66,STDLIGHT[Measure Name],0))&lt;&gt; ""),STDLIGHT[Bonus Incentive],_xlfn.SWITCH(Program_Banner,"Business Energy Savings",STDLIGHT[BESP Incentive],"Small Business / Non-Profit",STDLIGHT[SBNP Incentive],0)),MATCH(G66,STDLIGHT[Measure Name],0)))),"")</f>
        <v/>
      </c>
      <c r="AN66" s="814"/>
      <c r="AO66" s="817" t="str">
        <f>IFERROR(IF(OR(C66="",G66="",M66="",O66="",R66="",T66="",V66="",X66="",AC66="",AG66="",AI66="",AK66=""),"",IF(BD66="Deemed",BH66,IF(BD66="Calculated",BE66,""))),"")</f>
        <v/>
      </c>
      <c r="AP66" s="817"/>
      <c r="AQ66" s="817"/>
      <c r="AR66" s="819" t="str">
        <f>IFERROR(IF(OR(C66="",G66="",M66="",O66="",R66="",T66="",V66="",X66="",AC66="",AG66="",AI66="",AK66=""),"",IF(BY66&lt;&gt;"",BY66,IF(BP66&gt;0,BP66,ROUND(IF(AO66&lt;=0,0,MIN(BL66,BQ66)),2)))),"")</f>
        <v/>
      </c>
      <c r="AS66" s="820"/>
      <c r="AT66" s="820"/>
      <c r="AU66" s="821"/>
      <c r="AV66" s="17"/>
      <c r="AX66" s="773" t="str">
        <f>IFERROR(IF(OR(C66="",G66="",M66="",O66="",R66="",T66="",V66="",X66="",AC66="",AG66="",AI66="",AK66=""),"",INDEX(STDLIGHT[Current Unit],MATCH(G66,STDLIGHT[Measure Name],0))),"Err")</f>
        <v/>
      </c>
      <c r="AY66" s="759" t="str">
        <f t="shared" ref="AY66" si="120">IF(V66="", "",  V66)</f>
        <v/>
      </c>
      <c r="AZ66" s="759" t="str">
        <f t="shared" ref="AZ66" si="121">IF(V66="", "",  V66)</f>
        <v/>
      </c>
      <c r="BA66" s="771"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B66" s="771"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C66" s="773" t="str">
        <f>IFERROR(IF(OR(C66="",G66="",M66="",O66="",R66="",T66="",V66="",X66="",AC66="",AG66="",AI66="",AK66=""),"",INDEX(STDLIGHT[End Use],MATCH(G66,STDLIGHT[Measure Name],0))),"Err")</f>
        <v/>
      </c>
      <c r="BD66" s="757" t="str">
        <f>IFERROR(IF(OR(C66="",G66="",M66="",O66="",R66="",T66="",V66="",X66="",AC66="",AG66="",AI66="",AK66=""),"",INDEX(STDLIGHT[Reporting Methodology],MATCH(G66,STDLIGHT[Measure Name],0))),"Err")</f>
        <v/>
      </c>
      <c r="BE66" s="775" t="str">
        <f>IFERROR(IF(OR(C66="",G66="",M66="",O66="",R66="",T66="",V66="",X66="",AC66="",AG66="",AI66="",AK66=""),"",
IF(BA66&lt;=BB66,0,
IF(OR(ISNUMBER(SEARCH("Exterior",C66)),ISNUMBER(SEARCH("Parking",C66)),M02S04F22="Unconditioned",M02S04F22="Electric Heat Only",M02S04F22="Natural Gas Heat Only"),ROUND((R66-T66)*V66*X66/1000,4),
ROUND((R66-T66)*V66*X66/1000*INDEX(BUILDINGTYPE[Waste Heat Factor (e)],MATCH(M02S04F19,BUILDINGTYPE[Building Type],0)),4)))),"")</f>
        <v/>
      </c>
      <c r="BF66" s="775" t="str">
        <f>IFERROR(IF(OR(C66="",G66="",M66="",O66="",R66="",T66="",V66="",X66="",AC66="",AG66="",AI66="",AK66=""),"",
IF(BA66&lt;=BB66,0,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761"/>
      <c r="BH66" s="775" t="str" cm="1">
        <f t="array" ref="BH66">IF(OR(C66="",G66="",M66="",O66="",R66="",T66="",V66="",X66="",AC66="",AG66="",AI66="",AK66=""),"",IFERROR(IF(G66="","",IF(C66&lt;&gt;INDEX(STDLIGHT[Eff Category 1],MATCH(G66,STDLIGHT[Measure Name],0)),0,
IF(BA66&lt;=BB66,0,
ROUND(V66*INDEX(_xlfn.SWITCH(Program_Banner,"Business Energy Savings",STDLIGHT[Electric Energy Savings WBE (Annual kWh/unit)],"Small Business / Non-Profit",STDLIGHT[Electric Energy Savings HTRB (Annual kWh/unit)],0),MATCH('M03-S02'!G66,STDLIGHT[Measure Name],0)),4)))),""))</f>
        <v/>
      </c>
      <c r="BI66" s="775" t="str" cm="1">
        <f t="array" ref="BI66">IF(OR(C66="",G66="",M66="",O66="",R66="",T66="",V66="",X66="",AC66="",AG66="",AI66="",AK66=""),"",IFERROR(IF(G66="","",IF(C66&lt;&gt;INDEX(STDLIGHT[Eff Category 1],MATCH(G66,STDLIGHT[Measure Name],0)),0,
IF(BA66&lt;=BB66,0,
ROUND(V66*INDEX(_xlfn.SWITCH(Program_Banner,"Business Energy Savings",STDLIGHT[Coincident Peak Demand Savings WBE (kW/unit)],"Small Business / Non-Profit",STDLIGHT[Coincident Peak Demand Savings HTRB (kW/unit)],0),MATCH('M03-S02'!G66,STDLIGHT[Measure Name],0)),4)))),""))</f>
        <v/>
      </c>
      <c r="BJ66" s="777" t="str">
        <f>IFERROR(INDEX(STDLIGHT[Measure Life (Years)],MATCH(G66,STDLIGHT[Measure Name],0)),"")</f>
        <v/>
      </c>
      <c r="BK66" s="767" t="str">
        <f>IFERROR(IF(OR(C66="",G66="",M66="",O66="",R66="",T66="",V66="",X66="",AC66="",AG66="",AI66="",AK66=""),"",
ROUND(((1+ELOSS)*((BE66*INDEX(ELECCB[NPV AEC $/kWh],MATCH(BJ66,ELECCB[Year Number],1)))+(BF66*INDEX(ELECCB[NPV ACC $/kW],MATCH(BJ66,ELECCB[Year Number],1))))),2)),0)</f>
        <v/>
      </c>
      <c r="BL66" s="767" t="str">
        <f t="shared" si="2"/>
        <v/>
      </c>
      <c r="BM66" s="767" t="str">
        <f>IF(OR(G66="", V66=""), "", V66 * INDEX(STDLIGHT[Incremental Measure Cost ($/Unit)],MATCH(G66,STDLIGHT[Measure Name],0)))</f>
        <v/>
      </c>
      <c r="BN66" s="763" t="str">
        <f t="shared" si="3"/>
        <v/>
      </c>
      <c r="BO66" s="763" t="str">
        <f>IFERROR(IF(BM66 &lt;&gt; "", BM66, BL66) / M02S04F06 / AO66, "")</f>
        <v/>
      </c>
      <c r="BP66" s="769"/>
      <c r="BQ66" s="767" t="str">
        <f t="shared" ref="BQ66" si="122">IFERROR(ROUND(V66*AM66, 2), "")</f>
        <v/>
      </c>
      <c r="BR66" s="765"/>
      <c r="BS66" s="765"/>
      <c r="BT66" s="765"/>
      <c r="BU66" s="757" t="str">
        <f t="shared" ref="BU66" si="123">IFERROR(IF(BP66="",IF(AR66 &lt; BQ66, "100% Total Cost", ""), ""), "")</f>
        <v/>
      </c>
      <c r="BV66" s="767" t="str">
        <f t="shared" si="4"/>
        <v/>
      </c>
      <c r="BW66" s="757" t="str">
        <f>IFERROR(IF(OR(C66="",G66="",M66="",O66="",R66="",T66="",V66="",X66="",AC66="",AG66="",AI66="",AK66=""),"",IF(BY66&lt;&gt;"", SPILLOVERNUMBER, INDEX(STDLIGHT[Measure Number],MATCH(G66,STDLIGHT[Measure Name],0)))),"Err")</f>
        <v/>
      </c>
      <c r="BX66" s="757" t="str" cm="1">
        <f t="array" ref="BX66">IFERROR(INDEX(_xlfn.SWITCH(Program_Banner,"Business Energy Savings",STDLIGHT[Primary Key WBE],"Small Business / Non-Profit",STDLIGHT[Primary Key HTRB],0),MATCH(BW66,STDLIGHT[Measure Number],0)),"")</f>
        <v/>
      </c>
      <c r="BY66" s="757" t="str">
        <f>IFERROR(IF(OR(C66="",G66="",M66="",O66="",R66="",T66="",V66="",X66="",AC66="",AG66="",AI66="",AK66=""),"",
IF(BP66&gt;0,"",
IF(EXPIRATION&lt;&gt;"",PROJSTATEXP,
IF(M02S04F19="",MEASUREBLDG,
IF(BA66&lt;=BB66,MEASURESAVE,""))))),MEASURESUBMIT)</f>
        <v/>
      </c>
      <c r="BZ66" s="753"/>
      <c r="CA66" s="753"/>
      <c r="CB66" s="753"/>
      <c r="CC66" s="753"/>
    </row>
    <row r="67" spans="2:81" ht="15.95" customHeight="1">
      <c r="B67" s="785"/>
      <c r="C67" s="786"/>
      <c r="D67" s="787"/>
      <c r="E67" s="787"/>
      <c r="F67" s="788"/>
      <c r="G67" s="791"/>
      <c r="H67" s="792"/>
      <c r="I67" s="792"/>
      <c r="J67" s="792"/>
      <c r="K67" s="792"/>
      <c r="L67" s="792"/>
      <c r="M67" s="786"/>
      <c r="N67" s="788"/>
      <c r="O67" s="786"/>
      <c r="P67" s="787"/>
      <c r="Q67" s="788"/>
      <c r="R67" s="798"/>
      <c r="S67" s="799"/>
      <c r="T67" s="799"/>
      <c r="U67" s="800"/>
      <c r="V67" s="802"/>
      <c r="W67" s="802"/>
      <c r="X67" s="804"/>
      <c r="Y67" s="804"/>
      <c r="Z67" s="793"/>
      <c r="AA67" s="795"/>
      <c r="AB67" s="794"/>
      <c r="AC67" s="793"/>
      <c r="AD67" s="795"/>
      <c r="AE67" s="795"/>
      <c r="AF67" s="794"/>
      <c r="AG67" s="806"/>
      <c r="AH67" s="786"/>
      <c r="AI67" s="809"/>
      <c r="AJ67" s="810"/>
      <c r="AK67" s="810"/>
      <c r="AL67" s="812"/>
      <c r="AM67" s="815"/>
      <c r="AN67" s="816"/>
      <c r="AO67" s="818"/>
      <c r="AP67" s="818"/>
      <c r="AQ67" s="818"/>
      <c r="AR67" s="822"/>
      <c r="AS67" s="823"/>
      <c r="AT67" s="823"/>
      <c r="AU67" s="824"/>
      <c r="AV67" s="17"/>
      <c r="AX67" s="774"/>
      <c r="AY67" s="760"/>
      <c r="AZ67" s="760"/>
      <c r="BA67" s="772"/>
      <c r="BB67" s="772"/>
      <c r="BC67" s="774"/>
      <c r="BD67" s="758"/>
      <c r="BE67" s="776"/>
      <c r="BF67" s="776"/>
      <c r="BG67" s="762"/>
      <c r="BH67" s="776"/>
      <c r="BI67" s="776"/>
      <c r="BJ67" s="778"/>
      <c r="BK67" s="768"/>
      <c r="BL67" s="768"/>
      <c r="BM67" s="768"/>
      <c r="BN67" s="764"/>
      <c r="BO67" s="764"/>
      <c r="BP67" s="770"/>
      <c r="BQ67" s="768"/>
      <c r="BR67" s="766"/>
      <c r="BS67" s="766"/>
      <c r="BT67" s="766"/>
      <c r="BU67" s="758"/>
      <c r="BV67" s="768"/>
      <c r="BW67" s="758"/>
      <c r="BX67" s="758"/>
      <c r="BY67" s="758"/>
      <c r="BZ67" s="754"/>
      <c r="CA67" s="754"/>
      <c r="CB67" s="754"/>
      <c r="CC67" s="754"/>
    </row>
    <row r="68" spans="2:81" ht="15.95" customHeight="1">
      <c r="B68" s="785">
        <v>26</v>
      </c>
      <c r="C68" s="786"/>
      <c r="D68" s="787"/>
      <c r="E68" s="787"/>
      <c r="F68" s="788"/>
      <c r="G68" s="789"/>
      <c r="H68" s="790"/>
      <c r="I68" s="790"/>
      <c r="J68" s="790"/>
      <c r="K68" s="790"/>
      <c r="L68" s="790"/>
      <c r="M68" s="793"/>
      <c r="N68" s="794"/>
      <c r="O68" s="793"/>
      <c r="P68" s="795"/>
      <c r="Q68" s="794"/>
      <c r="R68" s="796"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797"/>
      <c r="T68" s="799" t="str">
        <f t="shared" ref="T68" si="124">IF(C68="Permanent Lamp Removal",0,"")</f>
        <v/>
      </c>
      <c r="U68" s="800"/>
      <c r="V68" s="801"/>
      <c r="W68" s="801"/>
      <c r="X68" s="803"/>
      <c r="Y68" s="803"/>
      <c r="Z68" s="873"/>
      <c r="AA68" s="874"/>
      <c r="AB68" s="875"/>
      <c r="AC68" s="825"/>
      <c r="AD68" s="826"/>
      <c r="AE68" s="826"/>
      <c r="AF68" s="827"/>
      <c r="AG68" s="805"/>
      <c r="AH68" s="793"/>
      <c r="AI68" s="807"/>
      <c r="AJ68" s="808"/>
      <c r="AK68" s="808"/>
      <c r="AL68" s="811"/>
      <c r="AM68" s="813" t="str" cm="1">
        <f t="array" ref="AM68">IFERROR(IF(G68="","",IF(C68&lt;&gt;INDEX(STDLIGHT[Eff Category 1],MATCH(G68,STDLIGHT[Measure Name],0)),0,INDEX(IF(AND(ACTIVEBONUS = TRUE,INDEX(STDLIGHT[Bonus Incentive],MATCH(G68,STDLIGHT[Measure Name],0))&lt;&gt; ""),STDLIGHT[Bonus Incentive],_xlfn.SWITCH(Program_Banner,"Business Energy Savings",STDLIGHT[BESP Incentive],"Small Business / Non-Profit",STDLIGHT[SBNP Incentive],0)),MATCH(G68,STDLIGHT[Measure Name],0)))),"")</f>
        <v/>
      </c>
      <c r="AN68" s="814"/>
      <c r="AO68" s="817" t="str">
        <f>IFERROR(IF(OR(C68="",G68="",M68="",O68="",R68="",T68="",V68="",X68="",AC68="",AG68="",AI68="",AK68=""),"",IF(BD68="Deemed",BH68,IF(BD68="Calculated",BE68,""))),"")</f>
        <v/>
      </c>
      <c r="AP68" s="817"/>
      <c r="AQ68" s="817"/>
      <c r="AR68" s="819" t="str">
        <f>IFERROR(IF(OR(C68="",G68="",M68="",O68="",R68="",T68="",V68="",X68="",AC68="",AG68="",AI68="",AK68=""),"",IF(BY68&lt;&gt;"",BY68,IF(BP68&gt;0,BP68,ROUND(IF(AO68&lt;=0,0,MIN(BL68,BQ68)),2)))),"")</f>
        <v/>
      </c>
      <c r="AS68" s="820"/>
      <c r="AT68" s="820"/>
      <c r="AU68" s="821"/>
      <c r="AV68" s="17"/>
      <c r="AX68" s="773" t="str">
        <f>IFERROR(IF(OR(C68="",G68="",M68="",O68="",R68="",T68="",V68="",X68="",AC68="",AG68="",AI68="",AK68=""),"",INDEX(STDLIGHT[Current Unit],MATCH(G68,STDLIGHT[Measure Name],0))),"Err")</f>
        <v/>
      </c>
      <c r="AY68" s="759" t="str">
        <f t="shared" ref="AY68" si="125">IF(V68="", "",  V68)</f>
        <v/>
      </c>
      <c r="AZ68" s="759" t="str">
        <f t="shared" ref="AZ68" si="126">IF(V68="", "",  V68)</f>
        <v/>
      </c>
      <c r="BA68" s="771"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B68" s="771"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C68" s="773" t="str">
        <f>IFERROR(IF(OR(C68="",G68="",M68="",O68="",R68="",T68="",V68="",X68="",AC68="",AG68="",AI68="",AK68=""),"",INDEX(STDLIGHT[End Use],MATCH(G68,STDLIGHT[Measure Name],0))),"Err")</f>
        <v/>
      </c>
      <c r="BD68" s="757" t="str">
        <f>IFERROR(IF(OR(C68="",G68="",M68="",O68="",R68="",T68="",V68="",X68="",AC68="",AG68="",AI68="",AK68=""),"",INDEX(STDLIGHT[Reporting Methodology],MATCH(G68,STDLIGHT[Measure Name],0))),"Err")</f>
        <v/>
      </c>
      <c r="BE68" s="775" t="str">
        <f>IFERROR(IF(OR(C68="",G68="",M68="",O68="",R68="",T68="",V68="",X68="",AC68="",AG68="",AI68="",AK68=""),"",
IF(BA68&lt;=BB68,0,
IF(OR(ISNUMBER(SEARCH("Exterior",C68)),ISNUMBER(SEARCH("Parking",C68)),M02S04F22="Unconditioned",M02S04F22="Electric Heat Only",M02S04F22="Natural Gas Heat Only"),ROUND((R68-T68)*V68*X68/1000,4),
ROUND((R68-T68)*V68*X68/1000*INDEX(BUILDINGTYPE[Waste Heat Factor (e)],MATCH(M02S04F19,BUILDINGTYPE[Building Type],0)),4)))),"")</f>
        <v/>
      </c>
      <c r="BF68" s="775" t="str">
        <f>IFERROR(IF(OR(C68="",G68="",M68="",O68="",R68="",T68="",V68="",X68="",AC68="",AG68="",AI68="",AK68=""),"",
IF(BA68&lt;=BB68,0,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761"/>
      <c r="BH68" s="775" t="str" cm="1">
        <f t="array" ref="BH68">IF(OR(C68="",G68="",M68="",O68="",R68="",T68="",V68="",X68="",AC68="",AG68="",AI68="",AK68=""),"",IFERROR(IF(G68="","",IF(C68&lt;&gt;INDEX(STDLIGHT[Eff Category 1],MATCH(G68,STDLIGHT[Measure Name],0)),0,
IF(BA68&lt;=BB68,0,
ROUND(V68*INDEX(_xlfn.SWITCH(Program_Banner,"Business Energy Savings",STDLIGHT[Electric Energy Savings WBE (Annual kWh/unit)],"Small Business / Non-Profit",STDLIGHT[Electric Energy Savings HTRB (Annual kWh/unit)],0),MATCH('M03-S02'!G68,STDLIGHT[Measure Name],0)),4)))),""))</f>
        <v/>
      </c>
      <c r="BI68" s="775" t="str" cm="1">
        <f t="array" ref="BI68">IF(OR(C68="",G68="",M68="",O68="",R68="",T68="",V68="",X68="",AC68="",AG68="",AI68="",AK68=""),"",IFERROR(IF(G68="","",IF(C68&lt;&gt;INDEX(STDLIGHT[Eff Category 1],MATCH(G68,STDLIGHT[Measure Name],0)),0,
IF(BA68&lt;=BB68,0,
ROUND(V68*INDEX(_xlfn.SWITCH(Program_Banner,"Business Energy Savings",STDLIGHT[Coincident Peak Demand Savings WBE (kW/unit)],"Small Business / Non-Profit",STDLIGHT[Coincident Peak Demand Savings HTRB (kW/unit)],0),MATCH('M03-S02'!G68,STDLIGHT[Measure Name],0)),4)))),""))</f>
        <v/>
      </c>
      <c r="BJ68" s="777" t="str">
        <f>IFERROR(INDEX(STDLIGHT[Measure Life (Years)],MATCH(G68,STDLIGHT[Measure Name],0)),"")</f>
        <v/>
      </c>
      <c r="BK68" s="767" t="str">
        <f>IFERROR(IF(OR(C68="",G68="",M68="",O68="",R68="",T68="",V68="",X68="",AC68="",AG68="",AI68="",AK68=""),"",
ROUND(((1+ELOSS)*((BE68*INDEX(ELECCB[NPV AEC $/kWh],MATCH(BJ68,ELECCB[Year Number],1)))+(BF68*INDEX(ELECCB[NPV ACC $/kW],MATCH(BJ68,ELECCB[Year Number],1))))),2)),0)</f>
        <v/>
      </c>
      <c r="BL68" s="767" t="str">
        <f t="shared" si="2"/>
        <v/>
      </c>
      <c r="BM68" s="767" t="str">
        <f>IF(OR(G68="", V68=""), "", V68 * INDEX(STDLIGHT[Incremental Measure Cost ($/Unit)],MATCH(G68,STDLIGHT[Measure Name],0)))</f>
        <v/>
      </c>
      <c r="BN68" s="763" t="str">
        <f t="shared" si="3"/>
        <v/>
      </c>
      <c r="BO68" s="763" t="str">
        <f>IFERROR(IF(BM68 &lt;&gt; "", BM68, BL68) / M02S04F06 / AO68, "")</f>
        <v/>
      </c>
      <c r="BP68" s="769"/>
      <c r="BQ68" s="767" t="str">
        <f t="shared" ref="BQ68" si="127">IFERROR(ROUND(V68*AM68, 2), "")</f>
        <v/>
      </c>
      <c r="BR68" s="765"/>
      <c r="BS68" s="765"/>
      <c r="BT68" s="765"/>
      <c r="BU68" s="757" t="str">
        <f t="shared" ref="BU68" si="128">IFERROR(IF(BP68="",IF(AR68 &lt; BQ68, "100% Total Cost", ""), ""), "")</f>
        <v/>
      </c>
      <c r="BV68" s="767" t="str">
        <f t="shared" si="4"/>
        <v/>
      </c>
      <c r="BW68" s="757" t="str">
        <f>IFERROR(IF(OR(C68="",G68="",M68="",O68="",R68="",T68="",V68="",X68="",AC68="",AG68="",AI68="",AK68=""),"",IF(BY68&lt;&gt;"", SPILLOVERNUMBER, INDEX(STDLIGHT[Measure Number],MATCH(G68,STDLIGHT[Measure Name],0)))),"Err")</f>
        <v/>
      </c>
      <c r="BX68" s="757" t="str" cm="1">
        <f t="array" ref="BX68">IFERROR(INDEX(_xlfn.SWITCH(Program_Banner,"Business Energy Savings",STDLIGHT[Primary Key WBE],"Small Business / Non-Profit",STDLIGHT[Primary Key HTRB],0),MATCH(BW68,STDLIGHT[Measure Number],0)),"")</f>
        <v/>
      </c>
      <c r="BY68" s="757" t="str">
        <f>IFERROR(IF(OR(C68="",G68="",M68="",O68="",R68="",T68="",V68="",X68="",AC68="",AG68="",AI68="",AK68=""),"",
IF(BP68&gt;0,"",
IF(EXPIRATION&lt;&gt;"",PROJSTATEXP,
IF(M02S04F19="",MEASUREBLDG,
IF(BA68&lt;=BB68,MEASURESAVE,""))))),MEASURESUBMIT)</f>
        <v/>
      </c>
      <c r="BZ68" s="753"/>
      <c r="CA68" s="753"/>
      <c r="CB68" s="753"/>
      <c r="CC68" s="753"/>
    </row>
    <row r="69" spans="2:81" ht="15.95" customHeight="1">
      <c r="B69" s="785"/>
      <c r="C69" s="786"/>
      <c r="D69" s="787"/>
      <c r="E69" s="787"/>
      <c r="F69" s="788"/>
      <c r="G69" s="791"/>
      <c r="H69" s="792"/>
      <c r="I69" s="792"/>
      <c r="J69" s="792"/>
      <c r="K69" s="792"/>
      <c r="L69" s="792"/>
      <c r="M69" s="786"/>
      <c r="N69" s="788"/>
      <c r="O69" s="786"/>
      <c r="P69" s="787"/>
      <c r="Q69" s="788"/>
      <c r="R69" s="798"/>
      <c r="S69" s="799"/>
      <c r="T69" s="799"/>
      <c r="U69" s="800"/>
      <c r="V69" s="802"/>
      <c r="W69" s="802"/>
      <c r="X69" s="804"/>
      <c r="Y69" s="804"/>
      <c r="Z69" s="793"/>
      <c r="AA69" s="795"/>
      <c r="AB69" s="794"/>
      <c r="AC69" s="793"/>
      <c r="AD69" s="795"/>
      <c r="AE69" s="795"/>
      <c r="AF69" s="794"/>
      <c r="AG69" s="806"/>
      <c r="AH69" s="786"/>
      <c r="AI69" s="809"/>
      <c r="AJ69" s="810"/>
      <c r="AK69" s="810"/>
      <c r="AL69" s="812"/>
      <c r="AM69" s="815"/>
      <c r="AN69" s="816"/>
      <c r="AO69" s="818"/>
      <c r="AP69" s="818"/>
      <c r="AQ69" s="818"/>
      <c r="AR69" s="822"/>
      <c r="AS69" s="823"/>
      <c r="AT69" s="823"/>
      <c r="AU69" s="824"/>
      <c r="AV69" s="17"/>
      <c r="AX69" s="774"/>
      <c r="AY69" s="760"/>
      <c r="AZ69" s="760"/>
      <c r="BA69" s="772"/>
      <c r="BB69" s="772"/>
      <c r="BC69" s="774"/>
      <c r="BD69" s="758"/>
      <c r="BE69" s="776"/>
      <c r="BF69" s="776"/>
      <c r="BG69" s="762"/>
      <c r="BH69" s="776"/>
      <c r="BI69" s="776"/>
      <c r="BJ69" s="778"/>
      <c r="BK69" s="768"/>
      <c r="BL69" s="768"/>
      <c r="BM69" s="768"/>
      <c r="BN69" s="764"/>
      <c r="BO69" s="764"/>
      <c r="BP69" s="770"/>
      <c r="BQ69" s="768"/>
      <c r="BR69" s="766"/>
      <c r="BS69" s="766"/>
      <c r="BT69" s="766"/>
      <c r="BU69" s="758"/>
      <c r="BV69" s="768"/>
      <c r="BW69" s="758"/>
      <c r="BX69" s="758"/>
      <c r="BY69" s="758"/>
      <c r="BZ69" s="754"/>
      <c r="CA69" s="754"/>
      <c r="CB69" s="754"/>
      <c r="CC69" s="754"/>
    </row>
    <row r="70" spans="2:81" ht="15.95" customHeight="1">
      <c r="B70" s="785">
        <v>27</v>
      </c>
      <c r="C70" s="786"/>
      <c r="D70" s="787"/>
      <c r="E70" s="787"/>
      <c r="F70" s="788"/>
      <c r="G70" s="789"/>
      <c r="H70" s="790"/>
      <c r="I70" s="790"/>
      <c r="J70" s="790"/>
      <c r="K70" s="790"/>
      <c r="L70" s="790"/>
      <c r="M70" s="793"/>
      <c r="N70" s="794"/>
      <c r="O70" s="793"/>
      <c r="P70" s="795"/>
      <c r="Q70" s="794"/>
      <c r="R70" s="796"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797"/>
      <c r="T70" s="799" t="str">
        <f t="shared" ref="T70" si="129">IF(C70="Permanent Lamp Removal",0,"")</f>
        <v/>
      </c>
      <c r="U70" s="800"/>
      <c r="V70" s="801"/>
      <c r="W70" s="801"/>
      <c r="X70" s="803"/>
      <c r="Y70" s="803"/>
      <c r="Z70" s="873"/>
      <c r="AA70" s="874"/>
      <c r="AB70" s="875"/>
      <c r="AC70" s="825"/>
      <c r="AD70" s="826"/>
      <c r="AE70" s="826"/>
      <c r="AF70" s="827"/>
      <c r="AG70" s="805"/>
      <c r="AH70" s="793"/>
      <c r="AI70" s="807"/>
      <c r="AJ70" s="808"/>
      <c r="AK70" s="808"/>
      <c r="AL70" s="811"/>
      <c r="AM70" s="813" t="str" cm="1">
        <f t="array" ref="AM70">IFERROR(IF(G70="","",IF(C70&lt;&gt;INDEX(STDLIGHT[Eff Category 1],MATCH(G70,STDLIGHT[Measure Name],0)),0,INDEX(IF(AND(ACTIVEBONUS = TRUE,INDEX(STDLIGHT[Bonus Incentive],MATCH(G70,STDLIGHT[Measure Name],0))&lt;&gt; ""),STDLIGHT[Bonus Incentive],_xlfn.SWITCH(Program_Banner,"Business Energy Savings",STDLIGHT[BESP Incentive],"Small Business / Non-Profit",STDLIGHT[SBNP Incentive],0)),MATCH(G70,STDLIGHT[Measure Name],0)))),"")</f>
        <v/>
      </c>
      <c r="AN70" s="814"/>
      <c r="AO70" s="817" t="str">
        <f>IFERROR(IF(OR(C70="",G70="",M70="",O70="",R70="",T70="",V70="",X70="",AC70="",AG70="",AI70="",AK70=""),"",IF(BD70="Deemed",BH70,IF(BD70="Calculated",BE70,""))),"")</f>
        <v/>
      </c>
      <c r="AP70" s="817"/>
      <c r="AQ70" s="817"/>
      <c r="AR70" s="819" t="str">
        <f>IFERROR(IF(OR(C70="",G70="",M70="",O70="",R70="",T70="",V70="",X70="",AC70="",AG70="",AI70="",AK70=""),"",IF(BY70&lt;&gt;"",BY70,IF(BP70&gt;0,BP70,ROUND(IF(AO70&lt;=0,0,MIN(BL70,BQ70)),2)))),"")</f>
        <v/>
      </c>
      <c r="AS70" s="820"/>
      <c r="AT70" s="820"/>
      <c r="AU70" s="821"/>
      <c r="AV70" s="17"/>
      <c r="AX70" s="773" t="str">
        <f>IFERROR(IF(OR(C70="",G70="",M70="",O70="",R70="",T70="",V70="",X70="",AC70="",AG70="",AI70="",AK70=""),"",INDEX(STDLIGHT[Current Unit],MATCH(G70,STDLIGHT[Measure Name],0))),"Err")</f>
        <v/>
      </c>
      <c r="AY70" s="759" t="str">
        <f t="shared" ref="AY70" si="130">IF(V70="", "",  V70)</f>
        <v/>
      </c>
      <c r="AZ70" s="759" t="str">
        <f t="shared" ref="AZ70" si="131">IF(V70="", "",  V70)</f>
        <v/>
      </c>
      <c r="BA70" s="771"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B70" s="771"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C70" s="773" t="str">
        <f>IFERROR(IF(OR(C70="",G70="",M70="",O70="",R70="",T70="",V70="",X70="",AC70="",AG70="",AI70="",AK70=""),"",INDEX(STDLIGHT[End Use],MATCH(G70,STDLIGHT[Measure Name],0))),"Err")</f>
        <v/>
      </c>
      <c r="BD70" s="757" t="str">
        <f>IFERROR(IF(OR(C70="",G70="",M70="",O70="",R70="",T70="",V70="",X70="",AC70="",AG70="",AI70="",AK70=""),"",INDEX(STDLIGHT[Reporting Methodology],MATCH(G70,STDLIGHT[Measure Name],0))),"Err")</f>
        <v/>
      </c>
      <c r="BE70" s="775" t="str">
        <f>IFERROR(IF(OR(C70="",G70="",M70="",O70="",R70="",T70="",V70="",X70="",AC70="",AG70="",AI70="",AK70=""),"",
IF(BA70&lt;=BB70,0,
IF(OR(ISNUMBER(SEARCH("Exterior",C70)),ISNUMBER(SEARCH("Parking",C70)),M02S04F22="Unconditioned",M02S04F22="Electric Heat Only",M02S04F22="Natural Gas Heat Only"),ROUND((R70-T70)*V70*X70/1000,4),
ROUND((R70-T70)*V70*X70/1000*INDEX(BUILDINGTYPE[Waste Heat Factor (e)],MATCH(M02S04F19,BUILDINGTYPE[Building Type],0)),4)))),"")</f>
        <v/>
      </c>
      <c r="BF70" s="775" t="str">
        <f>IFERROR(IF(OR(C70="",G70="",M70="",O70="",R70="",T70="",V70="",X70="",AC70="",AG70="",AI70="",AK70=""),"",
IF(BA70&lt;=BB70,0,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761"/>
      <c r="BH70" s="775" t="str" cm="1">
        <f t="array" ref="BH70">IF(OR(C70="",G70="",M70="",O70="",R70="",T70="",V70="",X70="",AC70="",AG70="",AI70="",AK70=""),"",IFERROR(IF(G70="","",IF(C70&lt;&gt;INDEX(STDLIGHT[Eff Category 1],MATCH(G70,STDLIGHT[Measure Name],0)),0,
IF(BA70&lt;=BB70,0,
ROUND(V70*INDEX(_xlfn.SWITCH(Program_Banner,"Business Energy Savings",STDLIGHT[Electric Energy Savings WBE (Annual kWh/unit)],"Small Business / Non-Profit",STDLIGHT[Electric Energy Savings HTRB (Annual kWh/unit)],0),MATCH('M03-S02'!G70,STDLIGHT[Measure Name],0)),4)))),""))</f>
        <v/>
      </c>
      <c r="BI70" s="775" t="str" cm="1">
        <f t="array" ref="BI70">IF(OR(C70="",G70="",M70="",O70="",R70="",T70="",V70="",X70="",AC70="",AG70="",AI70="",AK70=""),"",IFERROR(IF(G70="","",IF(C70&lt;&gt;INDEX(STDLIGHT[Eff Category 1],MATCH(G70,STDLIGHT[Measure Name],0)),0,
IF(BA70&lt;=BB70,0,
ROUND(V70*INDEX(_xlfn.SWITCH(Program_Banner,"Business Energy Savings",STDLIGHT[Coincident Peak Demand Savings WBE (kW/unit)],"Small Business / Non-Profit",STDLIGHT[Coincident Peak Demand Savings HTRB (kW/unit)],0),MATCH('M03-S02'!G70,STDLIGHT[Measure Name],0)),4)))),""))</f>
        <v/>
      </c>
      <c r="BJ70" s="777" t="str">
        <f>IFERROR(INDEX(STDLIGHT[Measure Life (Years)],MATCH(G70,STDLIGHT[Measure Name],0)),"")</f>
        <v/>
      </c>
      <c r="BK70" s="767" t="str">
        <f>IFERROR(IF(OR(C70="",G70="",M70="",O70="",R70="",T70="",V70="",X70="",AC70="",AG70="",AI70="",AK70=""),"",
ROUND(((1+ELOSS)*((BE70*INDEX(ELECCB[NPV AEC $/kWh],MATCH(BJ70,ELECCB[Year Number],1)))+(BF70*INDEX(ELECCB[NPV ACC $/kW],MATCH(BJ70,ELECCB[Year Number],1))))),2)),0)</f>
        <v/>
      </c>
      <c r="BL70" s="767" t="str">
        <f t="shared" si="2"/>
        <v/>
      </c>
      <c r="BM70" s="767" t="str">
        <f>IF(OR(G70="", V70=""), "", V70 * INDEX(STDLIGHT[Incremental Measure Cost ($/Unit)],MATCH(G70,STDLIGHT[Measure Name],0)))</f>
        <v/>
      </c>
      <c r="BN70" s="763" t="str">
        <f t="shared" si="3"/>
        <v/>
      </c>
      <c r="BO70" s="763" t="str">
        <f>IFERROR(IF(BM70 &lt;&gt; "", BM70, BL70) / M02S04F06 / AO70, "")</f>
        <v/>
      </c>
      <c r="BP70" s="769"/>
      <c r="BQ70" s="767" t="str">
        <f t="shared" ref="BQ70" si="132">IFERROR(ROUND(V70*AM70, 2), "")</f>
        <v/>
      </c>
      <c r="BR70" s="765"/>
      <c r="BS70" s="765"/>
      <c r="BT70" s="765"/>
      <c r="BU70" s="757" t="str">
        <f t="shared" ref="BU70" si="133">IFERROR(IF(BP70="",IF(AR70 &lt; BQ70, "100% Total Cost", ""), ""), "")</f>
        <v/>
      </c>
      <c r="BV70" s="767" t="str">
        <f t="shared" si="4"/>
        <v/>
      </c>
      <c r="BW70" s="757" t="str">
        <f>IFERROR(IF(OR(C70="",G70="",M70="",O70="",R70="",T70="",V70="",X70="",AC70="",AG70="",AI70="",AK70=""),"",IF(BY70&lt;&gt;"", SPILLOVERNUMBER, INDEX(STDLIGHT[Measure Number],MATCH(G70,STDLIGHT[Measure Name],0)))),"Err")</f>
        <v/>
      </c>
      <c r="BX70" s="757" t="str" cm="1">
        <f t="array" ref="BX70">IFERROR(INDEX(_xlfn.SWITCH(Program_Banner,"Business Energy Savings",STDLIGHT[Primary Key WBE],"Small Business / Non-Profit",STDLIGHT[Primary Key HTRB],0),MATCH(BW70,STDLIGHT[Measure Number],0)),"")</f>
        <v/>
      </c>
      <c r="BY70" s="757" t="str">
        <f>IFERROR(IF(OR(C70="",G70="",M70="",O70="",R70="",T70="",V70="",X70="",AC70="",AG70="",AI70="",AK70=""),"",
IF(BP70&gt;0,"",
IF(EXPIRATION&lt;&gt;"",PROJSTATEXP,
IF(M02S04F19="",MEASUREBLDG,
IF(BA70&lt;=BB70,MEASURESAVE,""))))),MEASURESUBMIT)</f>
        <v/>
      </c>
      <c r="BZ70" s="753"/>
      <c r="CA70" s="753"/>
      <c r="CB70" s="753"/>
      <c r="CC70" s="753"/>
    </row>
    <row r="71" spans="2:81" ht="15.95" customHeight="1">
      <c r="B71" s="785"/>
      <c r="C71" s="786"/>
      <c r="D71" s="787"/>
      <c r="E71" s="787"/>
      <c r="F71" s="788"/>
      <c r="G71" s="791"/>
      <c r="H71" s="792"/>
      <c r="I71" s="792"/>
      <c r="J71" s="792"/>
      <c r="K71" s="792"/>
      <c r="L71" s="792"/>
      <c r="M71" s="786"/>
      <c r="N71" s="788"/>
      <c r="O71" s="786"/>
      <c r="P71" s="787"/>
      <c r="Q71" s="788"/>
      <c r="R71" s="798"/>
      <c r="S71" s="799"/>
      <c r="T71" s="799"/>
      <c r="U71" s="800"/>
      <c r="V71" s="802"/>
      <c r="W71" s="802"/>
      <c r="X71" s="804"/>
      <c r="Y71" s="804"/>
      <c r="Z71" s="793"/>
      <c r="AA71" s="795"/>
      <c r="AB71" s="794"/>
      <c r="AC71" s="793"/>
      <c r="AD71" s="795"/>
      <c r="AE71" s="795"/>
      <c r="AF71" s="794"/>
      <c r="AG71" s="806"/>
      <c r="AH71" s="786"/>
      <c r="AI71" s="809"/>
      <c r="AJ71" s="810"/>
      <c r="AK71" s="810"/>
      <c r="AL71" s="812"/>
      <c r="AM71" s="815"/>
      <c r="AN71" s="816"/>
      <c r="AO71" s="818"/>
      <c r="AP71" s="818"/>
      <c r="AQ71" s="818"/>
      <c r="AR71" s="822"/>
      <c r="AS71" s="823"/>
      <c r="AT71" s="823"/>
      <c r="AU71" s="824"/>
      <c r="AV71" s="17"/>
      <c r="AX71" s="774"/>
      <c r="AY71" s="760"/>
      <c r="AZ71" s="760"/>
      <c r="BA71" s="772"/>
      <c r="BB71" s="772"/>
      <c r="BC71" s="774"/>
      <c r="BD71" s="758"/>
      <c r="BE71" s="776"/>
      <c r="BF71" s="776"/>
      <c r="BG71" s="762"/>
      <c r="BH71" s="776"/>
      <c r="BI71" s="776"/>
      <c r="BJ71" s="778"/>
      <c r="BK71" s="768"/>
      <c r="BL71" s="768"/>
      <c r="BM71" s="768"/>
      <c r="BN71" s="764"/>
      <c r="BO71" s="764"/>
      <c r="BP71" s="770"/>
      <c r="BQ71" s="768"/>
      <c r="BR71" s="766"/>
      <c r="BS71" s="766"/>
      <c r="BT71" s="766"/>
      <c r="BU71" s="758"/>
      <c r="BV71" s="768"/>
      <c r="BW71" s="758"/>
      <c r="BX71" s="758"/>
      <c r="BY71" s="758"/>
      <c r="BZ71" s="754"/>
      <c r="CA71" s="754"/>
      <c r="CB71" s="754"/>
      <c r="CC71" s="754"/>
    </row>
    <row r="72" spans="2:81" ht="15.95" customHeight="1">
      <c r="B72" s="785">
        <v>28</v>
      </c>
      <c r="C72" s="786"/>
      <c r="D72" s="787"/>
      <c r="E72" s="787"/>
      <c r="F72" s="788"/>
      <c r="G72" s="789"/>
      <c r="H72" s="790"/>
      <c r="I72" s="790"/>
      <c r="J72" s="790"/>
      <c r="K72" s="790"/>
      <c r="L72" s="790"/>
      <c r="M72" s="793"/>
      <c r="N72" s="794"/>
      <c r="O72" s="793"/>
      <c r="P72" s="795"/>
      <c r="Q72" s="794"/>
      <c r="R72" s="796"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797"/>
      <c r="T72" s="799" t="str">
        <f t="shared" ref="T72" si="134">IF(C72="Permanent Lamp Removal",0,"")</f>
        <v/>
      </c>
      <c r="U72" s="800"/>
      <c r="V72" s="801"/>
      <c r="W72" s="801"/>
      <c r="X72" s="803"/>
      <c r="Y72" s="803"/>
      <c r="Z72" s="873"/>
      <c r="AA72" s="874"/>
      <c r="AB72" s="875"/>
      <c r="AC72" s="825"/>
      <c r="AD72" s="826"/>
      <c r="AE72" s="826"/>
      <c r="AF72" s="827"/>
      <c r="AG72" s="805"/>
      <c r="AH72" s="793"/>
      <c r="AI72" s="807"/>
      <c r="AJ72" s="808"/>
      <c r="AK72" s="808"/>
      <c r="AL72" s="811"/>
      <c r="AM72" s="813" t="str" cm="1">
        <f t="array" ref="AM72">IFERROR(IF(G72="","",IF(C72&lt;&gt;INDEX(STDLIGHT[Eff Category 1],MATCH(G72,STDLIGHT[Measure Name],0)),0,INDEX(IF(AND(ACTIVEBONUS = TRUE,INDEX(STDLIGHT[Bonus Incentive],MATCH(G72,STDLIGHT[Measure Name],0))&lt;&gt; ""),STDLIGHT[Bonus Incentive],_xlfn.SWITCH(Program_Banner,"Business Energy Savings",STDLIGHT[BESP Incentive],"Small Business / Non-Profit",STDLIGHT[SBNP Incentive],0)),MATCH(G72,STDLIGHT[Measure Name],0)))),"")</f>
        <v/>
      </c>
      <c r="AN72" s="814"/>
      <c r="AO72" s="817" t="str">
        <f>IFERROR(IF(OR(C72="",G72="",M72="",O72="",R72="",T72="",V72="",X72="",AC72="",AG72="",AI72="",AK72=""),"",IF(BD72="Deemed",BH72,IF(BD72="Calculated",BE72,""))),"")</f>
        <v/>
      </c>
      <c r="AP72" s="817"/>
      <c r="AQ72" s="817"/>
      <c r="AR72" s="819" t="str">
        <f>IFERROR(IF(OR(C72="",G72="",M72="",O72="",R72="",T72="",V72="",X72="",AC72="",AG72="",AI72="",AK72=""),"",IF(BY72&lt;&gt;"",BY72,IF(BP72&gt;0,BP72,ROUND(IF(AO72&lt;=0,0,MIN(BL72,BQ72)),2)))),"")</f>
        <v/>
      </c>
      <c r="AS72" s="820"/>
      <c r="AT72" s="820"/>
      <c r="AU72" s="821"/>
      <c r="AV72" s="17"/>
      <c r="AX72" s="773" t="str">
        <f>IFERROR(IF(OR(C72="",G72="",M72="",O72="",R72="",T72="",V72="",X72="",AC72="",AG72="",AI72="",AK72=""),"",INDEX(STDLIGHT[Current Unit],MATCH(G72,STDLIGHT[Measure Name],0))),"Err")</f>
        <v/>
      </c>
      <c r="AY72" s="759" t="str">
        <f t="shared" ref="AY72" si="135">IF(V72="", "",  V72)</f>
        <v/>
      </c>
      <c r="AZ72" s="759" t="str">
        <f t="shared" ref="AZ72" si="136">IF(V72="", "",  V72)</f>
        <v/>
      </c>
      <c r="BA72" s="771"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B72" s="771"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C72" s="773" t="str">
        <f>IFERROR(IF(OR(C72="",G72="",M72="",O72="",R72="",T72="",V72="",X72="",AC72="",AG72="",AI72="",AK72=""),"",INDEX(STDLIGHT[End Use],MATCH(G72,STDLIGHT[Measure Name],0))),"Err")</f>
        <v/>
      </c>
      <c r="BD72" s="757" t="str">
        <f>IFERROR(IF(OR(C72="",G72="",M72="",O72="",R72="",T72="",V72="",X72="",AC72="",AG72="",AI72="",AK72=""),"",INDEX(STDLIGHT[Reporting Methodology],MATCH(G72,STDLIGHT[Measure Name],0))),"Err")</f>
        <v/>
      </c>
      <c r="BE72" s="775" t="str">
        <f>IFERROR(IF(OR(C72="",G72="",M72="",O72="",R72="",T72="",V72="",X72="",AC72="",AG72="",AI72="",AK72=""),"",
IF(BA72&lt;=BB72,0,
IF(OR(ISNUMBER(SEARCH("Exterior",C72)),ISNUMBER(SEARCH("Parking",C72)),M02S04F22="Unconditioned",M02S04F22="Electric Heat Only",M02S04F22="Natural Gas Heat Only"),ROUND((R72-T72)*V72*X72/1000,4),
ROUND((R72-T72)*V72*X72/1000*INDEX(BUILDINGTYPE[Waste Heat Factor (e)],MATCH(M02S04F19,BUILDINGTYPE[Building Type],0)),4)))),"")</f>
        <v/>
      </c>
      <c r="BF72" s="775" t="str">
        <f>IFERROR(IF(OR(C72="",G72="",M72="",O72="",R72="",T72="",V72="",X72="",AC72="",AG72="",AI72="",AK72=""),"",
IF(BA72&lt;=BB72,0,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761"/>
      <c r="BH72" s="775" t="str" cm="1">
        <f t="array" ref="BH72">IF(OR(C72="",G72="",M72="",O72="",R72="",T72="",V72="",X72="",AC72="",AG72="",AI72="",AK72=""),"",IFERROR(IF(G72="","",IF(C72&lt;&gt;INDEX(STDLIGHT[Eff Category 1],MATCH(G72,STDLIGHT[Measure Name],0)),0,
IF(BA72&lt;=BB72,0,
ROUND(V72*INDEX(_xlfn.SWITCH(Program_Banner,"Business Energy Savings",STDLIGHT[Electric Energy Savings WBE (Annual kWh/unit)],"Small Business / Non-Profit",STDLIGHT[Electric Energy Savings HTRB (Annual kWh/unit)],0),MATCH('M03-S02'!G72,STDLIGHT[Measure Name],0)),4)))),""))</f>
        <v/>
      </c>
      <c r="BI72" s="775" t="str" cm="1">
        <f t="array" ref="BI72">IF(OR(C72="",G72="",M72="",O72="",R72="",T72="",V72="",X72="",AC72="",AG72="",AI72="",AK72=""),"",IFERROR(IF(G72="","",IF(C72&lt;&gt;INDEX(STDLIGHT[Eff Category 1],MATCH(G72,STDLIGHT[Measure Name],0)),0,
IF(BA72&lt;=BB72,0,
ROUND(V72*INDEX(_xlfn.SWITCH(Program_Banner,"Business Energy Savings",STDLIGHT[Coincident Peak Demand Savings WBE (kW/unit)],"Small Business / Non-Profit",STDLIGHT[Coincident Peak Demand Savings HTRB (kW/unit)],0),MATCH('M03-S02'!G72,STDLIGHT[Measure Name],0)),4)))),""))</f>
        <v/>
      </c>
      <c r="BJ72" s="777" t="str">
        <f>IFERROR(INDEX(STDLIGHT[Measure Life (Years)],MATCH(G72,STDLIGHT[Measure Name],0)),"")</f>
        <v/>
      </c>
      <c r="BK72" s="767" t="str">
        <f>IFERROR(IF(OR(C72="",G72="",M72="",O72="",R72="",T72="",V72="",X72="",AC72="",AG72="",AI72="",AK72=""),"",
ROUND(((1+ELOSS)*((BE72*INDEX(ELECCB[NPV AEC $/kWh],MATCH(BJ72,ELECCB[Year Number],1)))+(BF72*INDEX(ELECCB[NPV ACC $/kW],MATCH(BJ72,ELECCB[Year Number],1))))),2)),0)</f>
        <v/>
      </c>
      <c r="BL72" s="767" t="str">
        <f t="shared" si="2"/>
        <v/>
      </c>
      <c r="BM72" s="767" t="str">
        <f>IF(OR(G72="", V72=""), "", V72 * INDEX(STDLIGHT[Incremental Measure Cost ($/Unit)],MATCH(G72,STDLIGHT[Measure Name],0)))</f>
        <v/>
      </c>
      <c r="BN72" s="763" t="str">
        <f t="shared" si="3"/>
        <v/>
      </c>
      <c r="BO72" s="763" t="str">
        <f>IFERROR(IF(BM72 &lt;&gt; "", BM72, BL72) / M02S04F06 / AO72, "")</f>
        <v/>
      </c>
      <c r="BP72" s="769"/>
      <c r="BQ72" s="767" t="str">
        <f t="shared" ref="BQ72" si="137">IFERROR(ROUND(V72*AM72, 2), "")</f>
        <v/>
      </c>
      <c r="BR72" s="765"/>
      <c r="BS72" s="765"/>
      <c r="BT72" s="765"/>
      <c r="BU72" s="757" t="str">
        <f t="shared" ref="BU72" si="138">IFERROR(IF(BP72="",IF(AR72 &lt; BQ72, "100% Total Cost", ""), ""), "")</f>
        <v/>
      </c>
      <c r="BV72" s="767" t="str">
        <f t="shared" si="4"/>
        <v/>
      </c>
      <c r="BW72" s="757" t="str">
        <f>IFERROR(IF(OR(C72="",G72="",M72="",O72="",R72="",T72="",V72="",X72="",AC72="",AG72="",AI72="",AK72=""),"",IF(BY72&lt;&gt;"", SPILLOVERNUMBER, INDEX(STDLIGHT[Measure Number],MATCH(G72,STDLIGHT[Measure Name],0)))),"Err")</f>
        <v/>
      </c>
      <c r="BX72" s="757" t="str" cm="1">
        <f t="array" ref="BX72">IFERROR(INDEX(_xlfn.SWITCH(Program_Banner,"Business Energy Savings",STDLIGHT[Primary Key WBE],"Small Business / Non-Profit",STDLIGHT[Primary Key HTRB],0),MATCH(BW72,STDLIGHT[Measure Number],0)),"")</f>
        <v/>
      </c>
      <c r="BY72" s="757" t="str">
        <f>IFERROR(IF(OR(C72="",G72="",M72="",O72="",R72="",T72="",V72="",X72="",AC72="",AG72="",AI72="",AK72=""),"",
IF(BP72&gt;0,"",
IF(EXPIRATION&lt;&gt;"",PROJSTATEXP,
IF(M02S04F19="",MEASUREBLDG,
IF(BA72&lt;=BB72,MEASURESAVE,""))))),MEASURESUBMIT)</f>
        <v/>
      </c>
      <c r="BZ72" s="753"/>
      <c r="CA72" s="753"/>
      <c r="CB72" s="753"/>
      <c r="CC72" s="753"/>
    </row>
    <row r="73" spans="2:81" ht="15.95" customHeight="1">
      <c r="B73" s="785"/>
      <c r="C73" s="786"/>
      <c r="D73" s="787"/>
      <c r="E73" s="787"/>
      <c r="F73" s="788"/>
      <c r="G73" s="791"/>
      <c r="H73" s="792"/>
      <c r="I73" s="792"/>
      <c r="J73" s="792"/>
      <c r="K73" s="792"/>
      <c r="L73" s="792"/>
      <c r="M73" s="786"/>
      <c r="N73" s="788"/>
      <c r="O73" s="786"/>
      <c r="P73" s="787"/>
      <c r="Q73" s="788"/>
      <c r="R73" s="798"/>
      <c r="S73" s="799"/>
      <c r="T73" s="799"/>
      <c r="U73" s="800"/>
      <c r="V73" s="802"/>
      <c r="W73" s="802"/>
      <c r="X73" s="804"/>
      <c r="Y73" s="804"/>
      <c r="Z73" s="793"/>
      <c r="AA73" s="795"/>
      <c r="AB73" s="794"/>
      <c r="AC73" s="793"/>
      <c r="AD73" s="795"/>
      <c r="AE73" s="795"/>
      <c r="AF73" s="794"/>
      <c r="AG73" s="806"/>
      <c r="AH73" s="786"/>
      <c r="AI73" s="809"/>
      <c r="AJ73" s="810"/>
      <c r="AK73" s="810"/>
      <c r="AL73" s="812"/>
      <c r="AM73" s="815"/>
      <c r="AN73" s="816"/>
      <c r="AO73" s="818"/>
      <c r="AP73" s="818"/>
      <c r="AQ73" s="818"/>
      <c r="AR73" s="822"/>
      <c r="AS73" s="823"/>
      <c r="AT73" s="823"/>
      <c r="AU73" s="824"/>
      <c r="AV73" s="17"/>
      <c r="AX73" s="774"/>
      <c r="AY73" s="760"/>
      <c r="AZ73" s="760"/>
      <c r="BA73" s="772"/>
      <c r="BB73" s="772"/>
      <c r="BC73" s="774"/>
      <c r="BD73" s="758"/>
      <c r="BE73" s="776"/>
      <c r="BF73" s="776"/>
      <c r="BG73" s="762"/>
      <c r="BH73" s="776"/>
      <c r="BI73" s="776"/>
      <c r="BJ73" s="778"/>
      <c r="BK73" s="768"/>
      <c r="BL73" s="768"/>
      <c r="BM73" s="768"/>
      <c r="BN73" s="764"/>
      <c r="BO73" s="764"/>
      <c r="BP73" s="770"/>
      <c r="BQ73" s="768"/>
      <c r="BR73" s="766"/>
      <c r="BS73" s="766"/>
      <c r="BT73" s="766"/>
      <c r="BU73" s="758"/>
      <c r="BV73" s="768"/>
      <c r="BW73" s="758"/>
      <c r="BX73" s="758"/>
      <c r="BY73" s="758"/>
      <c r="BZ73" s="754"/>
      <c r="CA73" s="754"/>
      <c r="CB73" s="754"/>
      <c r="CC73" s="754"/>
    </row>
    <row r="74" spans="2:81" ht="15.95" customHeight="1">
      <c r="B74" s="785">
        <v>29</v>
      </c>
      <c r="C74" s="786"/>
      <c r="D74" s="787"/>
      <c r="E74" s="787"/>
      <c r="F74" s="788"/>
      <c r="G74" s="789"/>
      <c r="H74" s="790"/>
      <c r="I74" s="790"/>
      <c r="J74" s="790"/>
      <c r="K74" s="790"/>
      <c r="L74" s="790"/>
      <c r="M74" s="793"/>
      <c r="N74" s="794"/>
      <c r="O74" s="793"/>
      <c r="P74" s="795"/>
      <c r="Q74" s="794"/>
      <c r="R74" s="796"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797"/>
      <c r="T74" s="799" t="str">
        <f t="shared" ref="T74" si="139">IF(C74="Permanent Lamp Removal",0,"")</f>
        <v/>
      </c>
      <c r="U74" s="800"/>
      <c r="V74" s="801"/>
      <c r="W74" s="801"/>
      <c r="X74" s="803"/>
      <c r="Y74" s="803"/>
      <c r="Z74" s="873"/>
      <c r="AA74" s="874"/>
      <c r="AB74" s="875"/>
      <c r="AC74" s="825"/>
      <c r="AD74" s="826"/>
      <c r="AE74" s="826"/>
      <c r="AF74" s="827"/>
      <c r="AG74" s="805"/>
      <c r="AH74" s="793"/>
      <c r="AI74" s="807"/>
      <c r="AJ74" s="808"/>
      <c r="AK74" s="808"/>
      <c r="AL74" s="811"/>
      <c r="AM74" s="813" t="str" cm="1">
        <f t="array" ref="AM74">IFERROR(IF(G74="","",IF(C74&lt;&gt;INDEX(STDLIGHT[Eff Category 1],MATCH(G74,STDLIGHT[Measure Name],0)),0,INDEX(IF(AND(ACTIVEBONUS = TRUE,INDEX(STDLIGHT[Bonus Incentive],MATCH(G74,STDLIGHT[Measure Name],0))&lt;&gt; ""),STDLIGHT[Bonus Incentive],_xlfn.SWITCH(Program_Banner,"Business Energy Savings",STDLIGHT[BESP Incentive],"Small Business / Non-Profit",STDLIGHT[SBNP Incentive],0)),MATCH(G74,STDLIGHT[Measure Name],0)))),"")</f>
        <v/>
      </c>
      <c r="AN74" s="814"/>
      <c r="AO74" s="817" t="str">
        <f>IFERROR(IF(OR(C74="",G74="",M74="",O74="",R74="",T74="",V74="",X74="",AC74="",AG74="",AI74="",AK74=""),"",IF(BD74="Deemed",BH74,IF(BD74="Calculated",BE74,""))),"")</f>
        <v/>
      </c>
      <c r="AP74" s="817"/>
      <c r="AQ74" s="817"/>
      <c r="AR74" s="819" t="str">
        <f>IFERROR(IF(OR(C74="",G74="",M74="",O74="",R74="",T74="",V74="",X74="",AC74="",AG74="",AI74="",AK74=""),"",IF(BY74&lt;&gt;"",BY74,IF(BP74&gt;0,BP74,ROUND(IF(AO74&lt;=0,0,MIN(BL74,BQ74)),2)))),"")</f>
        <v/>
      </c>
      <c r="AS74" s="820"/>
      <c r="AT74" s="820"/>
      <c r="AU74" s="821"/>
      <c r="AV74" s="17"/>
      <c r="AX74" s="773" t="str">
        <f>IFERROR(IF(OR(C74="",G74="",M74="",O74="",R74="",T74="",V74="",X74="",AC74="",AG74="",AI74="",AK74=""),"",INDEX(STDLIGHT[Current Unit],MATCH(G74,STDLIGHT[Measure Name],0))),"Err")</f>
        <v/>
      </c>
      <c r="AY74" s="759" t="str">
        <f t="shared" ref="AY74" si="140">IF(V74="", "",  V74)</f>
        <v/>
      </c>
      <c r="AZ74" s="759" t="str">
        <f t="shared" ref="AZ74" si="141">IF(V74="", "",  V74)</f>
        <v/>
      </c>
      <c r="BA74" s="771"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B74" s="771"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C74" s="773" t="str">
        <f>IFERROR(IF(OR(C74="",G74="",M74="",O74="",R74="",T74="",V74="",X74="",AC74="",AG74="",AI74="",AK74=""),"",INDEX(STDLIGHT[End Use],MATCH(G74,STDLIGHT[Measure Name],0))),"Err")</f>
        <v/>
      </c>
      <c r="BD74" s="757" t="str">
        <f>IFERROR(IF(OR(C74="",G74="",M74="",O74="",R74="",T74="",V74="",X74="",AC74="",AG74="",AI74="",AK74=""),"",INDEX(STDLIGHT[Reporting Methodology],MATCH(G74,STDLIGHT[Measure Name],0))),"Err")</f>
        <v/>
      </c>
      <c r="BE74" s="775" t="str">
        <f>IFERROR(IF(OR(C74="",G74="",M74="",O74="",R74="",T74="",V74="",X74="",AC74="",AG74="",AI74="",AK74=""),"",
IF(BA74&lt;=BB74,0,
IF(OR(ISNUMBER(SEARCH("Exterior",C74)),ISNUMBER(SEARCH("Parking",C74)),M02S04F22="Unconditioned",M02S04F22="Electric Heat Only",M02S04F22="Natural Gas Heat Only"),ROUND((R74-T74)*V74*X74/1000,4),
ROUND((R74-T74)*V74*X74/1000*INDEX(BUILDINGTYPE[Waste Heat Factor (e)],MATCH(M02S04F19,BUILDINGTYPE[Building Type],0)),4)))),"")</f>
        <v/>
      </c>
      <c r="BF74" s="775" t="str">
        <f>IFERROR(IF(OR(C74="",G74="",M74="",O74="",R74="",T74="",V74="",X74="",AC74="",AG74="",AI74="",AK74=""),"",
IF(BA74&lt;=BB74,0,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761"/>
      <c r="BH74" s="775" t="str" cm="1">
        <f t="array" ref="BH74">IF(OR(C74="",G74="",M74="",O74="",R74="",T74="",V74="",X74="",AC74="",AG74="",AI74="",AK74=""),"",IFERROR(IF(G74="","",IF(C74&lt;&gt;INDEX(STDLIGHT[Eff Category 1],MATCH(G74,STDLIGHT[Measure Name],0)),0,
IF(BA74&lt;=BB74,0,
ROUND(V74*INDEX(_xlfn.SWITCH(Program_Banner,"Business Energy Savings",STDLIGHT[Electric Energy Savings WBE (Annual kWh/unit)],"Small Business / Non-Profit",STDLIGHT[Electric Energy Savings HTRB (Annual kWh/unit)],0),MATCH('M03-S02'!G74,STDLIGHT[Measure Name],0)),4)))),""))</f>
        <v/>
      </c>
      <c r="BI74" s="775" t="str" cm="1">
        <f t="array" ref="BI74">IF(OR(C74="",G74="",M74="",O74="",R74="",T74="",V74="",X74="",AC74="",AG74="",AI74="",AK74=""),"",IFERROR(IF(G74="","",IF(C74&lt;&gt;INDEX(STDLIGHT[Eff Category 1],MATCH(G74,STDLIGHT[Measure Name],0)),0,
IF(BA74&lt;=BB74,0,
ROUND(V74*INDEX(_xlfn.SWITCH(Program_Banner,"Business Energy Savings",STDLIGHT[Coincident Peak Demand Savings WBE (kW/unit)],"Small Business / Non-Profit",STDLIGHT[Coincident Peak Demand Savings HTRB (kW/unit)],0),MATCH('M03-S02'!G74,STDLIGHT[Measure Name],0)),4)))),""))</f>
        <v/>
      </c>
      <c r="BJ74" s="777" t="str">
        <f>IFERROR(INDEX(STDLIGHT[Measure Life (Years)],MATCH(G74,STDLIGHT[Measure Name],0)),"")</f>
        <v/>
      </c>
      <c r="BK74" s="767" t="str">
        <f>IFERROR(IF(OR(C74="",G74="",M74="",O74="",R74="",T74="",V74="",X74="",AC74="",AG74="",AI74="",AK74=""),"",
ROUND(((1+ELOSS)*((BE74*INDEX(ELECCB[NPV AEC $/kWh],MATCH(BJ74,ELECCB[Year Number],1)))+(BF74*INDEX(ELECCB[NPV ACC $/kW],MATCH(BJ74,ELECCB[Year Number],1))))),2)),0)</f>
        <v/>
      </c>
      <c r="BL74" s="767" t="str">
        <f t="shared" si="2"/>
        <v/>
      </c>
      <c r="BM74" s="767" t="str">
        <f>IF(OR(G74="", V74=""), "", V74 * INDEX(STDLIGHT[Incremental Measure Cost ($/Unit)],MATCH(G74,STDLIGHT[Measure Name],0)))</f>
        <v/>
      </c>
      <c r="BN74" s="763" t="str">
        <f t="shared" si="3"/>
        <v/>
      </c>
      <c r="BO74" s="763" t="str">
        <f>IFERROR(IF(BM74 &lt;&gt; "", BM74, BL74) / M02S04F06 / AO74, "")</f>
        <v/>
      </c>
      <c r="BP74" s="769"/>
      <c r="BQ74" s="767" t="str">
        <f t="shared" ref="BQ74" si="142">IFERROR(ROUND(V74*AM74, 2), "")</f>
        <v/>
      </c>
      <c r="BR74" s="765"/>
      <c r="BS74" s="765"/>
      <c r="BT74" s="765"/>
      <c r="BU74" s="757" t="str">
        <f t="shared" ref="BU74" si="143">IFERROR(IF(BP74="",IF(AR74 &lt; BQ74, "100% Total Cost", ""), ""), "")</f>
        <v/>
      </c>
      <c r="BV74" s="767" t="str">
        <f t="shared" si="4"/>
        <v/>
      </c>
      <c r="BW74" s="757" t="str">
        <f>IFERROR(IF(OR(C74="",G74="",M74="",O74="",R74="",T74="",V74="",X74="",AC74="",AG74="",AI74="",AK74=""),"",IF(BY74&lt;&gt;"", SPILLOVERNUMBER, INDEX(STDLIGHT[Measure Number],MATCH(G74,STDLIGHT[Measure Name],0)))),"Err")</f>
        <v/>
      </c>
      <c r="BX74" s="757" t="str" cm="1">
        <f t="array" ref="BX74">IFERROR(INDEX(_xlfn.SWITCH(Program_Banner,"Business Energy Savings",STDLIGHT[Primary Key WBE],"Small Business / Non-Profit",STDLIGHT[Primary Key HTRB],0),MATCH(BW74,STDLIGHT[Measure Number],0)),"")</f>
        <v/>
      </c>
      <c r="BY74" s="757" t="str">
        <f>IFERROR(IF(OR(C74="",G74="",M74="",O74="",R74="",T74="",V74="",X74="",AC74="",AG74="",AI74="",AK74=""),"",
IF(BP74&gt;0,"",
IF(EXPIRATION&lt;&gt;"",PROJSTATEXP,
IF(M02S04F19="",MEASUREBLDG,
IF(BA74&lt;=BB74,MEASURESAVE,""))))),MEASURESUBMIT)</f>
        <v/>
      </c>
      <c r="BZ74" s="753"/>
      <c r="CA74" s="753"/>
      <c r="CB74" s="753"/>
      <c r="CC74" s="753"/>
    </row>
    <row r="75" spans="2:81" ht="15.95" customHeight="1">
      <c r="B75" s="785"/>
      <c r="C75" s="786"/>
      <c r="D75" s="787"/>
      <c r="E75" s="787"/>
      <c r="F75" s="788"/>
      <c r="G75" s="791"/>
      <c r="H75" s="792"/>
      <c r="I75" s="792"/>
      <c r="J75" s="792"/>
      <c r="K75" s="792"/>
      <c r="L75" s="792"/>
      <c r="M75" s="786"/>
      <c r="N75" s="788"/>
      <c r="O75" s="786"/>
      <c r="P75" s="787"/>
      <c r="Q75" s="788"/>
      <c r="R75" s="798"/>
      <c r="S75" s="799"/>
      <c r="T75" s="799"/>
      <c r="U75" s="800"/>
      <c r="V75" s="802"/>
      <c r="W75" s="802"/>
      <c r="X75" s="804"/>
      <c r="Y75" s="804"/>
      <c r="Z75" s="793"/>
      <c r="AA75" s="795"/>
      <c r="AB75" s="794"/>
      <c r="AC75" s="793"/>
      <c r="AD75" s="795"/>
      <c r="AE75" s="795"/>
      <c r="AF75" s="794"/>
      <c r="AG75" s="806"/>
      <c r="AH75" s="786"/>
      <c r="AI75" s="809"/>
      <c r="AJ75" s="810"/>
      <c r="AK75" s="810"/>
      <c r="AL75" s="812"/>
      <c r="AM75" s="815"/>
      <c r="AN75" s="816"/>
      <c r="AO75" s="818"/>
      <c r="AP75" s="818"/>
      <c r="AQ75" s="818"/>
      <c r="AR75" s="822"/>
      <c r="AS75" s="823"/>
      <c r="AT75" s="823"/>
      <c r="AU75" s="824"/>
      <c r="AV75" s="17"/>
      <c r="AX75" s="774"/>
      <c r="AY75" s="760"/>
      <c r="AZ75" s="760"/>
      <c r="BA75" s="772"/>
      <c r="BB75" s="772"/>
      <c r="BC75" s="774"/>
      <c r="BD75" s="758"/>
      <c r="BE75" s="776"/>
      <c r="BF75" s="776"/>
      <c r="BG75" s="762"/>
      <c r="BH75" s="776"/>
      <c r="BI75" s="776"/>
      <c r="BJ75" s="778"/>
      <c r="BK75" s="768"/>
      <c r="BL75" s="768"/>
      <c r="BM75" s="768"/>
      <c r="BN75" s="764"/>
      <c r="BO75" s="764"/>
      <c r="BP75" s="770"/>
      <c r="BQ75" s="768"/>
      <c r="BR75" s="766"/>
      <c r="BS75" s="766"/>
      <c r="BT75" s="766"/>
      <c r="BU75" s="758"/>
      <c r="BV75" s="768"/>
      <c r="BW75" s="758"/>
      <c r="BX75" s="758"/>
      <c r="BY75" s="758"/>
      <c r="BZ75" s="754"/>
      <c r="CA75" s="754"/>
      <c r="CB75" s="754"/>
      <c r="CC75" s="754"/>
    </row>
    <row r="76" spans="2:81" ht="15.95" customHeight="1">
      <c r="B76" s="785">
        <v>30</v>
      </c>
      <c r="C76" s="786"/>
      <c r="D76" s="787"/>
      <c r="E76" s="787"/>
      <c r="F76" s="788"/>
      <c r="G76" s="789"/>
      <c r="H76" s="790"/>
      <c r="I76" s="790"/>
      <c r="J76" s="790"/>
      <c r="K76" s="790"/>
      <c r="L76" s="790"/>
      <c r="M76" s="793"/>
      <c r="N76" s="794"/>
      <c r="O76" s="793"/>
      <c r="P76" s="795"/>
      <c r="Q76" s="794"/>
      <c r="R76" s="796"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797"/>
      <c r="T76" s="799" t="str">
        <f t="shared" ref="T76" si="144">IF(C76="Permanent Lamp Removal",0,"")</f>
        <v/>
      </c>
      <c r="U76" s="800"/>
      <c r="V76" s="801"/>
      <c r="W76" s="801"/>
      <c r="X76" s="803"/>
      <c r="Y76" s="803"/>
      <c r="Z76" s="873"/>
      <c r="AA76" s="874"/>
      <c r="AB76" s="875"/>
      <c r="AC76" s="825"/>
      <c r="AD76" s="826"/>
      <c r="AE76" s="826"/>
      <c r="AF76" s="827"/>
      <c r="AG76" s="805"/>
      <c r="AH76" s="793"/>
      <c r="AI76" s="807"/>
      <c r="AJ76" s="808"/>
      <c r="AK76" s="808"/>
      <c r="AL76" s="811"/>
      <c r="AM76" s="813" t="str" cm="1">
        <f t="array" ref="AM76">IFERROR(IF(G76="","",IF(C76&lt;&gt;INDEX(STDLIGHT[Eff Category 1],MATCH(G76,STDLIGHT[Measure Name],0)),0,INDEX(IF(AND(ACTIVEBONUS = TRUE,INDEX(STDLIGHT[Bonus Incentive],MATCH(G76,STDLIGHT[Measure Name],0))&lt;&gt; ""),STDLIGHT[Bonus Incentive],_xlfn.SWITCH(Program_Banner,"Business Energy Savings",STDLIGHT[BESP Incentive],"Small Business / Non-Profit",STDLIGHT[SBNP Incentive],0)),MATCH(G76,STDLIGHT[Measure Name],0)))),"")</f>
        <v/>
      </c>
      <c r="AN76" s="814"/>
      <c r="AO76" s="817" t="str">
        <f>IFERROR(IF(OR(C76="",G76="",M76="",O76="",R76="",T76="",V76="",X76="",AC76="",AG76="",AI76="",AK76=""),"",IF(BD76="Deemed",BH76,IF(BD76="Calculated",BE76,""))),"")</f>
        <v/>
      </c>
      <c r="AP76" s="817"/>
      <c r="AQ76" s="817"/>
      <c r="AR76" s="819" t="str">
        <f>IFERROR(IF(OR(C76="",G76="",M76="",O76="",R76="",T76="",V76="",X76="",AC76="",AG76="",AI76="",AK76=""),"",IF(BY76&lt;&gt;"",BY76,IF(BP76&gt;0,BP76,ROUND(IF(AO76&lt;=0,0,MIN(BL76,BQ76)),2)))),"")</f>
        <v/>
      </c>
      <c r="AS76" s="820"/>
      <c r="AT76" s="820"/>
      <c r="AU76" s="821"/>
      <c r="AV76" s="17"/>
      <c r="AX76" s="773" t="str">
        <f>IFERROR(IF(OR(C76="",G76="",M76="",O76="",R76="",T76="",V76="",X76="",AC76="",AG76="",AI76="",AK76=""),"",INDEX(STDLIGHT[Current Unit],MATCH(G76,STDLIGHT[Measure Name],0))),"Err")</f>
        <v/>
      </c>
      <c r="AY76" s="759" t="str">
        <f t="shared" ref="AY76" si="145">IF(V76="", "",  V76)</f>
        <v/>
      </c>
      <c r="AZ76" s="759" t="str">
        <f t="shared" ref="AZ76" si="146">IF(V76="", "",  V76)</f>
        <v/>
      </c>
      <c r="BA76" s="771"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B76" s="771"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C76" s="773" t="str">
        <f>IFERROR(IF(OR(C76="",G76="",M76="",O76="",R76="",T76="",V76="",X76="",AC76="",AG76="",AI76="",AK76=""),"",INDEX(STDLIGHT[End Use],MATCH(G76,STDLIGHT[Measure Name],0))),"Err")</f>
        <v/>
      </c>
      <c r="BD76" s="757" t="str">
        <f>IFERROR(IF(OR(C76="",G76="",M76="",O76="",R76="",T76="",V76="",X76="",AC76="",AG76="",AI76="",AK76=""),"",INDEX(STDLIGHT[Reporting Methodology],MATCH(G76,STDLIGHT[Measure Name],0))),"Err")</f>
        <v/>
      </c>
      <c r="BE76" s="775" t="str">
        <f>IFERROR(IF(OR(C76="",G76="",M76="",O76="",R76="",T76="",V76="",X76="",AC76="",AG76="",AI76="",AK76=""),"",
IF(BA76&lt;=BB76,0,
IF(OR(ISNUMBER(SEARCH("Exterior",C76)),ISNUMBER(SEARCH("Parking",C76)),M02S04F22="Unconditioned",M02S04F22="Electric Heat Only",M02S04F22="Natural Gas Heat Only"),ROUND((R76-T76)*V76*X76/1000,4),
ROUND((R76-T76)*V76*X76/1000*INDEX(BUILDINGTYPE[Waste Heat Factor (e)],MATCH(M02S04F19,BUILDINGTYPE[Building Type],0)),4)))),"")</f>
        <v/>
      </c>
      <c r="BF76" s="775" t="str">
        <f>IFERROR(IF(OR(C76="",G76="",M76="",O76="",R76="",T76="",V76="",X76="",AC76="",AG76="",AI76="",AK76=""),"",
IF(BA76&lt;=BB76,0,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761"/>
      <c r="BH76" s="775" t="str" cm="1">
        <f t="array" ref="BH76">IF(OR(C76="",G76="",M76="",O76="",R76="",T76="",V76="",X76="",AC76="",AG76="",AI76="",AK76=""),"",IFERROR(IF(G76="","",IF(C76&lt;&gt;INDEX(STDLIGHT[Eff Category 1],MATCH(G76,STDLIGHT[Measure Name],0)),0,
IF(BA76&lt;=BB76,0,
ROUND(V76*INDEX(_xlfn.SWITCH(Program_Banner,"Business Energy Savings",STDLIGHT[Electric Energy Savings WBE (Annual kWh/unit)],"Small Business / Non-Profit",STDLIGHT[Electric Energy Savings HTRB (Annual kWh/unit)],0),MATCH('M03-S02'!G76,STDLIGHT[Measure Name],0)),4)))),""))</f>
        <v/>
      </c>
      <c r="BI76" s="775" t="str" cm="1">
        <f t="array" ref="BI76">IF(OR(C76="",G76="",M76="",O76="",R76="",T76="",V76="",X76="",AC76="",AG76="",AI76="",AK76=""),"",IFERROR(IF(G76="","",IF(C76&lt;&gt;INDEX(STDLIGHT[Eff Category 1],MATCH(G76,STDLIGHT[Measure Name],0)),0,
IF(BA76&lt;=BB76,0,
ROUND(V76*INDEX(_xlfn.SWITCH(Program_Banner,"Business Energy Savings",STDLIGHT[Coincident Peak Demand Savings WBE (kW/unit)],"Small Business / Non-Profit",STDLIGHT[Coincident Peak Demand Savings HTRB (kW/unit)],0),MATCH('M03-S02'!G76,STDLIGHT[Measure Name],0)),4)))),""))</f>
        <v/>
      </c>
      <c r="BJ76" s="777" t="str">
        <f>IFERROR(INDEX(STDLIGHT[Measure Life (Years)],MATCH(G76,STDLIGHT[Measure Name],0)),"")</f>
        <v/>
      </c>
      <c r="BK76" s="767" t="str">
        <f>IFERROR(IF(OR(C76="",G76="",M76="",O76="",R76="",T76="",V76="",X76="",AC76="",AG76="",AI76="",AK76=""),"",
ROUND(((1+ELOSS)*((BE76*INDEX(ELECCB[NPV AEC $/kWh],MATCH(BJ76,ELECCB[Year Number],1)))+(BF76*INDEX(ELECCB[NPV ACC $/kW],MATCH(BJ76,ELECCB[Year Number],1))))),2)),0)</f>
        <v/>
      </c>
      <c r="BL76" s="767" t="str">
        <f t="shared" si="2"/>
        <v/>
      </c>
      <c r="BM76" s="767" t="str">
        <f>IF(OR(G76="", V76=""), "", V76 * INDEX(STDLIGHT[Incremental Measure Cost ($/Unit)],MATCH(G76,STDLIGHT[Measure Name],0)))</f>
        <v/>
      </c>
      <c r="BN76" s="763" t="str">
        <f t="shared" si="3"/>
        <v/>
      </c>
      <c r="BO76" s="763" t="str">
        <f>IFERROR(IF(BM76 &lt;&gt; "", BM76, BL76) / M02S04F06 / AO76, "")</f>
        <v/>
      </c>
      <c r="BP76" s="769"/>
      <c r="BQ76" s="767" t="str">
        <f t="shared" ref="BQ76" si="147">IFERROR(ROUND(V76*AM76, 2), "")</f>
        <v/>
      </c>
      <c r="BR76" s="765"/>
      <c r="BS76" s="765"/>
      <c r="BT76" s="765"/>
      <c r="BU76" s="757" t="str">
        <f t="shared" ref="BU76" si="148">IFERROR(IF(BP76="",IF(AR76 &lt; BQ76, "100% Total Cost", ""), ""), "")</f>
        <v/>
      </c>
      <c r="BV76" s="767" t="str">
        <f t="shared" si="4"/>
        <v/>
      </c>
      <c r="BW76" s="757" t="str">
        <f>IFERROR(IF(OR(C76="",G76="",M76="",O76="",R76="",T76="",V76="",X76="",AC76="",AG76="",AI76="",AK76=""),"",IF(BY76&lt;&gt;"", SPILLOVERNUMBER, INDEX(STDLIGHT[Measure Number],MATCH(G76,STDLIGHT[Measure Name],0)))),"Err")</f>
        <v/>
      </c>
      <c r="BX76" s="757" t="str" cm="1">
        <f t="array" ref="BX76">IFERROR(INDEX(_xlfn.SWITCH(Program_Banner,"Business Energy Savings",STDLIGHT[Primary Key WBE],"Small Business / Non-Profit",STDLIGHT[Primary Key HTRB],0),MATCH(BW76,STDLIGHT[Measure Number],0)),"")</f>
        <v/>
      </c>
      <c r="BY76" s="757" t="str">
        <f>IFERROR(IF(OR(C76="",G76="",M76="",O76="",R76="",T76="",V76="",X76="",AC76="",AG76="",AI76="",AK76=""),"",
IF(BP76&gt;0,"",
IF(EXPIRATION&lt;&gt;"",PROJSTATEXP,
IF(M02S04F19="",MEASUREBLDG,
IF(BA76&lt;=BB76,MEASURESAVE,""))))),MEASURESUBMIT)</f>
        <v/>
      </c>
      <c r="BZ76" s="753"/>
      <c r="CA76" s="753"/>
      <c r="CB76" s="753"/>
      <c r="CC76" s="753"/>
    </row>
    <row r="77" spans="2:81" ht="15.95" customHeight="1">
      <c r="B77" s="785"/>
      <c r="C77" s="786"/>
      <c r="D77" s="787"/>
      <c r="E77" s="787"/>
      <c r="F77" s="788"/>
      <c r="G77" s="791"/>
      <c r="H77" s="792"/>
      <c r="I77" s="792"/>
      <c r="J77" s="792"/>
      <c r="K77" s="792"/>
      <c r="L77" s="792"/>
      <c r="M77" s="786"/>
      <c r="N77" s="788"/>
      <c r="O77" s="786"/>
      <c r="P77" s="787"/>
      <c r="Q77" s="788"/>
      <c r="R77" s="798"/>
      <c r="S77" s="799"/>
      <c r="T77" s="799"/>
      <c r="U77" s="800"/>
      <c r="V77" s="802"/>
      <c r="W77" s="802"/>
      <c r="X77" s="804"/>
      <c r="Y77" s="804"/>
      <c r="Z77" s="793"/>
      <c r="AA77" s="795"/>
      <c r="AB77" s="794"/>
      <c r="AC77" s="793"/>
      <c r="AD77" s="795"/>
      <c r="AE77" s="795"/>
      <c r="AF77" s="794"/>
      <c r="AG77" s="806"/>
      <c r="AH77" s="786"/>
      <c r="AI77" s="809"/>
      <c r="AJ77" s="810"/>
      <c r="AK77" s="810"/>
      <c r="AL77" s="812"/>
      <c r="AM77" s="815"/>
      <c r="AN77" s="816"/>
      <c r="AO77" s="818"/>
      <c r="AP77" s="818"/>
      <c r="AQ77" s="818"/>
      <c r="AR77" s="822"/>
      <c r="AS77" s="823"/>
      <c r="AT77" s="823"/>
      <c r="AU77" s="824"/>
      <c r="AV77" s="17"/>
      <c r="AX77" s="774"/>
      <c r="AY77" s="760"/>
      <c r="AZ77" s="760"/>
      <c r="BA77" s="772"/>
      <c r="BB77" s="772"/>
      <c r="BC77" s="774"/>
      <c r="BD77" s="758"/>
      <c r="BE77" s="776"/>
      <c r="BF77" s="776"/>
      <c r="BG77" s="762"/>
      <c r="BH77" s="776"/>
      <c r="BI77" s="776"/>
      <c r="BJ77" s="778"/>
      <c r="BK77" s="768"/>
      <c r="BL77" s="768"/>
      <c r="BM77" s="768"/>
      <c r="BN77" s="764"/>
      <c r="BO77" s="764"/>
      <c r="BP77" s="770"/>
      <c r="BQ77" s="768"/>
      <c r="BR77" s="766"/>
      <c r="BS77" s="766"/>
      <c r="BT77" s="766"/>
      <c r="BU77" s="758"/>
      <c r="BV77" s="768"/>
      <c r="BW77" s="758"/>
      <c r="BX77" s="758"/>
      <c r="BY77" s="758"/>
      <c r="BZ77" s="754"/>
      <c r="CA77" s="754"/>
      <c r="CB77" s="754"/>
      <c r="CC77" s="754"/>
    </row>
    <row r="78" spans="2:81" ht="15.95" customHeight="1"/>
    <row r="79" spans="2:81" ht="15.95" hidden="1" customHeight="1"/>
    <row r="80" spans="2:81" ht="15.95" hidden="1" customHeight="1"/>
    <row r="81" spans="53:61" ht="15.95" hidden="1" customHeight="1"/>
    <row r="82" spans="53:61" ht="15.95" hidden="1" customHeight="1"/>
    <row r="83" spans="53:61" ht="15.95" hidden="1" customHeight="1"/>
    <row r="84" spans="53:61" ht="15.95" hidden="1" customHeight="1"/>
    <row r="85" spans="53:61" ht="15.95" hidden="1" customHeight="1"/>
    <row r="86" spans="53:61" ht="15.95" hidden="1" customHeight="1"/>
    <row r="87" spans="53:61" ht="15.95" hidden="1" customHeight="1"/>
    <row r="88" spans="53:61" ht="15.95" hidden="1" customHeight="1"/>
    <row r="89" spans="53:61" ht="15.95" hidden="1" customHeight="1"/>
    <row r="90" spans="53:61" ht="15.95" hidden="1" customHeight="1"/>
    <row r="91" spans="53:61" ht="15.95" hidden="1" customHeight="1"/>
    <row r="92" spans="53:61" ht="15.95" hidden="1" customHeight="1"/>
    <row r="93" spans="53:61" ht="15.95" hidden="1" customHeight="1"/>
    <row r="94" spans="53:61" ht="15.95" hidden="1" customHeight="1">
      <c r="BA94" s="26"/>
      <c r="BB94" s="26"/>
      <c r="BC94" s="26"/>
      <c r="BE94" s="26"/>
      <c r="BH94" s="26"/>
      <c r="BI94" s="32"/>
    </row>
    <row r="95" spans="53:61" ht="15.95" hidden="1" customHeight="1">
      <c r="BA95" s="26"/>
      <c r="BB95" s="26"/>
      <c r="BC95" s="26"/>
      <c r="BE95" s="26"/>
      <c r="BH95" s="26"/>
      <c r="BI95" s="32"/>
    </row>
    <row r="96" spans="53:61" ht="15.95" hidden="1" customHeight="1">
      <c r="BA96" s="26"/>
      <c r="BB96" s="26"/>
      <c r="BC96" s="26"/>
      <c r="BE96" s="26"/>
      <c r="BH96" s="26"/>
      <c r="BI96" s="32"/>
    </row>
    <row r="97" spans="53:61" ht="15.95" hidden="1" customHeight="1">
      <c r="BA97" s="26"/>
      <c r="BB97" s="26"/>
      <c r="BC97" s="26"/>
      <c r="BE97" s="26"/>
      <c r="BH97" s="26"/>
      <c r="BI97" s="32"/>
    </row>
    <row r="98" spans="53:61" ht="15.95" hidden="1" customHeight="1">
      <c r="BA98" s="26"/>
      <c r="BB98" s="26"/>
      <c r="BC98" s="26"/>
      <c r="BE98" s="26"/>
      <c r="BH98" s="26"/>
      <c r="BI98" s="32"/>
    </row>
    <row r="99" spans="53:61" ht="15.95" hidden="1" customHeight="1">
      <c r="BA99" s="26"/>
      <c r="BB99" s="26"/>
      <c r="BC99" s="26"/>
      <c r="BE99" s="26"/>
      <c r="BH99" s="26"/>
      <c r="BI99" s="32"/>
    </row>
    <row r="100" spans="53:61" ht="15.95" hidden="1" customHeight="1">
      <c r="BA100" s="26"/>
      <c r="BB100" s="26"/>
      <c r="BC100" s="26"/>
      <c r="BE100" s="26"/>
      <c r="BH100" s="26"/>
      <c r="BI100" s="32"/>
    </row>
    <row r="101" spans="53:61" ht="15.95" hidden="1" customHeight="1">
      <c r="BA101" s="26"/>
      <c r="BB101" s="26"/>
      <c r="BC101" s="26"/>
      <c r="BE101" s="26"/>
      <c r="BH101" s="26"/>
      <c r="BI101" s="32"/>
    </row>
    <row r="102" spans="53:61" ht="15.95" hidden="1" customHeight="1">
      <c r="BA102" s="26"/>
      <c r="BB102" s="26"/>
      <c r="BC102" s="26"/>
      <c r="BE102" s="26"/>
      <c r="BH102" s="26"/>
      <c r="BI102" s="32"/>
    </row>
    <row r="103" spans="53:61" ht="15.95" hidden="1" customHeight="1">
      <c r="BA103" s="26"/>
      <c r="BB103" s="26"/>
      <c r="BC103" s="26"/>
      <c r="BE103" s="26"/>
      <c r="BH103" s="26"/>
      <c r="BI103" s="32"/>
    </row>
    <row r="104" spans="53:61" ht="15.95" hidden="1" customHeight="1">
      <c r="BA104" s="26"/>
      <c r="BB104" s="26"/>
      <c r="BC104" s="26"/>
      <c r="BE104" s="26"/>
      <c r="BH104" s="26"/>
      <c r="BI104" s="32"/>
    </row>
    <row r="105" spans="53:61" ht="15.95" hidden="1" customHeight="1">
      <c r="BA105" s="26"/>
      <c r="BB105" s="26"/>
      <c r="BC105" s="26"/>
      <c r="BE105" s="26"/>
      <c r="BH105" s="26"/>
      <c r="BI105" s="32"/>
    </row>
    <row r="106" spans="53:61" ht="15.95" hidden="1" customHeight="1">
      <c r="BA106" s="26"/>
      <c r="BB106" s="26"/>
      <c r="BC106" s="26"/>
      <c r="BE106" s="26"/>
      <c r="BH106" s="26"/>
      <c r="BI106" s="32"/>
    </row>
    <row r="107" spans="53:61" ht="15.95" hidden="1" customHeight="1">
      <c r="BA107" s="26"/>
      <c r="BB107" s="26"/>
      <c r="BC107" s="26"/>
      <c r="BE107" s="26"/>
      <c r="BH107" s="26"/>
      <c r="BI107" s="32"/>
    </row>
    <row r="108" spans="53:61" ht="15.95" hidden="1" customHeight="1">
      <c r="BA108" s="26"/>
      <c r="BB108" s="26"/>
      <c r="BC108" s="26"/>
      <c r="BE108" s="26"/>
      <c r="BH108" s="26"/>
      <c r="BI108" s="32"/>
    </row>
    <row r="109" spans="53:61" ht="15.95" hidden="1" customHeight="1">
      <c r="BA109" s="26"/>
      <c r="BB109" s="26"/>
      <c r="BC109" s="26"/>
      <c r="BE109" s="26"/>
      <c r="BH109" s="26"/>
      <c r="BI109" s="32"/>
    </row>
    <row r="110" spans="53:61" ht="15.95" hidden="1" customHeight="1">
      <c r="BA110" s="26"/>
      <c r="BB110" s="26"/>
      <c r="BC110" s="26"/>
      <c r="BE110" s="26"/>
      <c r="BH110" s="26"/>
      <c r="BI110" s="32"/>
    </row>
    <row r="111" spans="53:61" ht="15.95" hidden="1" customHeight="1">
      <c r="BA111" s="26"/>
      <c r="BB111" s="26"/>
      <c r="BC111" s="26"/>
      <c r="BE111" s="26"/>
      <c r="BH111" s="26"/>
      <c r="BI111" s="32"/>
    </row>
    <row r="112" spans="53:61" ht="15.95" hidden="1" customHeight="1">
      <c r="BA112" s="26"/>
      <c r="BB112" s="26"/>
      <c r="BC112" s="26"/>
      <c r="BE112" s="26"/>
      <c r="BH112" s="26"/>
      <c r="BI112" s="32"/>
    </row>
    <row r="113" spans="53:61" ht="15.95" hidden="1" customHeight="1">
      <c r="BA113" s="26"/>
      <c r="BB113" s="26"/>
      <c r="BC113" s="26"/>
      <c r="BE113" s="26"/>
      <c r="BH113" s="26"/>
      <c r="BI113" s="32"/>
    </row>
    <row r="114" spans="53:61" ht="15.95" hidden="1" customHeight="1">
      <c r="BA114" s="26"/>
      <c r="BB114" s="26"/>
      <c r="BC114" s="26"/>
      <c r="BE114" s="26"/>
      <c r="BH114" s="26"/>
      <c r="BI114" s="32"/>
    </row>
    <row r="115" spans="53:61" ht="15.95" hidden="1" customHeight="1">
      <c r="BA115" s="26"/>
      <c r="BB115" s="26"/>
      <c r="BC115" s="26"/>
      <c r="BE115" s="26"/>
      <c r="BH115" s="26"/>
      <c r="BI115" s="32"/>
    </row>
    <row r="116" spans="53:61" ht="15.95" hidden="1" customHeight="1">
      <c r="BA116" s="26"/>
      <c r="BB116" s="26"/>
      <c r="BC116" s="26"/>
      <c r="BE116" s="26"/>
      <c r="BH116" s="26"/>
      <c r="BI116" s="32"/>
    </row>
    <row r="117" spans="53:61" ht="15.95" hidden="1" customHeight="1">
      <c r="BA117" s="26"/>
      <c r="BB117" s="26"/>
      <c r="BC117" s="26"/>
      <c r="BE117" s="26"/>
      <c r="BH117" s="26"/>
      <c r="BI117" s="32"/>
    </row>
    <row r="118" spans="53:61" ht="15.95" hidden="1" customHeight="1">
      <c r="BA118" s="26"/>
      <c r="BB118" s="26"/>
      <c r="BC118" s="26"/>
      <c r="BE118" s="26"/>
      <c r="BH118" s="26"/>
      <c r="BI118" s="32"/>
    </row>
    <row r="119" spans="53:61" ht="15.95" hidden="1" customHeight="1">
      <c r="BA119" s="26"/>
      <c r="BB119" s="26"/>
      <c r="BC119" s="26"/>
      <c r="BE119" s="26"/>
      <c r="BH119" s="26"/>
      <c r="BI119" s="32"/>
    </row>
    <row r="120" spans="53:61" ht="15.95" hidden="1" customHeight="1">
      <c r="BA120" s="26"/>
      <c r="BB120" s="26"/>
      <c r="BC120" s="26"/>
      <c r="BE120" s="26"/>
      <c r="BH120" s="26"/>
      <c r="BI120" s="32"/>
    </row>
    <row r="121" spans="53:61" ht="15.95" hidden="1" customHeight="1">
      <c r="BA121" s="26"/>
      <c r="BB121" s="26"/>
      <c r="BC121" s="26"/>
      <c r="BE121" s="26"/>
      <c r="BH121" s="26"/>
      <c r="BI121" s="32"/>
    </row>
    <row r="122" spans="53:61" ht="15.95" hidden="1" customHeight="1">
      <c r="BA122" s="26"/>
      <c r="BB122" s="26"/>
      <c r="BC122" s="26"/>
      <c r="BE122" s="26"/>
      <c r="BH122" s="26"/>
      <c r="BI122" s="32"/>
    </row>
    <row r="123" spans="53:61" ht="15.95" hidden="1" customHeight="1">
      <c r="BA123" s="26"/>
      <c r="BB123" s="26"/>
      <c r="BC123" s="26"/>
      <c r="BE123" s="26"/>
      <c r="BH123" s="26"/>
      <c r="BI123" s="32"/>
    </row>
    <row r="124" spans="53:61" ht="15.95" hidden="1" customHeight="1">
      <c r="BA124" s="26"/>
      <c r="BB124" s="26"/>
      <c r="BC124" s="26"/>
      <c r="BE124" s="26"/>
      <c r="BH124" s="26"/>
      <c r="BI124" s="32"/>
    </row>
    <row r="125" spans="53:61" ht="15.95" hidden="1" customHeight="1">
      <c r="BA125" s="26"/>
      <c r="BB125" s="26"/>
      <c r="BC125" s="26"/>
      <c r="BE125" s="26"/>
      <c r="BH125" s="26"/>
      <c r="BI125" s="32"/>
    </row>
    <row r="126" spans="53:61" ht="15.95" hidden="1" customHeight="1">
      <c r="BA126" s="26"/>
      <c r="BB126" s="26"/>
      <c r="BC126" s="26"/>
      <c r="BE126" s="26"/>
      <c r="BH126" s="26"/>
      <c r="BI126" s="32"/>
    </row>
    <row r="127" spans="53:61" ht="15.95" hidden="1" customHeight="1">
      <c r="BA127" s="26"/>
      <c r="BB127" s="26"/>
      <c r="BC127" s="26"/>
      <c r="BE127" s="26"/>
      <c r="BH127" s="26"/>
      <c r="BI127" s="32"/>
    </row>
    <row r="128" spans="53:61" ht="15.95" hidden="1" customHeight="1">
      <c r="BA128" s="26"/>
      <c r="BB128" s="26"/>
      <c r="BC128" s="26"/>
      <c r="BE128" s="26"/>
      <c r="BH128" s="26"/>
      <c r="BI128" s="32"/>
    </row>
    <row r="129" spans="53:61" ht="15.95" hidden="1" customHeight="1">
      <c r="BA129" s="26"/>
      <c r="BB129" s="26"/>
      <c r="BC129" s="26"/>
      <c r="BE129" s="26"/>
      <c r="BH129" s="26"/>
      <c r="BI129" s="32"/>
    </row>
    <row r="130" spans="53:61" ht="15.95" hidden="1" customHeight="1">
      <c r="BA130" s="26"/>
      <c r="BB130" s="26"/>
      <c r="BC130" s="26"/>
      <c r="BE130" s="26"/>
      <c r="BH130" s="26"/>
      <c r="BI130" s="32"/>
    </row>
    <row r="131" spans="53:61" ht="15.95" hidden="1" customHeight="1">
      <c r="BA131" s="26"/>
      <c r="BB131" s="26"/>
      <c r="BC131" s="26"/>
      <c r="BE131" s="26"/>
      <c r="BH131" s="26"/>
      <c r="BI131" s="32"/>
    </row>
    <row r="132" spans="53:61" ht="15.95" hidden="1" customHeight="1">
      <c r="BA132" s="26"/>
      <c r="BB132" s="26"/>
      <c r="BC132" s="26"/>
      <c r="BE132" s="26"/>
      <c r="BH132" s="26"/>
      <c r="BI132" s="32"/>
    </row>
    <row r="133" spans="53:61" ht="15.95" hidden="1" customHeight="1">
      <c r="BA133" s="26"/>
      <c r="BB133" s="26"/>
      <c r="BC133" s="26"/>
      <c r="BE133" s="26"/>
      <c r="BH133" s="26"/>
      <c r="BI133" s="32"/>
    </row>
    <row r="134" spans="53:61" ht="15.95" hidden="1" customHeight="1">
      <c r="BA134" s="26"/>
      <c r="BB134" s="26"/>
      <c r="BC134" s="26"/>
      <c r="BE134" s="26"/>
      <c r="BH134" s="26"/>
      <c r="BI134" s="32"/>
    </row>
    <row r="135" spans="53:61" ht="15.95" hidden="1" customHeight="1">
      <c r="BA135" s="26"/>
      <c r="BB135" s="26"/>
      <c r="BC135" s="26"/>
      <c r="BE135" s="26"/>
      <c r="BH135" s="26"/>
      <c r="BI135" s="32"/>
    </row>
    <row r="136" spans="53:61" ht="15.95" hidden="1" customHeight="1">
      <c r="BA136" s="26"/>
      <c r="BB136" s="26"/>
      <c r="BC136" s="26"/>
      <c r="BE136" s="26"/>
      <c r="BH136" s="26"/>
      <c r="BI136" s="32"/>
    </row>
    <row r="137" spans="53:61" ht="15.95" hidden="1" customHeight="1">
      <c r="BA137" s="26"/>
      <c r="BB137" s="26"/>
      <c r="BC137" s="26"/>
      <c r="BE137" s="26"/>
      <c r="BH137" s="26"/>
      <c r="BI137" s="32"/>
    </row>
    <row r="138" spans="53:61" ht="15.95" hidden="1" customHeight="1">
      <c r="BA138" s="26"/>
      <c r="BB138" s="26"/>
      <c r="BC138" s="26"/>
      <c r="BE138" s="26"/>
      <c r="BH138" s="26"/>
      <c r="BI138" s="32"/>
    </row>
    <row r="139" spans="53:61" ht="15.95" hidden="1" customHeight="1">
      <c r="BA139" s="26"/>
      <c r="BB139" s="26"/>
      <c r="BC139" s="26"/>
      <c r="BE139" s="26"/>
      <c r="BH139" s="26"/>
      <c r="BI139" s="32"/>
    </row>
    <row r="140" spans="53:61" ht="15.95" hidden="1" customHeight="1">
      <c r="BA140" s="26"/>
      <c r="BB140" s="26"/>
      <c r="BC140" s="26"/>
      <c r="BE140" s="26"/>
      <c r="BH140" s="26"/>
      <c r="BI140" s="32"/>
    </row>
    <row r="141" spans="53:61" ht="15.95" hidden="1" customHeight="1">
      <c r="BA141" s="26"/>
      <c r="BB141" s="26"/>
      <c r="BC141" s="26"/>
      <c r="BE141" s="26"/>
      <c r="BH141" s="26"/>
      <c r="BI141" s="32"/>
    </row>
    <row r="142" spans="53:61" ht="15.95" hidden="1" customHeight="1">
      <c r="BA142" s="26"/>
      <c r="BB142" s="26"/>
      <c r="BC142" s="26"/>
      <c r="BE142" s="26"/>
      <c r="BH142" s="26"/>
      <c r="BI142" s="32"/>
    </row>
    <row r="143" spans="53:61" ht="15.95" hidden="1" customHeight="1">
      <c r="BA143" s="26"/>
      <c r="BB143" s="26"/>
      <c r="BC143" s="26"/>
      <c r="BE143" s="26"/>
      <c r="BH143" s="26"/>
      <c r="BI143" s="32"/>
    </row>
    <row r="144" spans="53:61" ht="15.95" hidden="1" customHeight="1">
      <c r="BA144" s="26"/>
      <c r="BB144" s="26"/>
      <c r="BC144" s="26"/>
      <c r="BE144" s="26"/>
      <c r="BH144" s="26"/>
      <c r="BI144" s="32"/>
    </row>
    <row r="145" spans="53:61" ht="15.95" hidden="1" customHeight="1">
      <c r="BA145" s="26"/>
      <c r="BB145" s="26"/>
      <c r="BC145" s="26"/>
      <c r="BE145" s="26"/>
      <c r="BH145" s="26"/>
      <c r="BI145" s="32"/>
    </row>
    <row r="146" spans="53:61" ht="15.95" hidden="1" customHeight="1">
      <c r="BA146" s="26"/>
      <c r="BB146" s="26"/>
      <c r="BC146" s="26"/>
      <c r="BE146" s="26"/>
      <c r="BH146" s="26"/>
      <c r="BI146" s="32"/>
    </row>
    <row r="147" spans="53:61" ht="15.95" hidden="1" customHeight="1">
      <c r="BA147" s="26"/>
      <c r="BB147" s="26"/>
      <c r="BC147" s="26"/>
      <c r="BE147" s="26"/>
      <c r="BH147" s="26"/>
      <c r="BI147" s="32"/>
    </row>
    <row r="148" spans="53:61" ht="15.95" hidden="1" customHeight="1">
      <c r="BA148" s="26"/>
      <c r="BB148" s="26"/>
      <c r="BC148" s="26"/>
      <c r="BE148" s="26"/>
      <c r="BH148" s="26"/>
      <c r="BI148" s="32"/>
    </row>
    <row r="149" spans="53:61" ht="15.95" hidden="1" customHeight="1">
      <c r="BA149" s="26"/>
      <c r="BB149" s="26"/>
      <c r="BC149" s="26"/>
      <c r="BE149" s="26"/>
      <c r="BH149" s="26"/>
      <c r="BI149" s="32"/>
    </row>
    <row r="150" spans="53:61" ht="15.95" hidden="1" customHeight="1">
      <c r="BA150" s="26"/>
      <c r="BB150" s="26"/>
      <c r="BC150" s="26"/>
      <c r="BE150" s="26"/>
      <c r="BH150" s="26"/>
      <c r="BI150" s="32"/>
    </row>
    <row r="151" spans="53:61" ht="15.95" hidden="1" customHeight="1">
      <c r="BA151" s="26"/>
      <c r="BB151" s="26"/>
      <c r="BC151" s="26"/>
      <c r="BE151" s="26"/>
      <c r="BH151" s="26"/>
      <c r="BI151" s="32"/>
    </row>
    <row r="152" spans="53:61" ht="15.95" hidden="1" customHeight="1">
      <c r="BA152" s="26"/>
      <c r="BB152" s="26"/>
      <c r="BC152" s="26"/>
      <c r="BE152" s="26"/>
      <c r="BH152" s="26"/>
      <c r="BI152" s="32"/>
    </row>
    <row r="153" spans="53:61" ht="15.95" hidden="1" customHeight="1">
      <c r="BA153" s="26"/>
      <c r="BB153" s="26"/>
      <c r="BC153" s="26"/>
      <c r="BE153" s="26"/>
      <c r="BH153" s="26"/>
      <c r="BI153" s="32"/>
    </row>
    <row r="154" spans="53:61" ht="15.95" hidden="1" customHeight="1">
      <c r="BA154" s="26"/>
      <c r="BB154" s="26"/>
      <c r="BC154" s="26"/>
      <c r="BE154" s="26"/>
      <c r="BH154" s="26"/>
      <c r="BI154" s="32"/>
    </row>
    <row r="155" spans="53:61" ht="15.95" hidden="1" customHeight="1">
      <c r="BA155" s="26"/>
      <c r="BB155" s="26"/>
      <c r="BC155" s="26"/>
      <c r="BE155" s="26"/>
      <c r="BH155" s="26"/>
      <c r="BI155" s="32"/>
    </row>
    <row r="156" spans="53:61" ht="15.95" hidden="1" customHeight="1">
      <c r="BA156" s="26"/>
      <c r="BB156" s="26"/>
      <c r="BC156" s="26"/>
      <c r="BE156" s="26"/>
      <c r="BH156" s="26"/>
      <c r="BI156" s="32"/>
    </row>
    <row r="157" spans="53:61" ht="15.95" hidden="1" customHeight="1">
      <c r="BA157" s="26"/>
      <c r="BB157" s="26"/>
      <c r="BC157" s="26"/>
      <c r="BE157" s="26"/>
      <c r="BH157" s="26"/>
      <c r="BI157" s="32"/>
    </row>
    <row r="158" spans="53:61" ht="15.95" hidden="1" customHeight="1">
      <c r="BA158" s="26"/>
      <c r="BB158" s="26"/>
      <c r="BC158" s="26"/>
      <c r="BE158" s="26"/>
      <c r="BH158" s="26"/>
      <c r="BI158" s="32"/>
    </row>
    <row r="159" spans="53:61" ht="15.95" hidden="1" customHeight="1">
      <c r="BA159" s="26"/>
      <c r="BB159" s="26"/>
      <c r="BC159" s="26"/>
      <c r="BE159" s="26"/>
      <c r="BH159" s="26"/>
      <c r="BI159" s="32"/>
    </row>
    <row r="160" spans="53:61" ht="15.95" hidden="1" customHeight="1">
      <c r="BA160" s="26"/>
      <c r="BB160" s="26"/>
      <c r="BC160" s="26"/>
      <c r="BE160" s="26"/>
      <c r="BH160" s="26"/>
      <c r="BI160" s="32"/>
    </row>
    <row r="161" spans="53:61" ht="15.95" hidden="1" customHeight="1">
      <c r="BA161" s="26"/>
      <c r="BB161" s="26"/>
      <c r="BC161" s="26"/>
      <c r="BE161" s="26"/>
      <c r="BH161" s="26"/>
      <c r="BI161" s="32"/>
    </row>
    <row r="162" spans="53:61" ht="15.95" hidden="1" customHeight="1">
      <c r="BA162" s="26"/>
      <c r="BB162" s="26"/>
      <c r="BC162" s="26"/>
      <c r="BE162" s="26"/>
      <c r="BH162" s="26"/>
      <c r="BI162" s="32"/>
    </row>
    <row r="163" spans="53:61" ht="15.95" hidden="1" customHeight="1">
      <c r="BA163" s="26"/>
      <c r="BB163" s="26"/>
      <c r="BC163" s="26"/>
      <c r="BE163" s="26"/>
      <c r="BH163" s="26"/>
      <c r="BI163" s="32"/>
    </row>
    <row r="164" spans="53:61" ht="15.95" hidden="1" customHeight="1">
      <c r="BA164" s="26"/>
      <c r="BB164" s="26"/>
      <c r="BC164" s="26"/>
      <c r="BE164" s="26"/>
      <c r="BH164" s="26"/>
      <c r="BI164" s="32"/>
    </row>
    <row r="165" spans="53:61" ht="15.95" hidden="1" customHeight="1">
      <c r="BA165" s="26"/>
      <c r="BB165" s="26"/>
      <c r="BC165" s="26"/>
      <c r="BE165" s="26"/>
      <c r="BH165" s="26"/>
      <c r="BI165" s="32"/>
    </row>
    <row r="166" spans="53:61" ht="15.95" hidden="1" customHeight="1">
      <c r="BA166" s="26"/>
      <c r="BB166" s="26"/>
      <c r="BC166" s="26"/>
      <c r="BE166" s="26"/>
      <c r="BH166" s="26"/>
      <c r="BI166" s="32"/>
    </row>
    <row r="167" spans="53:61" ht="15.95" hidden="1" customHeight="1">
      <c r="BA167" s="26"/>
      <c r="BB167" s="26"/>
      <c r="BC167" s="26"/>
      <c r="BE167" s="26"/>
      <c r="BH167" s="26"/>
      <c r="BI167" s="32"/>
    </row>
    <row r="168" spans="53:61" ht="15.95" hidden="1" customHeight="1">
      <c r="BA168" s="26"/>
      <c r="BB168" s="26"/>
      <c r="BC168" s="26"/>
      <c r="BE168" s="26"/>
      <c r="BH168" s="26"/>
      <c r="BI168" s="32"/>
    </row>
    <row r="169" spans="53:61" ht="15.95" hidden="1" customHeight="1">
      <c r="BA169" s="26"/>
      <c r="BB169" s="26"/>
      <c r="BC169" s="26"/>
      <c r="BE169" s="26"/>
      <c r="BH169" s="26"/>
      <c r="BI169" s="32"/>
    </row>
    <row r="170" spans="53:61" ht="15.95" hidden="1" customHeight="1">
      <c r="BA170" s="26"/>
      <c r="BB170" s="26"/>
      <c r="BC170" s="26"/>
      <c r="BE170" s="26"/>
      <c r="BH170" s="26"/>
      <c r="BI170" s="32"/>
    </row>
    <row r="171" spans="53:61" ht="15.95" hidden="1" customHeight="1">
      <c r="BA171" s="26"/>
      <c r="BB171" s="26"/>
      <c r="BC171" s="26"/>
      <c r="BE171" s="26"/>
      <c r="BH171" s="26"/>
      <c r="BI171" s="32"/>
    </row>
    <row r="172" spans="53:61" ht="15.95" hidden="1" customHeight="1">
      <c r="BA172" s="26"/>
      <c r="BB172" s="26"/>
      <c r="BC172" s="26"/>
      <c r="BE172" s="26"/>
      <c r="BH172" s="26"/>
      <c r="BI172" s="32"/>
    </row>
    <row r="173" spans="53:61" ht="15.95" hidden="1" customHeight="1">
      <c r="BA173" s="26"/>
      <c r="BB173" s="26"/>
      <c r="BC173" s="26"/>
      <c r="BE173" s="26"/>
      <c r="BH173" s="26"/>
      <c r="BI173" s="32"/>
    </row>
    <row r="174" spans="53:61" ht="15.95" hidden="1" customHeight="1">
      <c r="BA174" s="26"/>
      <c r="BB174" s="26"/>
      <c r="BC174" s="26"/>
      <c r="BE174" s="26"/>
      <c r="BH174" s="26"/>
      <c r="BI174" s="32"/>
    </row>
    <row r="175" spans="53:61" ht="15.95" hidden="1" customHeight="1">
      <c r="BA175" s="26"/>
      <c r="BB175" s="26"/>
      <c r="BC175" s="26"/>
      <c r="BE175" s="26"/>
      <c r="BH175" s="26"/>
      <c r="BI175" s="32"/>
    </row>
    <row r="176" spans="53:61" ht="15.95" hidden="1" customHeight="1">
      <c r="BA176" s="26"/>
      <c r="BB176" s="26"/>
      <c r="BC176" s="26"/>
      <c r="BE176" s="26"/>
      <c r="BH176" s="26"/>
      <c r="BI176" s="32"/>
    </row>
    <row r="177" spans="53:61" ht="15.95" hidden="1" customHeight="1">
      <c r="BA177" s="26"/>
      <c r="BB177" s="26"/>
      <c r="BC177" s="26"/>
      <c r="BE177" s="26"/>
      <c r="BH177" s="26"/>
      <c r="BI177" s="32"/>
    </row>
    <row r="178" spans="53:61" ht="15.95" hidden="1" customHeight="1">
      <c r="BA178" s="26"/>
      <c r="BB178" s="26"/>
      <c r="BC178" s="26"/>
      <c r="BE178" s="26"/>
      <c r="BH178" s="26"/>
      <c r="BI178" s="32"/>
    </row>
    <row r="179" spans="53:61" ht="15.95" hidden="1" customHeight="1">
      <c r="BA179" s="26"/>
      <c r="BB179" s="26"/>
      <c r="BC179" s="26"/>
      <c r="BE179" s="26"/>
      <c r="BH179" s="26"/>
      <c r="BI179" s="32"/>
    </row>
    <row r="180" spans="53:61" ht="15.95" hidden="1" customHeight="1">
      <c r="BA180" s="26"/>
      <c r="BB180" s="26"/>
      <c r="BC180" s="26"/>
      <c r="BE180" s="26"/>
      <c r="BH180" s="26"/>
      <c r="BI180" s="32"/>
    </row>
    <row r="181" spans="53:61" ht="15.95" hidden="1" customHeight="1">
      <c r="BA181" s="26"/>
      <c r="BB181" s="26"/>
      <c r="BC181" s="26"/>
      <c r="BE181" s="26"/>
      <c r="BH181" s="26"/>
      <c r="BI181" s="32"/>
    </row>
    <row r="182" spans="53:61" ht="15.95" hidden="1" customHeight="1">
      <c r="BA182" s="26"/>
      <c r="BB182" s="26"/>
      <c r="BC182" s="26"/>
      <c r="BE182" s="26"/>
      <c r="BH182" s="26"/>
      <c r="BI182" s="32"/>
    </row>
    <row r="183" spans="53:61" ht="15.95" hidden="1" customHeight="1">
      <c r="BA183" s="26"/>
      <c r="BB183" s="26"/>
      <c r="BC183" s="26"/>
      <c r="BE183" s="26"/>
      <c r="BH183" s="26"/>
      <c r="BI183" s="32"/>
    </row>
    <row r="184" spans="53:61" ht="15.95" hidden="1" customHeight="1">
      <c r="BA184" s="26"/>
      <c r="BB184" s="26"/>
      <c r="BC184" s="26"/>
      <c r="BE184" s="26"/>
      <c r="BH184" s="26"/>
      <c r="BI184" s="32"/>
    </row>
    <row r="185" spans="53:61" ht="15.95" hidden="1" customHeight="1">
      <c r="BA185" s="26"/>
      <c r="BB185" s="26"/>
      <c r="BC185" s="26"/>
      <c r="BE185" s="26"/>
      <c r="BH185" s="26"/>
      <c r="BI185" s="32"/>
    </row>
    <row r="186" spans="53:61" ht="15.95" hidden="1" customHeight="1">
      <c r="BA186" s="26"/>
      <c r="BB186" s="26"/>
      <c r="BC186" s="26"/>
      <c r="BE186" s="26"/>
      <c r="BH186" s="26"/>
      <c r="BI186" s="32"/>
    </row>
    <row r="187" spans="53:61" ht="15.95" hidden="1" customHeight="1">
      <c r="BA187" s="26"/>
      <c r="BB187" s="26"/>
      <c r="BC187" s="26"/>
      <c r="BE187" s="26"/>
      <c r="BH187" s="26"/>
      <c r="BI187" s="32"/>
    </row>
    <row r="188" spans="53:61" ht="15.95" hidden="1" customHeight="1">
      <c r="BA188" s="26"/>
      <c r="BB188" s="26"/>
      <c r="BC188" s="26"/>
      <c r="BE188" s="26"/>
      <c r="BH188" s="26"/>
      <c r="BI188" s="32"/>
    </row>
    <row r="189" spans="53:61" ht="15.95" hidden="1" customHeight="1">
      <c r="BA189" s="26"/>
      <c r="BB189" s="26"/>
      <c r="BC189" s="26"/>
      <c r="BE189" s="26"/>
      <c r="BH189" s="26"/>
      <c r="BI189" s="32"/>
    </row>
    <row r="190" spans="53:61" ht="15.95" hidden="1" customHeight="1">
      <c r="BA190" s="26"/>
      <c r="BB190" s="26"/>
      <c r="BC190" s="26"/>
      <c r="BE190" s="26"/>
      <c r="BH190" s="26"/>
      <c r="BI190" s="32"/>
    </row>
    <row r="191" spans="53:61" ht="15.95" hidden="1" customHeight="1">
      <c r="BA191" s="26"/>
      <c r="BB191" s="26"/>
      <c r="BC191" s="26"/>
      <c r="BE191" s="26"/>
      <c r="BH191" s="26"/>
      <c r="BI191" s="32"/>
    </row>
    <row r="192" spans="53:61" ht="15.95" hidden="1" customHeight="1">
      <c r="BA192" s="26"/>
      <c r="BB192" s="26"/>
      <c r="BC192" s="26"/>
      <c r="BE192" s="26"/>
      <c r="BH192" s="26"/>
      <c r="BI192" s="32"/>
    </row>
    <row r="193" spans="1:69" ht="15.95" hidden="1" customHeight="1">
      <c r="BA193" s="26"/>
      <c r="BB193" s="26"/>
      <c r="BC193" s="26"/>
      <c r="BE193" s="26"/>
      <c r="BH193" s="26"/>
      <c r="BI193" s="32"/>
    </row>
    <row r="194" spans="1:69" ht="15.95" hidden="1" customHeight="1">
      <c r="BA194" s="26"/>
      <c r="BB194" s="26"/>
      <c r="BC194" s="26"/>
      <c r="BE194" s="26"/>
      <c r="BH194" s="26"/>
      <c r="BI194" s="32"/>
    </row>
    <row r="195" spans="1:69" ht="15.95" hidden="1" customHeight="1">
      <c r="BA195" s="26"/>
      <c r="BB195" s="26"/>
      <c r="BC195" s="26"/>
      <c r="BE195" s="26"/>
      <c r="BH195" s="26"/>
      <c r="BI195" s="32"/>
    </row>
    <row r="196" spans="1:69" ht="15.95" hidden="1" customHeight="1">
      <c r="BA196" s="26"/>
      <c r="BB196" s="26"/>
      <c r="BC196" s="26"/>
      <c r="BE196" s="26"/>
      <c r="BH196" s="26"/>
      <c r="BI196" s="32"/>
    </row>
    <row r="197" spans="1:69" ht="15.95" hidden="1" customHeight="1">
      <c r="BA197" s="26"/>
      <c r="BB197" s="26"/>
      <c r="BC197" s="26"/>
      <c r="BE197" s="26"/>
      <c r="BH197" s="26"/>
      <c r="BI197" s="32"/>
    </row>
    <row r="198" spans="1:69" ht="15.95" hidden="1" customHeight="1">
      <c r="BA198" s="26"/>
      <c r="BB198" s="26"/>
      <c r="BC198" s="26"/>
      <c r="BE198" s="26"/>
      <c r="BH198" s="26"/>
      <c r="BI198" s="32"/>
    </row>
    <row r="199" spans="1:69" ht="15.95" hidden="1" customHeight="1">
      <c r="BA199" s="26"/>
      <c r="BB199" s="26"/>
      <c r="BC199" s="26"/>
      <c r="BE199" s="26"/>
      <c r="BH199" s="26"/>
      <c r="BI199" s="32"/>
    </row>
    <row r="200" spans="1:6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A200" s="861">
        <f>SUM(BA18:BA199)</f>
        <v>0</v>
      </c>
      <c r="BB200" s="861">
        <f>SUM(BB18:BB199)</f>
        <v>0</v>
      </c>
      <c r="BE200" s="861">
        <f>SUM(BE18:BE199)</f>
        <v>0</v>
      </c>
      <c r="BF200" s="861">
        <f t="shared" ref="BF200" si="149">SUM(BF18:BF199)</f>
        <v>0</v>
      </c>
      <c r="BH200" s="863">
        <f>SUM(BH18:BH199)</f>
        <v>0</v>
      </c>
      <c r="BI200" s="861">
        <f>SUM(BI18:BI199)</f>
        <v>0</v>
      </c>
      <c r="BL200" s="862">
        <f>SUM(BL18:BL199)</f>
        <v>0</v>
      </c>
      <c r="BQ200" s="319"/>
    </row>
    <row r="201" spans="1:6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A201" s="861"/>
      <c r="BB201" s="861"/>
      <c r="BE201" s="861"/>
      <c r="BF201" s="861"/>
      <c r="BH201" s="863"/>
      <c r="BI201" s="861"/>
      <c r="BL201" s="862"/>
      <c r="BQ201" s="319"/>
    </row>
    <row r="202" spans="1:6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9" ht="15.95" hidden="1" customHeight="1"/>
    <row r="204" spans="1:69" ht="15.95" hidden="1" customHeight="1"/>
  </sheetData>
  <sheetProtection algorithmName="SHA-512" hashValue="1stsoOg8LwkdxBg0muMMdQEH3LH/KWzi8NUs2ffKyeuFVuRQuHThfgCGv8VVJTWG79JLsPh8xk1q4Iv9Jn5jMw==" saltValue="bodte9rLjonNdWUaWYWUrA==" spinCount="100000" sheet="1" objects="1" scenarios="1" selectLockedCells="1"/>
  <mergeCells count="1552">
    <mergeCell ref="AC58:AF59"/>
    <mergeCell ref="AC60:AF61"/>
    <mergeCell ref="AC62:AF63"/>
    <mergeCell ref="AC64:AF65"/>
    <mergeCell ref="AC66:AF67"/>
    <mergeCell ref="AC68:AF69"/>
    <mergeCell ref="AC70:AF71"/>
    <mergeCell ref="AC72:AF73"/>
    <mergeCell ref="AC74:AF75"/>
    <mergeCell ref="AC76:AF77"/>
    <mergeCell ref="Z44:AB4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Z76:AB77"/>
    <mergeCell ref="AC44:AF45"/>
    <mergeCell ref="AC50:AF51"/>
    <mergeCell ref="AC52:AF53"/>
    <mergeCell ref="O44:Q45"/>
    <mergeCell ref="O46:Q47"/>
    <mergeCell ref="V36:W37"/>
    <mergeCell ref="T38:U39"/>
    <mergeCell ref="V38:W39"/>
    <mergeCell ref="T32:U33"/>
    <mergeCell ref="V32:W33"/>
    <mergeCell ref="R44:S45"/>
    <mergeCell ref="T44:U45"/>
    <mergeCell ref="V44:W45"/>
    <mergeCell ref="R38:S39"/>
    <mergeCell ref="X44:Y45"/>
    <mergeCell ref="R46:S47"/>
    <mergeCell ref="T46:U47"/>
    <mergeCell ref="V46:W47"/>
    <mergeCell ref="X46:Y47"/>
    <mergeCell ref="AC56:AF57"/>
    <mergeCell ref="F1:I3"/>
    <mergeCell ref="A4:E6"/>
    <mergeCell ref="A7:E8"/>
    <mergeCell ref="Z16:AB17"/>
    <mergeCell ref="AC16:AF17"/>
    <mergeCell ref="Z18:AB19"/>
    <mergeCell ref="Z20:AB21"/>
    <mergeCell ref="Z22:AB23"/>
    <mergeCell ref="Z24:AB25"/>
    <mergeCell ref="Z26:AB27"/>
    <mergeCell ref="Z28:AB29"/>
    <mergeCell ref="Z30:AB31"/>
    <mergeCell ref="Z32:AB33"/>
    <mergeCell ref="Z34:AB35"/>
    <mergeCell ref="Z36:AB37"/>
    <mergeCell ref="AC18:AF19"/>
    <mergeCell ref="AC20:AF21"/>
    <mergeCell ref="AC22:AF23"/>
    <mergeCell ref="AC24:AF25"/>
    <mergeCell ref="AC26:AF27"/>
    <mergeCell ref="AC28:AF29"/>
    <mergeCell ref="AC30:AF31"/>
    <mergeCell ref="AC32:AF33"/>
    <mergeCell ref="AC34:AF35"/>
    <mergeCell ref="AC36:AF37"/>
    <mergeCell ref="O28:Q29"/>
    <mergeCell ref="O32:Q33"/>
    <mergeCell ref="O34:Q35"/>
    <mergeCell ref="O36:Q37"/>
    <mergeCell ref="R34:S35"/>
    <mergeCell ref="T34:U35"/>
    <mergeCell ref="C20:F2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 ref="C44:F45"/>
    <mergeCell ref="C46:F47"/>
    <mergeCell ref="C30:F31"/>
    <mergeCell ref="C32:F33"/>
    <mergeCell ref="C34:F35"/>
    <mergeCell ref="C36:F37"/>
    <mergeCell ref="M40:N41"/>
    <mergeCell ref="M42:N43"/>
    <mergeCell ref="M44:N45"/>
    <mergeCell ref="C18:F19"/>
    <mergeCell ref="C28:F29"/>
    <mergeCell ref="G20:L21"/>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BL22:BL23"/>
    <mergeCell ref="BL24:BL25"/>
    <mergeCell ref="BL26:BL27"/>
    <mergeCell ref="AX32:AX33"/>
    <mergeCell ref="AX34:AX35"/>
    <mergeCell ref="BI30:BI31"/>
    <mergeCell ref="V28:W29"/>
    <mergeCell ref="AK22:AL23"/>
    <mergeCell ref="AM34:AN35"/>
    <mergeCell ref="AO34:AQ35"/>
    <mergeCell ref="AR34:AU35"/>
    <mergeCell ref="V34:W35"/>
    <mergeCell ref="X34:Y35"/>
    <mergeCell ref="AI34:AJ35"/>
    <mergeCell ref="AK34:AL35"/>
    <mergeCell ref="R32:S33"/>
    <mergeCell ref="BA30:BA31"/>
    <mergeCell ref="BY16:BY17"/>
    <mergeCell ref="BY18:BY19"/>
    <mergeCell ref="BY20:BY21"/>
    <mergeCell ref="BF18:BF19"/>
    <mergeCell ref="BF20:BF21"/>
    <mergeCell ref="BE16:BF16"/>
    <mergeCell ref="BY34:BY35"/>
    <mergeCell ref="BY36:BY37"/>
    <mergeCell ref="BL28:BL29"/>
    <mergeCell ref="BF22:BF23"/>
    <mergeCell ref="BF24:BF25"/>
    <mergeCell ref="BF26:BF27"/>
    <mergeCell ref="BF28:BF29"/>
    <mergeCell ref="BW32:BW33"/>
    <mergeCell ref="BF30:BF31"/>
    <mergeCell ref="BF32:BF33"/>
    <mergeCell ref="BW34:BW35"/>
    <mergeCell ref="BH26:BH27"/>
    <mergeCell ref="BW36:BW37"/>
    <mergeCell ref="BW16:BW17"/>
    <mergeCell ref="BW18:BW19"/>
    <mergeCell ref="BW20:BW21"/>
    <mergeCell ref="BW22:BW23"/>
    <mergeCell ref="BM16:BM17"/>
    <mergeCell ref="BM18:BM19"/>
    <mergeCell ref="BM20:BM21"/>
    <mergeCell ref="BM22:BM23"/>
    <mergeCell ref="BM24:BM25"/>
    <mergeCell ref="BM26:BM27"/>
    <mergeCell ref="BL30:BL31"/>
    <mergeCell ref="BL32:BL33"/>
    <mergeCell ref="BL34:BL35"/>
    <mergeCell ref="BY48:BY49"/>
    <mergeCell ref="BL58:BL59"/>
    <mergeCell ref="AX58:AX59"/>
    <mergeCell ref="BW42:BW43"/>
    <mergeCell ref="BW44:BW45"/>
    <mergeCell ref="BC44:BC45"/>
    <mergeCell ref="BY38:BY39"/>
    <mergeCell ref="BY40:BY41"/>
    <mergeCell ref="BY42:BY43"/>
    <mergeCell ref="BF38:BF39"/>
    <mergeCell ref="BW38:BW39"/>
    <mergeCell ref="BY46:BY47"/>
    <mergeCell ref="BL200:BL201"/>
    <mergeCell ref="BH200:BH201"/>
    <mergeCell ref="BI200:BI201"/>
    <mergeCell ref="BA200:BA201"/>
    <mergeCell ref="BB200:BB201"/>
    <mergeCell ref="BE200:BE201"/>
    <mergeCell ref="BF44:BF45"/>
    <mergeCell ref="BF46:BF47"/>
    <mergeCell ref="BL44:BL45"/>
    <mergeCell ref="BY44:BY45"/>
    <mergeCell ref="BH52:BH53"/>
    <mergeCell ref="AX38:AX39"/>
    <mergeCell ref="AX40:AX41"/>
    <mergeCell ref="BL40:BL41"/>
    <mergeCell ref="BL42:BL43"/>
    <mergeCell ref="BH40:BH41"/>
    <mergeCell ref="BF40:BF41"/>
    <mergeCell ref="BF42:BF43"/>
    <mergeCell ref="BM38:BM39"/>
    <mergeCell ref="BM40:BM41"/>
    <mergeCell ref="AX16:AX17"/>
    <mergeCell ref="AX18:AX19"/>
    <mergeCell ref="AX20:AX21"/>
    <mergeCell ref="AX22:AX23"/>
    <mergeCell ref="AX24:AX25"/>
    <mergeCell ref="AX26:AX27"/>
    <mergeCell ref="BC16:BC17"/>
    <mergeCell ref="BC18:BC19"/>
    <mergeCell ref="AX46:AX47"/>
    <mergeCell ref="BF200:BF201"/>
    <mergeCell ref="BH48:BH49"/>
    <mergeCell ref="BI48:BI49"/>
    <mergeCell ref="BH44:BH45"/>
    <mergeCell ref="BA44:BA45"/>
    <mergeCell ref="BB44:BB45"/>
    <mergeCell ref="BE44:BE45"/>
    <mergeCell ref="BW48:BW49"/>
    <mergeCell ref="BL16:BL17"/>
    <mergeCell ref="AX36:AX37"/>
    <mergeCell ref="BL36:BL37"/>
    <mergeCell ref="BF34:BF35"/>
    <mergeCell ref="BF36:BF37"/>
    <mergeCell ref="BH32:BH33"/>
    <mergeCell ref="BA16:BA17"/>
    <mergeCell ref="BB16:BB17"/>
    <mergeCell ref="BE18:BE19"/>
    <mergeCell ref="BC32:BC33"/>
    <mergeCell ref="BC34:BC35"/>
    <mergeCell ref="BC36:BC37"/>
    <mergeCell ref="BE30:BE31"/>
    <mergeCell ref="BH34:BH35"/>
    <mergeCell ref="BI18:BI19"/>
    <mergeCell ref="AK26:AL27"/>
    <mergeCell ref="X38:Y39"/>
    <mergeCell ref="X32:Y33"/>
    <mergeCell ref="AI32:AJ33"/>
    <mergeCell ref="AK32:AL33"/>
    <mergeCell ref="AI22:AJ23"/>
    <mergeCell ref="BH28:BH29"/>
    <mergeCell ref="BA20:BA21"/>
    <mergeCell ref="BB20:BB21"/>
    <mergeCell ref="BI26:BI27"/>
    <mergeCell ref="BA26:BA27"/>
    <mergeCell ref="BB26:BB27"/>
    <mergeCell ref="BA28:BA29"/>
    <mergeCell ref="BB28:BB29"/>
    <mergeCell ref="BA24:BA25"/>
    <mergeCell ref="BB24:BB25"/>
    <mergeCell ref="BE24:BE25"/>
    <mergeCell ref="BB38:BB39"/>
    <mergeCell ref="BE38:BE39"/>
    <mergeCell ref="BA38:BA39"/>
    <mergeCell ref="BA32:BA33"/>
    <mergeCell ref="BB32:BB33"/>
    <mergeCell ref="BE32:BE33"/>
    <mergeCell ref="BI34:BI35"/>
    <mergeCell ref="BA34:BA35"/>
    <mergeCell ref="BB34:BB35"/>
    <mergeCell ref="BE34:BE35"/>
    <mergeCell ref="BA36:BA37"/>
    <mergeCell ref="AM26:AN27"/>
    <mergeCell ref="AO26:AQ27"/>
    <mergeCell ref="AR26:AU27"/>
    <mergeCell ref="AI24:AJ25"/>
    <mergeCell ref="BY24:BY25"/>
    <mergeCell ref="BY26:BY27"/>
    <mergeCell ref="BY28:BY29"/>
    <mergeCell ref="BY30:BY31"/>
    <mergeCell ref="BI36:BI37"/>
    <mergeCell ref="BI40:BI41"/>
    <mergeCell ref="BI44:BI45"/>
    <mergeCell ref="BH30:BH31"/>
    <mergeCell ref="BH36:BH37"/>
    <mergeCell ref="BH38:BH39"/>
    <mergeCell ref="BH20:BH21"/>
    <mergeCell ref="BH22:BH23"/>
    <mergeCell ref="BH24:BH25"/>
    <mergeCell ref="BI38:BI39"/>
    <mergeCell ref="BC38:BC39"/>
    <mergeCell ref="BC20:BC21"/>
    <mergeCell ref="BC22:BC23"/>
    <mergeCell ref="BC24:BC25"/>
    <mergeCell ref="BC26:BC27"/>
    <mergeCell ref="BD22:BD23"/>
    <mergeCell ref="BD24:BD25"/>
    <mergeCell ref="BD26:BD27"/>
    <mergeCell ref="BD28:BD29"/>
    <mergeCell ref="BD30:BD31"/>
    <mergeCell ref="BD32:BD33"/>
    <mergeCell ref="BR20:BR21"/>
    <mergeCell ref="BT20:BT21"/>
    <mergeCell ref="BV20:BV21"/>
    <mergeCell ref="BY32:BY33"/>
    <mergeCell ref="BY22:BY23"/>
    <mergeCell ref="BM34:BM35"/>
    <mergeCell ref="BM36:BM37"/>
    <mergeCell ref="AK44:AL45"/>
    <mergeCell ref="AK40:AL41"/>
    <mergeCell ref="AK42:AL43"/>
    <mergeCell ref="AG40:AH41"/>
    <mergeCell ref="Z38:AB39"/>
    <mergeCell ref="Z40:AB41"/>
    <mergeCell ref="Z42:AB43"/>
    <mergeCell ref="AC38:AF39"/>
    <mergeCell ref="AC40:AF41"/>
    <mergeCell ref="AC42:AF43"/>
    <mergeCell ref="BA42:BA43"/>
    <mergeCell ref="BB42:BB43"/>
    <mergeCell ref="BC40:BC41"/>
    <mergeCell ref="BC42:BC43"/>
    <mergeCell ref="AX44:AX45"/>
    <mergeCell ref="AX28:AX29"/>
    <mergeCell ref="AX30:AX31"/>
    <mergeCell ref="BC28:BC29"/>
    <mergeCell ref="AI30:AJ31"/>
    <mergeCell ref="AK30:AL31"/>
    <mergeCell ref="AO28:AQ29"/>
    <mergeCell ref="AR28:AU29"/>
    <mergeCell ref="AO40:AQ41"/>
    <mergeCell ref="AR40:AU41"/>
    <mergeCell ref="AO38:AQ39"/>
    <mergeCell ref="AR38:AU39"/>
    <mergeCell ref="AO36:AQ37"/>
    <mergeCell ref="AR36:AU37"/>
    <mergeCell ref="AZ34:AZ35"/>
    <mergeCell ref="AM44:AN45"/>
    <mergeCell ref="AO44:AQ45"/>
    <mergeCell ref="BB30:BB31"/>
    <mergeCell ref="AK46:AL47"/>
    <mergeCell ref="X36:Y37"/>
    <mergeCell ref="AI36:AJ37"/>
    <mergeCell ref="AK36:AL37"/>
    <mergeCell ref="X40:Y41"/>
    <mergeCell ref="AI40:AJ41"/>
    <mergeCell ref="X28:Y29"/>
    <mergeCell ref="AI28:AJ29"/>
    <mergeCell ref="AK28:AL29"/>
    <mergeCell ref="BA40:BA41"/>
    <mergeCell ref="BB40:BB41"/>
    <mergeCell ref="B44:B45"/>
    <mergeCell ref="B46:B47"/>
    <mergeCell ref="B28:B29"/>
    <mergeCell ref="J1:M3"/>
    <mergeCell ref="AL1:AO3"/>
    <mergeCell ref="R18:S19"/>
    <mergeCell ref="T18:U19"/>
    <mergeCell ref="V18:W19"/>
    <mergeCell ref="X18:Y19"/>
    <mergeCell ref="AG18:AH19"/>
    <mergeCell ref="AI17:AJ17"/>
    <mergeCell ref="AK17:AL17"/>
    <mergeCell ref="AI16:AL16"/>
    <mergeCell ref="AM22:AN23"/>
    <mergeCell ref="AO22:AQ23"/>
    <mergeCell ref="AM28:AN29"/>
    <mergeCell ref="AP1:AS3"/>
    <mergeCell ref="AR16:AU17"/>
    <mergeCell ref="AR22:AU23"/>
    <mergeCell ref="AR30:AU31"/>
    <mergeCell ref="AI44:AJ45"/>
    <mergeCell ref="AM40:AN41"/>
    <mergeCell ref="B32:B33"/>
    <mergeCell ref="B34:B35"/>
    <mergeCell ref="B36:B37"/>
    <mergeCell ref="B38:B39"/>
    <mergeCell ref="V9:Y11"/>
    <mergeCell ref="AD9:AG11"/>
    <mergeCell ref="B40:B41"/>
    <mergeCell ref="B42:B43"/>
    <mergeCell ref="J9:M11"/>
    <mergeCell ref="N9:Q11"/>
    <mergeCell ref="B18:B19"/>
    <mergeCell ref="B20:B21"/>
    <mergeCell ref="B22:B23"/>
    <mergeCell ref="B30:B31"/>
    <mergeCell ref="AH9:AK11"/>
    <mergeCell ref="AM16:AN17"/>
    <mergeCell ref="B24:B25"/>
    <mergeCell ref="B26:B27"/>
    <mergeCell ref="AG38:AH39"/>
    <mergeCell ref="AM38:AN39"/>
    <mergeCell ref="AG36:AH37"/>
    <mergeCell ref="AM36:AN37"/>
    <mergeCell ref="AI38:AJ39"/>
    <mergeCell ref="AK38:AL39"/>
    <mergeCell ref="AG42:AH43"/>
    <mergeCell ref="AM42:AN43"/>
    <mergeCell ref="T20:U21"/>
    <mergeCell ref="AG28:AH29"/>
    <mergeCell ref="V20:W21"/>
    <mergeCell ref="AG22:AH23"/>
    <mergeCell ref="X24:Y25"/>
    <mergeCell ref="R26:S27"/>
    <mergeCell ref="X20:Y21"/>
    <mergeCell ref="R22:S23"/>
    <mergeCell ref="T22:U23"/>
    <mergeCell ref="O16:Q17"/>
    <mergeCell ref="O200:AI201"/>
    <mergeCell ref="X14:AA14"/>
    <mergeCell ref="T12:W13"/>
    <mergeCell ref="T14:W14"/>
    <mergeCell ref="R16:S17"/>
    <mergeCell ref="T16:U17"/>
    <mergeCell ref="V16:W17"/>
    <mergeCell ref="R9:U11"/>
    <mergeCell ref="O30:Q31"/>
    <mergeCell ref="AG48:AH49"/>
    <mergeCell ref="AI48:AJ49"/>
    <mergeCell ref="O58:Q59"/>
    <mergeCell ref="R58:S59"/>
    <mergeCell ref="T58:U59"/>
    <mergeCell ref="V58:W59"/>
    <mergeCell ref="X58:Y59"/>
    <mergeCell ref="AG58:AH59"/>
    <mergeCell ref="AI58:AJ59"/>
    <mergeCell ref="V72:W73"/>
    <mergeCell ref="X72:Y73"/>
    <mergeCell ref="AG72:AH73"/>
    <mergeCell ref="AI72:AJ73"/>
    <mergeCell ref="AG26:AH27"/>
    <mergeCell ref="AI46:AJ47"/>
    <mergeCell ref="O38:Q39"/>
    <mergeCell ref="O40:Q41"/>
    <mergeCell ref="O42:Q43"/>
    <mergeCell ref="AM46:AN47"/>
    <mergeCell ref="AO46:AQ47"/>
    <mergeCell ref="AR46:AU47"/>
    <mergeCell ref="AG44:AH45"/>
    <mergeCell ref="O18:Q19"/>
    <mergeCell ref="AG34:AH35"/>
    <mergeCell ref="AG32:AH33"/>
    <mergeCell ref="R36:S37"/>
    <mergeCell ref="T36:U37"/>
    <mergeCell ref="R42:S43"/>
    <mergeCell ref="T42:U43"/>
    <mergeCell ref="V42:W43"/>
    <mergeCell ref="X42:Y43"/>
    <mergeCell ref="AI42:AJ43"/>
    <mergeCell ref="R40:S41"/>
    <mergeCell ref="T40:U41"/>
    <mergeCell ref="V40:W41"/>
    <mergeCell ref="AR18:AU19"/>
    <mergeCell ref="AI18:AJ19"/>
    <mergeCell ref="AK18:AL19"/>
    <mergeCell ref="AI20:AJ21"/>
    <mergeCell ref="AK20:AL21"/>
    <mergeCell ref="AO30:AQ31"/>
    <mergeCell ref="AR24:AU25"/>
    <mergeCell ref="AG20:AH21"/>
    <mergeCell ref="AM20:AN21"/>
    <mergeCell ref="AO20:AQ21"/>
    <mergeCell ref="AR20:AU21"/>
    <mergeCell ref="O20:Q21"/>
    <mergeCell ref="O22:Q23"/>
    <mergeCell ref="O24:Q25"/>
    <mergeCell ref="O26:Q27"/>
    <mergeCell ref="AT1:AW3"/>
    <mergeCell ref="Z9:AC11"/>
    <mergeCell ref="AO16:AQ17"/>
    <mergeCell ref="AL9:AO11"/>
    <mergeCell ref="AB12:AE13"/>
    <mergeCell ref="X12:AA13"/>
    <mergeCell ref="AB14:AE14"/>
    <mergeCell ref="X16:Y17"/>
    <mergeCell ref="AG16:AH17"/>
    <mergeCell ref="AS5:AW6"/>
    <mergeCell ref="AS7:AW7"/>
    <mergeCell ref="AS8:AW8"/>
    <mergeCell ref="AK24:AL25"/>
    <mergeCell ref="X22:Y23"/>
    <mergeCell ref="AO24:AQ25"/>
    <mergeCell ref="X30:Y31"/>
    <mergeCell ref="R28:S29"/>
    <mergeCell ref="T28:U29"/>
    <mergeCell ref="R20:S21"/>
    <mergeCell ref="T26:U27"/>
    <mergeCell ref="V26:W27"/>
    <mergeCell ref="X26:Y27"/>
    <mergeCell ref="R24:S25"/>
    <mergeCell ref="T24:U25"/>
    <mergeCell ref="V24:W25"/>
    <mergeCell ref="AM18:AN19"/>
    <mergeCell ref="AO18:AQ19"/>
    <mergeCell ref="V22:W23"/>
    <mergeCell ref="R30:S31"/>
    <mergeCell ref="T30:U31"/>
    <mergeCell ref="V30:W31"/>
    <mergeCell ref="AM13:AU14"/>
    <mergeCell ref="AR44:AU45"/>
    <mergeCell ref="AO42:AQ43"/>
    <mergeCell ref="AR42:AU43"/>
    <mergeCell ref="AG46:AH47"/>
    <mergeCell ref="AI26:AJ27"/>
    <mergeCell ref="AG24:AH25"/>
    <mergeCell ref="AM32:AN33"/>
    <mergeCell ref="AO32:AQ33"/>
    <mergeCell ref="AR32:AU33"/>
    <mergeCell ref="AG30:AH31"/>
    <mergeCell ref="AM30:AN31"/>
    <mergeCell ref="AC46:AF47"/>
    <mergeCell ref="BJ20:BJ21"/>
    <mergeCell ref="BK20:BK21"/>
    <mergeCell ref="BJ22:BJ23"/>
    <mergeCell ref="BK22:BK23"/>
    <mergeCell ref="BJ44:BJ45"/>
    <mergeCell ref="BK44:BK45"/>
    <mergeCell ref="BJ24:BJ25"/>
    <mergeCell ref="BK24:BK25"/>
    <mergeCell ref="BJ26:BJ27"/>
    <mergeCell ref="BK26:BK27"/>
    <mergeCell ref="BJ28:BJ29"/>
    <mergeCell ref="BK28:BK29"/>
    <mergeCell ref="BJ30:BJ31"/>
    <mergeCell ref="BK30:BK31"/>
    <mergeCell ref="BJ32:BJ33"/>
    <mergeCell ref="BK32:BK33"/>
    <mergeCell ref="AM24:AN25"/>
    <mergeCell ref="BG34:BG35"/>
    <mergeCell ref="BE20:BE21"/>
    <mergeCell ref="BI22:BI23"/>
    <mergeCell ref="AX42:AX43"/>
    <mergeCell ref="BE40:BE41"/>
    <mergeCell ref="BI42:BI43"/>
    <mergeCell ref="BP16:BP17"/>
    <mergeCell ref="BP18:BP19"/>
    <mergeCell ref="BP20:BP21"/>
    <mergeCell ref="BP22:BP23"/>
    <mergeCell ref="BP24:BP25"/>
    <mergeCell ref="BP26:BP27"/>
    <mergeCell ref="BP28:BP29"/>
    <mergeCell ref="BP30:BP31"/>
    <mergeCell ref="BP32:BP33"/>
    <mergeCell ref="BK16:BK17"/>
    <mergeCell ref="BK18:BK19"/>
    <mergeCell ref="BJ16:BJ17"/>
    <mergeCell ref="BJ18:BJ19"/>
    <mergeCell ref="AY22:AY23"/>
    <mergeCell ref="AZ22:AZ23"/>
    <mergeCell ref="BG22:BG23"/>
    <mergeCell ref="BN22:BN23"/>
    <mergeCell ref="BO22:BO23"/>
    <mergeCell ref="AY28:AY29"/>
    <mergeCell ref="AZ28:AZ29"/>
    <mergeCell ref="BG28:BG29"/>
    <mergeCell ref="BN28:BN29"/>
    <mergeCell ref="BO28:BO29"/>
    <mergeCell ref="BD16:BD17"/>
    <mergeCell ref="BD18:BD19"/>
    <mergeCell ref="BD20:BD21"/>
    <mergeCell ref="BB36:BB37"/>
    <mergeCell ref="BE36:BE37"/>
    <mergeCell ref="BH16:BI16"/>
    <mergeCell ref="AK48:AL49"/>
    <mergeCell ref="AM48:AN49"/>
    <mergeCell ref="AO48:AQ49"/>
    <mergeCell ref="AR48:AU49"/>
    <mergeCell ref="BL48:BL49"/>
    <mergeCell ref="AX48:AX49"/>
    <mergeCell ref="B48:B49"/>
    <mergeCell ref="C48:F49"/>
    <mergeCell ref="G48:L49"/>
    <mergeCell ref="M48:N49"/>
    <mergeCell ref="O48:Q49"/>
    <mergeCell ref="R48:S49"/>
    <mergeCell ref="T48:U49"/>
    <mergeCell ref="V48:W49"/>
    <mergeCell ref="X48:Y49"/>
    <mergeCell ref="AC48:AF49"/>
    <mergeCell ref="AY48:AY49"/>
    <mergeCell ref="AZ48:AZ49"/>
    <mergeCell ref="BG48:BG49"/>
    <mergeCell ref="BI52:BI53"/>
    <mergeCell ref="BA52:BA53"/>
    <mergeCell ref="BB52:BB53"/>
    <mergeCell ref="BB50:BB51"/>
    <mergeCell ref="BC50:BC51"/>
    <mergeCell ref="BE50:BE51"/>
    <mergeCell ref="BY50:BY51"/>
    <mergeCell ref="BQ50:BQ51"/>
    <mergeCell ref="BJ50:BJ51"/>
    <mergeCell ref="BK50:BK51"/>
    <mergeCell ref="BM50:BM51"/>
    <mergeCell ref="BM48:BM49"/>
    <mergeCell ref="BD48:BD49"/>
    <mergeCell ref="BP48:BP49"/>
    <mergeCell ref="B50:B51"/>
    <mergeCell ref="C50:F51"/>
    <mergeCell ref="G50:L51"/>
    <mergeCell ref="M50:N51"/>
    <mergeCell ref="O50:Q51"/>
    <mergeCell ref="R50:S51"/>
    <mergeCell ref="T50:U51"/>
    <mergeCell ref="V50:W51"/>
    <mergeCell ref="X50:Y51"/>
    <mergeCell ref="AG50:AH51"/>
    <mergeCell ref="AI50:AJ51"/>
    <mergeCell ref="AK50:AL51"/>
    <mergeCell ref="AM50:AN51"/>
    <mergeCell ref="AO50:AQ51"/>
    <mergeCell ref="AR50:AU51"/>
    <mergeCell ref="BL50:BL51"/>
    <mergeCell ref="AX50:AX51"/>
    <mergeCell ref="BE52:BE53"/>
    <mergeCell ref="BF52:BF53"/>
    <mergeCell ref="AC54:AF55"/>
    <mergeCell ref="AY52:AY53"/>
    <mergeCell ref="AZ52:AZ53"/>
    <mergeCell ref="BG52:BG53"/>
    <mergeCell ref="BN52:BN53"/>
    <mergeCell ref="BY52:BY53"/>
    <mergeCell ref="BJ52:BJ53"/>
    <mergeCell ref="BK52:BK53"/>
    <mergeCell ref="BQ52:BQ53"/>
    <mergeCell ref="BM52:BM53"/>
    <mergeCell ref="BD52:BD53"/>
    <mergeCell ref="BD50:BD51"/>
    <mergeCell ref="BP50:BP51"/>
    <mergeCell ref="B52:B53"/>
    <mergeCell ref="C52:F53"/>
    <mergeCell ref="G52:L53"/>
    <mergeCell ref="M52:N53"/>
    <mergeCell ref="O52:Q53"/>
    <mergeCell ref="R52:S53"/>
    <mergeCell ref="T52:U53"/>
    <mergeCell ref="V52:W53"/>
    <mergeCell ref="X52:Y53"/>
    <mergeCell ref="AG52:AH53"/>
    <mergeCell ref="AI52:AJ53"/>
    <mergeCell ref="AK52:AL53"/>
    <mergeCell ref="AM52:AN53"/>
    <mergeCell ref="AO52:AQ53"/>
    <mergeCell ref="AR52:AU53"/>
    <mergeCell ref="BL52:BL53"/>
    <mergeCell ref="AX52:AX53"/>
    <mergeCell ref="B54:B55"/>
    <mergeCell ref="C54:F55"/>
    <mergeCell ref="G54:L55"/>
    <mergeCell ref="M54:N55"/>
    <mergeCell ref="O54:Q55"/>
    <mergeCell ref="R54:S55"/>
    <mergeCell ref="T54:U55"/>
    <mergeCell ref="V54:W55"/>
    <mergeCell ref="X54:Y55"/>
    <mergeCell ref="AG54:AH55"/>
    <mergeCell ref="AI54:AJ55"/>
    <mergeCell ref="AK54:AL55"/>
    <mergeCell ref="AM54:AN55"/>
    <mergeCell ref="AO54:AQ55"/>
    <mergeCell ref="AR54:AU55"/>
    <mergeCell ref="BL54:BL55"/>
    <mergeCell ref="AX54:AX55"/>
    <mergeCell ref="BH54:BH55"/>
    <mergeCell ref="BI54:BI55"/>
    <mergeCell ref="BA54:BA55"/>
    <mergeCell ref="BB54:BB55"/>
    <mergeCell ref="BC54:BC55"/>
    <mergeCell ref="B56:B57"/>
    <mergeCell ref="C56:F57"/>
    <mergeCell ref="G56:L57"/>
    <mergeCell ref="M56:N57"/>
    <mergeCell ref="O56:Q57"/>
    <mergeCell ref="R56:S57"/>
    <mergeCell ref="T56:U57"/>
    <mergeCell ref="V56:W57"/>
    <mergeCell ref="X56:Y57"/>
    <mergeCell ref="BE54:BE55"/>
    <mergeCell ref="BF54:BF55"/>
    <mergeCell ref="BW54:BW55"/>
    <mergeCell ref="BY54:BY55"/>
    <mergeCell ref="BJ54:BJ55"/>
    <mergeCell ref="BK54:BK55"/>
    <mergeCell ref="BM54:BM55"/>
    <mergeCell ref="BD54:BD55"/>
    <mergeCell ref="BQ54:BQ55"/>
    <mergeCell ref="AY54:AY55"/>
    <mergeCell ref="AZ54:AZ55"/>
    <mergeCell ref="BG54:BG55"/>
    <mergeCell ref="BN54:BN55"/>
    <mergeCell ref="BO54:BO55"/>
    <mergeCell ref="BR54:BR55"/>
    <mergeCell ref="BT54:BT55"/>
    <mergeCell ref="BV54:BV55"/>
    <mergeCell ref="BX54:BX55"/>
    <mergeCell ref="BN56:BN57"/>
    <mergeCell ref="BO56:BO57"/>
    <mergeCell ref="BR56:BR57"/>
    <mergeCell ref="BT56:BT57"/>
    <mergeCell ref="BV56:BV57"/>
    <mergeCell ref="AK58:AL59"/>
    <mergeCell ref="AM58:AN59"/>
    <mergeCell ref="AO58:AQ59"/>
    <mergeCell ref="AR58:AU59"/>
    <mergeCell ref="BQ56:BQ57"/>
    <mergeCell ref="BH58:BH59"/>
    <mergeCell ref="BH56:BH57"/>
    <mergeCell ref="BI56:BI57"/>
    <mergeCell ref="BA56:BA57"/>
    <mergeCell ref="BB56:BB57"/>
    <mergeCell ref="BC56:BC57"/>
    <mergeCell ref="BE56:BE57"/>
    <mergeCell ref="BF56:BF57"/>
    <mergeCell ref="AG56:AH57"/>
    <mergeCell ref="AI56:AJ57"/>
    <mergeCell ref="AK56:AL57"/>
    <mergeCell ref="AM56:AN57"/>
    <mergeCell ref="AO56:AQ57"/>
    <mergeCell ref="AR56:AU57"/>
    <mergeCell ref="BL56:BL57"/>
    <mergeCell ref="AX56:AX57"/>
    <mergeCell ref="BQ58:BQ59"/>
    <mergeCell ref="AY56:AY57"/>
    <mergeCell ref="AZ56:AZ57"/>
    <mergeCell ref="BG56:BG57"/>
    <mergeCell ref="BY58:BY59"/>
    <mergeCell ref="BJ58:BJ59"/>
    <mergeCell ref="BJ56:BJ57"/>
    <mergeCell ref="BK56:BK57"/>
    <mergeCell ref="BM56:BM57"/>
    <mergeCell ref="BD56:BD57"/>
    <mergeCell ref="BP56:BP57"/>
    <mergeCell ref="BW56:BW57"/>
    <mergeCell ref="BY56:BY57"/>
    <mergeCell ref="BC60:BC61"/>
    <mergeCell ref="BE60:BE61"/>
    <mergeCell ref="BF60:BF61"/>
    <mergeCell ref="BW60:BW61"/>
    <mergeCell ref="BY60:BY61"/>
    <mergeCell ref="BJ60:BJ61"/>
    <mergeCell ref="BK60:BK61"/>
    <mergeCell ref="BK58:BK59"/>
    <mergeCell ref="BM58:BM59"/>
    <mergeCell ref="BD58:BD59"/>
    <mergeCell ref="BP58:BP59"/>
    <mergeCell ref="BQ60:BQ61"/>
    <mergeCell ref="BN60:BN61"/>
    <mergeCell ref="BO60:BO61"/>
    <mergeCell ref="BR60:BR61"/>
    <mergeCell ref="BT60:BT61"/>
    <mergeCell ref="BV60:BV61"/>
    <mergeCell ref="BX60:BX61"/>
    <mergeCell ref="BU60:BU61"/>
    <mergeCell ref="B60:B61"/>
    <mergeCell ref="C60:F61"/>
    <mergeCell ref="G60:L61"/>
    <mergeCell ref="M60:N61"/>
    <mergeCell ref="O60:Q61"/>
    <mergeCell ref="R60:S61"/>
    <mergeCell ref="T60:U61"/>
    <mergeCell ref="V60:W61"/>
    <mergeCell ref="X60:Y61"/>
    <mergeCell ref="AG60:AH61"/>
    <mergeCell ref="AI60:AJ61"/>
    <mergeCell ref="AK60:AL61"/>
    <mergeCell ref="AM60:AN61"/>
    <mergeCell ref="AO60:AQ61"/>
    <mergeCell ref="AR60:AU61"/>
    <mergeCell ref="BL60:BL61"/>
    <mergeCell ref="AX60:AX61"/>
    <mergeCell ref="BH60:BH61"/>
    <mergeCell ref="BI60:BI61"/>
    <mergeCell ref="AY60:AY61"/>
    <mergeCell ref="AZ60:AZ61"/>
    <mergeCell ref="BG60:BG61"/>
    <mergeCell ref="B58:B59"/>
    <mergeCell ref="C58:F59"/>
    <mergeCell ref="G58:L59"/>
    <mergeCell ref="M58:N59"/>
    <mergeCell ref="BF62:BF63"/>
    <mergeCell ref="BW62:BW63"/>
    <mergeCell ref="BY62:BY63"/>
    <mergeCell ref="BJ62:BJ63"/>
    <mergeCell ref="BK62:BK63"/>
    <mergeCell ref="BM62:BM63"/>
    <mergeCell ref="BM60:BM61"/>
    <mergeCell ref="BD60:BD61"/>
    <mergeCell ref="BP60:BP61"/>
    <mergeCell ref="B62:B63"/>
    <mergeCell ref="C62:F63"/>
    <mergeCell ref="G62:L63"/>
    <mergeCell ref="M62:N63"/>
    <mergeCell ref="O62:Q63"/>
    <mergeCell ref="R62:S63"/>
    <mergeCell ref="T62:U63"/>
    <mergeCell ref="V62:W63"/>
    <mergeCell ref="X62:Y63"/>
    <mergeCell ref="AG62:AH63"/>
    <mergeCell ref="AI62:AJ63"/>
    <mergeCell ref="AK62:AL63"/>
    <mergeCell ref="AM62:AN63"/>
    <mergeCell ref="AO62:AQ63"/>
    <mergeCell ref="AR62:AU63"/>
    <mergeCell ref="BL62:BL63"/>
    <mergeCell ref="AX62:AX63"/>
    <mergeCell ref="BH62:BH63"/>
    <mergeCell ref="BI62:BI63"/>
    <mergeCell ref="BC66:BC67"/>
    <mergeCell ref="BA60:BA61"/>
    <mergeCell ref="BB60:BB61"/>
    <mergeCell ref="BW64:BW65"/>
    <mergeCell ref="BY64:BY65"/>
    <mergeCell ref="BJ64:BJ65"/>
    <mergeCell ref="BK64:BK65"/>
    <mergeCell ref="BM64:BM65"/>
    <mergeCell ref="BD64:BD65"/>
    <mergeCell ref="BD62:BD63"/>
    <mergeCell ref="BP62:BP63"/>
    <mergeCell ref="B64:B65"/>
    <mergeCell ref="C64:F65"/>
    <mergeCell ref="G64:L65"/>
    <mergeCell ref="M64:N65"/>
    <mergeCell ref="O64:Q65"/>
    <mergeCell ref="R64:S65"/>
    <mergeCell ref="T64:U65"/>
    <mergeCell ref="V64:W65"/>
    <mergeCell ref="X64:Y65"/>
    <mergeCell ref="AG64:AH65"/>
    <mergeCell ref="AI64:AJ65"/>
    <mergeCell ref="AK64:AL65"/>
    <mergeCell ref="AM64:AN65"/>
    <mergeCell ref="AO64:AQ65"/>
    <mergeCell ref="AR64:AU65"/>
    <mergeCell ref="BL64:BL65"/>
    <mergeCell ref="AX64:AX65"/>
    <mergeCell ref="BH64:BH65"/>
    <mergeCell ref="BI64:BI65"/>
    <mergeCell ref="BA64:BA65"/>
    <mergeCell ref="BB64:BB65"/>
    <mergeCell ref="B68:B69"/>
    <mergeCell ref="C68:F69"/>
    <mergeCell ref="G68:L69"/>
    <mergeCell ref="M68:N69"/>
    <mergeCell ref="O68:Q69"/>
    <mergeCell ref="R68:S69"/>
    <mergeCell ref="T68:U69"/>
    <mergeCell ref="V68:W69"/>
    <mergeCell ref="X68:Y69"/>
    <mergeCell ref="BE66:BE67"/>
    <mergeCell ref="BF66:BF67"/>
    <mergeCell ref="BE64:BE65"/>
    <mergeCell ref="BF64:BF65"/>
    <mergeCell ref="AY66:AY67"/>
    <mergeCell ref="AZ66:AZ67"/>
    <mergeCell ref="BG66:BG67"/>
    <mergeCell ref="BN66:BN67"/>
    <mergeCell ref="BJ66:BJ67"/>
    <mergeCell ref="BK66:BK67"/>
    <mergeCell ref="BM66:BM67"/>
    <mergeCell ref="BD66:BD67"/>
    <mergeCell ref="B66:B67"/>
    <mergeCell ref="C66:F67"/>
    <mergeCell ref="G66:L67"/>
    <mergeCell ref="M66:N67"/>
    <mergeCell ref="O66:Q67"/>
    <mergeCell ref="R66:S67"/>
    <mergeCell ref="T66:U67"/>
    <mergeCell ref="V66:W67"/>
    <mergeCell ref="X66:Y67"/>
    <mergeCell ref="AG66:AH67"/>
    <mergeCell ref="AI66:AJ67"/>
    <mergeCell ref="BA68:BA69"/>
    <mergeCell ref="BB68:BB69"/>
    <mergeCell ref="BC68:BC69"/>
    <mergeCell ref="BE68:BE69"/>
    <mergeCell ref="BF68:BF69"/>
    <mergeCell ref="BW68:BW69"/>
    <mergeCell ref="BY68:BY69"/>
    <mergeCell ref="BC64:BC65"/>
    <mergeCell ref="BQ64:BQ65"/>
    <mergeCell ref="AG68:AH69"/>
    <mergeCell ref="AI68:AJ69"/>
    <mergeCell ref="AK68:AL69"/>
    <mergeCell ref="AM68:AN69"/>
    <mergeCell ref="AO68:AQ69"/>
    <mergeCell ref="AR68:AU69"/>
    <mergeCell ref="BL68:BL69"/>
    <mergeCell ref="AX68:AX69"/>
    <mergeCell ref="BO66:BO67"/>
    <mergeCell ref="BW66:BW67"/>
    <mergeCell ref="BY66:BY67"/>
    <mergeCell ref="BP66:BP67"/>
    <mergeCell ref="BP64:BP65"/>
    <mergeCell ref="AK66:AL67"/>
    <mergeCell ref="AM66:AN67"/>
    <mergeCell ref="AO66:AQ67"/>
    <mergeCell ref="AR66:AU67"/>
    <mergeCell ref="BL66:BL67"/>
    <mergeCell ref="AX66:AX67"/>
    <mergeCell ref="BH66:BH67"/>
    <mergeCell ref="BI66:BI67"/>
    <mergeCell ref="BA66:BA67"/>
    <mergeCell ref="BB66:BB67"/>
    <mergeCell ref="B70:B71"/>
    <mergeCell ref="C70:F71"/>
    <mergeCell ref="G70:L71"/>
    <mergeCell ref="M70:N71"/>
    <mergeCell ref="O70:Q71"/>
    <mergeCell ref="R70:S71"/>
    <mergeCell ref="T70:U71"/>
    <mergeCell ref="V70:W71"/>
    <mergeCell ref="X70:Y71"/>
    <mergeCell ref="AG70:AH71"/>
    <mergeCell ref="AI70:AJ71"/>
    <mergeCell ref="AK70:AL71"/>
    <mergeCell ref="AM70:AN71"/>
    <mergeCell ref="AO70:AQ71"/>
    <mergeCell ref="AR70:AU71"/>
    <mergeCell ref="BL70:BL71"/>
    <mergeCell ref="AX70:AX71"/>
    <mergeCell ref="BH70:BH71"/>
    <mergeCell ref="AK72:AL73"/>
    <mergeCell ref="AM72:AN73"/>
    <mergeCell ref="AO72:AQ73"/>
    <mergeCell ref="AR72:AU73"/>
    <mergeCell ref="BL72:BL73"/>
    <mergeCell ref="AX72:AX73"/>
    <mergeCell ref="BH72:BH73"/>
    <mergeCell ref="BI72:BI73"/>
    <mergeCell ref="BI70:BI71"/>
    <mergeCell ref="BA70:BA71"/>
    <mergeCell ref="BH74:BH75"/>
    <mergeCell ref="BI74:BI75"/>
    <mergeCell ref="BA74:BA75"/>
    <mergeCell ref="BA72:BA73"/>
    <mergeCell ref="AY72:AY73"/>
    <mergeCell ref="AZ72:AZ73"/>
    <mergeCell ref="BB72:BB73"/>
    <mergeCell ref="BC72:BC73"/>
    <mergeCell ref="BE72:BE73"/>
    <mergeCell ref="BF72:BF73"/>
    <mergeCell ref="BB70:BB71"/>
    <mergeCell ref="BC70:BC71"/>
    <mergeCell ref="BY72:BY73"/>
    <mergeCell ref="BJ72:BJ73"/>
    <mergeCell ref="BK72:BK73"/>
    <mergeCell ref="BK70:BK71"/>
    <mergeCell ref="BM70:BM71"/>
    <mergeCell ref="BD70:BD71"/>
    <mergeCell ref="BP70:BP71"/>
    <mergeCell ref="BF70:BF71"/>
    <mergeCell ref="BW70:BW71"/>
    <mergeCell ref="BY70:BY71"/>
    <mergeCell ref="BJ70:BJ71"/>
    <mergeCell ref="BW74:BW75"/>
    <mergeCell ref="BY74:BY75"/>
    <mergeCell ref="BJ74:BJ75"/>
    <mergeCell ref="BK74:BK75"/>
    <mergeCell ref="BM74:BM75"/>
    <mergeCell ref="BM72:BM73"/>
    <mergeCell ref="BD72:BD73"/>
    <mergeCell ref="BP72:BP73"/>
    <mergeCell ref="BE70:BE71"/>
    <mergeCell ref="BG72:BG73"/>
    <mergeCell ref="BN72:BN73"/>
    <mergeCell ref="BO72:BO73"/>
    <mergeCell ref="BR72:BR73"/>
    <mergeCell ref="BT72:BT73"/>
    <mergeCell ref="BV72:BV73"/>
    <mergeCell ref="BX72:BX73"/>
    <mergeCell ref="BN74:BN75"/>
    <mergeCell ref="BO74:BO75"/>
    <mergeCell ref="BR74:BR75"/>
    <mergeCell ref="BT74:BT75"/>
    <mergeCell ref="BV74:BV75"/>
    <mergeCell ref="B74:B75"/>
    <mergeCell ref="C74:F75"/>
    <mergeCell ref="G74:L75"/>
    <mergeCell ref="M74:N75"/>
    <mergeCell ref="O74:Q75"/>
    <mergeCell ref="R74:S75"/>
    <mergeCell ref="T74:U75"/>
    <mergeCell ref="V74:W75"/>
    <mergeCell ref="X74:Y75"/>
    <mergeCell ref="AG74:AH75"/>
    <mergeCell ref="AI74:AJ75"/>
    <mergeCell ref="AK74:AL75"/>
    <mergeCell ref="AM74:AN75"/>
    <mergeCell ref="AO74:AQ75"/>
    <mergeCell ref="AR74:AU75"/>
    <mergeCell ref="BL74:BL75"/>
    <mergeCell ref="AX74:AX75"/>
    <mergeCell ref="AY74:AY75"/>
    <mergeCell ref="AZ74:AZ75"/>
    <mergeCell ref="BG74:BG75"/>
    <mergeCell ref="B72:B73"/>
    <mergeCell ref="C72:F73"/>
    <mergeCell ref="G72:L73"/>
    <mergeCell ref="M72:N73"/>
    <mergeCell ref="O72:Q73"/>
    <mergeCell ref="R72:S73"/>
    <mergeCell ref="T72:U73"/>
    <mergeCell ref="BW76:BW77"/>
    <mergeCell ref="BY76:BY77"/>
    <mergeCell ref="BJ76:BJ77"/>
    <mergeCell ref="BK76:BK77"/>
    <mergeCell ref="BM76:BM77"/>
    <mergeCell ref="BD76:BD77"/>
    <mergeCell ref="BD74:BD75"/>
    <mergeCell ref="BP74:BP75"/>
    <mergeCell ref="B76:B77"/>
    <mergeCell ref="C76:F77"/>
    <mergeCell ref="G76:L77"/>
    <mergeCell ref="M76:N77"/>
    <mergeCell ref="O76:Q77"/>
    <mergeCell ref="R76:S77"/>
    <mergeCell ref="T76:U77"/>
    <mergeCell ref="V76:W77"/>
    <mergeCell ref="X76:Y77"/>
    <mergeCell ref="AG76:AH77"/>
    <mergeCell ref="AI76:AJ77"/>
    <mergeCell ref="AK76:AL77"/>
    <mergeCell ref="AM76:AN77"/>
    <mergeCell ref="AO76:AQ77"/>
    <mergeCell ref="AR76:AU77"/>
    <mergeCell ref="BL76:BL77"/>
    <mergeCell ref="AX76:AX77"/>
    <mergeCell ref="BQ16:BQ17"/>
    <mergeCell ref="BQ18:BQ19"/>
    <mergeCell ref="BQ20:BQ21"/>
    <mergeCell ref="BQ22:BQ23"/>
    <mergeCell ref="BQ24:BQ25"/>
    <mergeCell ref="BQ26:BQ27"/>
    <mergeCell ref="BQ28:BQ29"/>
    <mergeCell ref="BQ30:BQ31"/>
    <mergeCell ref="BQ32:BQ33"/>
    <mergeCell ref="BQ34:BQ35"/>
    <mergeCell ref="BQ36:BQ37"/>
    <mergeCell ref="BQ38:BQ39"/>
    <mergeCell ref="BQ40:BQ41"/>
    <mergeCell ref="BQ42:BQ43"/>
    <mergeCell ref="BQ44:BQ45"/>
    <mergeCell ref="BQ46:BQ47"/>
    <mergeCell ref="BM46:BM47"/>
    <mergeCell ref="BP34:BP35"/>
    <mergeCell ref="BP36:BP37"/>
    <mergeCell ref="BP38:BP39"/>
    <mergeCell ref="BP40:BP41"/>
    <mergeCell ref="BP42:BP43"/>
    <mergeCell ref="BN20:BN21"/>
    <mergeCell ref="BO20:BO21"/>
    <mergeCell ref="BN34:BN35"/>
    <mergeCell ref="BO34:BO35"/>
    <mergeCell ref="BM42:BM43"/>
    <mergeCell ref="BM44:BM45"/>
    <mergeCell ref="BU66:BU67"/>
    <mergeCell ref="BU68:BU69"/>
    <mergeCell ref="BU70:BU71"/>
    <mergeCell ref="BU72:BU73"/>
    <mergeCell ref="BU74:BU75"/>
    <mergeCell ref="BU76:BU77"/>
    <mergeCell ref="BU16:BU17"/>
    <mergeCell ref="BU18:BU19"/>
    <mergeCell ref="BU20:BU21"/>
    <mergeCell ref="BU22:BU23"/>
    <mergeCell ref="BU24:BU25"/>
    <mergeCell ref="BU26:BU27"/>
    <mergeCell ref="BU28:BU29"/>
    <mergeCell ref="BU30:BU31"/>
    <mergeCell ref="BU32:BU33"/>
    <mergeCell ref="BU34:BU35"/>
    <mergeCell ref="BU36:BU37"/>
    <mergeCell ref="BU38:BU39"/>
    <mergeCell ref="BU40:BU41"/>
    <mergeCell ref="BU42:BU43"/>
    <mergeCell ref="BU44:BU45"/>
    <mergeCell ref="BU46:BU47"/>
    <mergeCell ref="BU48:BU49"/>
    <mergeCell ref="BU50:BU51"/>
    <mergeCell ref="N1:T3"/>
    <mergeCell ref="U1:AK3"/>
    <mergeCell ref="BS50:BS51"/>
    <mergeCell ref="BS52:BS53"/>
    <mergeCell ref="BS54:BS55"/>
    <mergeCell ref="BS56:BS57"/>
    <mergeCell ref="BS58:BS59"/>
    <mergeCell ref="BS60:BS61"/>
    <mergeCell ref="BS62:BS63"/>
    <mergeCell ref="BS64:BS65"/>
    <mergeCell ref="BS66:BS67"/>
    <mergeCell ref="BS68:BS69"/>
    <mergeCell ref="BS70:BS71"/>
    <mergeCell ref="BS72:BS73"/>
    <mergeCell ref="BS74:BS75"/>
    <mergeCell ref="BS76:BS77"/>
    <mergeCell ref="BS16:BS17"/>
    <mergeCell ref="BS18:BS19"/>
    <mergeCell ref="BS20:BS21"/>
    <mergeCell ref="BS22:BS23"/>
    <mergeCell ref="BS24:BS25"/>
    <mergeCell ref="BS26:BS27"/>
    <mergeCell ref="BS28:BS29"/>
    <mergeCell ref="BS30:BS31"/>
    <mergeCell ref="BS32:BS33"/>
    <mergeCell ref="BS34:BS35"/>
    <mergeCell ref="BS36:BS37"/>
    <mergeCell ref="BS38:BS39"/>
    <mergeCell ref="BS40:BS41"/>
    <mergeCell ref="BS42:BS43"/>
    <mergeCell ref="BS44:BS45"/>
    <mergeCell ref="BS46:BS47"/>
    <mergeCell ref="AY16:AY17"/>
    <mergeCell ref="AZ16:AZ17"/>
    <mergeCell ref="BG16:BG17"/>
    <mergeCell ref="BN16:BN17"/>
    <mergeCell ref="BO16:BO17"/>
    <mergeCell ref="BR16:BR17"/>
    <mergeCell ref="BT16:BT17"/>
    <mergeCell ref="BV16:BV17"/>
    <mergeCell ref="BX16:BX17"/>
    <mergeCell ref="BG24:BG25"/>
    <mergeCell ref="BN24:BN25"/>
    <mergeCell ref="BO24:BO25"/>
    <mergeCell ref="BR24:BR25"/>
    <mergeCell ref="BT24:BT25"/>
    <mergeCell ref="BV24:BV25"/>
    <mergeCell ref="BX24:BX25"/>
    <mergeCell ref="AY18:AY19"/>
    <mergeCell ref="AZ18:AZ19"/>
    <mergeCell ref="BG18:BG19"/>
    <mergeCell ref="BN18:BN19"/>
    <mergeCell ref="BO18:BO19"/>
    <mergeCell ref="BI20:BI21"/>
    <mergeCell ref="BI24:BI25"/>
    <mergeCell ref="BA18:BA19"/>
    <mergeCell ref="BB18:BB19"/>
    <mergeCell ref="BR18:BR19"/>
    <mergeCell ref="BT18:BT19"/>
    <mergeCell ref="BV18:BV19"/>
    <mergeCell ref="BX18:BX19"/>
    <mergeCell ref="AY20:AY21"/>
    <mergeCell ref="AZ20:AZ21"/>
    <mergeCell ref="BG20:BG21"/>
    <mergeCell ref="BX20:BX21"/>
    <mergeCell ref="BH18:BH19"/>
    <mergeCell ref="BL18:BL19"/>
    <mergeCell ref="BL20:BL21"/>
    <mergeCell ref="AZ26:AZ27"/>
    <mergeCell ref="BG26:BG27"/>
    <mergeCell ref="BN26:BN27"/>
    <mergeCell ref="BO26:BO27"/>
    <mergeCell ref="BR26:BR27"/>
    <mergeCell ref="BT26:BT27"/>
    <mergeCell ref="BV26:BV27"/>
    <mergeCell ref="BX26:BX27"/>
    <mergeCell ref="BR22:BR23"/>
    <mergeCell ref="BT22:BT23"/>
    <mergeCell ref="BV22:BV23"/>
    <mergeCell ref="BX22:BX23"/>
    <mergeCell ref="AY24:AY25"/>
    <mergeCell ref="AZ24:AZ25"/>
    <mergeCell ref="AY26:AY27"/>
    <mergeCell ref="BA22:BA23"/>
    <mergeCell ref="BB22:BB23"/>
    <mergeCell ref="BE22:BE23"/>
    <mergeCell ref="BW24:BW25"/>
    <mergeCell ref="BW26:BW27"/>
    <mergeCell ref="BR28:BR29"/>
    <mergeCell ref="BT28:BT29"/>
    <mergeCell ref="BV28:BV29"/>
    <mergeCell ref="BX28:BX29"/>
    <mergeCell ref="BW28:BW29"/>
    <mergeCell ref="BE26:BE27"/>
    <mergeCell ref="BE28:BE29"/>
    <mergeCell ref="AZ30:AZ31"/>
    <mergeCell ref="BG30:BG31"/>
    <mergeCell ref="BN30:BN31"/>
    <mergeCell ref="BO30:BO31"/>
    <mergeCell ref="BR30:BR31"/>
    <mergeCell ref="BT30:BT31"/>
    <mergeCell ref="BV30:BV31"/>
    <mergeCell ref="BX30:BX31"/>
    <mergeCell ref="AY32:AY33"/>
    <mergeCell ref="AZ32:AZ33"/>
    <mergeCell ref="BG32:BG33"/>
    <mergeCell ref="BN32:BN33"/>
    <mergeCell ref="BO32:BO33"/>
    <mergeCell ref="BR32:BR33"/>
    <mergeCell ref="BT32:BT33"/>
    <mergeCell ref="BV32:BV33"/>
    <mergeCell ref="BX32:BX33"/>
    <mergeCell ref="BC30:BC31"/>
    <mergeCell ref="BW30:BW31"/>
    <mergeCell ref="AY30:AY31"/>
    <mergeCell ref="BI28:BI29"/>
    <mergeCell ref="BI32:BI33"/>
    <mergeCell ref="BM28:BM29"/>
    <mergeCell ref="BM30:BM31"/>
    <mergeCell ref="BM32:BM33"/>
    <mergeCell ref="BR34:BR35"/>
    <mergeCell ref="BT34:BT35"/>
    <mergeCell ref="BV34:BV35"/>
    <mergeCell ref="BX34:BX35"/>
    <mergeCell ref="AY36:AY37"/>
    <mergeCell ref="AZ36:AZ37"/>
    <mergeCell ref="BG36:BG37"/>
    <mergeCell ref="BN36:BN37"/>
    <mergeCell ref="BO36:BO37"/>
    <mergeCell ref="BR36:BR37"/>
    <mergeCell ref="BT36:BT37"/>
    <mergeCell ref="BV36:BV37"/>
    <mergeCell ref="BX36:BX37"/>
    <mergeCell ref="AZ38:AZ39"/>
    <mergeCell ref="BG38:BG39"/>
    <mergeCell ref="BN38:BN39"/>
    <mergeCell ref="BO38:BO39"/>
    <mergeCell ref="BR38:BR39"/>
    <mergeCell ref="BT38:BT39"/>
    <mergeCell ref="BV38:BV39"/>
    <mergeCell ref="BX38:BX39"/>
    <mergeCell ref="AY34:AY35"/>
    <mergeCell ref="AY38:AY39"/>
    <mergeCell ref="BD34:BD35"/>
    <mergeCell ref="BD36:BD37"/>
    <mergeCell ref="BD38:BD39"/>
    <mergeCell ref="BJ34:BJ35"/>
    <mergeCell ref="BK34:BK35"/>
    <mergeCell ref="BJ36:BJ37"/>
    <mergeCell ref="BK36:BK37"/>
    <mergeCell ref="AY40:AY41"/>
    <mergeCell ref="AZ40:AZ41"/>
    <mergeCell ref="BG40:BG41"/>
    <mergeCell ref="BN40:BN41"/>
    <mergeCell ref="BO40:BO41"/>
    <mergeCell ref="BR40:BR41"/>
    <mergeCell ref="BT40:BT41"/>
    <mergeCell ref="BV40:BV41"/>
    <mergeCell ref="BX40:BX41"/>
    <mergeCell ref="BL38:BL39"/>
    <mergeCell ref="BW40:BW41"/>
    <mergeCell ref="AZ42:AZ43"/>
    <mergeCell ref="BG42:BG43"/>
    <mergeCell ref="BN42:BN43"/>
    <mergeCell ref="BO42:BO43"/>
    <mergeCell ref="BR42:BR43"/>
    <mergeCell ref="BT42:BT43"/>
    <mergeCell ref="BV42:BV43"/>
    <mergeCell ref="BX42:BX43"/>
    <mergeCell ref="AY42:AY43"/>
    <mergeCell ref="BD40:BD41"/>
    <mergeCell ref="BD42:BD43"/>
    <mergeCell ref="BJ38:BJ39"/>
    <mergeCell ref="BK38:BK39"/>
    <mergeCell ref="BJ40:BJ41"/>
    <mergeCell ref="BK40:BK41"/>
    <mergeCell ref="BJ42:BJ43"/>
    <mergeCell ref="BK42:BK43"/>
    <mergeCell ref="AY44:AY45"/>
    <mergeCell ref="AZ44:AZ45"/>
    <mergeCell ref="BG44:BG45"/>
    <mergeCell ref="BN44:BN45"/>
    <mergeCell ref="BO44:BO45"/>
    <mergeCell ref="BR44:BR45"/>
    <mergeCell ref="BT44:BT45"/>
    <mergeCell ref="BV44:BV45"/>
    <mergeCell ref="BX44:BX45"/>
    <mergeCell ref="BP44:BP45"/>
    <mergeCell ref="BE42:BE43"/>
    <mergeCell ref="BH42:BH43"/>
    <mergeCell ref="AY46:AY47"/>
    <mergeCell ref="AZ46:AZ47"/>
    <mergeCell ref="BG46:BG47"/>
    <mergeCell ref="BN46:BN47"/>
    <mergeCell ref="BO46:BO47"/>
    <mergeCell ref="BR46:BR47"/>
    <mergeCell ref="BT46:BT47"/>
    <mergeCell ref="BV46:BV47"/>
    <mergeCell ref="BX46:BX47"/>
    <mergeCell ref="BD46:BD47"/>
    <mergeCell ref="BD44:BD45"/>
    <mergeCell ref="BJ46:BJ47"/>
    <mergeCell ref="BK46:BK47"/>
    <mergeCell ref="BL46:BL47"/>
    <mergeCell ref="BH46:BH47"/>
    <mergeCell ref="BI46:BI47"/>
    <mergeCell ref="BA46:BA47"/>
    <mergeCell ref="BB46:BB47"/>
    <mergeCell ref="BE46:BE47"/>
    <mergeCell ref="BW46:BW47"/>
    <mergeCell ref="BN48:BN49"/>
    <mergeCell ref="BO48:BO49"/>
    <mergeCell ref="BR48:BR49"/>
    <mergeCell ref="BT48:BT49"/>
    <mergeCell ref="BV48:BV49"/>
    <mergeCell ref="BX48:BX49"/>
    <mergeCell ref="BS48:BS49"/>
    <mergeCell ref="BQ48:BQ49"/>
    <mergeCell ref="BF48:BF49"/>
    <mergeCell ref="BJ48:BJ49"/>
    <mergeCell ref="BK48:BK49"/>
    <mergeCell ref="BP46:BP47"/>
    <mergeCell ref="AY50:AY51"/>
    <mergeCell ref="AZ50:AZ51"/>
    <mergeCell ref="BG50:BG51"/>
    <mergeCell ref="BN50:BN51"/>
    <mergeCell ref="BO50:BO51"/>
    <mergeCell ref="BR50:BR51"/>
    <mergeCell ref="BT50:BT51"/>
    <mergeCell ref="BV50:BV51"/>
    <mergeCell ref="BX50:BX51"/>
    <mergeCell ref="BH50:BH51"/>
    <mergeCell ref="BI50:BI51"/>
    <mergeCell ref="BA50:BA51"/>
    <mergeCell ref="BA48:BA49"/>
    <mergeCell ref="BB48:BB49"/>
    <mergeCell ref="BC48:BC49"/>
    <mergeCell ref="BE48:BE49"/>
    <mergeCell ref="BC46:BC47"/>
    <mergeCell ref="BO52:BO53"/>
    <mergeCell ref="BR52:BR53"/>
    <mergeCell ref="BT52:BT53"/>
    <mergeCell ref="BV52:BV53"/>
    <mergeCell ref="BX52:BX53"/>
    <mergeCell ref="BU52:BU53"/>
    <mergeCell ref="BW52:BW53"/>
    <mergeCell ref="BF50:BF51"/>
    <mergeCell ref="BW50:BW51"/>
    <mergeCell ref="BX56:BX57"/>
    <mergeCell ref="AY58:AY59"/>
    <mergeCell ref="AZ58:AZ59"/>
    <mergeCell ref="BG58:BG59"/>
    <mergeCell ref="BN58:BN59"/>
    <mergeCell ref="BO58:BO59"/>
    <mergeCell ref="BR58:BR59"/>
    <mergeCell ref="BT58:BT59"/>
    <mergeCell ref="BV58:BV59"/>
    <mergeCell ref="BX58:BX59"/>
    <mergeCell ref="BI58:BI59"/>
    <mergeCell ref="BA58:BA59"/>
    <mergeCell ref="BB58:BB59"/>
    <mergeCell ref="BC58:BC59"/>
    <mergeCell ref="BE58:BE59"/>
    <mergeCell ref="BF58:BF59"/>
    <mergeCell ref="BW58:BW59"/>
    <mergeCell ref="BU54:BU55"/>
    <mergeCell ref="BU56:BU57"/>
    <mergeCell ref="BU58:BU59"/>
    <mergeCell ref="BP54:BP55"/>
    <mergeCell ref="BP52:BP53"/>
    <mergeCell ref="BC52:BC53"/>
    <mergeCell ref="AY62:AY63"/>
    <mergeCell ref="AZ62:AZ63"/>
    <mergeCell ref="BG62:BG63"/>
    <mergeCell ref="BN62:BN63"/>
    <mergeCell ref="BO62:BO63"/>
    <mergeCell ref="BR62:BR63"/>
    <mergeCell ref="BT62:BT63"/>
    <mergeCell ref="BV62:BV63"/>
    <mergeCell ref="BX62:BX63"/>
    <mergeCell ref="AY64:AY65"/>
    <mergeCell ref="AZ64:AZ65"/>
    <mergeCell ref="BG64:BG65"/>
    <mergeCell ref="BN64:BN65"/>
    <mergeCell ref="BO64:BO65"/>
    <mergeCell ref="BR64:BR65"/>
    <mergeCell ref="BT64:BT65"/>
    <mergeCell ref="BV64:BV65"/>
    <mergeCell ref="BX64:BX65"/>
    <mergeCell ref="BC62:BC63"/>
    <mergeCell ref="BE62:BE63"/>
    <mergeCell ref="BQ62:BQ63"/>
    <mergeCell ref="BB62:BB63"/>
    <mergeCell ref="BA62:BA63"/>
    <mergeCell ref="BU62:BU63"/>
    <mergeCell ref="BU64:BU65"/>
    <mergeCell ref="BR66:BR67"/>
    <mergeCell ref="BT66:BT67"/>
    <mergeCell ref="BV66:BV67"/>
    <mergeCell ref="BX66:BX67"/>
    <mergeCell ref="AY68:AY69"/>
    <mergeCell ref="AZ68:AZ69"/>
    <mergeCell ref="BG68:BG69"/>
    <mergeCell ref="BN68:BN69"/>
    <mergeCell ref="BO68:BO69"/>
    <mergeCell ref="BR68:BR69"/>
    <mergeCell ref="BT68:BT69"/>
    <mergeCell ref="BV68:BV69"/>
    <mergeCell ref="BX68:BX69"/>
    <mergeCell ref="AY70:AY71"/>
    <mergeCell ref="AZ70:AZ71"/>
    <mergeCell ref="BG70:BG71"/>
    <mergeCell ref="BN70:BN71"/>
    <mergeCell ref="BO70:BO71"/>
    <mergeCell ref="BR70:BR71"/>
    <mergeCell ref="BT70:BT71"/>
    <mergeCell ref="BV70:BV71"/>
    <mergeCell ref="BX70:BX71"/>
    <mergeCell ref="BQ66:BQ67"/>
    <mergeCell ref="BQ68:BQ69"/>
    <mergeCell ref="BQ70:BQ71"/>
    <mergeCell ref="BJ68:BJ69"/>
    <mergeCell ref="BK68:BK69"/>
    <mergeCell ref="BM68:BM69"/>
    <mergeCell ref="BD68:BD69"/>
    <mergeCell ref="BP68:BP69"/>
    <mergeCell ref="BH68:BH69"/>
    <mergeCell ref="BI68:BI69"/>
    <mergeCell ref="BX74:BX75"/>
    <mergeCell ref="AY76:AY77"/>
    <mergeCell ref="AZ76:AZ77"/>
    <mergeCell ref="BG76:BG77"/>
    <mergeCell ref="BN76:BN77"/>
    <mergeCell ref="BO76:BO77"/>
    <mergeCell ref="BR76:BR77"/>
    <mergeCell ref="BT76:BT77"/>
    <mergeCell ref="BV76:BV77"/>
    <mergeCell ref="BX76:BX77"/>
    <mergeCell ref="BP76:BP77"/>
    <mergeCell ref="BB76:BB77"/>
    <mergeCell ref="BB74:BB75"/>
    <mergeCell ref="BC74:BC75"/>
    <mergeCell ref="BE74:BE75"/>
    <mergeCell ref="BQ72:BQ73"/>
    <mergeCell ref="BQ74:BQ75"/>
    <mergeCell ref="BQ76:BQ77"/>
    <mergeCell ref="BC76:BC77"/>
    <mergeCell ref="BE76:BE77"/>
    <mergeCell ref="BF76:BF77"/>
    <mergeCell ref="BF74:BF75"/>
    <mergeCell ref="BW72:BW73"/>
    <mergeCell ref="BH76:BH77"/>
    <mergeCell ref="BI76:BI77"/>
    <mergeCell ref="BA76:BA77"/>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28:BZ29"/>
    <mergeCell ref="CA28:CA29"/>
    <mergeCell ref="CB28:CB29"/>
    <mergeCell ref="CC28:CC29"/>
    <mergeCell ref="BZ30:BZ31"/>
    <mergeCell ref="CA30:CA31"/>
    <mergeCell ref="CB30:CB31"/>
    <mergeCell ref="CC30:CC31"/>
    <mergeCell ref="BZ32:BZ33"/>
    <mergeCell ref="CA32:CA33"/>
    <mergeCell ref="CB32:CB33"/>
    <mergeCell ref="CC32:CC33"/>
    <mergeCell ref="BZ34:BZ35"/>
    <mergeCell ref="CA34:CA35"/>
    <mergeCell ref="CB34:CB35"/>
    <mergeCell ref="CC34:CC35"/>
    <mergeCell ref="BZ36:BZ37"/>
    <mergeCell ref="CA36:CA37"/>
    <mergeCell ref="CB36:CB37"/>
    <mergeCell ref="CC36:CC37"/>
    <mergeCell ref="BZ38:BZ39"/>
    <mergeCell ref="CA38:CA39"/>
    <mergeCell ref="CB38:CB39"/>
    <mergeCell ref="CC38:CC39"/>
    <mergeCell ref="BZ40:BZ41"/>
    <mergeCell ref="CA40:CA41"/>
    <mergeCell ref="CB40:CB41"/>
    <mergeCell ref="CC40:CC41"/>
    <mergeCell ref="BZ42:BZ43"/>
    <mergeCell ref="CA42:CA43"/>
    <mergeCell ref="CB42:CB43"/>
    <mergeCell ref="CC42:CC43"/>
    <mergeCell ref="BZ44:BZ45"/>
    <mergeCell ref="CA44:CA45"/>
    <mergeCell ref="CB44:CB45"/>
    <mergeCell ref="CC44:CC45"/>
    <mergeCell ref="BZ46:BZ47"/>
    <mergeCell ref="CA46:CA47"/>
    <mergeCell ref="CB46:CB47"/>
    <mergeCell ref="CC46:CC47"/>
    <mergeCell ref="BZ48:BZ49"/>
    <mergeCell ref="CA48:CA49"/>
    <mergeCell ref="CB48:CB49"/>
    <mergeCell ref="CC48:CC49"/>
    <mergeCell ref="BZ50:BZ51"/>
    <mergeCell ref="CA50:CA51"/>
    <mergeCell ref="CB50:CB51"/>
    <mergeCell ref="CC50:CC51"/>
    <mergeCell ref="BZ52:BZ53"/>
    <mergeCell ref="CA52:CA53"/>
    <mergeCell ref="CB52:CB53"/>
    <mergeCell ref="CC52:CC53"/>
    <mergeCell ref="BZ54:BZ55"/>
    <mergeCell ref="CA54:CA55"/>
    <mergeCell ref="CB54:CB55"/>
    <mergeCell ref="CC54:CC55"/>
    <mergeCell ref="BZ56:BZ57"/>
    <mergeCell ref="CA56:CA57"/>
    <mergeCell ref="CB56:CB57"/>
    <mergeCell ref="CC56:CC57"/>
    <mergeCell ref="BZ58:BZ59"/>
    <mergeCell ref="CA58:CA59"/>
    <mergeCell ref="CB58:CB59"/>
    <mergeCell ref="CC58:CC59"/>
    <mergeCell ref="BZ60:BZ61"/>
    <mergeCell ref="CA60:CA61"/>
    <mergeCell ref="CB60:CB61"/>
    <mergeCell ref="CC60:CC61"/>
    <mergeCell ref="BZ62:BZ63"/>
    <mergeCell ref="CA62:CA63"/>
    <mergeCell ref="CB62:CB63"/>
    <mergeCell ref="CC62:CC63"/>
    <mergeCell ref="BZ64:BZ65"/>
    <mergeCell ref="CA64:CA65"/>
    <mergeCell ref="CB64:CB65"/>
    <mergeCell ref="CC64:CC65"/>
    <mergeCell ref="BZ76:BZ77"/>
    <mergeCell ref="CA76:CA77"/>
    <mergeCell ref="CB76:CB77"/>
    <mergeCell ref="CC76:CC77"/>
    <mergeCell ref="BZ66:BZ67"/>
    <mergeCell ref="CA66:CA67"/>
    <mergeCell ref="CB66:CB67"/>
    <mergeCell ref="CC66:CC67"/>
    <mergeCell ref="BZ68:BZ69"/>
    <mergeCell ref="CA68:CA69"/>
    <mergeCell ref="CB68:CB69"/>
    <mergeCell ref="CC68:CC69"/>
    <mergeCell ref="BZ70:BZ71"/>
    <mergeCell ref="CA70:CA71"/>
    <mergeCell ref="CB70:CB71"/>
    <mergeCell ref="CC70:CC71"/>
    <mergeCell ref="BZ72:BZ73"/>
    <mergeCell ref="CA72:CA73"/>
    <mergeCell ref="CB72:CB73"/>
    <mergeCell ref="CC72:CC73"/>
    <mergeCell ref="BZ74:BZ75"/>
    <mergeCell ref="CA74:CA75"/>
    <mergeCell ref="CB74:CB75"/>
    <mergeCell ref="CC74:CC75"/>
  </mergeCells>
  <phoneticPr fontId="146" type="noConversion"/>
  <conditionalFormatting sqref="G18:Y77 AC18:AL77">
    <cfRule type="expression" dxfId="134" priority="12">
      <formula>AND(ISBLANK($C18)=FALSE,OR(ISBLANK(G18)=TRUE,G18=""))</formula>
    </cfRule>
  </conditionalFormatting>
  <conditionalFormatting sqref="R18:S77">
    <cfRule type="expression" dxfId="133" priority="9">
      <formula>IF($R18="",FALSE,IF($R18&lt;&gt;INDEX(STDLIGHTINEFCAT2W,MATCH($M18&amp;"_"&amp;INDEX(STDLIGHTINEFCAT2DROP,MATCH($G18,STDLIGHTMEASURES,0))&amp;"_"&amp;O18,STDLIGHTINEFCAT2NAME,0)),TRUE,FALSE))</formula>
    </cfRule>
  </conditionalFormatting>
  <conditionalFormatting sqref="AM18:AN77">
    <cfRule type="expression" dxfId="132" priority="1">
      <formula>AM18 &lt;&gt; INDEX(STDLIGHTINC,MATCH(G18,STDLIGHTLIST,0))</formula>
    </cfRule>
  </conditionalFormatting>
  <conditionalFormatting sqref="AR18:AU77">
    <cfRule type="expression" dxfId="131" priority="1875" stopIfTrue="1">
      <formula>ISNUMBER($AR18)=FALSE</formula>
    </cfRule>
    <cfRule type="expression" dxfId="130" priority="1876">
      <formula>$AR18 &lt;&gt; $BQ18</formula>
    </cfRule>
  </conditionalFormatting>
  <conditionalFormatting sqref="AS8:AW8">
    <cfRule type="expression" dxfId="129" priority="14">
      <formula>IF($AS$8=PROJSTATMEASURE,FALSE,TRUE)</formula>
    </cfRule>
  </conditionalFormatting>
  <dataValidations xWindow="1230" yWindow="588" count="13">
    <dataValidation type="whole" operator="greaterThan" allowBlank="1" showInputMessage="1" showErrorMessage="1" errorTitle="Invalid Entry" error="Value must be a whole number greater than zero." prompt="Enter the total number of lamps/fixtures." sqref="V18:W77" xr:uid="{1FF475AA-15BA-42EB-8D70-7EDC9A91ED82}">
      <formula1>0</formula1>
    </dataValidation>
    <dataValidation type="decimal" allowBlank="1" showInputMessage="1" showErrorMessage="1" prompt="This is the TOTAL Material Cost of the measure, NOT a per unit basis." sqref="AI18:AJ77" xr:uid="{721441BB-9CEA-4FE4-AC4F-8502F8B0AFA5}">
      <formula1>0</formula1>
      <formula2>999999</formula2>
    </dataValidation>
    <dataValidation type="decimal" allowBlank="1" showInputMessage="1" showErrorMessage="1" prompt="Enter efficient lamp/fixture wattage." sqref="T18:U77" xr:uid="{78724D64-C301-4641-B71C-AF6F5531C709}">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K18:AL77" xr:uid="{AE49EF8D-BBA8-4FEF-886C-A54ED9C72107}">
      <formula1>0</formula1>
      <formula2>999999</formula2>
    </dataValidation>
    <dataValidation type="decimal" showInputMessage="1" showErrorMessage="1" error="Please enter a numerical value within the designated range" prompt="Enter inefficient lamp/fixture wattage." sqref="R18:S77" xr:uid="{79625C82-5791-4AC0-B8E0-2182EF6D2477}">
      <formula1>INDEX(STDLIGHTBASEMIN,MATCH($G18,STDLIGHTMEASURES,0))</formula1>
      <formula2>INDEX(STDLIGHTBASEMAX,MATCH($G18,STDLIGHTMEASURES,0))</formula2>
    </dataValidation>
    <dataValidation type="list" allowBlank="1" showInputMessage="1" showErrorMessage="1" prompt="Select Inefficient Details." sqref="O18:Q77" xr:uid="{5B6CC55D-2CE7-4230-BFB3-8EFD1AFE1CC3}">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26FB9924-D78D-4F9B-8235-065C50EBF28C}">
      <formula1>IF(ISBLANK($O18),STDLIGHTINEFCAT1_LIST,"")</formula1>
    </dataValidation>
    <dataValidation allowBlank="1" showInputMessage="1" showErrorMessage="1" prompt="Install Location should describe the area where the equipment installed. (e.g. Room 201, Garage, Mechanical Room)" sqref="AG18:AH77" xr:uid="{F9997554-3747-4B3A-B2DD-9ED333F81F7E}"/>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6CCFECFC-C1F9-4B87-A512-B64DB3976B2E}">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BA91430-EE59-4AB0-BA35-B3DFBB8359CF}">
      <formula1>IF(ISBLANK(G18),STDLIGHTCATLIST,"")</formula1>
    </dataValidation>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E2BCAEB-088A-4A48-B9CC-12CD67D76131}"/>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60260897-BBEF-4830-B12B-525623A8D992}">
      <formula1>0</formula1>
      <formula2>IF(ISNUMBER(SEARCH("Exterior",C18)),4380,8760)</formula2>
    </dataValidation>
    <dataValidation type="list" allowBlank="1" showInputMessage="1" showErrorMessage="1" sqref="BC18:BC77" xr:uid="{AA858195-2198-4D19-89E2-9D3325CDB47C}">
      <formula1>ENDUSECAT</formula1>
    </dataValidation>
  </dataValidations>
  <hyperlinks>
    <hyperlink ref="B202" r:id="rId1" display="businessrebates@evergy.com" xr:uid="{41520282-35DF-425E-81BE-0D92F183C780}"/>
    <hyperlink ref="J1:M3" location="'M01-S02'!J1" tooltip="Instructions" display="'M01-S02'!J1" xr:uid="{C888402E-2FBB-4498-A723-EA985329BDBD}"/>
    <hyperlink ref="AP1:AS3" location="'M05-S05'!AL1" tooltip=" " display="'M05-S05'!AL1" xr:uid="{3C5F80DF-4CD9-4F24-881B-23225A533DD4}"/>
    <hyperlink ref="AL1:AO3" location="'M05-S04'!AH1" tooltip=" " display="'M05-S04'!AH1" xr:uid="{1653CD4E-2473-4C94-A481-28FC0C327FDA}"/>
    <hyperlink ref="AT1:AW3" location="'M01-S03'!AP1" tooltip="Contact" display="'M01-S03'!AP1" xr:uid="{AFBE73D7-ED9B-43FE-B654-88AD6B94B252}"/>
    <hyperlink ref="J9:M11" location="'M03-S02'!C18" tooltip="Lighting" display="'M03-S02'!C18" xr:uid="{E34A8358-8380-4F1F-B6AF-A6B3815723E5}"/>
    <hyperlink ref="N9:Q11" location="'M03-S03'!C18" tooltip="Lighting Controls" display="'M03-S03'!C18" xr:uid="{F85F558E-75E2-4FA4-B9D2-3EF2B5CAFE68}"/>
    <hyperlink ref="R9:U11" location="'M03-S04'!C18" tooltip="Refrigeration" display="'M03-S04'!C18" xr:uid="{F21E884F-CD57-40E1-9AD0-5BE67E0EBDD5}"/>
    <hyperlink ref="AD9:AG11" location="'M03-S06'!C18" tooltip="Compressed Air / Process" display="'M03-S06'!C18" xr:uid="{3BDDB504-899A-42FF-9C0A-E19AD49ED610}"/>
    <hyperlink ref="AH9:AK11" location="'M03-S07'!C18" tooltip="Water Heating / Cooking" display="'M03-S07'!C18" xr:uid="{12AF7FAE-B565-4F3A-930A-AC9CDDCBE2F9}"/>
    <hyperlink ref="Z9:AC11" location="'M03-S08'!C18" tooltip="Motors and Drives" display="'M03-S08'!C18" xr:uid="{E2927072-9AEE-4716-B376-EB516901B0AB}"/>
  </hyperlinks>
  <printOptions horizontalCentered="1"/>
  <pageMargins left="0" right="0" top="0" bottom="0" header="0" footer="0"/>
  <pageSetup scale="43"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tabColor theme="8" tint="0.59999389629810485"/>
    <pageSetUpPr fitToPage="1"/>
  </sheetPr>
  <dimension ref="A1:CW204"/>
  <sheetViews>
    <sheetView showGridLines="0" showRowColHeaders="0" zoomScale="85" zoomScaleNormal="85" workbookViewId="0">
      <selection activeCell="C18" sqref="C18:L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2"/>
      <c r="G5" s="372"/>
      <c r="H5" s="372"/>
      <c r="I5" s="372"/>
      <c r="AS5" s="663">
        <f ca="1">PROGRESSSTATUS</f>
        <v>0</v>
      </c>
      <c r="AT5" s="663"/>
      <c r="AU5" s="663"/>
      <c r="AV5" s="663"/>
      <c r="AW5" s="663"/>
      <c r="AY5" s="17"/>
      <c r="AZ5" s="108" t="s">
        <v>933</v>
      </c>
      <c r="BA5" s="108" t="s">
        <v>325</v>
      </c>
    </row>
    <row r="6" spans="1:81" ht="15.95" customHeight="1">
      <c r="A6" s="692"/>
      <c r="B6" s="692"/>
      <c r="C6" s="692"/>
      <c r="D6" s="692"/>
      <c r="E6" s="692"/>
      <c r="F6" s="372"/>
      <c r="G6" s="372"/>
      <c r="H6" s="372"/>
      <c r="I6" s="372"/>
      <c r="AS6" s="663"/>
      <c r="AT6" s="663"/>
      <c r="AU6" s="663"/>
      <c r="AV6" s="663"/>
      <c r="AW6" s="663"/>
      <c r="AY6" s="107" t="s">
        <v>938</v>
      </c>
      <c r="AZ6" s="106" t="str">
        <f>CBPRESE</f>
        <v>NA</v>
      </c>
      <c r="BA6" s="106" t="str">
        <f>PAYPRESE</f>
        <v>NA</v>
      </c>
    </row>
    <row r="7" spans="1:81" ht="15.95" customHeight="1">
      <c r="A7" s="662" t="s">
        <v>83</v>
      </c>
      <c r="B7" s="662"/>
      <c r="C7" s="662"/>
      <c r="D7" s="662"/>
      <c r="E7" s="662"/>
      <c r="F7" s="75"/>
      <c r="G7" s="75"/>
      <c r="H7" s="75"/>
      <c r="I7" s="75"/>
      <c r="AS7" s="662" t="s">
        <v>299</v>
      </c>
      <c r="AT7" s="662"/>
      <c r="AU7" s="662"/>
      <c r="AV7" s="662"/>
      <c r="AW7" s="662"/>
      <c r="AY7" s="107" t="s">
        <v>135</v>
      </c>
      <c r="AZ7" s="106" t="str">
        <f>CBCUSE</f>
        <v>NA</v>
      </c>
      <c r="BA7" s="106" t="str">
        <f>PAYCUSE</f>
        <v>NA</v>
      </c>
    </row>
    <row r="8" spans="1:81" ht="15.95" customHeight="1" thickBot="1">
      <c r="A8" s="665"/>
      <c r="B8" s="665"/>
      <c r="C8" s="665"/>
      <c r="D8" s="665"/>
      <c r="E8" s="665"/>
      <c r="F8" s="373"/>
      <c r="G8" s="373"/>
      <c r="H8" s="373"/>
      <c r="I8" s="75"/>
      <c r="AS8" s="661" t="str">
        <f ca="1">PROJSTATUS</f>
        <v>Enter Measures</v>
      </c>
      <c r="AT8" s="661"/>
      <c r="AU8" s="661"/>
      <c r="AV8" s="661"/>
      <c r="AW8" s="661"/>
      <c r="AY8" s="107" t="s">
        <v>596</v>
      </c>
      <c r="AZ8" s="106" t="str">
        <f>CBALL</f>
        <v>NA</v>
      </c>
      <c r="BA8" s="106" t="str">
        <f>PAYALL</f>
        <v>NA</v>
      </c>
    </row>
    <row r="9" spans="1:81" s="78" customFormat="1" ht="15.95" customHeight="1">
      <c r="B9" s="79"/>
      <c r="C9" s="79"/>
      <c r="D9" s="79"/>
      <c r="E9" s="79"/>
      <c r="F9" s="79"/>
      <c r="G9" s="79"/>
      <c r="H9" s="100"/>
      <c r="I9" s="100"/>
      <c r="J9" s="829" t="str">
        <f>M3S2</f>
        <v>Lighting</v>
      </c>
      <c r="K9" s="830"/>
      <c r="L9" s="830"/>
      <c r="M9" s="830"/>
      <c r="N9" s="842" t="str">
        <f>M3S3</f>
        <v>Lighting Controls</v>
      </c>
      <c r="O9" s="842"/>
      <c r="P9" s="842"/>
      <c r="Q9" s="842"/>
      <c r="R9" s="829" t="str">
        <f>M3S4</f>
        <v>Refrigeration</v>
      </c>
      <c r="S9" s="830"/>
      <c r="T9" s="830"/>
      <c r="U9" s="830"/>
      <c r="V9" s="834" t="str">
        <f>M3S5</f>
        <v>HVAC</v>
      </c>
      <c r="W9" s="834"/>
      <c r="X9" s="834"/>
      <c r="Y9" s="834"/>
      <c r="Z9" s="829" t="str">
        <f>M4S8</f>
        <v>Motors and Drives</v>
      </c>
      <c r="AA9" s="830"/>
      <c r="AB9" s="830"/>
      <c r="AC9" s="830"/>
      <c r="AD9" s="829" t="str">
        <f>M3S6</f>
        <v>Compressed Air / Process</v>
      </c>
      <c r="AE9" s="830"/>
      <c r="AF9" s="830"/>
      <c r="AG9" s="830"/>
      <c r="AH9" s="829" t="str">
        <f>M3S7</f>
        <v>Water Heating / Food Services</v>
      </c>
      <c r="AI9" s="830"/>
      <c r="AJ9" s="830"/>
      <c r="AK9" s="830"/>
      <c r="AL9" s="834" t="str">
        <f>M4S9</f>
        <v>Miscellaneous</v>
      </c>
      <c r="AM9" s="834"/>
      <c r="AN9" s="834"/>
      <c r="AO9" s="834"/>
      <c r="AP9" s="99"/>
      <c r="AQ9" s="99"/>
      <c r="AR9" s="99"/>
      <c r="AS9" s="99"/>
      <c r="AT9"/>
      <c r="AU9" s="99"/>
      <c r="AV9" s="99"/>
      <c r="BC9"/>
      <c r="BD9"/>
    </row>
    <row r="10" spans="1:81" s="78" customFormat="1" ht="15.95" customHeight="1">
      <c r="B10" s="79"/>
      <c r="C10" s="79"/>
      <c r="D10" s="79"/>
      <c r="E10" s="79"/>
      <c r="F10" s="79"/>
      <c r="G10" s="79"/>
      <c r="J10" s="831"/>
      <c r="K10" s="831"/>
      <c r="L10" s="831"/>
      <c r="M10" s="831"/>
      <c r="N10" s="843"/>
      <c r="O10" s="843"/>
      <c r="P10" s="843"/>
      <c r="Q10" s="843"/>
      <c r="R10" s="831"/>
      <c r="S10" s="831"/>
      <c r="T10" s="831"/>
      <c r="U10" s="831"/>
      <c r="V10" s="835"/>
      <c r="W10" s="835"/>
      <c r="X10" s="835"/>
      <c r="Y10" s="835"/>
      <c r="Z10" s="831"/>
      <c r="AA10" s="831"/>
      <c r="AB10" s="831"/>
      <c r="AC10" s="831"/>
      <c r="AD10" s="831"/>
      <c r="AE10" s="831"/>
      <c r="AF10" s="831"/>
      <c r="AG10" s="831"/>
      <c r="AH10" s="831"/>
      <c r="AI10" s="831"/>
      <c r="AJ10" s="831"/>
      <c r="AK10" s="831"/>
      <c r="AL10" s="835"/>
      <c r="AM10" s="835"/>
      <c r="AN10" s="835"/>
      <c r="AO10" s="835"/>
      <c r="AP10" s="79"/>
      <c r="AQ10" s="79"/>
      <c r="AR10" s="79"/>
      <c r="AS10" s="79"/>
      <c r="AT10"/>
      <c r="AU10" s="79"/>
      <c r="AV10" s="79"/>
      <c r="BC10"/>
      <c r="BD10"/>
    </row>
    <row r="11" spans="1:81" ht="15.95" customHeight="1">
      <c r="B11" s="96"/>
      <c r="C11" s="96"/>
      <c r="D11" s="96"/>
      <c r="E11" s="96"/>
      <c r="F11" s="96"/>
      <c r="G11" s="96"/>
      <c r="J11" s="831"/>
      <c r="K11" s="831"/>
      <c r="L11" s="831"/>
      <c r="M11" s="831"/>
      <c r="N11" s="843"/>
      <c r="O11" s="843"/>
      <c r="P11" s="843"/>
      <c r="Q11" s="843"/>
      <c r="R11" s="831"/>
      <c r="S11" s="831"/>
      <c r="T11" s="831"/>
      <c r="U11" s="831"/>
      <c r="V11" s="835"/>
      <c r="W11" s="835"/>
      <c r="X11" s="835"/>
      <c r="Y11" s="835"/>
      <c r="Z11" s="831"/>
      <c r="AA11" s="831"/>
      <c r="AB11" s="831"/>
      <c r="AC11" s="831"/>
      <c r="AD11" s="831"/>
      <c r="AE11" s="831"/>
      <c r="AF11" s="831"/>
      <c r="AG11" s="831"/>
      <c r="AH11" s="831"/>
      <c r="AI11" s="831"/>
      <c r="AJ11" s="831"/>
      <c r="AK11" s="831"/>
      <c r="AL11" s="835"/>
      <c r="AM11" s="835"/>
      <c r="AN11" s="835"/>
      <c r="AO11" s="835"/>
      <c r="AP11" s="96"/>
      <c r="AQ11" s="96"/>
      <c r="AR11" s="96"/>
      <c r="AS11" s="96"/>
      <c r="AU11" s="96"/>
      <c r="AV11" s="96"/>
    </row>
    <row r="12" spans="1:81" ht="15.95" customHeight="1">
      <c r="A12" s="76"/>
      <c r="B12" s="76"/>
      <c r="C12" s="76"/>
      <c r="D12" s="76"/>
      <c r="E12" s="76"/>
      <c r="F12" s="76"/>
      <c r="G12" s="76"/>
      <c r="T12" s="837">
        <f>SUM(AR18:AU199)</f>
        <v>0</v>
      </c>
      <c r="U12" s="837"/>
      <c r="V12" s="837"/>
      <c r="W12" s="837"/>
      <c r="X12" s="837">
        <f>SUM(BL18:BL199)</f>
        <v>0</v>
      </c>
      <c r="Y12" s="837"/>
      <c r="Z12" s="837"/>
      <c r="AA12" s="837"/>
      <c r="AB12" s="836">
        <f ca="1">SUMIF(AR18:AU199,"&gt;0",AO18:AQ199)</f>
        <v>0</v>
      </c>
      <c r="AC12" s="836"/>
      <c r="AD12" s="836"/>
      <c r="AE12" s="836"/>
    </row>
    <row r="13" spans="1:81" ht="15.95" customHeight="1">
      <c r="A13" s="76"/>
      <c r="B13" s="76"/>
      <c r="C13" s="76"/>
      <c r="D13" s="76"/>
      <c r="T13" s="837"/>
      <c r="U13" s="837"/>
      <c r="V13" s="837"/>
      <c r="W13" s="837"/>
      <c r="X13" s="837"/>
      <c r="Y13" s="837"/>
      <c r="Z13" s="837"/>
      <c r="AA13" s="837"/>
      <c r="AB13" s="836"/>
      <c r="AC13" s="836"/>
      <c r="AD13" s="836"/>
      <c r="AE13" s="836"/>
      <c r="AM13" s="839" t="str">
        <f>IF(IFERROR(MATCH("100% Total Cost", BI:BI,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L14" s="51" t="s">
        <v>3048</v>
      </c>
      <c r="BM14" s="51" t="s">
        <v>3048</v>
      </c>
      <c r="BN14" s="542" t="s">
        <v>2112</v>
      </c>
      <c r="BO14" s="542" t="s">
        <v>2112</v>
      </c>
      <c r="BV14" s="542" t="s">
        <v>2112</v>
      </c>
      <c r="BX14" s="542" t="s">
        <v>2112</v>
      </c>
    </row>
    <row r="15" spans="1:81" ht="15.95" customHeight="1"/>
    <row r="16" spans="1:81" ht="15.95" customHeight="1">
      <c r="C16" s="832" t="s">
        <v>870</v>
      </c>
      <c r="D16" s="832"/>
      <c r="E16" s="832"/>
      <c r="F16" s="832"/>
      <c r="G16" s="832"/>
      <c r="H16" s="832"/>
      <c r="I16" s="832"/>
      <c r="J16" s="832"/>
      <c r="K16" s="832"/>
      <c r="L16" s="832"/>
      <c r="M16" s="832" t="s">
        <v>880</v>
      </c>
      <c r="N16" s="832"/>
      <c r="O16" s="832" t="s">
        <v>74</v>
      </c>
      <c r="P16" s="832"/>
      <c r="Q16" s="832" t="s">
        <v>1189</v>
      </c>
      <c r="R16" s="832"/>
      <c r="S16" s="832"/>
      <c r="T16" s="832" t="s">
        <v>878</v>
      </c>
      <c r="U16" s="832"/>
      <c r="V16" s="832"/>
      <c r="W16" s="832"/>
      <c r="X16" s="832" t="s">
        <v>2170</v>
      </c>
      <c r="Y16" s="832"/>
      <c r="Z16" s="832"/>
      <c r="AA16" s="832"/>
      <c r="AB16" s="832" t="s">
        <v>2171</v>
      </c>
      <c r="AC16" s="832"/>
      <c r="AD16" s="832"/>
      <c r="AE16" s="832"/>
      <c r="AF16" s="832" t="s">
        <v>869</v>
      </c>
      <c r="AG16" s="832"/>
      <c r="AH16" s="832"/>
      <c r="AI16" s="860" t="s">
        <v>864</v>
      </c>
      <c r="AJ16" s="860"/>
      <c r="AK16" s="860"/>
      <c r="AL16" s="860"/>
      <c r="AM16" s="832" t="s">
        <v>1227</v>
      </c>
      <c r="AN16" s="832"/>
      <c r="AO16" s="832" t="s">
        <v>735</v>
      </c>
      <c r="AP16" s="832"/>
      <c r="AQ16" s="832"/>
      <c r="AR16" s="832" t="s">
        <v>83</v>
      </c>
      <c r="AS16" s="832"/>
      <c r="AT16" s="832"/>
      <c r="AU16" s="832"/>
      <c r="AX16" s="783" t="s">
        <v>743</v>
      </c>
      <c r="AY16" s="779" t="s">
        <v>1985</v>
      </c>
      <c r="AZ16" s="779" t="s">
        <v>942</v>
      </c>
      <c r="BA16" s="779" t="s">
        <v>635</v>
      </c>
      <c r="BB16" s="783" t="s">
        <v>875</v>
      </c>
      <c r="BC16" s="783" t="s">
        <v>924</v>
      </c>
      <c r="BD16" s="781" t="s">
        <v>1701</v>
      </c>
      <c r="BE16" s="828" t="s">
        <v>874</v>
      </c>
      <c r="BF16" s="828"/>
      <c r="BG16" s="779"/>
      <c r="BH16" s="828" t="s">
        <v>873</v>
      </c>
      <c r="BI16" s="828"/>
      <c r="BJ16" s="781" t="s">
        <v>88</v>
      </c>
      <c r="BK16" s="781" t="s">
        <v>1619</v>
      </c>
      <c r="BL16" s="783" t="s">
        <v>876</v>
      </c>
      <c r="BM16" s="781" t="s">
        <v>922</v>
      </c>
      <c r="BN16" s="779" t="s">
        <v>132</v>
      </c>
      <c r="BO16" s="779" t="s">
        <v>325</v>
      </c>
      <c r="BP16" s="781" t="s">
        <v>1833</v>
      </c>
      <c r="BQ16" s="783" t="s">
        <v>2107</v>
      </c>
      <c r="BR16" s="781"/>
      <c r="BS16" s="783"/>
      <c r="BT16" s="779"/>
      <c r="BU16" s="783" t="s">
        <v>925</v>
      </c>
      <c r="BV16" s="781" t="s">
        <v>691</v>
      </c>
      <c r="BW16" s="783" t="s">
        <v>85</v>
      </c>
      <c r="BX16" s="783" t="s">
        <v>840</v>
      </c>
      <c r="BY16" s="783" t="s">
        <v>309</v>
      </c>
      <c r="BZ16" s="894" t="s">
        <v>1396</v>
      </c>
      <c r="CA16" s="755"/>
      <c r="CB16" s="755"/>
      <c r="CC16" s="755"/>
    </row>
    <row r="17" spans="1:81" ht="15.95" customHeight="1" thickBot="1">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t="s">
        <v>862</v>
      </c>
      <c r="AJ17" s="833"/>
      <c r="AK17" s="833" t="s">
        <v>863</v>
      </c>
      <c r="AL17" s="833"/>
      <c r="AM17" s="833"/>
      <c r="AN17" s="833"/>
      <c r="AO17" s="833"/>
      <c r="AP17" s="833"/>
      <c r="AQ17" s="833"/>
      <c r="AR17" s="833"/>
      <c r="AS17" s="833"/>
      <c r="AT17" s="833"/>
      <c r="AU17" s="833"/>
      <c r="AX17" s="784"/>
      <c r="AY17" s="780"/>
      <c r="AZ17" s="780"/>
      <c r="BA17" s="780"/>
      <c r="BB17" s="784" t="s">
        <v>875</v>
      </c>
      <c r="BC17" s="784"/>
      <c r="BD17" s="782"/>
      <c r="BE17" s="97" t="s">
        <v>871</v>
      </c>
      <c r="BF17" s="97" t="s">
        <v>1084</v>
      </c>
      <c r="BG17" s="780"/>
      <c r="BH17" s="97" t="s">
        <v>871</v>
      </c>
      <c r="BI17" s="97" t="s">
        <v>872</v>
      </c>
      <c r="BJ17" s="782"/>
      <c r="BK17" s="782"/>
      <c r="BL17" s="784"/>
      <c r="BM17" s="782"/>
      <c r="BN17" s="780"/>
      <c r="BO17" s="780"/>
      <c r="BP17" s="782"/>
      <c r="BQ17" s="784"/>
      <c r="BR17" s="782"/>
      <c r="BS17" s="784"/>
      <c r="BT17" s="780"/>
      <c r="BU17" s="784"/>
      <c r="BV17" s="782"/>
      <c r="BW17" s="784"/>
      <c r="BX17" s="784"/>
      <c r="BY17" s="784"/>
      <c r="BZ17" s="895"/>
      <c r="CA17" s="756"/>
      <c r="CB17" s="756"/>
      <c r="CC17" s="756"/>
    </row>
    <row r="18" spans="1:81" ht="15.95" customHeight="1">
      <c r="B18" s="785">
        <v>1</v>
      </c>
      <c r="C18" s="873"/>
      <c r="D18" s="874"/>
      <c r="E18" s="874"/>
      <c r="F18" s="874"/>
      <c r="G18" s="874"/>
      <c r="H18" s="874"/>
      <c r="I18" s="874"/>
      <c r="J18" s="874"/>
      <c r="K18" s="874"/>
      <c r="L18" s="875"/>
      <c r="M18" s="896" t="str">
        <f>IFERROR(IF(C18="","",INDEX(STDLIGHTCONT[Current Unit],MATCH(C18,STDLIGHTCONT[Measure Name],0))),0)</f>
        <v/>
      </c>
      <c r="N18" s="897"/>
      <c r="O18" s="886"/>
      <c r="P18" s="886"/>
      <c r="Q18" s="882"/>
      <c r="R18" s="882"/>
      <c r="S18" s="882"/>
      <c r="T18" s="805"/>
      <c r="U18" s="805"/>
      <c r="V18" s="805"/>
      <c r="W18" s="805"/>
      <c r="X18" s="805"/>
      <c r="Y18" s="805"/>
      <c r="Z18" s="805"/>
      <c r="AA18" s="805"/>
      <c r="AB18" s="805"/>
      <c r="AC18" s="805"/>
      <c r="AD18" s="805"/>
      <c r="AE18" s="805"/>
      <c r="AF18" s="805"/>
      <c r="AG18" s="805"/>
      <c r="AH18" s="793"/>
      <c r="AI18" s="807"/>
      <c r="AJ18" s="808"/>
      <c r="AK18" s="808"/>
      <c r="AL18" s="811"/>
      <c r="AM18" s="813" t="str" cm="1">
        <f t="array" ref="AM18">IFERROR(IF(C18="","",INDEX(IF(AND(ACTIVEBONUS = TRUE,INDEX(STDLIGHTCONT[Bonus Incentive],MATCH(C18,STDLIGHTCONT[Measure Name],0))&lt;&gt; ""),STDLIGHTCONT[Bonus Incentive],_xlfn.SWITCH(Program_Banner,"Business Energy Savings",STDLIGHTCONT[BESP Incentive],"Small Business / Non-Profit",STDLIGHTCONT[SBNP Incentive],0)),MATCH(C18,STDLIGHTCONT[Measure Name],0))),"")</f>
        <v/>
      </c>
      <c r="AN18" s="814"/>
      <c r="AO18" s="817" t="str">
        <f>IFERROR(IF(OR(C18="",O18="",T18="",Q18="",AB18="",AF18="",AI18="",AK18=""),"",IF(BD18="Deemed",BH18,IF(BD18="Calculated",BE18,""))),"")</f>
        <v/>
      </c>
      <c r="AP18" s="817"/>
      <c r="AQ18" s="817"/>
      <c r="AR18" s="840" t="str">
        <f>IFERROR(IF(OR(C18="",O18="",T18="",Q18="",AB18="",AF18="",AI18="",AK18=""),"",IF(BY18&lt;&gt;"",BY18,IF(BP18&gt;0,BP18,ROUND(IF(AO18&lt;=0,0,MIN(BL18,BQ18)),2)))),"")</f>
        <v/>
      </c>
      <c r="AS18" s="840"/>
      <c r="AT18" s="840"/>
      <c r="AU18" s="840"/>
      <c r="AX18" s="773" t="str">
        <f>IFERROR(IF(OR(C18="",O18="",T18="",Q18="",AB18="",AF18="",AI18="",AK18=""),"",INDEX(STDLIGHTCONT[Current Unit],MATCH(C18,STDLIGHTCONT[Measure Name],0))),"Err")</f>
        <v/>
      </c>
      <c r="AY18" s="759" t="str">
        <f t="shared" ref="AY18" si="0">IF(O18="", "", O18)</f>
        <v/>
      </c>
      <c r="AZ18" s="759" t="str">
        <f t="shared" ref="AZ18" si="1">IF(O18="", "", O18)</f>
        <v/>
      </c>
      <c r="BA18" s="771"/>
      <c r="BB18" s="771"/>
      <c r="BC18" s="773" t="str">
        <f>IFERROR(IF(OR(C18="",O18="",T18="",Q18="",AB18="",AF18="",AI18="",AK18=""),"",INDEX(STDLIGHTCONT[End Use],MATCH(C18,STDLIGHTCONT[Measure Name],0))),"Err")</f>
        <v/>
      </c>
      <c r="BD18" s="757" t="str">
        <f>IFERROR(IF(OR(C18="",O18="",T18="",Q18="",AB18="",AF18="",AI18="",AK18=""),"",INDEX(STDLIGHTCONT[Reporting Methodology],MATCH(C18,STDLIGHTCONT[Measure Name],0))),"Err")</f>
        <v/>
      </c>
      <c r="BE18" s="775" t="str">
        <f>IFERROR(IF(ISNUMBER(SEARCH("Network",C18))=TRUE,
ROUND(((((Q18/O18)/1000)*0.47)*T18*O18),4),
IF(OR(M02S04F22="Unconditioned",M02S04F22="Electric Heat Only",M02S04F22="Natural Gas Heat Only"),ROUND((Q18/1000)*T18*O18*INDEX(STDLIGHTCONT[ESF],MATCH(C18,STDLIGHTCONT[Measure Name],0)),4),
ROUND((Q18/1000)*T18*O18*INDEX(STDLIGHTCONT[ESF],MATCH(C18,STDLIGHTCONT[Measure Name],0))*INDEX(BUILDINGTYPE[Waste Heat Factor (e)],MATCH(M02S04F19,BUILDINGTYPE[Building Type],0)),4))),"")</f>
        <v/>
      </c>
      <c r="BF18" s="775" t="str">
        <f>IFERROR(IF(OR(C18="",Q18="",T18="",O18="",AB18="",AF18="",AI18="",AK18=""),"",IF(ISNUMBER(SEARCH("Network",C18)),ROUND((Q18/O18)/1000*0.47*O18*INDEX(BUILDINGTYPE[Lighting Coincidence Factor],MATCH(M02S04F19,BUILDINGTYPE[Building Type],0)),4),
IF(OR(M02S04F22="Unconditioned",M02S04F22="Electric Heat Only",M02S04F22="Natural Gas Heat Only"),ROUND(Q18/1000*O18*(INDEX(BUILDINGTYPE[Lighting Coincidence Factor],MATCH(M02S04F19,BUILDINGTYPE[Building Type],0))-0.15),4),
ROUND(Q18/1000*O18*(INDEX(BUILDINGTYPE[Lighting Coincidence Factor],MATCH(M02S04F19,BUILDINGTYPE[Building Type],0))-0.15)*INDEX(BUILDINGTYPE[WHFd],MATCH(M02S04F19,BUILDINGTYPE[Building Type],0)),4)))),"")</f>
        <v/>
      </c>
      <c r="BG18" s="761"/>
      <c r="BH18" s="775" t="str" cm="1">
        <f t="array" ref="BH18">IF(OR(C18="",O18="",T18="",Q18="",AB18="",AF18="",AI18="",AK18=""),"",ROUND(O18*INDEX(_xlfn.SWITCH(Program_Banner,"Business Energy Savings",STDLIGHTCONT[Electric Energy Savings WBE (Annual kWh/unit)],"Small Business / Non-Profit",STDLIGHTCONT[Electric Energy Savings HTRB (Annual kWh/unit)],0),MATCH(C18,STDLIGHTCONT[Measure Name],0)),4))</f>
        <v/>
      </c>
      <c r="BI18" s="775" t="str" cm="1">
        <f t="array" ref="BI18">IF(OR(C18="",O18="",T18="",Q18="",AB18="",AF18="",AI18="",AK18=""),"",ROUND(O18*INDEX(_xlfn.SWITCH(Program_Banner,"Business Energy Savings",STDLIGHTCONT[Coincident Peak Demand Savings WBE (kW/unit)],"Small Business / Non-Profit",STDLIGHTCONT[Coincident Peak Demand Savings HTRB (kW/unit)],0),MATCH(C18,STDLIGHTCONT[Measure Name],0)),4))</f>
        <v/>
      </c>
      <c r="BJ18" s="777" t="str">
        <f>IFERROR(INDEX(STDLIGHTCONT[Measure Life (Years)],MATCH(C18,STDLIGHTCONT[Measure Name],0)),"")</f>
        <v/>
      </c>
      <c r="BK18" s="767" t="str">
        <f>IFERROR(IF(OR(C18="",O18="",T18="",Q18="",AB18="",AF18="",AI18="",AK18=""),"",
ROUND(((1+ELOSS)*((BE18*INDEX(ELECCB[NPV AEC $/kWh],MATCH(BJ18,ELECCB[Year Number],1)))+(BF18*INDEX(ELECCB[NPV ACC $/kW],MATCH(BJ18,ELECCB[Year Number],1))))),2)),0)</f>
        <v/>
      </c>
      <c r="BL18" s="767" t="str">
        <f t="shared" ref="BL18:BL36" si="2">IF(OR(AI18="", AK18=""), "", AI18+AK18)</f>
        <v/>
      </c>
      <c r="BM18" s="767" t="str">
        <f>IF(OR(C18="", O18=""), "", O18 * INDEX(STDLIGHTCONT[Incremental Measure Cost ($/Unit)],MATCH(C18,STDLIGHTCONT[Measure Name],0)))</f>
        <v/>
      </c>
      <c r="BN18" s="763" t="str">
        <f t="shared" ref="BN18:BN36" si="3">IFERROR( BK18 / IF(BM18 &lt;&gt; "", BM18, BL18), "")</f>
        <v/>
      </c>
      <c r="BO18" s="763" t="str">
        <f>IFERROR(IF(BM18 &lt;&gt; "", BM18, BL18) / M02S04F06 / AO18, "")</f>
        <v/>
      </c>
      <c r="BP18" s="770"/>
      <c r="BQ18" s="767" t="str">
        <f>IFERROR(ROUND(O18*AM18, 2), "")</f>
        <v/>
      </c>
      <c r="BR18" s="765"/>
      <c r="BS18" s="765"/>
      <c r="BT18" s="765"/>
      <c r="BU18" s="757" t="str">
        <f>IFERROR(IF(BP18="",IF(AR18 &lt; BQ18, "100% Total Cost", ""), ""), "")</f>
        <v/>
      </c>
      <c r="BV18" s="767" t="str">
        <f t="shared" ref="BV18:BV36" si="4">IF(OR(AO18="", AR18=""), "", AR18/AO18)</f>
        <v/>
      </c>
      <c r="BW18" s="757" t="str">
        <f>IFERROR(IF(OR(C18="",O18="",T18="",Q18="",AB18="",AF18="",AI18="",AK18=""),"", IF(BY18&lt;&gt;"", SPILLOVERNUMBER, INDEX(STDLIGHTCONT[Measure Number],MATCH(C18,STDLIGHTCONT[Measure Name],0)))),"Err")</f>
        <v/>
      </c>
      <c r="BX18" s="757" t="str" cm="1">
        <f t="array" ref="BX18">IFERROR(INDEX(_xlfn.SWITCH(Program_Banner,"Business Energy Savings",STDLIGHTCONT[Primary Key WBE],"Small Business / Non-Profit",STDLIGHTCONT[Primary Key HTRB],0),MATCH(BW18,STDLIGHTCONT[Measure Number],0)),"")</f>
        <v/>
      </c>
      <c r="BY18" s="757" t="str">
        <f>IFERROR(IF(OR(C18="",O18="",Q18="",T18="",AB18="",AF18="",AI18="",AK18=""),"",
IF(BP18&gt;0,"",
IF(EXPIRATION&lt;&gt;"",PROJSTATEXP,
IF(M02S04F19="",MEASUREBLDG,"")))),"")</f>
        <v/>
      </c>
      <c r="BZ18" s="893" t="str">
        <f>IFERROR(O18*INDEX(STDLIGHTCONT[Min Watts Controlled],MATCH(C18,STDLIGHTCONT[Measure Name],0)),"")</f>
        <v/>
      </c>
      <c r="CA18" s="753"/>
      <c r="CB18" s="753"/>
      <c r="CC18" s="753"/>
    </row>
    <row r="19" spans="1:81" ht="15.95" customHeight="1">
      <c r="B19" s="785"/>
      <c r="C19" s="793"/>
      <c r="D19" s="795"/>
      <c r="E19" s="795"/>
      <c r="F19" s="795"/>
      <c r="G19" s="795"/>
      <c r="H19" s="795"/>
      <c r="I19" s="795"/>
      <c r="J19" s="795"/>
      <c r="K19" s="795"/>
      <c r="L19" s="794"/>
      <c r="M19" s="883"/>
      <c r="N19" s="884"/>
      <c r="O19" s="885"/>
      <c r="P19" s="885"/>
      <c r="Q19" s="881"/>
      <c r="R19" s="881"/>
      <c r="S19" s="881"/>
      <c r="T19" s="806"/>
      <c r="U19" s="806"/>
      <c r="V19" s="806"/>
      <c r="W19" s="806"/>
      <c r="X19" s="806"/>
      <c r="Y19" s="806"/>
      <c r="Z19" s="806"/>
      <c r="AA19" s="806"/>
      <c r="AB19" s="806"/>
      <c r="AC19" s="806"/>
      <c r="AD19" s="806"/>
      <c r="AE19" s="806"/>
      <c r="AF19" s="806"/>
      <c r="AG19" s="806"/>
      <c r="AH19" s="786"/>
      <c r="AI19" s="809"/>
      <c r="AJ19" s="810"/>
      <c r="AK19" s="810"/>
      <c r="AL19" s="812"/>
      <c r="AM19" s="815"/>
      <c r="AN19" s="816"/>
      <c r="AO19" s="818"/>
      <c r="AP19" s="818"/>
      <c r="AQ19" s="818"/>
      <c r="AR19" s="841"/>
      <c r="AS19" s="841"/>
      <c r="AT19" s="841"/>
      <c r="AU19" s="841"/>
      <c r="AX19" s="774"/>
      <c r="AY19" s="760"/>
      <c r="AZ19" s="760"/>
      <c r="BA19" s="772"/>
      <c r="BB19" s="772"/>
      <c r="BC19" s="774"/>
      <c r="BD19" s="758"/>
      <c r="BE19" s="776"/>
      <c r="BF19" s="776"/>
      <c r="BG19" s="762"/>
      <c r="BH19" s="776"/>
      <c r="BI19" s="776"/>
      <c r="BJ19" s="778"/>
      <c r="BK19" s="768"/>
      <c r="BL19" s="768"/>
      <c r="BM19" s="768"/>
      <c r="BN19" s="764"/>
      <c r="BO19" s="764"/>
      <c r="BP19" s="879"/>
      <c r="BQ19" s="768"/>
      <c r="BR19" s="766"/>
      <c r="BS19" s="766"/>
      <c r="BT19" s="766"/>
      <c r="BU19" s="758"/>
      <c r="BV19" s="768"/>
      <c r="BW19" s="758"/>
      <c r="BX19" s="758"/>
      <c r="BY19" s="758"/>
      <c r="BZ19" s="880"/>
      <c r="CA19" s="754"/>
      <c r="CB19" s="754"/>
      <c r="CC19" s="754"/>
    </row>
    <row r="20" spans="1:81" ht="15.95" customHeight="1">
      <c r="A20" s="75"/>
      <c r="B20" s="785">
        <v>2</v>
      </c>
      <c r="C20" s="825"/>
      <c r="D20" s="826"/>
      <c r="E20" s="826"/>
      <c r="F20" s="826"/>
      <c r="G20" s="826"/>
      <c r="H20" s="826"/>
      <c r="I20" s="826"/>
      <c r="J20" s="826"/>
      <c r="K20" s="826"/>
      <c r="L20" s="827"/>
      <c r="M20" s="883" t="str">
        <f>IFERROR(IF(C20="","",INDEX(STDLIGHTCONT[Current Unit],MATCH(C20,STDLIGHTCONT[Measure Name],0))),0)</f>
        <v/>
      </c>
      <c r="N20" s="884"/>
      <c r="O20" s="885"/>
      <c r="P20" s="885"/>
      <c r="Q20" s="881"/>
      <c r="R20" s="881"/>
      <c r="S20" s="881"/>
      <c r="T20" s="806"/>
      <c r="U20" s="806"/>
      <c r="V20" s="806"/>
      <c r="W20" s="806"/>
      <c r="X20" s="805"/>
      <c r="Y20" s="805"/>
      <c r="Z20" s="805"/>
      <c r="AA20" s="805"/>
      <c r="AB20" s="805"/>
      <c r="AC20" s="805"/>
      <c r="AD20" s="805"/>
      <c r="AE20" s="805"/>
      <c r="AF20" s="806"/>
      <c r="AG20" s="806"/>
      <c r="AH20" s="786"/>
      <c r="AI20" s="807"/>
      <c r="AJ20" s="808"/>
      <c r="AK20" s="808"/>
      <c r="AL20" s="811"/>
      <c r="AM20" s="813" t="str" cm="1">
        <f t="array" ref="AM20">IFERROR(IF(C20="","",INDEX(IF(AND(ACTIVEBONUS = TRUE,INDEX(STDLIGHTCONT[Bonus Incentive],MATCH(C20,STDLIGHTCONT[Measure Name],0))&lt;&gt; ""),STDLIGHTCONT[Bonus Incentive],_xlfn.SWITCH(Program_Banner,"Business Energy Savings",STDLIGHTCONT[BESP Incentive],"Small Business / Non-Profit",STDLIGHTCONT[SBNP Incentive],0)),MATCH(C20,STDLIGHTCONT[Measure Name],0))),"")</f>
        <v/>
      </c>
      <c r="AN20" s="814"/>
      <c r="AO20" s="817" t="str">
        <f>IFERROR(IF(OR(C20="",O20="",T20="",Q20="",AB20="",AF20="",AI20="",AK20=""),"",IF(BD20="Deemed",BH20,IF(BD20="Calculated",BE20,""))),"")</f>
        <v/>
      </c>
      <c r="AP20" s="817"/>
      <c r="AQ20" s="817"/>
      <c r="AR20" s="819" t="str">
        <f>IFERROR(IF(OR(C20="",O20="",T20="",Q20="",AB20="",AF20="",AI20="",AK20=""),"",IF(BY20&lt;&gt;"",BY20,IF(BP20&gt;0,BP20,ROUND(IF(AO20&lt;=0,0,MIN(BL20,BQ20)),2)))),"")</f>
        <v/>
      </c>
      <c r="AS20" s="820"/>
      <c r="AT20" s="820"/>
      <c r="AU20" s="821"/>
      <c r="AX20" s="774" t="str">
        <f>IFERROR(IF(OR(C20="",O20="",T20="",Q20="",AB20="",AF20="",AI20="",AK20=""),"",INDEX(STDLIGHTCONT[Current Unit],MATCH(C20,STDLIGHTCONT[Measure Name],0))),"Err")</f>
        <v/>
      </c>
      <c r="AY20" s="759" t="str">
        <f t="shared" ref="AY20" si="5">IF(O20="", "", O20)</f>
        <v/>
      </c>
      <c r="AZ20" s="759" t="str">
        <f t="shared" ref="AZ20" si="6">IF(O20="", "", O20)</f>
        <v/>
      </c>
      <c r="BA20" s="772"/>
      <c r="BB20" s="772"/>
      <c r="BC20" s="774" t="str">
        <f>IFERROR(IF(OR(C20="",O20="",T20="",Q20="",AB20="",AF20="",AI20="",AK20=""),"",INDEX(STDLIGHTCONT[End Use],MATCH(C20,STDLIGHTCONT[Measure Name],0))),"Err")</f>
        <v/>
      </c>
      <c r="BD20" s="758" t="str">
        <f>IFERROR(IF(OR(C20="",O20="",T20="",Q20="",AB20="",AF20="",AI20="",AK20=""),"",INDEX(STDLIGHTCONT[Reporting Methodology],MATCH(C20,STDLIGHTCONT[Measure Name],0))),"Err")</f>
        <v/>
      </c>
      <c r="BE20" s="776" t="str">
        <f>IFERROR(IF(ISNUMBER(SEARCH("Network",C20))=TRUE,
ROUND(((((Q20/O20)/1000)*0.47)*T20*O20),4),
IF(OR(M02S04F22="Unconditioned",M02S04F22="Electric Heat Only",M02S04F22="Natural Gas Heat Only"),ROUND((Q20/1000)*T20*O20*INDEX(STDLIGHTCONT[ESF],MATCH(C20,STDLIGHTCONT[Measure Name],0)),4),
ROUND((Q20/1000)*T20*O20*INDEX(STDLIGHTCONT[ESF],MATCH(C20,STDLIGHTCONT[Measure Name],0))*INDEX(BUILDINGTYPE[Waste Heat Factor (e)],MATCH(M02S04F19,BUILDINGTYPE[Building Type],0)),4))),"")</f>
        <v/>
      </c>
      <c r="BF20" s="776" t="str">
        <f>IFERROR(IF(OR(C20="",Q20="",T20="",O20="",AB20="",AF20="",AI20="",AK20=""),"",IF(ISNUMBER(SEARCH("Network",C20)),ROUND((Q20/O20)/1000*0.47*O20*INDEX(BUILDINGTYPE[Lighting Coincidence Factor],MATCH(M02S04F19,BUILDINGTYPE[Building Type],0)),4),
IF(OR(M02S04F22="Unconditioned",M02S04F22="Electric Heat Only",M02S04F22="Natural Gas Heat Only"),ROUND(Q20/1000*O20*(INDEX(BUILDINGTYPE[Lighting Coincidence Factor],MATCH(M02S04F19,BUILDINGTYPE[Building Type],0))-0.15),4),
ROUND(Q20/1000*O20*(INDEX(BUILDINGTYPE[Lighting Coincidence Factor],MATCH(M02S04F19,BUILDINGTYPE[Building Type],0))-0.15)*INDEX(BUILDINGTYPE[WHFd],MATCH(M02S04F19,BUILDINGTYPE[Building Type],0)),4)))),"")</f>
        <v/>
      </c>
      <c r="BG20" s="761"/>
      <c r="BH20" s="775" t="str" cm="1">
        <f t="array" ref="BH20">IF(OR(C20="",O20="",T20="",Q20="",AB20="",AF20="",AI20="",AK20=""),"",ROUND(O20*INDEX(_xlfn.SWITCH(Program_Banner,"Business Energy Savings",STDLIGHTCONT[Electric Energy Savings WBE (Annual kWh/unit)],"Small Business / Non-Profit",STDLIGHTCONT[Electric Energy Savings HTRB (Annual kWh/unit)],0),MATCH(C20,STDLIGHTCONT[Measure Name],0)),4))</f>
        <v/>
      </c>
      <c r="BI20" s="775" t="str" cm="1">
        <f t="array" ref="BI20">IF(OR(C20="",O20="",T20="",Q20="",AB20="",AF20="",AI20="",AK20=""),"",ROUND(O20*INDEX(_xlfn.SWITCH(Program_Banner,"Business Energy Savings",STDLIGHTCONT[Coincident Peak Demand Savings WBE (kW/unit)],"Small Business / Non-Profit",STDLIGHTCONT[Coincident Peak Demand Savings HTRB (kW/unit)],0),MATCH(C20,STDLIGHTCONT[Measure Name],0)),4))</f>
        <v/>
      </c>
      <c r="BJ20" s="778" t="str">
        <f>IFERROR(INDEX(STDLIGHTCONT[Measure Life (Years)],MATCH(C20,STDLIGHTCONT[Measure Name],0)),"")</f>
        <v/>
      </c>
      <c r="BK20" s="768" t="str">
        <f>IFERROR(IF(OR(C20="",O20="",T20="",Q20="",AB20="",AF20="",AI20="",AK20=""),"",
ROUND(((1+ELOSS)*((BE20*INDEX(ELECCB[NPV AEC $/kWh],MATCH(BJ20,ELECCB[Year Number],1)))+(BF20*INDEX(ELECCB[NPV ACC $/kW],MATCH(BJ20,ELECCB[Year Number],1))))),2)),0)</f>
        <v/>
      </c>
      <c r="BL20" s="768" t="str">
        <f t="shared" si="2"/>
        <v/>
      </c>
      <c r="BM20" s="768" t="str">
        <f>IF(OR(C20="", O20=""), "", O20 * INDEX(STDLIGHTCONT[Incremental Measure Cost ($/Unit)],MATCH(C20,STDLIGHTCONT[Measure Name],0)))</f>
        <v/>
      </c>
      <c r="BN20" s="764" t="str">
        <f t="shared" si="3"/>
        <v/>
      </c>
      <c r="BO20" s="764" t="str">
        <f>IFERROR(IF(BM20 &lt;&gt; "", BM20, BL20) / M02S04F06 / AO20, "")</f>
        <v/>
      </c>
      <c r="BP20" s="879"/>
      <c r="BQ20" s="768" t="str">
        <f t="shared" ref="BQ20" si="7">IFERROR(ROUND(O20*AM20, 2), "")</f>
        <v/>
      </c>
      <c r="BR20" s="765"/>
      <c r="BS20" s="765"/>
      <c r="BT20" s="765"/>
      <c r="BU20" s="758" t="str">
        <f t="shared" ref="BU20" si="8">IFERROR(IF(BP20="",IF(AR20 &lt; BQ20, "100% Total Cost", ""), ""), "")</f>
        <v/>
      </c>
      <c r="BV20" s="767" t="str">
        <f t="shared" si="4"/>
        <v/>
      </c>
      <c r="BW20" s="758" t="str">
        <f>IFERROR(IF(OR(C20="",O20="",T20="",Q20="",AB20="",AF20="",AI20="",AK20=""),"", IF(BY20&lt;&gt;"", SPILLOVERNUMBER, INDEX(STDLIGHTCONT[Measure Number],MATCH(C20,STDLIGHTCONT[Measure Name],0)))),"Err")</f>
        <v/>
      </c>
      <c r="BX20" s="757" t="str" cm="1">
        <f t="array" ref="BX20">IFERROR(INDEX(_xlfn.SWITCH(Program_Banner,"Business Energy Savings",STDLIGHTCONT[Primary Key WBE],"Small Business / Non-Profit",STDLIGHTCONT[Primary Key HTRB],0),MATCH(BW20,STDLIGHTCONT[Measure Number],0)),"")</f>
        <v/>
      </c>
      <c r="BY20" s="758" t="str">
        <f>IFERROR(IF(OR(C20="",O20="",Q20="",T20="",AB20="",AF20="",AI20="",AK20=""),"",
IF(BP20&gt;0,"",
IF(EXPIRATION&lt;&gt;"",PROJSTATEXP,
IF(M02S04F19="",MEASUREBLDG,"")))),"")</f>
        <v/>
      </c>
      <c r="BZ20" s="880" t="str">
        <f>IFERROR(O20*INDEX(STDLIGHTCONT[Min Watts Controlled],MATCH(C20,STDLIGHTCONT[Measure Name],0)),"")</f>
        <v/>
      </c>
      <c r="CA20" s="754"/>
      <c r="CB20" s="754"/>
      <c r="CC20" s="754"/>
    </row>
    <row r="21" spans="1:81" ht="15.95" customHeight="1">
      <c r="B21" s="785"/>
      <c r="C21" s="793"/>
      <c r="D21" s="795"/>
      <c r="E21" s="795"/>
      <c r="F21" s="795"/>
      <c r="G21" s="795"/>
      <c r="H21" s="795"/>
      <c r="I21" s="795"/>
      <c r="J21" s="795"/>
      <c r="K21" s="795"/>
      <c r="L21" s="794"/>
      <c r="M21" s="883"/>
      <c r="N21" s="884"/>
      <c r="O21" s="885"/>
      <c r="P21" s="885"/>
      <c r="Q21" s="881"/>
      <c r="R21" s="881"/>
      <c r="S21" s="881"/>
      <c r="T21" s="806"/>
      <c r="U21" s="806"/>
      <c r="V21" s="806"/>
      <c r="W21" s="806"/>
      <c r="X21" s="806"/>
      <c r="Y21" s="806"/>
      <c r="Z21" s="806"/>
      <c r="AA21" s="806"/>
      <c r="AB21" s="806"/>
      <c r="AC21" s="806"/>
      <c r="AD21" s="806"/>
      <c r="AE21" s="806"/>
      <c r="AF21" s="806"/>
      <c r="AG21" s="806"/>
      <c r="AH21" s="786"/>
      <c r="AI21" s="809"/>
      <c r="AJ21" s="810"/>
      <c r="AK21" s="810"/>
      <c r="AL21" s="812"/>
      <c r="AM21" s="815"/>
      <c r="AN21" s="816"/>
      <c r="AO21" s="818"/>
      <c r="AP21" s="818"/>
      <c r="AQ21" s="818"/>
      <c r="AR21" s="822"/>
      <c r="AS21" s="823"/>
      <c r="AT21" s="823"/>
      <c r="AU21" s="824"/>
      <c r="AV21" s="17"/>
      <c r="AX21" s="774"/>
      <c r="AY21" s="760"/>
      <c r="AZ21" s="760"/>
      <c r="BA21" s="772"/>
      <c r="BB21" s="772"/>
      <c r="BC21" s="774"/>
      <c r="BD21" s="758"/>
      <c r="BE21" s="776"/>
      <c r="BF21" s="776"/>
      <c r="BG21" s="762"/>
      <c r="BH21" s="776"/>
      <c r="BI21" s="776"/>
      <c r="BJ21" s="778"/>
      <c r="BK21" s="768"/>
      <c r="BL21" s="768"/>
      <c r="BM21" s="768"/>
      <c r="BN21" s="764"/>
      <c r="BO21" s="764"/>
      <c r="BP21" s="879"/>
      <c r="BQ21" s="768"/>
      <c r="BR21" s="766"/>
      <c r="BS21" s="766"/>
      <c r="BT21" s="766"/>
      <c r="BU21" s="758"/>
      <c r="BV21" s="768"/>
      <c r="BW21" s="758"/>
      <c r="BX21" s="758"/>
      <c r="BY21" s="758"/>
      <c r="BZ21" s="880"/>
      <c r="CA21" s="754"/>
      <c r="CB21" s="754"/>
      <c r="CC21" s="754"/>
    </row>
    <row r="22" spans="1:81" ht="15.95" customHeight="1">
      <c r="A22" s="75"/>
      <c r="B22" s="785">
        <v>3</v>
      </c>
      <c r="C22" s="825"/>
      <c r="D22" s="826"/>
      <c r="E22" s="826"/>
      <c r="F22" s="826"/>
      <c r="G22" s="826"/>
      <c r="H22" s="826"/>
      <c r="I22" s="826"/>
      <c r="J22" s="826"/>
      <c r="K22" s="826"/>
      <c r="L22" s="827"/>
      <c r="M22" s="883" t="str">
        <f>IFERROR(IF(C22="","",INDEX(STDLIGHTCONT[Current Unit],MATCH(C22,STDLIGHTCONT[Measure Name],0))),0)</f>
        <v/>
      </c>
      <c r="N22" s="884"/>
      <c r="O22" s="885"/>
      <c r="P22" s="885"/>
      <c r="Q22" s="881"/>
      <c r="R22" s="881"/>
      <c r="S22" s="881"/>
      <c r="T22" s="806"/>
      <c r="U22" s="806"/>
      <c r="V22" s="806"/>
      <c r="W22" s="806"/>
      <c r="X22" s="806"/>
      <c r="Y22" s="806"/>
      <c r="Z22" s="806"/>
      <c r="AA22" s="806"/>
      <c r="AB22" s="806"/>
      <c r="AC22" s="806"/>
      <c r="AD22" s="806"/>
      <c r="AE22" s="806"/>
      <c r="AF22" s="806"/>
      <c r="AG22" s="806"/>
      <c r="AH22" s="786"/>
      <c r="AI22" s="807"/>
      <c r="AJ22" s="808"/>
      <c r="AK22" s="808"/>
      <c r="AL22" s="811"/>
      <c r="AM22" s="813" t="str" cm="1">
        <f t="array" ref="AM22">IFERROR(IF(C22="","",INDEX(IF(AND(ACTIVEBONUS = TRUE,INDEX(STDLIGHTCONT[Bonus Incentive],MATCH(C22,STDLIGHTCONT[Measure Name],0))&lt;&gt; ""),STDLIGHTCONT[Bonus Incentive],_xlfn.SWITCH(Program_Banner,"Business Energy Savings",STDLIGHTCONT[BESP Incentive],"Small Business / Non-Profit",STDLIGHTCONT[SBNP Incentive],0)),MATCH(C22,STDLIGHTCONT[Measure Name],0))),"")</f>
        <v/>
      </c>
      <c r="AN22" s="814"/>
      <c r="AO22" s="817" t="str">
        <f>IFERROR(IF(OR(C22="",O22="",T22="",Q22="",AB22="",AF22="",AI22="",AK22=""),"",IF(BD22="Deemed",BH22,IF(BD22="Calculated",BE22,""))),"")</f>
        <v/>
      </c>
      <c r="AP22" s="817"/>
      <c r="AQ22" s="817"/>
      <c r="AR22" s="819" t="str">
        <f>IFERROR(IF(OR(C22="",O22="",T22="",Q22="",AB22="",AF22="",AI22="",AK22=""),"",IF(BY22&lt;&gt;"",BY22,IF(BP22&gt;0,BP22,ROUND(IF(AO22&lt;=0,0,MIN(BL22,BQ22)),2)))),"")</f>
        <v/>
      </c>
      <c r="AS22" s="820"/>
      <c r="AT22" s="820"/>
      <c r="AU22" s="821"/>
      <c r="AV22" s="17"/>
      <c r="AX22" s="774" t="str">
        <f>IFERROR(IF(OR(C22="",O22="",T22="",Q22="",AB22="",AF22="",AI22="",AK22=""),"",INDEX(STDLIGHTCONT[Current Unit],MATCH(C22,STDLIGHTCONT[Measure Name],0))),"Err")</f>
        <v/>
      </c>
      <c r="AY22" s="759" t="str">
        <f t="shared" ref="AY22" si="9">IF(O22="", "", O22)</f>
        <v/>
      </c>
      <c r="AZ22" s="759" t="str">
        <f t="shared" ref="AZ22" si="10">IF(O22="", "", O22)</f>
        <v/>
      </c>
      <c r="BA22" s="772"/>
      <c r="BB22" s="772"/>
      <c r="BC22" s="774" t="str">
        <f>IFERROR(IF(OR(C22="",O22="",T22="",Q22="",AB22="",AF22="",AI22="",AK22=""),"",INDEX(STDLIGHTCONT[End Use],MATCH(C22,STDLIGHTCONT[Measure Name],0))),"Err")</f>
        <v/>
      </c>
      <c r="BD22" s="758" t="str">
        <f>IFERROR(IF(OR(C22="",O22="",T22="",Q22="",AB22="",AF22="",AI22="",AK22=""),"",INDEX(STDLIGHTCONT[Reporting Methodology],MATCH(C22,STDLIGHTCONT[Measure Name],0))),"Err")</f>
        <v/>
      </c>
      <c r="BE22" s="776" t="str">
        <f>IFERROR(IF(ISNUMBER(SEARCH("Network",C22))=TRUE,
ROUND(((((Q22/O22)/1000)*0.47)*T22*O22),4),
IF(OR(M02S04F22="Unconditioned",M02S04F22="Electric Heat Only",M02S04F22="Natural Gas Heat Only"),ROUND((Q22/1000)*T22*O22*INDEX(STDLIGHTCONT[ESF],MATCH(C22,STDLIGHTCONT[Measure Name],0)),4),
ROUND((Q22/1000)*T22*O22*INDEX(STDLIGHTCONT[ESF],MATCH(C22,STDLIGHTCONT[Measure Name],0))*INDEX(BUILDINGTYPE[Waste Heat Factor (e)],MATCH(M02S04F19,BUILDINGTYPE[Building Type],0)),4))),"")</f>
        <v/>
      </c>
      <c r="BF22" s="776" t="str">
        <f>IFERROR(IF(OR(C22="",Q22="",T22="",O22="",AB22="",AF22="",AI22="",AK22=""),"",IF(ISNUMBER(SEARCH("Network",C22)),ROUND((Q22/O22)/1000*0.47*O22*INDEX(BUILDINGTYPE[Lighting Coincidence Factor],MATCH(M02S04F19,BUILDINGTYPE[Building Type],0)),4),
IF(OR(M02S04F22="Unconditioned",M02S04F22="Electric Heat Only",M02S04F22="Natural Gas Heat Only"),ROUND(Q22/1000*O22*(INDEX(BUILDINGTYPE[Lighting Coincidence Factor],MATCH(M02S04F19,BUILDINGTYPE[Building Type],0))-0.15),4),
ROUND(Q22/1000*O22*(INDEX(BUILDINGTYPE[Lighting Coincidence Factor],MATCH(M02S04F19,BUILDINGTYPE[Building Type],0))-0.15)*INDEX(BUILDINGTYPE[WHFd],MATCH(M02S04F19,BUILDINGTYPE[Building Type],0)),4)))),"")</f>
        <v/>
      </c>
      <c r="BG22" s="761"/>
      <c r="BH22" s="775" t="str" cm="1">
        <f t="array" ref="BH22">IF(OR(C22="",O22="",T22="",Q22="",AB22="",AF22="",AI22="",AK22=""),"",ROUND(O22*INDEX(_xlfn.SWITCH(Program_Banner,"Business Energy Savings",STDLIGHTCONT[Electric Energy Savings WBE (Annual kWh/unit)],"Small Business / Non-Profit",STDLIGHTCONT[Electric Energy Savings HTRB (Annual kWh/unit)],0),MATCH(C22,STDLIGHTCONT[Measure Name],0)),4))</f>
        <v/>
      </c>
      <c r="BI22" s="775" t="str" cm="1">
        <f t="array" ref="BI22">IF(OR(C22="",O22="",T22="",Q22="",AB22="",AF22="",AI22="",AK22=""),"",ROUND(O22*INDEX(_xlfn.SWITCH(Program_Banner,"Business Energy Savings",STDLIGHTCONT[Coincident Peak Demand Savings WBE (kW/unit)],"Small Business / Non-Profit",STDLIGHTCONT[Coincident Peak Demand Savings HTRB (kW/unit)],0),MATCH(C22,STDLIGHTCONT[Measure Name],0)),4))</f>
        <v/>
      </c>
      <c r="BJ22" s="778" t="str">
        <f>IFERROR(INDEX(STDLIGHTCONT[Measure Life (Years)],MATCH(C22,STDLIGHTCONT[Measure Name],0)),"")</f>
        <v/>
      </c>
      <c r="BK22" s="768" t="str">
        <f>IFERROR(IF(OR(C22="",O22="",T22="",Q22="",AB22="",AF22="",AI22="",AK22=""),"",
ROUND(((1+ELOSS)*((BE22*INDEX(ELECCB[NPV AEC $/kWh],MATCH(BJ22,ELECCB[Year Number],1)))+(BF22*INDEX(ELECCB[NPV ACC $/kW],MATCH(BJ22,ELECCB[Year Number],1))))),2)),0)</f>
        <v/>
      </c>
      <c r="BL22" s="768" t="str">
        <f t="shared" si="2"/>
        <v/>
      </c>
      <c r="BM22" s="768" t="str">
        <f>IF(OR(C22="", O22=""), "", O22 * INDEX(STDLIGHTCONT[Incremental Measure Cost ($/Unit)],MATCH(C22,STDLIGHTCONT[Measure Name],0)))</f>
        <v/>
      </c>
      <c r="BN22" s="764" t="str">
        <f t="shared" si="3"/>
        <v/>
      </c>
      <c r="BO22" s="764" t="str">
        <f>IFERROR(IF(BM22 &lt;&gt; "", BM22, BL22) / M02S04F06 / AO22, "")</f>
        <v/>
      </c>
      <c r="BP22" s="879"/>
      <c r="BQ22" s="768" t="str">
        <f t="shared" ref="BQ22" si="11">IFERROR(ROUND(O22*AM22, 2), "")</f>
        <v/>
      </c>
      <c r="BR22" s="765"/>
      <c r="BS22" s="765"/>
      <c r="BT22" s="765"/>
      <c r="BU22" s="758" t="str">
        <f t="shared" ref="BU22" si="12">IFERROR(IF(BP22="",IF(AR22 &lt; BQ22, "100% Total Cost", ""), ""), "")</f>
        <v/>
      </c>
      <c r="BV22" s="767" t="str">
        <f t="shared" si="4"/>
        <v/>
      </c>
      <c r="BW22" s="758" t="str">
        <f>IFERROR(IF(OR(C22="",O22="",T22="",Q22="",AB22="",AF22="",AI22="",AK22=""),"", IF(BY22&lt;&gt;"", SPILLOVERNUMBER, INDEX(STDLIGHTCONT[Measure Number],MATCH(C22,STDLIGHTCONT[Measure Name],0)))),"Err")</f>
        <v/>
      </c>
      <c r="BX22" s="757" t="str" cm="1">
        <f t="array" ref="BX22">IFERROR(INDEX(_xlfn.SWITCH(Program_Banner,"Business Energy Savings",STDLIGHTCONT[Primary Key WBE],"Small Business / Non-Profit",STDLIGHTCONT[Primary Key HTRB],0),MATCH(BW22,STDLIGHTCONT[Measure Number],0)),"")</f>
        <v/>
      </c>
      <c r="BY22" s="758" t="str">
        <f>IFERROR(IF(OR(C22="",O22="",Q22="",T22="",AB22="",AF22="",AI22="",AK22=""),"",
IF(BP22&gt;0,"",
IF(EXPIRATION&lt;&gt;"",PROJSTATEXP,
IF(M02S04F19="",MEASUREBLDG,"")))),"")</f>
        <v/>
      </c>
      <c r="BZ22" s="880" t="str">
        <f>IFERROR(O22*INDEX(STDLIGHTCONT[Min Watts Controlled],MATCH(C22,STDLIGHTCONT[Measure Name],0)),"")</f>
        <v/>
      </c>
      <c r="CA22" s="754"/>
      <c r="CB22" s="754"/>
      <c r="CC22" s="754"/>
    </row>
    <row r="23" spans="1:81" ht="15.95" customHeight="1">
      <c r="B23" s="785"/>
      <c r="C23" s="793"/>
      <c r="D23" s="795"/>
      <c r="E23" s="795"/>
      <c r="F23" s="795"/>
      <c r="G23" s="795"/>
      <c r="H23" s="795"/>
      <c r="I23" s="795"/>
      <c r="J23" s="795"/>
      <c r="K23" s="795"/>
      <c r="L23" s="794"/>
      <c r="M23" s="883"/>
      <c r="N23" s="884"/>
      <c r="O23" s="885"/>
      <c r="P23" s="885"/>
      <c r="Q23" s="881"/>
      <c r="R23" s="881"/>
      <c r="S23" s="881"/>
      <c r="T23" s="806"/>
      <c r="U23" s="806"/>
      <c r="V23" s="806"/>
      <c r="W23" s="806"/>
      <c r="X23" s="806"/>
      <c r="Y23" s="806"/>
      <c r="Z23" s="806"/>
      <c r="AA23" s="806"/>
      <c r="AB23" s="806"/>
      <c r="AC23" s="806"/>
      <c r="AD23" s="806"/>
      <c r="AE23" s="806"/>
      <c r="AF23" s="806"/>
      <c r="AG23" s="806"/>
      <c r="AH23" s="786"/>
      <c r="AI23" s="809"/>
      <c r="AJ23" s="810"/>
      <c r="AK23" s="810"/>
      <c r="AL23" s="812"/>
      <c r="AM23" s="815"/>
      <c r="AN23" s="816"/>
      <c r="AO23" s="818"/>
      <c r="AP23" s="818"/>
      <c r="AQ23" s="818"/>
      <c r="AR23" s="822"/>
      <c r="AS23" s="823"/>
      <c r="AT23" s="823"/>
      <c r="AU23" s="824"/>
      <c r="AV23" s="17"/>
      <c r="AX23" s="774"/>
      <c r="AY23" s="760"/>
      <c r="AZ23" s="760"/>
      <c r="BA23" s="772"/>
      <c r="BB23" s="772"/>
      <c r="BC23" s="774"/>
      <c r="BD23" s="758"/>
      <c r="BE23" s="776"/>
      <c r="BF23" s="776"/>
      <c r="BG23" s="762"/>
      <c r="BH23" s="776"/>
      <c r="BI23" s="776"/>
      <c r="BJ23" s="778"/>
      <c r="BK23" s="768"/>
      <c r="BL23" s="768"/>
      <c r="BM23" s="768"/>
      <c r="BN23" s="764"/>
      <c r="BO23" s="764"/>
      <c r="BP23" s="879"/>
      <c r="BQ23" s="768"/>
      <c r="BR23" s="766"/>
      <c r="BS23" s="766"/>
      <c r="BT23" s="766"/>
      <c r="BU23" s="758"/>
      <c r="BV23" s="768"/>
      <c r="BW23" s="758"/>
      <c r="BX23" s="758"/>
      <c r="BY23" s="758"/>
      <c r="BZ23" s="880"/>
      <c r="CA23" s="754"/>
      <c r="CB23" s="754"/>
      <c r="CC23" s="754"/>
    </row>
    <row r="24" spans="1:81" ht="15.95" customHeight="1">
      <c r="B24" s="785">
        <v>4</v>
      </c>
      <c r="C24" s="825"/>
      <c r="D24" s="826"/>
      <c r="E24" s="826"/>
      <c r="F24" s="826"/>
      <c r="G24" s="826"/>
      <c r="H24" s="826"/>
      <c r="I24" s="826"/>
      <c r="J24" s="826"/>
      <c r="K24" s="826"/>
      <c r="L24" s="827"/>
      <c r="M24" s="883" t="str">
        <f>IFERROR(IF(C24="","",INDEX(STDLIGHTCONT[Current Unit],MATCH(C24,STDLIGHTCONT[Measure Name],0))),0)</f>
        <v/>
      </c>
      <c r="N24" s="884"/>
      <c r="O24" s="885"/>
      <c r="P24" s="885"/>
      <c r="Q24" s="881"/>
      <c r="R24" s="881"/>
      <c r="S24" s="881"/>
      <c r="T24" s="806"/>
      <c r="U24" s="806"/>
      <c r="V24" s="806"/>
      <c r="W24" s="806"/>
      <c r="X24" s="806"/>
      <c r="Y24" s="806"/>
      <c r="Z24" s="806"/>
      <c r="AA24" s="806"/>
      <c r="AB24" s="806"/>
      <c r="AC24" s="806"/>
      <c r="AD24" s="806"/>
      <c r="AE24" s="806"/>
      <c r="AF24" s="806"/>
      <c r="AG24" s="806"/>
      <c r="AH24" s="786"/>
      <c r="AI24" s="809"/>
      <c r="AJ24" s="810"/>
      <c r="AK24" s="810"/>
      <c r="AL24" s="812"/>
      <c r="AM24" s="813" t="str" cm="1">
        <f t="array" ref="AM24">IFERROR(IF(C24="","",INDEX(IF(AND(ACTIVEBONUS = TRUE,INDEX(STDLIGHTCONT[Bonus Incentive],MATCH(C24,STDLIGHTCONT[Measure Name],0))&lt;&gt; ""),STDLIGHTCONT[Bonus Incentive],_xlfn.SWITCH(Program_Banner,"Business Energy Savings",STDLIGHTCONT[BESP Incentive],"Small Business / Non-Profit",STDLIGHTCONT[SBNP Incentive],0)),MATCH(C24,STDLIGHTCONT[Measure Name],0))),"")</f>
        <v/>
      </c>
      <c r="AN24" s="814"/>
      <c r="AO24" s="817" t="str">
        <f>IFERROR(IF(OR(C24="",O24="",T24="",Q24="",AB24="",AF24="",AI24="",AK24=""),"",IF(BD24="Deemed",BH24,IF(BD24="Calculated",BE24,""))),"")</f>
        <v/>
      </c>
      <c r="AP24" s="817"/>
      <c r="AQ24" s="817"/>
      <c r="AR24" s="819" t="str">
        <f>IFERROR(IF(OR(C24="",O24="",T24="",Q24="",AB24="",AF24="",AI24="",AK24=""),"",IF(BY24&lt;&gt;"",BY24,IF(BP24&gt;0,BP24,ROUND(IF(AO24&lt;=0,0,MIN(BL24,BQ24)),2)))),"")</f>
        <v/>
      </c>
      <c r="AS24" s="820"/>
      <c r="AT24" s="820"/>
      <c r="AU24" s="821"/>
      <c r="AV24" s="17"/>
      <c r="AX24" s="774" t="str">
        <f>IFERROR(IF(OR(C24="",O24="",T24="",Q24="",AB24="",AF24="",AI24="",AK24=""),"",INDEX(STDLIGHTCONT[Current Unit],MATCH(C24,STDLIGHTCONT[Measure Name],0))),"Err")</f>
        <v/>
      </c>
      <c r="AY24" s="759" t="str">
        <f t="shared" ref="AY24" si="13">IF(O24="", "", O24)</f>
        <v/>
      </c>
      <c r="AZ24" s="759" t="str">
        <f t="shared" ref="AZ24" si="14">IF(O24="", "", O24)</f>
        <v/>
      </c>
      <c r="BA24" s="772"/>
      <c r="BB24" s="772"/>
      <c r="BC24" s="774" t="str">
        <f>IFERROR(IF(OR(C24="",O24="",T24="",Q24="",AB24="",AF24="",AI24="",AK24=""),"",INDEX(STDLIGHTCONT[End Use],MATCH(C24,STDLIGHTCONT[Measure Name],0))),"Err")</f>
        <v/>
      </c>
      <c r="BD24" s="758" t="str">
        <f>IFERROR(IF(OR(C24="",O24="",T24="",Q24="",AB24="",AF24="",AI24="",AK24=""),"",INDEX(STDLIGHTCONT[Reporting Methodology],MATCH(C24,STDLIGHTCONT[Measure Name],0))),"Err")</f>
        <v/>
      </c>
      <c r="BE24" s="776" t="str">
        <f>IFERROR(IF(ISNUMBER(SEARCH("Network",C24))=TRUE,
ROUND(((((Q24/O24)/1000)*0.47)*T24*O24),4),
IF(OR(M02S04F22="Unconditioned",M02S04F22="Electric Heat Only",M02S04F22="Natural Gas Heat Only"),ROUND((Q24/1000)*T24*O24*INDEX(STDLIGHTCONT[ESF],MATCH(C24,STDLIGHTCONT[Measure Name],0)),4),
ROUND((Q24/1000)*T24*O24*INDEX(STDLIGHTCONT[ESF],MATCH(C24,STDLIGHTCONT[Measure Name],0))*INDEX(BUILDINGTYPE[Waste Heat Factor (e)],MATCH(M02S04F19,BUILDINGTYPE[Building Type],0)),4))),"")</f>
        <v/>
      </c>
      <c r="BF24" s="776" t="str">
        <f>IFERROR(IF(OR(C24="",Q24="",T24="",O24="",AB24="",AF24="",AI24="",AK24=""),"",IF(ISNUMBER(SEARCH("Network",C24)),ROUND((Q24/O24)/1000*0.47*O24*INDEX(BUILDINGTYPE[Lighting Coincidence Factor],MATCH(M02S04F19,BUILDINGTYPE[Building Type],0)),4),
IF(OR(M02S04F22="Unconditioned",M02S04F22="Electric Heat Only",M02S04F22="Natural Gas Heat Only"),ROUND(Q24/1000*O24*(INDEX(BUILDINGTYPE[Lighting Coincidence Factor],MATCH(M02S04F19,BUILDINGTYPE[Building Type],0))-0.15),4),
ROUND(Q24/1000*O24*(INDEX(BUILDINGTYPE[Lighting Coincidence Factor],MATCH(M02S04F19,BUILDINGTYPE[Building Type],0))-0.15)*INDEX(BUILDINGTYPE[WHFd],MATCH(M02S04F19,BUILDINGTYPE[Building Type],0)),4)))),"")</f>
        <v/>
      </c>
      <c r="BG24" s="761"/>
      <c r="BH24" s="775" t="str" cm="1">
        <f t="array" ref="BH24">IF(OR(C24="",O24="",T24="",Q24="",AB24="",AF24="",AI24="",AK24=""),"",ROUND(O24*INDEX(_xlfn.SWITCH(Program_Banner,"Business Energy Savings",STDLIGHTCONT[Electric Energy Savings WBE (Annual kWh/unit)],"Small Business / Non-Profit",STDLIGHTCONT[Electric Energy Savings HTRB (Annual kWh/unit)],0),MATCH(C24,STDLIGHTCONT[Measure Name],0)),4))</f>
        <v/>
      </c>
      <c r="BI24" s="775" t="str" cm="1">
        <f t="array" ref="BI24">IF(OR(C24="",O24="",T24="",Q24="",AB24="",AF24="",AI24="",AK24=""),"",ROUND(O24*INDEX(_xlfn.SWITCH(Program_Banner,"Business Energy Savings",STDLIGHTCONT[Coincident Peak Demand Savings WBE (kW/unit)],"Small Business / Non-Profit",STDLIGHTCONT[Coincident Peak Demand Savings HTRB (kW/unit)],0),MATCH(C24,STDLIGHTCONT[Measure Name],0)),4))</f>
        <v/>
      </c>
      <c r="BJ24" s="778" t="str">
        <f>IFERROR(INDEX(STDLIGHTCONT[Measure Life (Years)],MATCH(C24,STDLIGHTCONT[Measure Name],0)),"")</f>
        <v/>
      </c>
      <c r="BK24" s="768" t="str">
        <f>IFERROR(IF(OR(C24="",O24="",T24="",Q24="",AB24="",AF24="",AI24="",AK24=""),"",
ROUND(((1+ELOSS)*((BE24*INDEX(ELECCB[NPV AEC $/kWh],MATCH(BJ24,ELECCB[Year Number],1)))+(BF24*INDEX(ELECCB[NPV ACC $/kW],MATCH(BJ24,ELECCB[Year Number],1))))),2)),0)</f>
        <v/>
      </c>
      <c r="BL24" s="768" t="str">
        <f t="shared" si="2"/>
        <v/>
      </c>
      <c r="BM24" s="768" t="str">
        <f>IF(OR(C24="", O24=""), "", O24 * INDEX(STDLIGHTCONT[Incremental Measure Cost ($/Unit)],MATCH(C24,STDLIGHTCONT[Measure Name],0)))</f>
        <v/>
      </c>
      <c r="BN24" s="764" t="str">
        <f t="shared" si="3"/>
        <v/>
      </c>
      <c r="BO24" s="764" t="str">
        <f>IFERROR(IF(BM24 &lt;&gt; "", BM24, BL24) / M02S04F06 / AO24, "")</f>
        <v/>
      </c>
      <c r="BP24" s="879"/>
      <c r="BQ24" s="768" t="str">
        <f t="shared" ref="BQ24" si="15">IFERROR(ROUND(O24*AM24, 2), "")</f>
        <v/>
      </c>
      <c r="BR24" s="765"/>
      <c r="BS24" s="765"/>
      <c r="BT24" s="765"/>
      <c r="BU24" s="758" t="str">
        <f t="shared" ref="BU24" si="16">IFERROR(IF(BP24="",IF(AR24 &lt; BQ24, "100% Total Cost", ""), ""), "")</f>
        <v/>
      </c>
      <c r="BV24" s="767" t="str">
        <f t="shared" si="4"/>
        <v/>
      </c>
      <c r="BW24" s="758" t="str">
        <f>IFERROR(IF(OR(C24="",O24="",T24="",Q24="",AB24="",AF24="",AI24="",AK24=""),"", IF(BY24&lt;&gt;"", SPILLOVERNUMBER, INDEX(STDLIGHTCONT[Measure Number],MATCH(C24,STDLIGHTCONT[Measure Name],0)))),"Err")</f>
        <v/>
      </c>
      <c r="BX24" s="757" t="str" cm="1">
        <f t="array" ref="BX24">IFERROR(INDEX(_xlfn.SWITCH(Program_Banner,"Business Energy Savings",STDLIGHTCONT[Primary Key WBE],"Small Business / Non-Profit",STDLIGHTCONT[Primary Key HTRB],0),MATCH(BW24,STDLIGHTCONT[Measure Number],0)),"")</f>
        <v/>
      </c>
      <c r="BY24" s="758" t="str">
        <f>IFERROR(IF(OR(C24="",O24="",Q24="",T24="",AB24="",AF24="",AI24="",AK24=""),"",
IF(BP24&gt;0,"",
IF(EXPIRATION&lt;&gt;"",PROJSTATEXP,
IF(M02S04F19="",MEASUREBLDG,"")))),"")</f>
        <v/>
      </c>
      <c r="BZ24" s="880" t="str">
        <f>IFERROR(O24*INDEX(STDLIGHTCONT[Min Watts Controlled],MATCH(C24,STDLIGHTCONT[Measure Name],0)),"")</f>
        <v/>
      </c>
      <c r="CA24" s="754"/>
      <c r="CB24" s="754"/>
      <c r="CC24" s="754"/>
    </row>
    <row r="25" spans="1:81" ht="15.95" customHeight="1">
      <c r="A25" s="75"/>
      <c r="B25" s="785"/>
      <c r="C25" s="793"/>
      <c r="D25" s="795"/>
      <c r="E25" s="795"/>
      <c r="F25" s="795"/>
      <c r="G25" s="795"/>
      <c r="H25" s="795"/>
      <c r="I25" s="795"/>
      <c r="J25" s="795"/>
      <c r="K25" s="795"/>
      <c r="L25" s="794"/>
      <c r="M25" s="883"/>
      <c r="N25" s="884"/>
      <c r="O25" s="885"/>
      <c r="P25" s="885"/>
      <c r="Q25" s="881"/>
      <c r="R25" s="881"/>
      <c r="S25" s="881"/>
      <c r="T25" s="806"/>
      <c r="U25" s="806"/>
      <c r="V25" s="806"/>
      <c r="W25" s="806"/>
      <c r="X25" s="806"/>
      <c r="Y25" s="806"/>
      <c r="Z25" s="806"/>
      <c r="AA25" s="806"/>
      <c r="AB25" s="806"/>
      <c r="AC25" s="806"/>
      <c r="AD25" s="806"/>
      <c r="AE25" s="806"/>
      <c r="AF25" s="806"/>
      <c r="AG25" s="806"/>
      <c r="AH25" s="786"/>
      <c r="AI25" s="809"/>
      <c r="AJ25" s="810"/>
      <c r="AK25" s="810"/>
      <c r="AL25" s="812"/>
      <c r="AM25" s="815"/>
      <c r="AN25" s="816"/>
      <c r="AO25" s="818"/>
      <c r="AP25" s="818"/>
      <c r="AQ25" s="818"/>
      <c r="AR25" s="822"/>
      <c r="AS25" s="823"/>
      <c r="AT25" s="823"/>
      <c r="AU25" s="824"/>
      <c r="AV25" s="17"/>
      <c r="AX25" s="774"/>
      <c r="AY25" s="760"/>
      <c r="AZ25" s="760"/>
      <c r="BA25" s="772"/>
      <c r="BB25" s="772"/>
      <c r="BC25" s="774"/>
      <c r="BD25" s="758"/>
      <c r="BE25" s="776"/>
      <c r="BF25" s="776"/>
      <c r="BG25" s="762"/>
      <c r="BH25" s="776"/>
      <c r="BI25" s="776"/>
      <c r="BJ25" s="778"/>
      <c r="BK25" s="768"/>
      <c r="BL25" s="768"/>
      <c r="BM25" s="768"/>
      <c r="BN25" s="764"/>
      <c r="BO25" s="764"/>
      <c r="BP25" s="879"/>
      <c r="BQ25" s="768"/>
      <c r="BR25" s="766"/>
      <c r="BS25" s="766"/>
      <c r="BT25" s="766"/>
      <c r="BU25" s="758"/>
      <c r="BV25" s="768"/>
      <c r="BW25" s="758"/>
      <c r="BX25" s="758"/>
      <c r="BY25" s="758"/>
      <c r="BZ25" s="880"/>
      <c r="CA25" s="754"/>
      <c r="CB25" s="754"/>
      <c r="CC25" s="754"/>
    </row>
    <row r="26" spans="1:81" ht="15.95" customHeight="1">
      <c r="B26" s="785">
        <v>5</v>
      </c>
      <c r="C26" s="825"/>
      <c r="D26" s="826"/>
      <c r="E26" s="826"/>
      <c r="F26" s="826"/>
      <c r="G26" s="826"/>
      <c r="H26" s="826"/>
      <c r="I26" s="826"/>
      <c r="J26" s="826"/>
      <c r="K26" s="826"/>
      <c r="L26" s="827"/>
      <c r="M26" s="883" t="str">
        <f>IFERROR(IF(C26="","",INDEX(STDLIGHTCONT[Current Unit],MATCH(C26,STDLIGHTCONT[Measure Name],0))),0)</f>
        <v/>
      </c>
      <c r="N26" s="884"/>
      <c r="O26" s="885"/>
      <c r="P26" s="885"/>
      <c r="Q26" s="881"/>
      <c r="R26" s="881"/>
      <c r="S26" s="881"/>
      <c r="T26" s="806"/>
      <c r="U26" s="806"/>
      <c r="V26" s="806"/>
      <c r="W26" s="806"/>
      <c r="X26" s="806"/>
      <c r="Y26" s="806"/>
      <c r="Z26" s="806"/>
      <c r="AA26" s="806"/>
      <c r="AB26" s="806"/>
      <c r="AC26" s="806"/>
      <c r="AD26" s="806"/>
      <c r="AE26" s="806"/>
      <c r="AF26" s="806"/>
      <c r="AG26" s="806"/>
      <c r="AH26" s="786"/>
      <c r="AI26" s="809"/>
      <c r="AJ26" s="810"/>
      <c r="AK26" s="810"/>
      <c r="AL26" s="812"/>
      <c r="AM26" s="813" t="str" cm="1">
        <f t="array" ref="AM26">IFERROR(IF(C26="","",INDEX(IF(AND(ACTIVEBONUS = TRUE,INDEX(STDLIGHTCONT[Bonus Incentive],MATCH(C26,STDLIGHTCONT[Measure Name],0))&lt;&gt; ""),STDLIGHTCONT[Bonus Incentive],_xlfn.SWITCH(Program_Banner,"Business Energy Savings",STDLIGHTCONT[BESP Incentive],"Small Business / Non-Profit",STDLIGHTCONT[SBNP Incentive],0)),MATCH(C26,STDLIGHTCONT[Measure Name],0))),"")</f>
        <v/>
      </c>
      <c r="AN26" s="814"/>
      <c r="AO26" s="817" t="str">
        <f>IFERROR(IF(OR(C26="",O26="",T26="",Q26="",AB26="",AF26="",AI26="",AK26=""),"",IF(BD26="Deemed",BH26,IF(BD26="Calculated",BE26,""))),"")</f>
        <v/>
      </c>
      <c r="AP26" s="817"/>
      <c r="AQ26" s="817"/>
      <c r="AR26" s="819" t="str">
        <f>IFERROR(IF(OR(C26="",O26="",T26="",Q26="",AB26="",AF26="",AI26="",AK26=""),"",IF(BY26&lt;&gt;"",BY26,IF(BP26&gt;0,BP26,ROUND(IF(AO26&lt;=0,0,MIN(BL26,BQ26)),2)))),"")</f>
        <v/>
      </c>
      <c r="AS26" s="820"/>
      <c r="AT26" s="820"/>
      <c r="AU26" s="821"/>
      <c r="AV26" s="17"/>
      <c r="AX26" s="774" t="str">
        <f>IFERROR(IF(OR(C26="",O26="",T26="",Q26="",AB26="",AF26="",AI26="",AK26=""),"",INDEX(STDLIGHTCONT[Current Unit],MATCH(C26,STDLIGHTCONT[Measure Name],0))),"Err")</f>
        <v/>
      </c>
      <c r="AY26" s="759" t="str">
        <f t="shared" ref="AY26" si="17">IF(O26="", "", O26)</f>
        <v/>
      </c>
      <c r="AZ26" s="759" t="str">
        <f t="shared" ref="AZ26" si="18">IF(O26="", "", O26)</f>
        <v/>
      </c>
      <c r="BA26" s="772"/>
      <c r="BB26" s="772"/>
      <c r="BC26" s="774" t="str">
        <f>IFERROR(IF(OR(C26="",O26="",T26="",Q26="",AB26="",AF26="",AI26="",AK26=""),"",INDEX(STDLIGHTCONT[End Use],MATCH(C26,STDLIGHTCONT[Measure Name],0))),"Err")</f>
        <v/>
      </c>
      <c r="BD26" s="758" t="str">
        <f>IFERROR(IF(OR(C26="",O26="",T26="",Q26="",AB26="",AF26="",AI26="",AK26=""),"",INDEX(STDLIGHTCONT[Reporting Methodology],MATCH(C26,STDLIGHTCONT[Measure Name],0))),"Err")</f>
        <v/>
      </c>
      <c r="BE26" s="776" t="str">
        <f>IFERROR(IF(ISNUMBER(SEARCH("Network",C26))=TRUE,
ROUND(((((Q26/O26)/1000)*0.47)*T26*O26),4),
IF(OR(M02S04F22="Unconditioned",M02S04F22="Electric Heat Only",M02S04F22="Natural Gas Heat Only"),ROUND((Q26/1000)*T26*O26*INDEX(STDLIGHTCONT[ESF],MATCH(C26,STDLIGHTCONT[Measure Name],0)),4),
ROUND((Q26/1000)*T26*O26*INDEX(STDLIGHTCONT[ESF],MATCH(C26,STDLIGHTCONT[Measure Name],0))*INDEX(BUILDINGTYPE[Waste Heat Factor (e)],MATCH(M02S04F19,BUILDINGTYPE[Building Type],0)),4))),"")</f>
        <v/>
      </c>
      <c r="BF26" s="776" t="str">
        <f>IFERROR(IF(OR(C26="",Q26="",T26="",O26="",AB26="",AF26="",AI26="",AK26=""),"",IF(ISNUMBER(SEARCH("Network",C26)),ROUND((Q26/O26)/1000*0.47*O26*INDEX(BUILDINGTYPE[Lighting Coincidence Factor],MATCH(M02S04F19,BUILDINGTYPE[Building Type],0)),4),
IF(OR(M02S04F22="Unconditioned",M02S04F22="Electric Heat Only",M02S04F22="Natural Gas Heat Only"),ROUND(Q26/1000*O26*(INDEX(BUILDINGTYPE[Lighting Coincidence Factor],MATCH(M02S04F19,BUILDINGTYPE[Building Type],0))-0.15),4),
ROUND(Q26/1000*O26*(INDEX(BUILDINGTYPE[Lighting Coincidence Factor],MATCH(M02S04F19,BUILDINGTYPE[Building Type],0))-0.15)*INDEX(BUILDINGTYPE[WHFd],MATCH(M02S04F19,BUILDINGTYPE[Building Type],0)),4)))),"")</f>
        <v/>
      </c>
      <c r="BG26" s="761"/>
      <c r="BH26" s="775" t="str" cm="1">
        <f t="array" ref="BH26">IF(OR(C26="",O26="",T26="",Q26="",AB26="",AF26="",AI26="",AK26=""),"",ROUND(O26*INDEX(_xlfn.SWITCH(Program_Banner,"Business Energy Savings",STDLIGHTCONT[Electric Energy Savings WBE (Annual kWh/unit)],"Small Business / Non-Profit",STDLIGHTCONT[Electric Energy Savings HTRB (Annual kWh/unit)],0),MATCH(C26,STDLIGHTCONT[Measure Name],0)),4))</f>
        <v/>
      </c>
      <c r="BI26" s="775" t="str" cm="1">
        <f t="array" ref="BI26">IF(OR(C26="",O26="",T26="",Q26="",AB26="",AF26="",AI26="",AK26=""),"",ROUND(O26*INDEX(_xlfn.SWITCH(Program_Banner,"Business Energy Savings",STDLIGHTCONT[Coincident Peak Demand Savings WBE (kW/unit)],"Small Business / Non-Profit",STDLIGHTCONT[Coincident Peak Demand Savings HTRB (kW/unit)],0),MATCH(C26,STDLIGHTCONT[Measure Name],0)),4))</f>
        <v/>
      </c>
      <c r="BJ26" s="778" t="str">
        <f>IFERROR(INDEX(STDLIGHTCONT[Measure Life (Years)],MATCH(C26,STDLIGHTCONT[Measure Name],0)),"")</f>
        <v/>
      </c>
      <c r="BK26" s="768" t="str">
        <f>IFERROR(IF(OR(C26="",O26="",T26="",Q26="",AB26="",AF26="",AI26="",AK26=""),"",
ROUND(((1+ELOSS)*((BE26*INDEX(ELECCB[NPV AEC $/kWh],MATCH(BJ26,ELECCB[Year Number],1)))+(BF26*INDEX(ELECCB[NPV ACC $/kW],MATCH(BJ26,ELECCB[Year Number],1))))),2)),0)</f>
        <v/>
      </c>
      <c r="BL26" s="768" t="str">
        <f t="shared" si="2"/>
        <v/>
      </c>
      <c r="BM26" s="768" t="str">
        <f>IF(OR(C26="", O26=""), "", O26 * INDEX(STDLIGHTCONT[Incremental Measure Cost ($/Unit)],MATCH(C26,STDLIGHTCONT[Measure Name],0)))</f>
        <v/>
      </c>
      <c r="BN26" s="764" t="str">
        <f t="shared" si="3"/>
        <v/>
      </c>
      <c r="BO26" s="764" t="str">
        <f>IFERROR(IF(BM26 &lt;&gt; "", BM26, BL26) / M02S04F06 / AO26, "")</f>
        <v/>
      </c>
      <c r="BP26" s="879"/>
      <c r="BQ26" s="768" t="str">
        <f t="shared" ref="BQ26" si="19">IFERROR(ROUND(O26*AM26, 2), "")</f>
        <v/>
      </c>
      <c r="BR26" s="765"/>
      <c r="BS26" s="765"/>
      <c r="BT26" s="765"/>
      <c r="BU26" s="758" t="str">
        <f t="shared" ref="BU26" si="20">IFERROR(IF(BP26="",IF(AR26 &lt; BQ26, "100% Total Cost", ""), ""), "")</f>
        <v/>
      </c>
      <c r="BV26" s="767" t="str">
        <f t="shared" si="4"/>
        <v/>
      </c>
      <c r="BW26" s="758" t="str">
        <f>IFERROR(IF(OR(C26="",O26="",T26="",Q26="",AB26="",AF26="",AI26="",AK26=""),"", IF(BY26&lt;&gt;"", SPILLOVERNUMBER, INDEX(STDLIGHTCONT[Measure Number],MATCH(C26,STDLIGHTCONT[Measure Name],0)))),"Err")</f>
        <v/>
      </c>
      <c r="BX26" s="757" t="str" cm="1">
        <f t="array" ref="BX26">IFERROR(INDEX(_xlfn.SWITCH(Program_Banner,"Business Energy Savings",STDLIGHTCONT[Primary Key WBE],"Small Business / Non-Profit",STDLIGHTCONT[Primary Key HTRB],0),MATCH(BW26,STDLIGHTCONT[Measure Number],0)),"")</f>
        <v/>
      </c>
      <c r="BY26" s="758" t="str">
        <f>IFERROR(IF(OR(C26="",O26="",Q26="",T26="",AB26="",AF26="",AI26="",AK26=""),"",
IF(BP26&gt;0,"",
IF(EXPIRATION&lt;&gt;"",PROJSTATEXP,
IF(M02S04F19="",MEASUREBLDG,"")))),"")</f>
        <v/>
      </c>
      <c r="BZ26" s="880" t="str">
        <f>IFERROR(O26*INDEX(STDLIGHTCONT[Min Watts Controlled],MATCH(C26,STDLIGHTCONT[Measure Name],0)),"")</f>
        <v/>
      </c>
      <c r="CA26" s="754"/>
      <c r="CB26" s="754"/>
      <c r="CC26" s="754"/>
    </row>
    <row r="27" spans="1:81" ht="15.95" customHeight="1">
      <c r="B27" s="785"/>
      <c r="C27" s="793"/>
      <c r="D27" s="795"/>
      <c r="E27" s="795"/>
      <c r="F27" s="795"/>
      <c r="G27" s="795"/>
      <c r="H27" s="795"/>
      <c r="I27" s="795"/>
      <c r="J27" s="795"/>
      <c r="K27" s="795"/>
      <c r="L27" s="794"/>
      <c r="M27" s="883"/>
      <c r="N27" s="884"/>
      <c r="O27" s="885"/>
      <c r="P27" s="885"/>
      <c r="Q27" s="881"/>
      <c r="R27" s="881"/>
      <c r="S27" s="881"/>
      <c r="T27" s="806"/>
      <c r="U27" s="806"/>
      <c r="V27" s="806"/>
      <c r="W27" s="806"/>
      <c r="X27" s="806"/>
      <c r="Y27" s="806"/>
      <c r="Z27" s="806"/>
      <c r="AA27" s="806"/>
      <c r="AB27" s="806"/>
      <c r="AC27" s="806"/>
      <c r="AD27" s="806"/>
      <c r="AE27" s="806"/>
      <c r="AF27" s="806"/>
      <c r="AG27" s="806"/>
      <c r="AH27" s="786"/>
      <c r="AI27" s="809"/>
      <c r="AJ27" s="810"/>
      <c r="AK27" s="810"/>
      <c r="AL27" s="812"/>
      <c r="AM27" s="815"/>
      <c r="AN27" s="816"/>
      <c r="AO27" s="818"/>
      <c r="AP27" s="818"/>
      <c r="AQ27" s="818"/>
      <c r="AR27" s="822"/>
      <c r="AS27" s="823"/>
      <c r="AT27" s="823"/>
      <c r="AU27" s="824"/>
      <c r="AV27" s="17"/>
      <c r="AX27" s="774"/>
      <c r="AY27" s="760"/>
      <c r="AZ27" s="760"/>
      <c r="BA27" s="772"/>
      <c r="BB27" s="772"/>
      <c r="BC27" s="774"/>
      <c r="BD27" s="758"/>
      <c r="BE27" s="776"/>
      <c r="BF27" s="776"/>
      <c r="BG27" s="762"/>
      <c r="BH27" s="776"/>
      <c r="BI27" s="776"/>
      <c r="BJ27" s="778"/>
      <c r="BK27" s="768"/>
      <c r="BL27" s="768"/>
      <c r="BM27" s="768"/>
      <c r="BN27" s="764"/>
      <c r="BO27" s="764"/>
      <c r="BP27" s="879"/>
      <c r="BQ27" s="768"/>
      <c r="BR27" s="766"/>
      <c r="BS27" s="766"/>
      <c r="BT27" s="766"/>
      <c r="BU27" s="758"/>
      <c r="BV27" s="768"/>
      <c r="BW27" s="758"/>
      <c r="BX27" s="758"/>
      <c r="BY27" s="758"/>
      <c r="BZ27" s="880"/>
      <c r="CA27" s="754"/>
      <c r="CB27" s="754"/>
      <c r="CC27" s="754"/>
    </row>
    <row r="28" spans="1:81" ht="15.95" customHeight="1">
      <c r="B28" s="785">
        <v>6</v>
      </c>
      <c r="C28" s="825"/>
      <c r="D28" s="826"/>
      <c r="E28" s="826"/>
      <c r="F28" s="826"/>
      <c r="G28" s="826"/>
      <c r="H28" s="826"/>
      <c r="I28" s="826"/>
      <c r="J28" s="826"/>
      <c r="K28" s="826"/>
      <c r="L28" s="827"/>
      <c r="M28" s="883" t="str">
        <f>IFERROR(IF(C28="","",INDEX(STDLIGHTCONT[Current Unit],MATCH(C28,STDLIGHTCONT[Measure Name],0))),0)</f>
        <v/>
      </c>
      <c r="N28" s="884"/>
      <c r="O28" s="885"/>
      <c r="P28" s="885"/>
      <c r="Q28" s="887"/>
      <c r="R28" s="888"/>
      <c r="S28" s="889"/>
      <c r="T28" s="806"/>
      <c r="U28" s="806"/>
      <c r="V28" s="806"/>
      <c r="W28" s="806"/>
      <c r="X28" s="806"/>
      <c r="Y28" s="806"/>
      <c r="Z28" s="806"/>
      <c r="AA28" s="806"/>
      <c r="AB28" s="806"/>
      <c r="AC28" s="806"/>
      <c r="AD28" s="806"/>
      <c r="AE28" s="806"/>
      <c r="AF28" s="806"/>
      <c r="AG28" s="806"/>
      <c r="AH28" s="786"/>
      <c r="AI28" s="809"/>
      <c r="AJ28" s="810"/>
      <c r="AK28" s="810"/>
      <c r="AL28" s="812"/>
      <c r="AM28" s="813" t="str" cm="1">
        <f t="array" ref="AM28">IFERROR(IF(C28="","",INDEX(IF(AND(ACTIVEBONUS = TRUE,INDEX(STDLIGHTCONT[Bonus Incentive],MATCH(C28,STDLIGHTCONT[Measure Name],0))&lt;&gt; ""),STDLIGHTCONT[Bonus Incentive],_xlfn.SWITCH(Program_Banner,"Business Energy Savings",STDLIGHTCONT[BESP Incentive],"Small Business / Non-Profit",STDLIGHTCONT[SBNP Incentive],0)),MATCH(C28,STDLIGHTCONT[Measure Name],0))),"")</f>
        <v/>
      </c>
      <c r="AN28" s="814"/>
      <c r="AO28" s="817" t="str">
        <f>IFERROR(IF(OR(C28="",O28="",T28="",Q28="",AB28="",AF28="",AI28="",AK28=""),"",IF(BD28="Deemed",BH28,IF(BD28="Calculated",BE28,""))),"")</f>
        <v/>
      </c>
      <c r="AP28" s="817"/>
      <c r="AQ28" s="817"/>
      <c r="AR28" s="819" t="str">
        <f>IFERROR(IF(OR(C28="",O28="",T28="",Q28="",AB28="",AF28="",AI28="",AK28=""),"",IF(BY28&lt;&gt;"",BY28,IF(BP28&gt;0,BP28,ROUND(IF(AO28&lt;=0,0,MIN(BL28,BQ28)),2)))),"")</f>
        <v/>
      </c>
      <c r="AS28" s="820"/>
      <c r="AT28" s="820"/>
      <c r="AU28" s="821"/>
      <c r="AV28" s="17"/>
      <c r="AX28" s="774" t="str">
        <f>IFERROR(IF(OR(C28="",O28="",T28="",Q28="",AB28="",AF28="",AI28="",AK28=""),"",INDEX(STDLIGHTCONT[Current Unit],MATCH(C28,STDLIGHTCONT[Measure Name],0))),"Err")</f>
        <v/>
      </c>
      <c r="AY28" s="759" t="str">
        <f t="shared" ref="AY28" si="21">IF(O28="", "", O28)</f>
        <v/>
      </c>
      <c r="AZ28" s="759" t="str">
        <f t="shared" ref="AZ28" si="22">IF(O28="", "", O28)</f>
        <v/>
      </c>
      <c r="BA28" s="772"/>
      <c r="BB28" s="772"/>
      <c r="BC28" s="774" t="str">
        <f>IFERROR(IF(OR(C28="",O28="",T28="",Q28="",AB28="",AF28="",AI28="",AK28=""),"",INDEX(STDLIGHTCONT[End Use],MATCH(C28,STDLIGHTCONT[Measure Name],0))),"Err")</f>
        <v/>
      </c>
      <c r="BD28" s="758" t="str">
        <f>IFERROR(IF(OR(C28="",O28="",T28="",Q28="",AB28="",AF28="",AI28="",AK28=""),"",INDEX(STDLIGHTCONT[Reporting Methodology],MATCH(C28,STDLIGHTCONT[Measure Name],0))),"Err")</f>
        <v/>
      </c>
      <c r="BE28" s="776" t="str">
        <f>IFERROR(IF(ISNUMBER(SEARCH("Network",C28))=TRUE,
ROUND(((((Q28/O28)/1000)*0.47)*T28*O28),4),
IF(OR(M02S04F22="Unconditioned",M02S04F22="Electric Heat Only",M02S04F22="Natural Gas Heat Only"),ROUND((Q28/1000)*T28*O28*INDEX(STDLIGHTCONT[ESF],MATCH(C28,STDLIGHTCONT[Measure Name],0)),4),
ROUND((Q28/1000)*T28*O28*INDEX(STDLIGHTCONT[ESF],MATCH(C28,STDLIGHTCONT[Measure Name],0))*INDEX(BUILDINGTYPE[Waste Heat Factor (e)],MATCH(M02S04F19,BUILDINGTYPE[Building Type],0)),4))),"")</f>
        <v/>
      </c>
      <c r="BF28" s="776" t="str">
        <f>IFERROR(IF(OR(C28="",Q28="",T28="",O28="",AB28="",AF28="",AI28="",AK28=""),"",IF(ISNUMBER(SEARCH("Network",C28)),ROUND((Q28/O28)/1000*0.47*O28*INDEX(BUILDINGTYPE[Lighting Coincidence Factor],MATCH(M02S04F19,BUILDINGTYPE[Building Type],0)),4),
IF(OR(M02S04F22="Unconditioned",M02S04F22="Electric Heat Only",M02S04F22="Natural Gas Heat Only"),ROUND(Q28/1000*O28*(INDEX(BUILDINGTYPE[Lighting Coincidence Factor],MATCH(M02S04F19,BUILDINGTYPE[Building Type],0))-0.15),4),
ROUND(Q28/1000*O28*(INDEX(BUILDINGTYPE[Lighting Coincidence Factor],MATCH(M02S04F19,BUILDINGTYPE[Building Type],0))-0.15)*INDEX(BUILDINGTYPE[WHFd],MATCH(M02S04F19,BUILDINGTYPE[Building Type],0)),4)))),"")</f>
        <v/>
      </c>
      <c r="BG28" s="761"/>
      <c r="BH28" s="775" t="str" cm="1">
        <f t="array" ref="BH28">IF(OR(C28="",O28="",T28="",Q28="",AB28="",AF28="",AI28="",AK28=""),"",ROUND(O28*INDEX(_xlfn.SWITCH(Program_Banner,"Business Energy Savings",STDLIGHTCONT[Electric Energy Savings WBE (Annual kWh/unit)],"Small Business / Non-Profit",STDLIGHTCONT[Electric Energy Savings HTRB (Annual kWh/unit)],0),MATCH(C28,STDLIGHTCONT[Measure Name],0)),4))</f>
        <v/>
      </c>
      <c r="BI28" s="775" t="str" cm="1">
        <f t="array" ref="BI28">IF(OR(C28="",O28="",T28="",Q28="",AB28="",AF28="",AI28="",AK28=""),"",ROUND(O28*INDEX(_xlfn.SWITCH(Program_Banner,"Business Energy Savings",STDLIGHTCONT[Coincident Peak Demand Savings WBE (kW/unit)],"Small Business / Non-Profit",STDLIGHTCONT[Coincident Peak Demand Savings HTRB (kW/unit)],0),MATCH(C28,STDLIGHTCONT[Measure Name],0)),4))</f>
        <v/>
      </c>
      <c r="BJ28" s="778" t="str">
        <f>IFERROR(INDEX(STDLIGHTCONT[Measure Life (Years)],MATCH(C28,STDLIGHTCONT[Measure Name],0)),"")</f>
        <v/>
      </c>
      <c r="BK28" s="768" t="str">
        <f>IFERROR(IF(OR(C28="",O28="",T28="",Q28="",AB28="",AF28="",AI28="",AK28=""),"",
ROUND(((1+ELOSS)*((BE28*INDEX(ELECCB[NPV AEC $/kWh],MATCH(BJ28,ELECCB[Year Number],1)))+(BF28*INDEX(ELECCB[NPV ACC $/kW],MATCH(BJ28,ELECCB[Year Number],1))))),2)),0)</f>
        <v/>
      </c>
      <c r="BL28" s="768" t="str">
        <f t="shared" si="2"/>
        <v/>
      </c>
      <c r="BM28" s="768" t="str">
        <f>IF(OR(C28="", O28=""), "", O28 * INDEX(STDLIGHTCONT[Incremental Measure Cost ($/Unit)],MATCH(C28,STDLIGHTCONT[Measure Name],0)))</f>
        <v/>
      </c>
      <c r="BN28" s="764" t="str">
        <f t="shared" si="3"/>
        <v/>
      </c>
      <c r="BO28" s="764" t="str">
        <f>IFERROR(IF(BM28 &lt;&gt; "", BM28, BL28) / M02S04F06 / AO28, "")</f>
        <v/>
      </c>
      <c r="BP28" s="879"/>
      <c r="BQ28" s="768" t="str">
        <f t="shared" ref="BQ28" si="23">IFERROR(ROUND(O28*AM28, 2), "")</f>
        <v/>
      </c>
      <c r="BR28" s="765"/>
      <c r="BS28" s="765"/>
      <c r="BT28" s="765"/>
      <c r="BU28" s="758" t="str">
        <f t="shared" ref="BU28" si="24">IFERROR(IF(BP28="",IF(AR28 &lt; BQ28, "100% Total Cost", ""), ""), "")</f>
        <v/>
      </c>
      <c r="BV28" s="767" t="str">
        <f t="shared" si="4"/>
        <v/>
      </c>
      <c r="BW28" s="758" t="str">
        <f>IFERROR(IF(OR(C28="",O28="",T28="",Q28="",AB28="",AF28="",AI28="",AK28=""),"", IF(BY28&lt;&gt;"", SPILLOVERNUMBER, INDEX(STDLIGHTCONT[Measure Number],MATCH(C28,STDLIGHTCONT[Measure Name],0)))),"Err")</f>
        <v/>
      </c>
      <c r="BX28" s="757" t="str" cm="1">
        <f t="array" ref="BX28">IFERROR(INDEX(_xlfn.SWITCH(Program_Banner,"Business Energy Savings",STDLIGHTCONT[Primary Key WBE],"Small Business / Non-Profit",STDLIGHTCONT[Primary Key HTRB],0),MATCH(BW28,STDLIGHTCONT[Measure Number],0)),"")</f>
        <v/>
      </c>
      <c r="BY28" s="758" t="str">
        <f>IFERROR(IF(OR(C28="",O28="",Q28="",T28="",AB28="",AF28="",AI28="",AK28=""),"",
IF(BP28&gt;0,"",
IF(EXPIRATION&lt;&gt;"",PROJSTATEXP,
IF(M02S04F19="",MEASUREBLDG,"")))),"")</f>
        <v/>
      </c>
      <c r="BZ28" s="880" t="str">
        <f>IFERROR(O28*INDEX(STDLIGHTCONT[Min Watts Controlled],MATCH(C28,STDLIGHTCONT[Measure Name],0)),"")</f>
        <v/>
      </c>
      <c r="CA28" s="754"/>
      <c r="CB28" s="754"/>
      <c r="CC28" s="754"/>
    </row>
    <row r="29" spans="1:81" ht="15.95" customHeight="1">
      <c r="B29" s="785"/>
      <c r="C29" s="793"/>
      <c r="D29" s="795"/>
      <c r="E29" s="795"/>
      <c r="F29" s="795"/>
      <c r="G29" s="795"/>
      <c r="H29" s="795"/>
      <c r="I29" s="795"/>
      <c r="J29" s="795"/>
      <c r="K29" s="795"/>
      <c r="L29" s="794"/>
      <c r="M29" s="883"/>
      <c r="N29" s="884"/>
      <c r="O29" s="885"/>
      <c r="P29" s="885"/>
      <c r="Q29" s="890"/>
      <c r="R29" s="891"/>
      <c r="S29" s="892"/>
      <c r="T29" s="806"/>
      <c r="U29" s="806"/>
      <c r="V29" s="806"/>
      <c r="W29" s="806"/>
      <c r="X29" s="806"/>
      <c r="Y29" s="806"/>
      <c r="Z29" s="806"/>
      <c r="AA29" s="806"/>
      <c r="AB29" s="806"/>
      <c r="AC29" s="806"/>
      <c r="AD29" s="806"/>
      <c r="AE29" s="806"/>
      <c r="AF29" s="806"/>
      <c r="AG29" s="806"/>
      <c r="AH29" s="786"/>
      <c r="AI29" s="809"/>
      <c r="AJ29" s="810"/>
      <c r="AK29" s="810"/>
      <c r="AL29" s="812"/>
      <c r="AM29" s="815"/>
      <c r="AN29" s="816"/>
      <c r="AO29" s="818"/>
      <c r="AP29" s="818"/>
      <c r="AQ29" s="818"/>
      <c r="AR29" s="822"/>
      <c r="AS29" s="823"/>
      <c r="AT29" s="823"/>
      <c r="AU29" s="824"/>
      <c r="AV29" s="17"/>
      <c r="AX29" s="774"/>
      <c r="AY29" s="760"/>
      <c r="AZ29" s="760"/>
      <c r="BA29" s="772"/>
      <c r="BB29" s="772"/>
      <c r="BC29" s="774"/>
      <c r="BD29" s="758"/>
      <c r="BE29" s="776"/>
      <c r="BF29" s="776"/>
      <c r="BG29" s="762"/>
      <c r="BH29" s="776"/>
      <c r="BI29" s="776"/>
      <c r="BJ29" s="778"/>
      <c r="BK29" s="768"/>
      <c r="BL29" s="768"/>
      <c r="BM29" s="768"/>
      <c r="BN29" s="764"/>
      <c r="BO29" s="764"/>
      <c r="BP29" s="879"/>
      <c r="BQ29" s="768"/>
      <c r="BR29" s="766"/>
      <c r="BS29" s="766"/>
      <c r="BT29" s="766"/>
      <c r="BU29" s="758"/>
      <c r="BV29" s="768"/>
      <c r="BW29" s="758"/>
      <c r="BX29" s="758"/>
      <c r="BY29" s="758"/>
      <c r="BZ29" s="880"/>
      <c r="CA29" s="754"/>
      <c r="CB29" s="754"/>
      <c r="CC29" s="754"/>
    </row>
    <row r="30" spans="1:81" ht="15.95" customHeight="1">
      <c r="B30" s="785">
        <v>7</v>
      </c>
      <c r="C30" s="825"/>
      <c r="D30" s="826"/>
      <c r="E30" s="826"/>
      <c r="F30" s="826"/>
      <c r="G30" s="826"/>
      <c r="H30" s="826"/>
      <c r="I30" s="826"/>
      <c r="J30" s="826"/>
      <c r="K30" s="826"/>
      <c r="L30" s="827"/>
      <c r="M30" s="883" t="str">
        <f>IFERROR(IF(C30="","",INDEX(STDLIGHTCONT[Current Unit],MATCH(C30,STDLIGHTCONT[Measure Name],0))),0)</f>
        <v/>
      </c>
      <c r="N30" s="884"/>
      <c r="O30" s="885"/>
      <c r="P30" s="885"/>
      <c r="Q30" s="881"/>
      <c r="R30" s="881"/>
      <c r="S30" s="881"/>
      <c r="T30" s="806"/>
      <c r="U30" s="806"/>
      <c r="V30" s="806"/>
      <c r="W30" s="806"/>
      <c r="X30" s="806"/>
      <c r="Y30" s="806"/>
      <c r="Z30" s="806"/>
      <c r="AA30" s="806"/>
      <c r="AB30" s="806"/>
      <c r="AC30" s="806"/>
      <c r="AD30" s="806"/>
      <c r="AE30" s="806"/>
      <c r="AF30" s="806"/>
      <c r="AG30" s="806"/>
      <c r="AH30" s="786"/>
      <c r="AI30" s="809"/>
      <c r="AJ30" s="810"/>
      <c r="AK30" s="810"/>
      <c r="AL30" s="812"/>
      <c r="AM30" s="813" t="str" cm="1">
        <f t="array" ref="AM30">IFERROR(IF(C30="","",INDEX(IF(AND(ACTIVEBONUS = TRUE,INDEX(STDLIGHTCONT[Bonus Incentive],MATCH(C30,STDLIGHTCONT[Measure Name],0))&lt;&gt; ""),STDLIGHTCONT[Bonus Incentive],_xlfn.SWITCH(Program_Banner,"Business Energy Savings",STDLIGHTCONT[BESP Incentive],"Small Business / Non-Profit",STDLIGHTCONT[SBNP Incentive],0)),MATCH(C30,STDLIGHTCONT[Measure Name],0))),"")</f>
        <v/>
      </c>
      <c r="AN30" s="814"/>
      <c r="AO30" s="817" t="str">
        <f>IFERROR(IF(OR(C30="",O30="",T30="",Q30="",AB30="",AF30="",AI30="",AK30=""),"",IF(BD30="Deemed",BH30,IF(BD30="Calculated",BE30,""))),"")</f>
        <v/>
      </c>
      <c r="AP30" s="817"/>
      <c r="AQ30" s="817"/>
      <c r="AR30" s="819" t="str">
        <f>IFERROR(IF(OR(C30="",O30="",T30="",Q30="",AB30="",AF30="",AI30="",AK30=""),"",IF(BY30&lt;&gt;"",BY30,IF(BP30&gt;0,BP30,ROUND(IF(AO30&lt;=0,0,MIN(BL30,BQ30)),2)))),"")</f>
        <v/>
      </c>
      <c r="AS30" s="820"/>
      <c r="AT30" s="820"/>
      <c r="AU30" s="821"/>
      <c r="AV30" s="17"/>
      <c r="AX30" s="774" t="str">
        <f>IFERROR(IF(OR(C30="",O30="",T30="",Q30="",AB30="",AF30="",AI30="",AK30=""),"",INDEX(STDLIGHTCONT[Current Unit],MATCH(C30,STDLIGHTCONT[Measure Name],0))),"Err")</f>
        <v/>
      </c>
      <c r="AY30" s="759" t="str">
        <f t="shared" ref="AY30" si="25">IF(O30="", "", O30)</f>
        <v/>
      </c>
      <c r="AZ30" s="759" t="str">
        <f t="shared" ref="AZ30" si="26">IF(O30="", "", O30)</f>
        <v/>
      </c>
      <c r="BA30" s="772"/>
      <c r="BB30" s="772"/>
      <c r="BC30" s="774" t="str">
        <f>IFERROR(IF(OR(C30="",O30="",T30="",Q30="",AB30="",AF30="",AI30="",AK30=""),"",INDEX(STDLIGHTCONT[End Use],MATCH(C30,STDLIGHTCONT[Measure Name],0))),"Err")</f>
        <v/>
      </c>
      <c r="BD30" s="758" t="str">
        <f>IFERROR(IF(OR(C30="",O30="",T30="",Q30="",AB30="",AF30="",AI30="",AK30=""),"",INDEX(STDLIGHTCONT[Reporting Methodology],MATCH(C30,STDLIGHTCONT[Measure Name],0))),"Err")</f>
        <v/>
      </c>
      <c r="BE30" s="776" t="str">
        <f>IFERROR(IF(ISNUMBER(SEARCH("Network",C30))=TRUE,
ROUND(((((Q30/O30)/1000)*0.47)*T30*O30),4),
IF(OR(M02S04F22="Unconditioned",M02S04F22="Electric Heat Only",M02S04F22="Natural Gas Heat Only"),ROUND((Q30/1000)*T30*O30*INDEX(STDLIGHTCONT[ESF],MATCH(C30,STDLIGHTCONT[Measure Name],0)),4),
ROUND((Q30/1000)*T30*O30*INDEX(STDLIGHTCONT[ESF],MATCH(C30,STDLIGHTCONT[Measure Name],0))*INDEX(BUILDINGTYPE[Waste Heat Factor (e)],MATCH(M02S04F19,BUILDINGTYPE[Building Type],0)),4))),"")</f>
        <v/>
      </c>
      <c r="BF30" s="776" t="str">
        <f>IFERROR(IF(OR(C30="",Q30="",T30="",O30="",AB30="",AF30="",AI30="",AK30=""),"",IF(ISNUMBER(SEARCH("Network",C30)),ROUND((Q30/O30)/1000*0.47*O30*INDEX(BUILDINGTYPE[Lighting Coincidence Factor],MATCH(M02S04F19,BUILDINGTYPE[Building Type],0)),4),
IF(OR(M02S04F22="Unconditioned",M02S04F22="Electric Heat Only",M02S04F22="Natural Gas Heat Only"),ROUND(Q30/1000*O30*(INDEX(BUILDINGTYPE[Lighting Coincidence Factor],MATCH(M02S04F19,BUILDINGTYPE[Building Type],0))-0.15),4),
ROUND(Q30/1000*O30*(INDEX(BUILDINGTYPE[Lighting Coincidence Factor],MATCH(M02S04F19,BUILDINGTYPE[Building Type],0))-0.15)*INDEX(BUILDINGTYPE[WHFd],MATCH(M02S04F19,BUILDINGTYPE[Building Type],0)),4)))),"")</f>
        <v/>
      </c>
      <c r="BG30" s="761"/>
      <c r="BH30" s="775" t="str" cm="1">
        <f t="array" ref="BH30">IF(OR(C30="",O30="",T30="",Q30="",AB30="",AF30="",AI30="",AK30=""),"",ROUND(O30*INDEX(_xlfn.SWITCH(Program_Banner,"Business Energy Savings",STDLIGHTCONT[Electric Energy Savings WBE (Annual kWh/unit)],"Small Business / Non-Profit",STDLIGHTCONT[Electric Energy Savings HTRB (Annual kWh/unit)],0),MATCH(C30,STDLIGHTCONT[Measure Name],0)),4))</f>
        <v/>
      </c>
      <c r="BI30" s="775" t="str" cm="1">
        <f t="array" ref="BI30">IF(OR(C30="",O30="",T30="",Q30="",AB30="",AF30="",AI30="",AK30=""),"",ROUND(O30*INDEX(_xlfn.SWITCH(Program_Banner,"Business Energy Savings",STDLIGHTCONT[Coincident Peak Demand Savings WBE (kW/unit)],"Small Business / Non-Profit",STDLIGHTCONT[Coincident Peak Demand Savings HTRB (kW/unit)],0),MATCH(C30,STDLIGHTCONT[Measure Name],0)),4))</f>
        <v/>
      </c>
      <c r="BJ30" s="778" t="str">
        <f>IFERROR(INDEX(STDLIGHTCONT[Measure Life (Years)],MATCH(C30,STDLIGHTCONT[Measure Name],0)),"")</f>
        <v/>
      </c>
      <c r="BK30" s="768" t="str">
        <f>IFERROR(IF(OR(C30="",O30="",T30="",Q30="",AB30="",AF30="",AI30="",AK30=""),"",
ROUND(((1+ELOSS)*((BE30*INDEX(ELECCB[NPV AEC $/kWh],MATCH(BJ30,ELECCB[Year Number],1)))+(BF30*INDEX(ELECCB[NPV ACC $/kW],MATCH(BJ30,ELECCB[Year Number],1))))),2)),0)</f>
        <v/>
      </c>
      <c r="BL30" s="768" t="str">
        <f t="shared" si="2"/>
        <v/>
      </c>
      <c r="BM30" s="768" t="str">
        <f>IF(OR(C30="", O30=""), "", O30 * INDEX(STDLIGHTCONT[Incremental Measure Cost ($/Unit)],MATCH(C30,STDLIGHTCONT[Measure Name],0)))</f>
        <v/>
      </c>
      <c r="BN30" s="764" t="str">
        <f t="shared" si="3"/>
        <v/>
      </c>
      <c r="BO30" s="764" t="str">
        <f>IFERROR(IF(BM30 &lt;&gt; "", BM30, BL30) / M02S04F06 / AO30, "")</f>
        <v/>
      </c>
      <c r="BP30" s="879"/>
      <c r="BQ30" s="768" t="str">
        <f t="shared" ref="BQ30" si="27">IFERROR(ROUND(O30*AM30, 2), "")</f>
        <v/>
      </c>
      <c r="BR30" s="765"/>
      <c r="BS30" s="765"/>
      <c r="BT30" s="765"/>
      <c r="BU30" s="758" t="str">
        <f t="shared" ref="BU30" si="28">IFERROR(IF(BP30="",IF(AR30 &lt; BQ30, "100% Total Cost", ""), ""), "")</f>
        <v/>
      </c>
      <c r="BV30" s="767" t="str">
        <f t="shared" si="4"/>
        <v/>
      </c>
      <c r="BW30" s="758" t="str">
        <f>IFERROR(IF(OR(C30="",O30="",T30="",Q30="",AB30="",AF30="",AI30="",AK30=""),"", IF(BY30&lt;&gt;"", SPILLOVERNUMBER, INDEX(STDLIGHTCONT[Measure Number],MATCH(C30,STDLIGHTCONT[Measure Name],0)))),"Err")</f>
        <v/>
      </c>
      <c r="BX30" s="757" t="str" cm="1">
        <f t="array" ref="BX30">IFERROR(INDEX(_xlfn.SWITCH(Program_Banner,"Business Energy Savings",STDLIGHTCONT[Primary Key WBE],"Small Business / Non-Profit",STDLIGHTCONT[Primary Key HTRB],0),MATCH(BW30,STDLIGHTCONT[Measure Number],0)),"")</f>
        <v/>
      </c>
      <c r="BY30" s="758" t="str">
        <f>IFERROR(IF(OR(C30="",O30="",Q30="",T30="",AB30="",AF30="",AI30="",AK30=""),"",
IF(BP30&gt;0,"",
IF(EXPIRATION&lt;&gt;"",PROJSTATEXP,
IF(M02S04F19="",MEASUREBLDG,"")))),"")</f>
        <v/>
      </c>
      <c r="BZ30" s="880" t="str">
        <f>IFERROR(O30*INDEX(STDLIGHTCONT[Min Watts Controlled],MATCH(C30,STDLIGHTCONT[Measure Name],0)),"")</f>
        <v/>
      </c>
      <c r="CA30" s="754"/>
      <c r="CB30" s="754"/>
      <c r="CC30" s="754"/>
    </row>
    <row r="31" spans="1:81" ht="15.95" customHeight="1">
      <c r="B31" s="785"/>
      <c r="C31" s="793"/>
      <c r="D31" s="795"/>
      <c r="E31" s="795"/>
      <c r="F31" s="795"/>
      <c r="G31" s="795"/>
      <c r="H31" s="795"/>
      <c r="I31" s="795"/>
      <c r="J31" s="795"/>
      <c r="K31" s="795"/>
      <c r="L31" s="794"/>
      <c r="M31" s="883"/>
      <c r="N31" s="884"/>
      <c r="O31" s="885"/>
      <c r="P31" s="885"/>
      <c r="Q31" s="881"/>
      <c r="R31" s="881"/>
      <c r="S31" s="881"/>
      <c r="T31" s="806"/>
      <c r="U31" s="806"/>
      <c r="V31" s="806"/>
      <c r="W31" s="806"/>
      <c r="X31" s="806"/>
      <c r="Y31" s="806"/>
      <c r="Z31" s="806"/>
      <c r="AA31" s="806"/>
      <c r="AB31" s="806"/>
      <c r="AC31" s="806"/>
      <c r="AD31" s="806"/>
      <c r="AE31" s="806"/>
      <c r="AF31" s="806"/>
      <c r="AG31" s="806"/>
      <c r="AH31" s="786"/>
      <c r="AI31" s="809"/>
      <c r="AJ31" s="810"/>
      <c r="AK31" s="810"/>
      <c r="AL31" s="812"/>
      <c r="AM31" s="815"/>
      <c r="AN31" s="816"/>
      <c r="AO31" s="818"/>
      <c r="AP31" s="818"/>
      <c r="AQ31" s="818"/>
      <c r="AR31" s="822"/>
      <c r="AS31" s="823"/>
      <c r="AT31" s="823"/>
      <c r="AU31" s="824"/>
      <c r="AV31" s="17"/>
      <c r="AX31" s="774"/>
      <c r="AY31" s="760"/>
      <c r="AZ31" s="760"/>
      <c r="BA31" s="772"/>
      <c r="BB31" s="772"/>
      <c r="BC31" s="774"/>
      <c r="BD31" s="758"/>
      <c r="BE31" s="776"/>
      <c r="BF31" s="776"/>
      <c r="BG31" s="762"/>
      <c r="BH31" s="776"/>
      <c r="BI31" s="776"/>
      <c r="BJ31" s="778"/>
      <c r="BK31" s="768"/>
      <c r="BL31" s="768"/>
      <c r="BM31" s="768"/>
      <c r="BN31" s="764"/>
      <c r="BO31" s="764"/>
      <c r="BP31" s="879"/>
      <c r="BQ31" s="768"/>
      <c r="BR31" s="766"/>
      <c r="BS31" s="766"/>
      <c r="BT31" s="766"/>
      <c r="BU31" s="758"/>
      <c r="BV31" s="768"/>
      <c r="BW31" s="758"/>
      <c r="BX31" s="758"/>
      <c r="BY31" s="758"/>
      <c r="BZ31" s="880"/>
      <c r="CA31" s="754"/>
      <c r="CB31" s="754"/>
      <c r="CC31" s="754"/>
    </row>
    <row r="32" spans="1:81" ht="15.95" customHeight="1">
      <c r="B32" s="785">
        <v>8</v>
      </c>
      <c r="C32" s="825"/>
      <c r="D32" s="826"/>
      <c r="E32" s="826"/>
      <c r="F32" s="826"/>
      <c r="G32" s="826"/>
      <c r="H32" s="826"/>
      <c r="I32" s="826"/>
      <c r="J32" s="826"/>
      <c r="K32" s="826"/>
      <c r="L32" s="827"/>
      <c r="M32" s="883" t="str">
        <f>IFERROR(IF(C32="","",INDEX(STDLIGHTCONT[Current Unit],MATCH(C32,STDLIGHTCONT[Measure Name],0))),0)</f>
        <v/>
      </c>
      <c r="N32" s="884"/>
      <c r="O32" s="885"/>
      <c r="P32" s="885"/>
      <c r="Q32" s="881"/>
      <c r="R32" s="881"/>
      <c r="S32" s="881"/>
      <c r="T32" s="806"/>
      <c r="U32" s="806"/>
      <c r="V32" s="806"/>
      <c r="W32" s="806"/>
      <c r="X32" s="806"/>
      <c r="Y32" s="806"/>
      <c r="Z32" s="806"/>
      <c r="AA32" s="806"/>
      <c r="AB32" s="806"/>
      <c r="AC32" s="806"/>
      <c r="AD32" s="806"/>
      <c r="AE32" s="806"/>
      <c r="AF32" s="806"/>
      <c r="AG32" s="806"/>
      <c r="AH32" s="786"/>
      <c r="AI32" s="809"/>
      <c r="AJ32" s="810"/>
      <c r="AK32" s="810"/>
      <c r="AL32" s="812"/>
      <c r="AM32" s="813" t="str" cm="1">
        <f t="array" ref="AM32">IFERROR(IF(C32="","",INDEX(IF(AND(ACTIVEBONUS = TRUE,INDEX(STDLIGHTCONT[Bonus Incentive],MATCH(C32,STDLIGHTCONT[Measure Name],0))&lt;&gt; ""),STDLIGHTCONT[Bonus Incentive],_xlfn.SWITCH(Program_Banner,"Business Energy Savings",STDLIGHTCONT[BESP Incentive],"Small Business / Non-Profit",STDLIGHTCONT[SBNP Incentive],0)),MATCH(C32,STDLIGHTCONT[Measure Name],0))),"")</f>
        <v/>
      </c>
      <c r="AN32" s="814"/>
      <c r="AO32" s="817" t="str">
        <f>IFERROR(IF(OR(C32="",O32="",T32="",Q32="",AB32="",AF32="",AI32="",AK32=""),"",IF(BD32="Deemed",BH32,IF(BD32="Calculated",BE32,""))),"")</f>
        <v/>
      </c>
      <c r="AP32" s="817"/>
      <c r="AQ32" s="817"/>
      <c r="AR32" s="819" t="str">
        <f>IFERROR(IF(OR(C32="",O32="",T32="",Q32="",AB32="",AF32="",AI32="",AK32=""),"",IF(BY32&lt;&gt;"",BY32,IF(BP32&gt;0,BP32,ROUND(IF(AO32&lt;=0,0,MIN(BL32,BQ32)),2)))),"")</f>
        <v/>
      </c>
      <c r="AS32" s="820"/>
      <c r="AT32" s="820"/>
      <c r="AU32" s="821"/>
      <c r="AV32" s="17"/>
      <c r="AX32" s="774" t="str">
        <f>IFERROR(IF(OR(C32="",O32="",T32="",Q32="",AB32="",AF32="",AI32="",AK32=""),"",INDEX(STDLIGHTCONT[Current Unit],MATCH(C32,STDLIGHTCONT[Measure Name],0))),"Err")</f>
        <v/>
      </c>
      <c r="AY32" s="759" t="str">
        <f t="shared" ref="AY32" si="29">IF(O32="", "", O32)</f>
        <v/>
      </c>
      <c r="AZ32" s="759" t="str">
        <f t="shared" ref="AZ32" si="30">IF(O32="", "", O32)</f>
        <v/>
      </c>
      <c r="BA32" s="772"/>
      <c r="BB32" s="772"/>
      <c r="BC32" s="774" t="str">
        <f>IFERROR(IF(OR(C32="",O32="",T32="",Q32="",AB32="",AF32="",AI32="",AK32=""),"",INDEX(STDLIGHTCONT[End Use],MATCH(C32,STDLIGHTCONT[Measure Name],0))),"Err")</f>
        <v/>
      </c>
      <c r="BD32" s="758" t="str">
        <f>IFERROR(IF(OR(C32="",O32="",T32="",Q32="",AB32="",AF32="",AI32="",AK32=""),"",INDEX(STDLIGHTCONT[Reporting Methodology],MATCH(C32,STDLIGHTCONT[Measure Name],0))),"Err")</f>
        <v/>
      </c>
      <c r="BE32" s="776" t="str">
        <f>IFERROR(IF(ISNUMBER(SEARCH("Network",C32))=TRUE,
ROUND(((((Q32/O32)/1000)*0.47)*T32*O32),4),
IF(OR(M02S04F22="Unconditioned",M02S04F22="Electric Heat Only",M02S04F22="Natural Gas Heat Only"),ROUND((Q32/1000)*T32*O32*INDEX(STDLIGHTCONT[ESF],MATCH(C32,STDLIGHTCONT[Measure Name],0)),4),
ROUND((Q32/1000)*T32*O32*INDEX(STDLIGHTCONT[ESF],MATCH(C32,STDLIGHTCONT[Measure Name],0))*INDEX(BUILDINGTYPE[Waste Heat Factor (e)],MATCH(M02S04F19,BUILDINGTYPE[Building Type],0)),4))),"")</f>
        <v/>
      </c>
      <c r="BF32" s="776" t="str">
        <f>IFERROR(IF(OR(C32="",Q32="",T32="",O32="",AB32="",AF32="",AI32="",AK32=""),"",IF(ISNUMBER(SEARCH("Network",C32)),ROUND((Q32/O32)/1000*0.47*O32*INDEX(BUILDINGTYPE[Lighting Coincidence Factor],MATCH(M02S04F19,BUILDINGTYPE[Building Type],0)),4),
IF(OR(M02S04F22="Unconditioned",M02S04F22="Electric Heat Only",M02S04F22="Natural Gas Heat Only"),ROUND(Q32/1000*O32*(INDEX(BUILDINGTYPE[Lighting Coincidence Factor],MATCH(M02S04F19,BUILDINGTYPE[Building Type],0))-0.15),4),
ROUND(Q32/1000*O32*(INDEX(BUILDINGTYPE[Lighting Coincidence Factor],MATCH(M02S04F19,BUILDINGTYPE[Building Type],0))-0.15)*INDEX(BUILDINGTYPE[WHFd],MATCH(M02S04F19,BUILDINGTYPE[Building Type],0)),4)))),"")</f>
        <v/>
      </c>
      <c r="BG32" s="761"/>
      <c r="BH32" s="775" t="str" cm="1">
        <f t="array" ref="BH32">IF(OR(C32="",O32="",T32="",Q32="",AB32="",AF32="",AI32="",AK32=""),"",ROUND(O32*INDEX(_xlfn.SWITCH(Program_Banner,"Business Energy Savings",STDLIGHTCONT[Electric Energy Savings WBE (Annual kWh/unit)],"Small Business / Non-Profit",STDLIGHTCONT[Electric Energy Savings HTRB (Annual kWh/unit)],0),MATCH(C32,STDLIGHTCONT[Measure Name],0)),4))</f>
        <v/>
      </c>
      <c r="BI32" s="775" t="str" cm="1">
        <f t="array" ref="BI32">IF(OR(C32="",O32="",T32="",Q32="",AB32="",AF32="",AI32="",AK32=""),"",ROUND(O32*INDEX(_xlfn.SWITCH(Program_Banner,"Business Energy Savings",STDLIGHTCONT[Coincident Peak Demand Savings WBE (kW/unit)],"Small Business / Non-Profit",STDLIGHTCONT[Coincident Peak Demand Savings HTRB (kW/unit)],0),MATCH(C32,STDLIGHTCONT[Measure Name],0)),4))</f>
        <v/>
      </c>
      <c r="BJ32" s="778" t="str">
        <f>IFERROR(INDEX(STDLIGHTCONT[Measure Life (Years)],MATCH(C32,STDLIGHTCONT[Measure Name],0)),"")</f>
        <v/>
      </c>
      <c r="BK32" s="768" t="str">
        <f>IFERROR(IF(OR(C32="",O32="",T32="",Q32="",AB32="",AF32="",AI32="",AK32=""),"",
ROUND(((1+ELOSS)*((BE32*INDEX(ELECCB[NPV AEC $/kWh],MATCH(BJ32,ELECCB[Year Number],1)))+(BF32*INDEX(ELECCB[NPV ACC $/kW],MATCH(BJ32,ELECCB[Year Number],1))))),2)),0)</f>
        <v/>
      </c>
      <c r="BL32" s="768" t="str">
        <f t="shared" si="2"/>
        <v/>
      </c>
      <c r="BM32" s="768" t="str">
        <f>IF(OR(C32="", O32=""), "", O32 * INDEX(STDLIGHTCONT[Incremental Measure Cost ($/Unit)],MATCH(C32,STDLIGHTCONT[Measure Name],0)))</f>
        <v/>
      </c>
      <c r="BN32" s="764" t="str">
        <f t="shared" si="3"/>
        <v/>
      </c>
      <c r="BO32" s="764" t="str">
        <f>IFERROR(IF(BM32 &lt;&gt; "", BM32, BL32) / M02S04F06 / AO32, "")</f>
        <v/>
      </c>
      <c r="BP32" s="879"/>
      <c r="BQ32" s="768" t="str">
        <f t="shared" ref="BQ32" si="31">IFERROR(ROUND(O32*AM32, 2), "")</f>
        <v/>
      </c>
      <c r="BR32" s="765"/>
      <c r="BS32" s="765"/>
      <c r="BT32" s="765"/>
      <c r="BU32" s="758" t="str">
        <f t="shared" ref="BU32" si="32">IFERROR(IF(BP32="",IF(AR32 &lt; BQ32, "100% Total Cost", ""), ""), "")</f>
        <v/>
      </c>
      <c r="BV32" s="767" t="str">
        <f t="shared" si="4"/>
        <v/>
      </c>
      <c r="BW32" s="758" t="str">
        <f>IFERROR(IF(OR(C32="",O32="",T32="",Q32="",AB32="",AF32="",AI32="",AK32=""),"", IF(BY32&lt;&gt;"", SPILLOVERNUMBER, INDEX(STDLIGHTCONT[Measure Number],MATCH(C32,STDLIGHTCONT[Measure Name],0)))),"Err")</f>
        <v/>
      </c>
      <c r="BX32" s="757" t="str" cm="1">
        <f t="array" ref="BX32">IFERROR(INDEX(_xlfn.SWITCH(Program_Banner,"Business Energy Savings",STDLIGHTCONT[Primary Key WBE],"Small Business / Non-Profit",STDLIGHTCONT[Primary Key HTRB],0),MATCH(BW32,STDLIGHTCONT[Measure Number],0)),"")</f>
        <v/>
      </c>
      <c r="BY32" s="758" t="str">
        <f>IFERROR(IF(OR(C32="",O32="",Q32="",T32="",AB32="",AF32="",AI32="",AK32=""),"",
IF(BP32&gt;0,"",
IF(EXPIRATION&lt;&gt;"",PROJSTATEXP,
IF(M02S04F19="",MEASUREBLDG,"")))),"")</f>
        <v/>
      </c>
      <c r="BZ32" s="880" t="str">
        <f>IFERROR(O32*INDEX(STDLIGHTCONT[Min Watts Controlled],MATCH(C32,STDLIGHTCONT[Measure Name],0)),"")</f>
        <v/>
      </c>
      <c r="CA32" s="754"/>
      <c r="CB32" s="754"/>
      <c r="CC32" s="754"/>
    </row>
    <row r="33" spans="2:81" ht="15.95" customHeight="1">
      <c r="B33" s="785"/>
      <c r="C33" s="793"/>
      <c r="D33" s="795"/>
      <c r="E33" s="795"/>
      <c r="F33" s="795"/>
      <c r="G33" s="795"/>
      <c r="H33" s="795"/>
      <c r="I33" s="795"/>
      <c r="J33" s="795"/>
      <c r="K33" s="795"/>
      <c r="L33" s="794"/>
      <c r="M33" s="883"/>
      <c r="N33" s="884"/>
      <c r="O33" s="885"/>
      <c r="P33" s="885"/>
      <c r="Q33" s="881"/>
      <c r="R33" s="881"/>
      <c r="S33" s="881"/>
      <c r="T33" s="806"/>
      <c r="U33" s="806"/>
      <c r="V33" s="806"/>
      <c r="W33" s="806"/>
      <c r="X33" s="806"/>
      <c r="Y33" s="806"/>
      <c r="Z33" s="806"/>
      <c r="AA33" s="806"/>
      <c r="AB33" s="806"/>
      <c r="AC33" s="806"/>
      <c r="AD33" s="806"/>
      <c r="AE33" s="806"/>
      <c r="AF33" s="806"/>
      <c r="AG33" s="806"/>
      <c r="AH33" s="786"/>
      <c r="AI33" s="809"/>
      <c r="AJ33" s="810"/>
      <c r="AK33" s="810"/>
      <c r="AL33" s="812"/>
      <c r="AM33" s="815"/>
      <c r="AN33" s="816"/>
      <c r="AO33" s="818"/>
      <c r="AP33" s="818"/>
      <c r="AQ33" s="818"/>
      <c r="AR33" s="822"/>
      <c r="AS33" s="823"/>
      <c r="AT33" s="823"/>
      <c r="AU33" s="824"/>
      <c r="AV33" s="17"/>
      <c r="AX33" s="774"/>
      <c r="AY33" s="760"/>
      <c r="AZ33" s="760"/>
      <c r="BA33" s="772"/>
      <c r="BB33" s="772"/>
      <c r="BC33" s="774"/>
      <c r="BD33" s="758"/>
      <c r="BE33" s="776"/>
      <c r="BF33" s="776"/>
      <c r="BG33" s="762"/>
      <c r="BH33" s="776"/>
      <c r="BI33" s="776"/>
      <c r="BJ33" s="778"/>
      <c r="BK33" s="768"/>
      <c r="BL33" s="768"/>
      <c r="BM33" s="768"/>
      <c r="BN33" s="764"/>
      <c r="BO33" s="764"/>
      <c r="BP33" s="879"/>
      <c r="BQ33" s="768"/>
      <c r="BR33" s="766"/>
      <c r="BS33" s="766"/>
      <c r="BT33" s="766"/>
      <c r="BU33" s="758"/>
      <c r="BV33" s="768"/>
      <c r="BW33" s="758"/>
      <c r="BX33" s="758"/>
      <c r="BY33" s="758"/>
      <c r="BZ33" s="880"/>
      <c r="CA33" s="754"/>
      <c r="CB33" s="754"/>
      <c r="CC33" s="754"/>
    </row>
    <row r="34" spans="2:81" ht="15.95" customHeight="1">
      <c r="B34" s="785">
        <v>9</v>
      </c>
      <c r="C34" s="825"/>
      <c r="D34" s="826"/>
      <c r="E34" s="826"/>
      <c r="F34" s="826"/>
      <c r="G34" s="826"/>
      <c r="H34" s="826"/>
      <c r="I34" s="826"/>
      <c r="J34" s="826"/>
      <c r="K34" s="826"/>
      <c r="L34" s="827"/>
      <c r="M34" s="883" t="str">
        <f>IFERROR(IF(C34="","",INDEX(STDLIGHTCONT[Current Unit],MATCH(C34,STDLIGHTCONT[Measure Name],0))),0)</f>
        <v/>
      </c>
      <c r="N34" s="884"/>
      <c r="O34" s="885"/>
      <c r="P34" s="885"/>
      <c r="Q34" s="881"/>
      <c r="R34" s="881"/>
      <c r="S34" s="881"/>
      <c r="T34" s="806"/>
      <c r="U34" s="806"/>
      <c r="V34" s="806"/>
      <c r="W34" s="806"/>
      <c r="X34" s="806"/>
      <c r="Y34" s="806"/>
      <c r="Z34" s="806"/>
      <c r="AA34" s="806"/>
      <c r="AB34" s="806"/>
      <c r="AC34" s="806"/>
      <c r="AD34" s="806"/>
      <c r="AE34" s="806"/>
      <c r="AF34" s="806"/>
      <c r="AG34" s="806"/>
      <c r="AH34" s="786"/>
      <c r="AI34" s="809"/>
      <c r="AJ34" s="810"/>
      <c r="AK34" s="810"/>
      <c r="AL34" s="812"/>
      <c r="AM34" s="813" t="str" cm="1">
        <f t="array" ref="AM34">IFERROR(IF(C34="","",INDEX(IF(AND(ACTIVEBONUS = TRUE,INDEX(STDLIGHTCONT[Bonus Incentive],MATCH(C34,STDLIGHTCONT[Measure Name],0))&lt;&gt; ""),STDLIGHTCONT[Bonus Incentive],_xlfn.SWITCH(Program_Banner,"Business Energy Savings",STDLIGHTCONT[BESP Incentive],"Small Business / Non-Profit",STDLIGHTCONT[SBNP Incentive],0)),MATCH(C34,STDLIGHTCONT[Measure Name],0))),"")</f>
        <v/>
      </c>
      <c r="AN34" s="814"/>
      <c r="AO34" s="817" t="str">
        <f>IFERROR(IF(OR(C34="",O34="",T34="",Q34="",AB34="",AF34="",AI34="",AK34=""),"",IF(BD34="Deemed",BH34,IF(BD34="Calculated",BE34,""))),"")</f>
        <v/>
      </c>
      <c r="AP34" s="817"/>
      <c r="AQ34" s="817"/>
      <c r="AR34" s="819" t="str">
        <f>IFERROR(IF(OR(C34="",O34="",T34="",Q34="",AB34="",AF34="",AI34="",AK34=""),"",IF(BY34&lt;&gt;"",BY34,IF(BP34&gt;0,BP34,ROUND(IF(AO34&lt;=0,0,MIN(BL34,BQ34)),2)))),"")</f>
        <v/>
      </c>
      <c r="AS34" s="820"/>
      <c r="AT34" s="820"/>
      <c r="AU34" s="821"/>
      <c r="AV34" s="17"/>
      <c r="AX34" s="774" t="str">
        <f>IFERROR(IF(OR(C34="",O34="",T34="",Q34="",AB34="",AF34="",AI34="",AK34=""),"",INDEX(STDLIGHTCONT[Current Unit],MATCH(C34,STDLIGHTCONT[Measure Name],0))),"Err")</f>
        <v/>
      </c>
      <c r="AY34" s="759" t="str">
        <f t="shared" ref="AY34" si="33">IF(O34="", "", O34)</f>
        <v/>
      </c>
      <c r="AZ34" s="759" t="str">
        <f t="shared" ref="AZ34" si="34">IF(O34="", "", O34)</f>
        <v/>
      </c>
      <c r="BA34" s="772"/>
      <c r="BB34" s="772"/>
      <c r="BC34" s="774" t="str">
        <f>IFERROR(IF(OR(C34="",O34="",T34="",Q34="",AB34="",AF34="",AI34="",AK34=""),"",INDEX(STDLIGHTCONT[End Use],MATCH(C34,STDLIGHTCONT[Measure Name],0))),"Err")</f>
        <v/>
      </c>
      <c r="BD34" s="758" t="str">
        <f>IFERROR(IF(OR(C34="",O34="",T34="",Q34="",AB34="",AF34="",AI34="",AK34=""),"",INDEX(STDLIGHTCONT[Reporting Methodology],MATCH(C34,STDLIGHTCONT[Measure Name],0))),"Err")</f>
        <v/>
      </c>
      <c r="BE34" s="776" t="str">
        <f>IFERROR(IF(ISNUMBER(SEARCH("Network",C34))=TRUE,
ROUND(((((Q34/O34)/1000)*0.47)*T34*O34),4),
IF(OR(M02S04F22="Unconditioned",M02S04F22="Electric Heat Only",M02S04F22="Natural Gas Heat Only"),ROUND((Q34/1000)*T34*O34*INDEX(STDLIGHTCONT[ESF],MATCH(C34,STDLIGHTCONT[Measure Name],0)),4),
ROUND((Q34/1000)*T34*O34*INDEX(STDLIGHTCONT[ESF],MATCH(C34,STDLIGHTCONT[Measure Name],0))*INDEX(BUILDINGTYPE[Waste Heat Factor (e)],MATCH(M02S04F19,BUILDINGTYPE[Building Type],0)),4))),"")</f>
        <v/>
      </c>
      <c r="BF34" s="776" t="str">
        <f>IFERROR(IF(OR(C34="",Q34="",T34="",O34="",AB34="",AF34="",AI34="",AK34=""),"",IF(ISNUMBER(SEARCH("Network",C34)),ROUND((Q34/O34)/1000*0.47*O34*INDEX(BUILDINGTYPE[Lighting Coincidence Factor],MATCH(M02S04F19,BUILDINGTYPE[Building Type],0)),4),
IF(OR(M02S04F22="Unconditioned",M02S04F22="Electric Heat Only",M02S04F22="Natural Gas Heat Only"),ROUND(Q34/1000*O34*(INDEX(BUILDINGTYPE[Lighting Coincidence Factor],MATCH(M02S04F19,BUILDINGTYPE[Building Type],0))-0.15),4),
ROUND(Q34/1000*O34*(INDEX(BUILDINGTYPE[Lighting Coincidence Factor],MATCH(M02S04F19,BUILDINGTYPE[Building Type],0))-0.15)*INDEX(BUILDINGTYPE[WHFd],MATCH(M02S04F19,BUILDINGTYPE[Building Type],0)),4)))),"")</f>
        <v/>
      </c>
      <c r="BG34" s="761"/>
      <c r="BH34" s="775" t="str" cm="1">
        <f t="array" ref="BH34">IF(OR(C34="",O34="",T34="",Q34="",AB34="",AF34="",AI34="",AK34=""),"",ROUND(O34*INDEX(_xlfn.SWITCH(Program_Banner,"Business Energy Savings",STDLIGHTCONT[Electric Energy Savings WBE (Annual kWh/unit)],"Small Business / Non-Profit",STDLIGHTCONT[Electric Energy Savings HTRB (Annual kWh/unit)],0),MATCH(C34,STDLIGHTCONT[Measure Name],0)),4))</f>
        <v/>
      </c>
      <c r="BI34" s="775" t="str" cm="1">
        <f t="array" ref="BI34">IF(OR(C34="",O34="",T34="",Q34="",AB34="",AF34="",AI34="",AK34=""),"",ROUND(O34*INDEX(_xlfn.SWITCH(Program_Banner,"Business Energy Savings",STDLIGHTCONT[Coincident Peak Demand Savings WBE (kW/unit)],"Small Business / Non-Profit",STDLIGHTCONT[Coincident Peak Demand Savings HTRB (kW/unit)],0),MATCH(C34,STDLIGHTCONT[Measure Name],0)),4))</f>
        <v/>
      </c>
      <c r="BJ34" s="778" t="str">
        <f>IFERROR(INDEX(STDLIGHTCONT[Measure Life (Years)],MATCH(C34,STDLIGHTCONT[Measure Name],0)),"")</f>
        <v/>
      </c>
      <c r="BK34" s="768" t="str">
        <f>IFERROR(IF(OR(C34="",O34="",T34="",Q34="",AB34="",AF34="",AI34="",AK34=""),"",
ROUND(((1+ELOSS)*((BE34*INDEX(ELECCB[NPV AEC $/kWh],MATCH(BJ34,ELECCB[Year Number],1)))+(BF34*INDEX(ELECCB[NPV ACC $/kW],MATCH(BJ34,ELECCB[Year Number],1))))),2)),0)</f>
        <v/>
      </c>
      <c r="BL34" s="768" t="str">
        <f t="shared" si="2"/>
        <v/>
      </c>
      <c r="BM34" s="768" t="str">
        <f>IF(OR(C34="", O34=""), "", O34 * INDEX(STDLIGHTCONT[Incremental Measure Cost ($/Unit)],MATCH(C34,STDLIGHTCONT[Measure Name],0)))</f>
        <v/>
      </c>
      <c r="BN34" s="764" t="str">
        <f t="shared" si="3"/>
        <v/>
      </c>
      <c r="BO34" s="764" t="str">
        <f>IFERROR(IF(BM34 &lt;&gt; "", BM34, BL34) / M02S04F06 / AO34, "")</f>
        <v/>
      </c>
      <c r="BP34" s="879"/>
      <c r="BQ34" s="768" t="str">
        <f t="shared" ref="BQ34" si="35">IFERROR(ROUND(O34*AM34, 2), "")</f>
        <v/>
      </c>
      <c r="BR34" s="765"/>
      <c r="BS34" s="765"/>
      <c r="BT34" s="765"/>
      <c r="BU34" s="758" t="str">
        <f t="shared" ref="BU34" si="36">IFERROR(IF(BP34="",IF(AR34 &lt; BQ34, "100% Total Cost", ""), ""), "")</f>
        <v/>
      </c>
      <c r="BV34" s="767" t="str">
        <f t="shared" si="4"/>
        <v/>
      </c>
      <c r="BW34" s="758" t="str">
        <f>IFERROR(IF(OR(C34="",O34="",T34="",Q34="",AB34="",AF34="",AI34="",AK34=""),"", IF(BY34&lt;&gt;"", SPILLOVERNUMBER, INDEX(STDLIGHTCONT[Measure Number],MATCH(C34,STDLIGHTCONT[Measure Name],0)))),"Err")</f>
        <v/>
      </c>
      <c r="BX34" s="757" t="str" cm="1">
        <f t="array" ref="BX34">IFERROR(INDEX(_xlfn.SWITCH(Program_Banner,"Business Energy Savings",STDLIGHTCONT[Primary Key WBE],"Small Business / Non-Profit",STDLIGHTCONT[Primary Key HTRB],0),MATCH(BW34,STDLIGHTCONT[Measure Number],0)),"")</f>
        <v/>
      </c>
      <c r="BY34" s="758" t="str">
        <f>IFERROR(IF(OR(C34="",O34="",Q34="",T34="",AB34="",AF34="",AI34="",AK34=""),"",
IF(BP34&gt;0,"",
IF(EXPIRATION&lt;&gt;"",PROJSTATEXP,
IF(M02S04F19="",MEASUREBLDG,"")))),"")</f>
        <v/>
      </c>
      <c r="BZ34" s="880" t="str">
        <f>IFERROR(O34*INDEX(STDLIGHTCONT[Min Watts Controlled],MATCH(C34,STDLIGHTCONT[Measure Name],0)),"")</f>
        <v/>
      </c>
      <c r="CA34" s="754"/>
      <c r="CB34" s="754"/>
      <c r="CC34" s="754"/>
    </row>
    <row r="35" spans="2:81" ht="15.95" customHeight="1">
      <c r="B35" s="785"/>
      <c r="C35" s="793"/>
      <c r="D35" s="795"/>
      <c r="E35" s="795"/>
      <c r="F35" s="795"/>
      <c r="G35" s="795"/>
      <c r="H35" s="795"/>
      <c r="I35" s="795"/>
      <c r="J35" s="795"/>
      <c r="K35" s="795"/>
      <c r="L35" s="794"/>
      <c r="M35" s="883"/>
      <c r="N35" s="884"/>
      <c r="O35" s="885"/>
      <c r="P35" s="885"/>
      <c r="Q35" s="881"/>
      <c r="R35" s="881"/>
      <c r="S35" s="881"/>
      <c r="T35" s="806"/>
      <c r="U35" s="806"/>
      <c r="V35" s="806"/>
      <c r="W35" s="806"/>
      <c r="X35" s="806"/>
      <c r="Y35" s="806"/>
      <c r="Z35" s="806"/>
      <c r="AA35" s="806"/>
      <c r="AB35" s="806"/>
      <c r="AC35" s="806"/>
      <c r="AD35" s="806"/>
      <c r="AE35" s="806"/>
      <c r="AF35" s="806"/>
      <c r="AG35" s="806"/>
      <c r="AH35" s="786"/>
      <c r="AI35" s="809"/>
      <c r="AJ35" s="810"/>
      <c r="AK35" s="810"/>
      <c r="AL35" s="812"/>
      <c r="AM35" s="815"/>
      <c r="AN35" s="816"/>
      <c r="AO35" s="818"/>
      <c r="AP35" s="818"/>
      <c r="AQ35" s="818"/>
      <c r="AR35" s="822"/>
      <c r="AS35" s="823"/>
      <c r="AT35" s="823"/>
      <c r="AU35" s="824"/>
      <c r="AV35" s="17"/>
      <c r="AX35" s="774"/>
      <c r="AY35" s="760"/>
      <c r="AZ35" s="760"/>
      <c r="BA35" s="772"/>
      <c r="BB35" s="772"/>
      <c r="BC35" s="774"/>
      <c r="BD35" s="758"/>
      <c r="BE35" s="776"/>
      <c r="BF35" s="776"/>
      <c r="BG35" s="762"/>
      <c r="BH35" s="776"/>
      <c r="BI35" s="776"/>
      <c r="BJ35" s="778"/>
      <c r="BK35" s="768"/>
      <c r="BL35" s="768"/>
      <c r="BM35" s="768"/>
      <c r="BN35" s="764"/>
      <c r="BO35" s="764"/>
      <c r="BP35" s="879"/>
      <c r="BQ35" s="768"/>
      <c r="BR35" s="766"/>
      <c r="BS35" s="766"/>
      <c r="BT35" s="766"/>
      <c r="BU35" s="758"/>
      <c r="BV35" s="768"/>
      <c r="BW35" s="758"/>
      <c r="BX35" s="758"/>
      <c r="BY35" s="758"/>
      <c r="BZ35" s="880"/>
      <c r="CA35" s="754"/>
      <c r="CB35" s="754"/>
      <c r="CC35" s="754"/>
    </row>
    <row r="36" spans="2:81" ht="15.95" customHeight="1">
      <c r="B36" s="785">
        <v>10</v>
      </c>
      <c r="C36" s="825"/>
      <c r="D36" s="826"/>
      <c r="E36" s="826"/>
      <c r="F36" s="826"/>
      <c r="G36" s="826"/>
      <c r="H36" s="826"/>
      <c r="I36" s="826"/>
      <c r="J36" s="826"/>
      <c r="K36" s="826"/>
      <c r="L36" s="827"/>
      <c r="M36" s="883" t="str">
        <f>IFERROR(IF(C36="","",INDEX(STDLIGHTCONT[Current Unit],MATCH(C36,STDLIGHTCONT[Measure Name],0))),0)</f>
        <v/>
      </c>
      <c r="N36" s="884"/>
      <c r="O36" s="885"/>
      <c r="P36" s="885"/>
      <c r="Q36" s="881"/>
      <c r="R36" s="881"/>
      <c r="S36" s="881"/>
      <c r="T36" s="806"/>
      <c r="U36" s="806"/>
      <c r="V36" s="806"/>
      <c r="W36" s="806"/>
      <c r="X36" s="806"/>
      <c r="Y36" s="806"/>
      <c r="Z36" s="806"/>
      <c r="AA36" s="806"/>
      <c r="AB36" s="806"/>
      <c r="AC36" s="806"/>
      <c r="AD36" s="806"/>
      <c r="AE36" s="806"/>
      <c r="AF36" s="806"/>
      <c r="AG36" s="806"/>
      <c r="AH36" s="786"/>
      <c r="AI36" s="809"/>
      <c r="AJ36" s="810"/>
      <c r="AK36" s="810"/>
      <c r="AL36" s="812"/>
      <c r="AM36" s="813" t="str" cm="1">
        <f t="array" ref="AM36">IFERROR(IF(C36="","",INDEX(IF(AND(ACTIVEBONUS = TRUE,INDEX(STDLIGHTCONT[Bonus Incentive],MATCH(C36,STDLIGHTCONT[Measure Name],0))&lt;&gt; ""),STDLIGHTCONT[Bonus Incentive],_xlfn.SWITCH(Program_Banner,"Business Energy Savings",STDLIGHTCONT[BESP Incentive],"Small Business / Non-Profit",STDLIGHTCONT[SBNP Incentive],0)),MATCH(C36,STDLIGHTCONT[Measure Name],0))),"")</f>
        <v/>
      </c>
      <c r="AN36" s="814"/>
      <c r="AO36" s="817" t="str">
        <f>IFERROR(IF(OR(C36="",O36="",T36="",Q36="",AB36="",AF36="",AI36="",AK36=""),"",IF(BD36="Deemed",BH36,IF(BD36="Calculated",BE36,""))),"")</f>
        <v/>
      </c>
      <c r="AP36" s="817"/>
      <c r="AQ36" s="817"/>
      <c r="AR36" s="819" t="str">
        <f>IFERROR(IF(OR(C36="",O36="",T36="",Q36="",AB36="",AF36="",AI36="",AK36=""),"",IF(BY36&lt;&gt;"",BY36,IF(BP36&gt;0,BP36,ROUND(IF(AO36&lt;=0,0,MIN(BL36,BQ36)),2)))),"")</f>
        <v/>
      </c>
      <c r="AS36" s="820"/>
      <c r="AT36" s="820"/>
      <c r="AU36" s="821"/>
      <c r="AV36" s="17"/>
      <c r="AX36" s="774" t="str">
        <f>IFERROR(IF(OR(C36="",O36="",T36="",Q36="",AB36="",AF36="",AI36="",AK36=""),"",INDEX(STDLIGHTCONT[Current Unit],MATCH(C36,STDLIGHTCONT[Measure Name],0))),"Err")</f>
        <v/>
      </c>
      <c r="AY36" s="759" t="str">
        <f t="shared" ref="AY36" si="37">IF(O36="", "", O36)</f>
        <v/>
      </c>
      <c r="AZ36" s="759" t="str">
        <f t="shared" ref="AZ36" si="38">IF(O36="", "", O36)</f>
        <v/>
      </c>
      <c r="BA36" s="772"/>
      <c r="BB36" s="772"/>
      <c r="BC36" s="774" t="str">
        <f>IFERROR(IF(OR(C36="",O36="",T36="",Q36="",AB36="",AF36="",AI36="",AK36=""),"",INDEX(STDLIGHTCONT[End Use],MATCH(C36,STDLIGHTCONT[Measure Name],0))),"Err")</f>
        <v/>
      </c>
      <c r="BD36" s="758" t="str">
        <f>IFERROR(IF(OR(C36="",O36="",T36="",Q36="",AB36="",AF36="",AI36="",AK36=""),"",INDEX(STDLIGHTCONT[Reporting Methodology],MATCH(C36,STDLIGHTCONT[Measure Name],0))),"Err")</f>
        <v/>
      </c>
      <c r="BE36" s="776" t="str">
        <f>IFERROR(IF(ISNUMBER(SEARCH("Network",C36))=TRUE,
ROUND(((((Q36/O36)/1000)*0.47)*T36*O36),4),
IF(OR(M02S04F22="Unconditioned",M02S04F22="Electric Heat Only",M02S04F22="Natural Gas Heat Only"),ROUND((Q36/1000)*T36*O36*INDEX(STDLIGHTCONT[ESF],MATCH(C36,STDLIGHTCONT[Measure Name],0)),4),
ROUND((Q36/1000)*T36*O36*INDEX(STDLIGHTCONT[ESF],MATCH(C36,STDLIGHTCONT[Measure Name],0))*INDEX(BUILDINGTYPE[Waste Heat Factor (e)],MATCH(M02S04F19,BUILDINGTYPE[Building Type],0)),4))),"")</f>
        <v/>
      </c>
      <c r="BF36" s="776" t="str">
        <f>IFERROR(IF(OR(C36="",Q36="",T36="",O36="",AB36="",AF36="",AI36="",AK36=""),"",IF(ISNUMBER(SEARCH("Network",C36)),ROUND((Q36/O36)/1000*0.47*O36*INDEX(BUILDINGTYPE[Lighting Coincidence Factor],MATCH(M02S04F19,BUILDINGTYPE[Building Type],0)),4),
IF(OR(M02S04F22="Unconditioned",M02S04F22="Electric Heat Only",M02S04F22="Natural Gas Heat Only"),ROUND(Q36/1000*O36*(INDEX(BUILDINGTYPE[Lighting Coincidence Factor],MATCH(M02S04F19,BUILDINGTYPE[Building Type],0))-0.15),4),
ROUND(Q36/1000*O36*(INDEX(BUILDINGTYPE[Lighting Coincidence Factor],MATCH(M02S04F19,BUILDINGTYPE[Building Type],0))-0.15)*INDEX(BUILDINGTYPE[WHFd],MATCH(M02S04F19,BUILDINGTYPE[Building Type],0)),4)))),"")</f>
        <v/>
      </c>
      <c r="BG36" s="761"/>
      <c r="BH36" s="775" t="str" cm="1">
        <f t="array" ref="BH36">IF(OR(C36="",O36="",T36="",Q36="",AB36="",AF36="",AI36="",AK36=""),"",ROUND(O36*INDEX(_xlfn.SWITCH(Program_Banner,"Business Energy Savings",STDLIGHTCONT[Electric Energy Savings WBE (Annual kWh/unit)],"Small Business / Non-Profit",STDLIGHTCONT[Electric Energy Savings HTRB (Annual kWh/unit)],0),MATCH(C36,STDLIGHTCONT[Measure Name],0)),4))</f>
        <v/>
      </c>
      <c r="BI36" s="775" t="str" cm="1">
        <f t="array" ref="BI36">IF(OR(C36="",O36="",T36="",Q36="",AB36="",AF36="",AI36="",AK36=""),"",ROUND(O36*INDEX(_xlfn.SWITCH(Program_Banner,"Business Energy Savings",STDLIGHTCONT[Coincident Peak Demand Savings WBE (kW/unit)],"Small Business / Non-Profit",STDLIGHTCONT[Coincident Peak Demand Savings HTRB (kW/unit)],0),MATCH(C36,STDLIGHTCONT[Measure Name],0)),4))</f>
        <v/>
      </c>
      <c r="BJ36" s="778" t="str">
        <f>IFERROR(INDEX(STDLIGHTCONT[Measure Life (Years)],MATCH(C36,STDLIGHTCONT[Measure Name],0)),"")</f>
        <v/>
      </c>
      <c r="BK36" s="768" t="str">
        <f>IFERROR(IF(OR(C36="",O36="",T36="",Q36="",AB36="",AF36="",AI36="",AK36=""),"",
ROUND(((1+ELOSS)*((BE36*INDEX(ELECCB[NPV AEC $/kWh],MATCH(BJ36,ELECCB[Year Number],1)))+(BF36*INDEX(ELECCB[NPV ACC $/kW],MATCH(BJ36,ELECCB[Year Number],1))))),2)),0)</f>
        <v/>
      </c>
      <c r="BL36" s="768" t="str">
        <f t="shared" si="2"/>
        <v/>
      </c>
      <c r="BM36" s="768" t="str">
        <f>IF(OR(C36="", O36=""), "", O36 * INDEX(STDLIGHTCONT[Incremental Measure Cost ($/Unit)],MATCH(C36,STDLIGHTCONT[Measure Name],0)))</f>
        <v/>
      </c>
      <c r="BN36" s="764" t="str">
        <f t="shared" si="3"/>
        <v/>
      </c>
      <c r="BO36" s="764" t="str">
        <f>IFERROR(IF(BM36 &lt;&gt; "", BM36, BL36) / M02S04F06 / AO36, "")</f>
        <v/>
      </c>
      <c r="BP36" s="879"/>
      <c r="BQ36" s="768" t="str">
        <f t="shared" ref="BQ36" si="39">IFERROR(ROUND(O36*AM36, 2), "")</f>
        <v/>
      </c>
      <c r="BR36" s="765"/>
      <c r="BS36" s="765"/>
      <c r="BT36" s="765"/>
      <c r="BU36" s="758" t="str">
        <f t="shared" ref="BU36" si="40">IFERROR(IF(BP36="",IF(AR36 &lt; BQ36, "100% Total Cost", ""), ""), "")</f>
        <v/>
      </c>
      <c r="BV36" s="767" t="str">
        <f t="shared" si="4"/>
        <v/>
      </c>
      <c r="BW36" s="758" t="str">
        <f>IFERROR(IF(OR(C36="",O36="",T36="",Q36="",AB36="",AF36="",AI36="",AK36=""),"", IF(BY36&lt;&gt;"", SPILLOVERNUMBER, INDEX(STDLIGHTCONT[Measure Number],MATCH(C36,STDLIGHTCONT[Measure Name],0)))),"Err")</f>
        <v/>
      </c>
      <c r="BX36" s="757" t="str" cm="1">
        <f t="array" ref="BX36">IFERROR(INDEX(_xlfn.SWITCH(Program_Banner,"Business Energy Savings",STDLIGHTCONT[Primary Key WBE],"Small Business / Non-Profit",STDLIGHTCONT[Primary Key HTRB],0),MATCH(BW36,STDLIGHTCONT[Measure Number],0)),"")</f>
        <v/>
      </c>
      <c r="BY36" s="758" t="str">
        <f>IFERROR(IF(OR(C36="",O36="",Q36="",T36="",AB36="",AF36="",AI36="",AK36=""),"",
IF(BP36&gt;0,"",
IF(EXPIRATION&lt;&gt;"",PROJSTATEXP,
IF(M02S04F19="",MEASUREBLDG,"")))),"")</f>
        <v/>
      </c>
      <c r="BZ36" s="880" t="str">
        <f>IFERROR(O36*INDEX(STDLIGHTCONT[Min Watts Controlled],MATCH(C36,STDLIGHTCONT[Measure Name],0)),"")</f>
        <v/>
      </c>
      <c r="CA36" s="754"/>
      <c r="CB36" s="754"/>
      <c r="CC36" s="754"/>
    </row>
    <row r="37" spans="2:81" ht="15.95" customHeight="1">
      <c r="B37" s="785"/>
      <c r="C37" s="793"/>
      <c r="D37" s="795"/>
      <c r="E37" s="795"/>
      <c r="F37" s="795"/>
      <c r="G37" s="795"/>
      <c r="H37" s="795"/>
      <c r="I37" s="795"/>
      <c r="J37" s="795"/>
      <c r="K37" s="795"/>
      <c r="L37" s="794"/>
      <c r="M37" s="883"/>
      <c r="N37" s="884"/>
      <c r="O37" s="885"/>
      <c r="P37" s="885"/>
      <c r="Q37" s="881"/>
      <c r="R37" s="881"/>
      <c r="S37" s="881"/>
      <c r="T37" s="806"/>
      <c r="U37" s="806"/>
      <c r="V37" s="806"/>
      <c r="W37" s="806"/>
      <c r="X37" s="806"/>
      <c r="Y37" s="806"/>
      <c r="Z37" s="806"/>
      <c r="AA37" s="806"/>
      <c r="AB37" s="806"/>
      <c r="AC37" s="806"/>
      <c r="AD37" s="806"/>
      <c r="AE37" s="806"/>
      <c r="AF37" s="806"/>
      <c r="AG37" s="806"/>
      <c r="AH37" s="786"/>
      <c r="AI37" s="809"/>
      <c r="AJ37" s="810"/>
      <c r="AK37" s="810"/>
      <c r="AL37" s="812"/>
      <c r="AM37" s="815"/>
      <c r="AN37" s="816"/>
      <c r="AO37" s="818"/>
      <c r="AP37" s="818"/>
      <c r="AQ37" s="818"/>
      <c r="AR37" s="822"/>
      <c r="AS37" s="823"/>
      <c r="AT37" s="823"/>
      <c r="AU37" s="824"/>
      <c r="AV37" s="17"/>
      <c r="AX37" s="774"/>
      <c r="AY37" s="760"/>
      <c r="AZ37" s="760"/>
      <c r="BA37" s="772"/>
      <c r="BB37" s="772"/>
      <c r="BC37" s="774"/>
      <c r="BD37" s="758"/>
      <c r="BE37" s="776"/>
      <c r="BF37" s="776"/>
      <c r="BG37" s="762"/>
      <c r="BH37" s="776"/>
      <c r="BI37" s="776"/>
      <c r="BJ37" s="778"/>
      <c r="BK37" s="768"/>
      <c r="BL37" s="768"/>
      <c r="BM37" s="768"/>
      <c r="BN37" s="764"/>
      <c r="BO37" s="764"/>
      <c r="BP37" s="879"/>
      <c r="BQ37" s="768"/>
      <c r="BR37" s="766"/>
      <c r="BS37" s="766"/>
      <c r="BT37" s="766"/>
      <c r="BU37" s="758"/>
      <c r="BV37" s="768"/>
      <c r="BW37" s="758"/>
      <c r="BX37" s="758"/>
      <c r="BY37" s="758"/>
      <c r="BZ37" s="880"/>
      <c r="CA37" s="754"/>
      <c r="CB37" s="754"/>
      <c r="CC37" s="754"/>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E48" s="26"/>
      <c r="BH48" s="26"/>
      <c r="BI48" s="32"/>
    </row>
    <row r="49" spans="57:61" ht="15.95" hidden="1" customHeight="1">
      <c r="BE49" s="26"/>
      <c r="BH49" s="26"/>
      <c r="BI49" s="32"/>
    </row>
    <row r="50" spans="57:61" ht="15.95" hidden="1" customHeight="1">
      <c r="BE50" s="26"/>
      <c r="BH50" s="26"/>
      <c r="BI50" s="32"/>
    </row>
    <row r="51" spans="57:61" ht="15.95" hidden="1" customHeight="1">
      <c r="BE51" s="26"/>
      <c r="BH51" s="26"/>
      <c r="BI51" s="32"/>
    </row>
    <row r="52" spans="57:61" ht="15.95" hidden="1" customHeight="1">
      <c r="BE52" s="26"/>
      <c r="BH52" s="26"/>
      <c r="BI52" s="32"/>
    </row>
    <row r="53" spans="57:61" ht="15.95" hidden="1" customHeight="1">
      <c r="BE53" s="26"/>
      <c r="BH53" s="26"/>
      <c r="BI53" s="32"/>
    </row>
    <row r="54" spans="57:61" ht="15.95" hidden="1" customHeight="1">
      <c r="BE54" s="26"/>
      <c r="BH54" s="26"/>
      <c r="BI54" s="32"/>
    </row>
    <row r="55" spans="57:61" ht="15.95" hidden="1" customHeight="1">
      <c r="BE55" s="26"/>
      <c r="BH55" s="26"/>
      <c r="BI55" s="32"/>
    </row>
    <row r="56" spans="57:61" ht="15.95" hidden="1" customHeight="1">
      <c r="BE56" s="26"/>
      <c r="BH56" s="26"/>
      <c r="BI56" s="32"/>
    </row>
    <row r="57" spans="57:61" ht="15.95" hidden="1" customHeight="1">
      <c r="BE57" s="26"/>
      <c r="BH57" s="26"/>
      <c r="BI57" s="32"/>
    </row>
    <row r="58" spans="57:61" ht="15.95" hidden="1" customHeight="1">
      <c r="BE58" s="26"/>
      <c r="BH58" s="26"/>
      <c r="BI58" s="32"/>
    </row>
    <row r="59" spans="57:61" ht="15.95" hidden="1" customHeight="1">
      <c r="BE59" s="26"/>
      <c r="BH59" s="26"/>
      <c r="BI59" s="32"/>
    </row>
    <row r="60" spans="57:61" ht="15.95" hidden="1" customHeight="1">
      <c r="BE60" s="26"/>
      <c r="BH60" s="26"/>
      <c r="BI60" s="32"/>
    </row>
    <row r="61" spans="57:61" ht="15.95" hidden="1" customHeight="1">
      <c r="BE61" s="26"/>
      <c r="BH61" s="26"/>
      <c r="BI61" s="32"/>
    </row>
    <row r="62" spans="57:61" ht="15.95" hidden="1" customHeight="1">
      <c r="BE62" s="26"/>
      <c r="BH62" s="26"/>
      <c r="BI62" s="32"/>
    </row>
    <row r="63" spans="57:61" ht="15.95" hidden="1" customHeight="1">
      <c r="BE63" s="26"/>
      <c r="BH63" s="26"/>
      <c r="BI63" s="32"/>
    </row>
    <row r="64" spans="57:61" ht="15.95" hidden="1" customHeight="1">
      <c r="BE64" s="26"/>
      <c r="BH64" s="26"/>
      <c r="BI64" s="32"/>
    </row>
    <row r="65" spans="57:61" ht="15.95" hidden="1" customHeight="1">
      <c r="BE65" s="26"/>
      <c r="BH65" s="26"/>
      <c r="BI65" s="32"/>
    </row>
    <row r="66" spans="57:61" ht="15.95" hidden="1" customHeight="1">
      <c r="BE66" s="26"/>
      <c r="BH66" s="26"/>
      <c r="BI66" s="32"/>
    </row>
    <row r="67" spans="57:61" ht="15.95" hidden="1" customHeight="1">
      <c r="BE67" s="26"/>
      <c r="BH67" s="26"/>
      <c r="BI67" s="32"/>
    </row>
    <row r="68" spans="57:61" ht="15.95" hidden="1" customHeight="1">
      <c r="BE68" s="26"/>
      <c r="BH68" s="26"/>
      <c r="BI68" s="32"/>
    </row>
    <row r="69" spans="57:61" ht="15.95" hidden="1" customHeight="1">
      <c r="BE69" s="26"/>
      <c r="BH69" s="26"/>
      <c r="BI69" s="32"/>
    </row>
    <row r="70" spans="57:61" ht="15.95" hidden="1" customHeight="1">
      <c r="BE70" s="26"/>
      <c r="BH70" s="26"/>
      <c r="BI70" s="32"/>
    </row>
    <row r="71" spans="57:61" ht="15.95" hidden="1" customHeight="1">
      <c r="BE71" s="26"/>
      <c r="BH71" s="26"/>
      <c r="BI71" s="32"/>
    </row>
    <row r="72" spans="57:61" ht="15.95" hidden="1" customHeight="1">
      <c r="BE72" s="26"/>
      <c r="BH72" s="26"/>
      <c r="BI72" s="32"/>
    </row>
    <row r="73" spans="57:61" ht="15.95" hidden="1" customHeight="1">
      <c r="BE73" s="26"/>
      <c r="BH73" s="26"/>
      <c r="BI73" s="32"/>
    </row>
    <row r="74" spans="57:61" ht="15.95" hidden="1" customHeight="1">
      <c r="BE74" s="26"/>
      <c r="BH74" s="26"/>
      <c r="BI74" s="32"/>
    </row>
    <row r="75" spans="57:61" ht="15.95" hidden="1" customHeight="1">
      <c r="BE75" s="26"/>
      <c r="BH75" s="26"/>
      <c r="BI75" s="32"/>
    </row>
    <row r="76" spans="57:61" ht="15.95" hidden="1" customHeight="1">
      <c r="BE76" s="26"/>
      <c r="BH76" s="26"/>
      <c r="BI76" s="32"/>
    </row>
    <row r="77" spans="57:61" ht="15.95" hidden="1" customHeight="1">
      <c r="BE77" s="26"/>
      <c r="BH77" s="26"/>
      <c r="BI77" s="32"/>
    </row>
    <row r="78" spans="57:61" ht="15.95" hidden="1" customHeight="1">
      <c r="BE78" s="26"/>
      <c r="BH78" s="26"/>
      <c r="BI78" s="32"/>
    </row>
    <row r="79" spans="57:61" ht="15.95" hidden="1" customHeight="1">
      <c r="BE79" s="26"/>
      <c r="BH79" s="26"/>
      <c r="BI79" s="32"/>
    </row>
    <row r="80" spans="57:61" ht="15.95" hidden="1" customHeight="1">
      <c r="BE80" s="26"/>
      <c r="BH80" s="26"/>
      <c r="BI80" s="32"/>
    </row>
    <row r="81" spans="57:61" ht="15.95" hidden="1" customHeight="1">
      <c r="BE81" s="26"/>
      <c r="BH81" s="26"/>
      <c r="BI81" s="32"/>
    </row>
    <row r="82" spans="57:61" ht="15.95" hidden="1" customHeight="1">
      <c r="BE82" s="26"/>
      <c r="BH82" s="26"/>
      <c r="BI82" s="32"/>
    </row>
    <row r="83" spans="57:61" ht="15.95" hidden="1" customHeight="1">
      <c r="BE83" s="26"/>
      <c r="BH83" s="26"/>
      <c r="BI83" s="32"/>
    </row>
    <row r="84" spans="57:61" ht="15.95" hidden="1" customHeight="1">
      <c r="BE84" s="26"/>
      <c r="BH84" s="26"/>
      <c r="BI84" s="32"/>
    </row>
    <row r="85" spans="57:61" ht="15.95" hidden="1" customHeight="1">
      <c r="BE85" s="26"/>
      <c r="BH85" s="26"/>
      <c r="BI85" s="32"/>
    </row>
    <row r="86" spans="57:61" ht="15.95" hidden="1" customHeight="1">
      <c r="BE86" s="26"/>
      <c r="BH86" s="26"/>
      <c r="BI86" s="32"/>
    </row>
    <row r="87" spans="57:61" ht="15.95" hidden="1" customHeight="1">
      <c r="BE87" s="26"/>
      <c r="BH87" s="26"/>
      <c r="BI87" s="32"/>
    </row>
    <row r="88" spans="57:61" ht="15.95" hidden="1" customHeight="1">
      <c r="BE88" s="26"/>
      <c r="BH88" s="26"/>
      <c r="BI88" s="32"/>
    </row>
    <row r="89" spans="57:61" ht="15.95" hidden="1" customHeight="1">
      <c r="BE89" s="26"/>
      <c r="BH89" s="26"/>
      <c r="BI89" s="32"/>
    </row>
    <row r="90" spans="57:61" ht="15.95" hidden="1" customHeight="1">
      <c r="BE90" s="26"/>
      <c r="BH90" s="26"/>
      <c r="BI90" s="32"/>
    </row>
    <row r="91" spans="57:61" ht="15.95" hidden="1" customHeight="1">
      <c r="BE91" s="26"/>
      <c r="BH91" s="26"/>
      <c r="BI91" s="32"/>
    </row>
    <row r="92" spans="57:61" ht="15.95" hidden="1" customHeight="1">
      <c r="BE92" s="26"/>
      <c r="BH92" s="26"/>
      <c r="BI92" s="32"/>
    </row>
    <row r="93" spans="57:61" ht="15.95" hidden="1" customHeight="1">
      <c r="BE93" s="26"/>
      <c r="BH93" s="26"/>
      <c r="BI93" s="32"/>
    </row>
    <row r="94" spans="57:61" ht="15.95" hidden="1" customHeight="1">
      <c r="BE94" s="26"/>
      <c r="BH94" s="26"/>
      <c r="BI94" s="32"/>
    </row>
    <row r="95" spans="57:61" ht="15.95" hidden="1" customHeight="1">
      <c r="BE95" s="26"/>
      <c r="BH95" s="26"/>
      <c r="BI95" s="32"/>
    </row>
    <row r="96" spans="57:61" ht="15.95" hidden="1" customHeight="1">
      <c r="BE96" s="26"/>
      <c r="BH96" s="26"/>
      <c r="BI96" s="32"/>
    </row>
    <row r="97" spans="57:61" ht="15.95" hidden="1" customHeight="1">
      <c r="BE97" s="26"/>
      <c r="BH97" s="26"/>
      <c r="BI97" s="32"/>
    </row>
    <row r="98" spans="57:61" ht="15.95" hidden="1" customHeight="1">
      <c r="BE98" s="26"/>
      <c r="BH98" s="26"/>
      <c r="BI98" s="32"/>
    </row>
    <row r="99" spans="57:61" ht="15.95" hidden="1" customHeight="1">
      <c r="BE99" s="26"/>
      <c r="BH99" s="26"/>
      <c r="BI99" s="32"/>
    </row>
    <row r="100" spans="57:61" ht="15.95" hidden="1" customHeight="1">
      <c r="BE100" s="26"/>
      <c r="BH100" s="26"/>
      <c r="BI100" s="32"/>
    </row>
    <row r="101" spans="57:61" ht="15.95" hidden="1" customHeight="1">
      <c r="BE101" s="26"/>
      <c r="BH101" s="26"/>
      <c r="BI101" s="32"/>
    </row>
    <row r="102" spans="57:61" ht="15.95" hidden="1" customHeight="1">
      <c r="BE102" s="26"/>
      <c r="BH102" s="26"/>
      <c r="BI102" s="32"/>
    </row>
    <row r="103" spans="57:61" ht="15.95" hidden="1" customHeight="1">
      <c r="BE103" s="26"/>
      <c r="BH103" s="26"/>
      <c r="BI103" s="32"/>
    </row>
    <row r="104" spans="57:61" ht="15.95" hidden="1" customHeight="1">
      <c r="BE104" s="26"/>
      <c r="BH104" s="26"/>
      <c r="BI104" s="32"/>
    </row>
    <row r="105" spans="57:61" ht="15.95" hidden="1" customHeight="1">
      <c r="BE105" s="26"/>
      <c r="BH105" s="26"/>
      <c r="BI105" s="32"/>
    </row>
    <row r="106" spans="57:61" ht="15.95" hidden="1" customHeight="1">
      <c r="BE106" s="26"/>
      <c r="BH106" s="26"/>
      <c r="BI106" s="32"/>
    </row>
    <row r="107" spans="57:61" ht="15.95" hidden="1" customHeight="1">
      <c r="BE107" s="26"/>
      <c r="BH107" s="26"/>
      <c r="BI107" s="32"/>
    </row>
    <row r="108" spans="57:61" ht="15.95" hidden="1" customHeight="1">
      <c r="BE108" s="26"/>
      <c r="BH108" s="26"/>
      <c r="BI108" s="32"/>
    </row>
    <row r="109" spans="57:61" ht="15.95" hidden="1" customHeight="1">
      <c r="BE109" s="26"/>
      <c r="BH109" s="26"/>
      <c r="BI109" s="32"/>
    </row>
    <row r="110" spans="57:61" ht="15.95" hidden="1" customHeight="1">
      <c r="BE110" s="26"/>
      <c r="BH110" s="26"/>
      <c r="BI110" s="32"/>
    </row>
    <row r="111" spans="57:61" ht="15.95" hidden="1" customHeight="1">
      <c r="BE111" s="26"/>
      <c r="BH111" s="26"/>
      <c r="BI111" s="32"/>
    </row>
    <row r="112" spans="57:61" ht="15.95" hidden="1" customHeight="1">
      <c r="BE112" s="26"/>
      <c r="BH112" s="26"/>
      <c r="BI112" s="32"/>
    </row>
    <row r="113" spans="57:61" ht="15.95" hidden="1" customHeight="1">
      <c r="BE113" s="26"/>
      <c r="BH113" s="26"/>
      <c r="BI113" s="32"/>
    </row>
    <row r="114" spans="57:61" ht="15.95" hidden="1" customHeight="1">
      <c r="BE114" s="26"/>
      <c r="BH114" s="26"/>
      <c r="BI114" s="32"/>
    </row>
    <row r="115" spans="57:61" ht="15.95" hidden="1" customHeight="1">
      <c r="BE115" s="26"/>
      <c r="BH115" s="26"/>
      <c r="BI115" s="32"/>
    </row>
    <row r="116" spans="57:61" ht="15.95" hidden="1" customHeight="1">
      <c r="BE116" s="26"/>
      <c r="BH116" s="26"/>
      <c r="BI116" s="32"/>
    </row>
    <row r="117" spans="57:61" ht="15.95" hidden="1" customHeight="1">
      <c r="BE117" s="26"/>
      <c r="BH117" s="26"/>
      <c r="BI117" s="32"/>
    </row>
    <row r="118" spans="57:61" ht="15.95" hidden="1" customHeight="1">
      <c r="BE118" s="26"/>
      <c r="BH118" s="26"/>
      <c r="BI118" s="32"/>
    </row>
    <row r="119" spans="57:61" ht="15.95" hidden="1" customHeight="1">
      <c r="BE119" s="26"/>
      <c r="BH119" s="26"/>
      <c r="BI119" s="32"/>
    </row>
    <row r="120" spans="57:61" ht="15.95" hidden="1" customHeight="1">
      <c r="BE120" s="26"/>
      <c r="BH120" s="26"/>
      <c r="BI120" s="32"/>
    </row>
    <row r="121" spans="57:61" ht="15.95" hidden="1" customHeight="1">
      <c r="BE121" s="26"/>
      <c r="BH121" s="26"/>
      <c r="BI121" s="32"/>
    </row>
    <row r="122" spans="57:61" ht="15.95" hidden="1" customHeight="1">
      <c r="BE122" s="26"/>
      <c r="BH122" s="26"/>
      <c r="BI122" s="32"/>
    </row>
    <row r="123" spans="57:61" ht="15.95" hidden="1" customHeight="1">
      <c r="BE123" s="26"/>
      <c r="BH123" s="26"/>
      <c r="BI123" s="32"/>
    </row>
    <row r="124" spans="57:61" ht="15.95" hidden="1" customHeight="1">
      <c r="BE124" s="26"/>
      <c r="BH124" s="26"/>
      <c r="BI124" s="32"/>
    </row>
    <row r="125" spans="57:61" ht="15.95" hidden="1" customHeight="1">
      <c r="BE125" s="26"/>
      <c r="BH125" s="26"/>
      <c r="BI125" s="32"/>
    </row>
    <row r="126" spans="57:61" ht="15.95" hidden="1" customHeight="1">
      <c r="BE126" s="26"/>
      <c r="BH126" s="26"/>
      <c r="BI126" s="32"/>
    </row>
    <row r="127" spans="57:61" ht="15.95" hidden="1" customHeight="1">
      <c r="BE127" s="26"/>
      <c r="BH127" s="26"/>
      <c r="BI127" s="32"/>
    </row>
    <row r="128" spans="57:61" ht="15.95" hidden="1" customHeight="1">
      <c r="BE128" s="26"/>
      <c r="BH128" s="26"/>
      <c r="BI128" s="32"/>
    </row>
    <row r="129" spans="57:61" ht="15.95" hidden="1" customHeight="1">
      <c r="BE129" s="26"/>
      <c r="BH129" s="26"/>
      <c r="BI129" s="32"/>
    </row>
    <row r="130" spans="57:61" ht="15.95" hidden="1" customHeight="1">
      <c r="BE130" s="26"/>
      <c r="BH130" s="26"/>
      <c r="BI130" s="32"/>
    </row>
    <row r="131" spans="57:61" ht="15.95" hidden="1" customHeight="1">
      <c r="BE131" s="26"/>
      <c r="BH131" s="26"/>
      <c r="BI131" s="32"/>
    </row>
    <row r="132" spans="57:61" ht="15.95" hidden="1" customHeight="1">
      <c r="BE132" s="26"/>
      <c r="BH132" s="26"/>
      <c r="BI132" s="32"/>
    </row>
    <row r="133" spans="57:61" ht="15.95" hidden="1" customHeight="1">
      <c r="BE133" s="26"/>
      <c r="BH133" s="26"/>
      <c r="BI133" s="32"/>
    </row>
    <row r="134" spans="57:61" ht="15.95" hidden="1" customHeight="1">
      <c r="BE134" s="26"/>
      <c r="BH134" s="26"/>
      <c r="BI134" s="32"/>
    </row>
    <row r="135" spans="57:61" ht="15.95" hidden="1" customHeight="1">
      <c r="BE135" s="26"/>
      <c r="BH135" s="26"/>
      <c r="BI135" s="32"/>
    </row>
    <row r="136" spans="57:61" ht="15.95" hidden="1" customHeight="1">
      <c r="BE136" s="26"/>
      <c r="BH136" s="26"/>
      <c r="BI136" s="32"/>
    </row>
    <row r="137" spans="57:61" ht="15.95" hidden="1" customHeight="1">
      <c r="BE137" s="26"/>
      <c r="BH137" s="26"/>
      <c r="BI137" s="32"/>
    </row>
    <row r="138" spans="57:61" ht="15.95" hidden="1" customHeight="1">
      <c r="BE138" s="26"/>
      <c r="BH138" s="26"/>
      <c r="BI138" s="32"/>
    </row>
    <row r="139" spans="57:61" ht="15.95" hidden="1" customHeight="1">
      <c r="BE139" s="26"/>
      <c r="BH139" s="26"/>
      <c r="BI139" s="32"/>
    </row>
    <row r="140" spans="57:61" ht="15.95" hidden="1" customHeight="1">
      <c r="BE140" s="26"/>
      <c r="BH140" s="26"/>
      <c r="BI140" s="32"/>
    </row>
    <row r="141" spans="57:61" ht="15.95" hidden="1" customHeight="1">
      <c r="BE141" s="26"/>
      <c r="BH141" s="26"/>
      <c r="BI141" s="32"/>
    </row>
    <row r="142" spans="57:61" ht="15.95" hidden="1" customHeight="1">
      <c r="BE142" s="26"/>
      <c r="BH142" s="26"/>
      <c r="BI142" s="32"/>
    </row>
    <row r="143" spans="57:61" ht="15.95" hidden="1" customHeight="1">
      <c r="BE143" s="26"/>
      <c r="BH143" s="26"/>
      <c r="BI143" s="32"/>
    </row>
    <row r="144" spans="57:61" ht="15.95" hidden="1" customHeight="1">
      <c r="BE144" s="26"/>
      <c r="BH144" s="26"/>
      <c r="BI144" s="32"/>
    </row>
    <row r="145" spans="57:61" ht="15.95" hidden="1" customHeight="1">
      <c r="BE145" s="26"/>
      <c r="BH145" s="26"/>
      <c r="BI145" s="32"/>
    </row>
    <row r="146" spans="57:61" ht="15.95" hidden="1" customHeight="1">
      <c r="BE146" s="26"/>
      <c r="BH146" s="26"/>
      <c r="BI146" s="32"/>
    </row>
    <row r="147" spans="57:61" ht="15.95" hidden="1" customHeight="1">
      <c r="BE147" s="26"/>
      <c r="BH147" s="26"/>
      <c r="BI147" s="32"/>
    </row>
    <row r="148" spans="57:61" ht="15.95" hidden="1" customHeight="1">
      <c r="BE148" s="26"/>
      <c r="BH148" s="26"/>
      <c r="BI148" s="32"/>
    </row>
    <row r="149" spans="57:61" ht="15.95" hidden="1" customHeight="1">
      <c r="BE149" s="26"/>
      <c r="BH149" s="26"/>
      <c r="BI149" s="32"/>
    </row>
    <row r="150" spans="57:61" ht="15.95" hidden="1" customHeight="1">
      <c r="BE150" s="26"/>
      <c r="BH150" s="26"/>
      <c r="BI150" s="32"/>
    </row>
    <row r="151" spans="57:61" ht="15.95" hidden="1" customHeight="1">
      <c r="BE151" s="26"/>
      <c r="BH151" s="26"/>
      <c r="BI151" s="32"/>
    </row>
    <row r="152" spans="57:61" ht="15.95" hidden="1" customHeight="1">
      <c r="BE152" s="26"/>
      <c r="BH152" s="26"/>
      <c r="BI152" s="32"/>
    </row>
    <row r="153" spans="57:61" ht="15.95" hidden="1" customHeight="1">
      <c r="BE153" s="26"/>
      <c r="BH153" s="26"/>
      <c r="BI153" s="32"/>
    </row>
    <row r="154" spans="57:61" ht="15.95" hidden="1" customHeight="1">
      <c r="BE154" s="26"/>
      <c r="BH154" s="26"/>
      <c r="BI154" s="32"/>
    </row>
    <row r="155" spans="57:61" ht="15.95" hidden="1" customHeight="1">
      <c r="BE155" s="26"/>
      <c r="BH155" s="26"/>
      <c r="BI155" s="32"/>
    </row>
    <row r="156" spans="57:61" ht="15.95" hidden="1" customHeight="1">
      <c r="BE156" s="26"/>
      <c r="BH156" s="26"/>
      <c r="BI156" s="32"/>
    </row>
    <row r="157" spans="57:61" ht="15.95" hidden="1" customHeight="1">
      <c r="BE157" s="26"/>
      <c r="BH157" s="26"/>
      <c r="BI157" s="32"/>
    </row>
    <row r="158" spans="57:61" ht="15.95" hidden="1" customHeight="1">
      <c r="BE158" s="26"/>
      <c r="BH158" s="26"/>
      <c r="BI158" s="32"/>
    </row>
    <row r="159" spans="57:61" ht="15.95" hidden="1" customHeight="1">
      <c r="BE159" s="26"/>
      <c r="BH159" s="26"/>
      <c r="BI159" s="32"/>
    </row>
    <row r="160" spans="57:61" ht="15.95" hidden="1" customHeight="1">
      <c r="BE160" s="26"/>
      <c r="BH160" s="26"/>
      <c r="BI160" s="32"/>
    </row>
    <row r="161" spans="57:61" ht="15.95" hidden="1" customHeight="1">
      <c r="BE161" s="26"/>
      <c r="BH161" s="26"/>
      <c r="BI161" s="32"/>
    </row>
    <row r="162" spans="57:61" ht="15.95" hidden="1" customHeight="1">
      <c r="BE162" s="26"/>
      <c r="BH162" s="26"/>
      <c r="BI162" s="32"/>
    </row>
    <row r="163" spans="57:61" ht="15.95" hidden="1" customHeight="1">
      <c r="BE163" s="26"/>
      <c r="BH163" s="26"/>
      <c r="BI163" s="32"/>
    </row>
    <row r="164" spans="57:61" ht="15.95" hidden="1" customHeight="1">
      <c r="BE164" s="26"/>
      <c r="BH164" s="26"/>
      <c r="BI164" s="32"/>
    </row>
    <row r="165" spans="57:61" ht="15.95" hidden="1" customHeight="1">
      <c r="BE165" s="26"/>
      <c r="BH165" s="26"/>
      <c r="BI165" s="32"/>
    </row>
    <row r="166" spans="57:61" ht="15.95" hidden="1" customHeight="1">
      <c r="BE166" s="26"/>
      <c r="BH166" s="26"/>
      <c r="BI166" s="32"/>
    </row>
    <row r="167" spans="57:61" ht="15.95" hidden="1" customHeight="1">
      <c r="BE167" s="26"/>
      <c r="BH167" s="26"/>
      <c r="BI167" s="32"/>
    </row>
    <row r="168" spans="57:61" ht="15.95" hidden="1" customHeight="1">
      <c r="BE168" s="26"/>
      <c r="BH168" s="26"/>
      <c r="BI168" s="32"/>
    </row>
    <row r="169" spans="57:61" ht="15.95" hidden="1" customHeight="1">
      <c r="BE169" s="26"/>
      <c r="BH169" s="26"/>
      <c r="BI169" s="32"/>
    </row>
    <row r="170" spans="57:61" ht="15.95" hidden="1" customHeight="1">
      <c r="BE170" s="26"/>
      <c r="BH170" s="26"/>
      <c r="BI170" s="32"/>
    </row>
    <row r="171" spans="57:61" ht="15.95" hidden="1" customHeight="1">
      <c r="BE171" s="26"/>
      <c r="BH171" s="26"/>
      <c r="BI171" s="32"/>
    </row>
    <row r="172" spans="57:61" ht="15.95" hidden="1" customHeight="1">
      <c r="BE172" s="26"/>
      <c r="BH172" s="26"/>
      <c r="BI172" s="32"/>
    </row>
    <row r="173" spans="57:61" ht="15.95" hidden="1" customHeight="1">
      <c r="BE173" s="26"/>
      <c r="BH173" s="26"/>
      <c r="BI173" s="32"/>
    </row>
    <row r="174" spans="57:61" ht="15.95" hidden="1" customHeight="1">
      <c r="BE174" s="26"/>
      <c r="BH174" s="26"/>
      <c r="BI174" s="32"/>
    </row>
    <row r="175" spans="57:61" ht="15.95" hidden="1" customHeight="1">
      <c r="BE175" s="26"/>
      <c r="BH175" s="26"/>
      <c r="BI175" s="32"/>
    </row>
    <row r="176" spans="57:61" ht="15.95" hidden="1" customHeight="1">
      <c r="BE176" s="26"/>
      <c r="BH176" s="26"/>
      <c r="BI176" s="32"/>
    </row>
    <row r="177" spans="57:61" ht="15.95" hidden="1" customHeight="1">
      <c r="BE177" s="26"/>
      <c r="BH177" s="26"/>
      <c r="BI177" s="32"/>
    </row>
    <row r="178" spans="57:61" ht="15.95" hidden="1" customHeight="1">
      <c r="BE178" s="26"/>
      <c r="BH178" s="26"/>
      <c r="BI178" s="32"/>
    </row>
    <row r="179" spans="57:61" ht="15.95" hidden="1" customHeight="1">
      <c r="BE179" s="26"/>
      <c r="BH179" s="26"/>
      <c r="BI179" s="32"/>
    </row>
    <row r="180" spans="57:61" ht="15.95" hidden="1" customHeight="1">
      <c r="BE180" s="26"/>
      <c r="BH180" s="26"/>
      <c r="BI180" s="32"/>
    </row>
    <row r="181" spans="57:61" ht="15.95" hidden="1" customHeight="1">
      <c r="BE181" s="26"/>
      <c r="BH181" s="26"/>
      <c r="BI181" s="32"/>
    </row>
    <row r="182" spans="57:61" ht="15.95" hidden="1" customHeight="1">
      <c r="BE182" s="26"/>
      <c r="BH182" s="26"/>
      <c r="BI182" s="32"/>
    </row>
    <row r="183" spans="57:61" ht="15.95" hidden="1" customHeight="1">
      <c r="BE183" s="26"/>
      <c r="BH183" s="26"/>
      <c r="BI183" s="32"/>
    </row>
    <row r="184" spans="57:61" ht="15.95" hidden="1" customHeight="1">
      <c r="BE184" s="26"/>
      <c r="BH184" s="26"/>
      <c r="BI184" s="32"/>
    </row>
    <row r="185" spans="57:61" ht="15.95" hidden="1" customHeight="1">
      <c r="BE185" s="26"/>
      <c r="BH185" s="26"/>
      <c r="BI185" s="32"/>
    </row>
    <row r="186" spans="57:61" ht="15.95" hidden="1" customHeight="1">
      <c r="BE186" s="26"/>
      <c r="BH186" s="26"/>
      <c r="BI186" s="32"/>
    </row>
    <row r="187" spans="57:61" ht="15.95" hidden="1" customHeight="1">
      <c r="BE187" s="26"/>
      <c r="BH187" s="26"/>
      <c r="BI187" s="32"/>
    </row>
    <row r="188" spans="57:61" ht="15.95" hidden="1" customHeight="1">
      <c r="BE188" s="26"/>
      <c r="BH188" s="26"/>
      <c r="BI188" s="32"/>
    </row>
    <row r="189" spans="57:61" ht="15.95" hidden="1" customHeight="1">
      <c r="BE189" s="26"/>
      <c r="BH189" s="26"/>
      <c r="BI189" s="32"/>
    </row>
    <row r="190" spans="57:61" ht="15.95" hidden="1" customHeight="1">
      <c r="BE190" s="26"/>
      <c r="BH190" s="26"/>
      <c r="BI190" s="32"/>
    </row>
    <row r="191" spans="57:61" ht="15.95" hidden="1" customHeight="1">
      <c r="BE191" s="26"/>
      <c r="BH191" s="26"/>
      <c r="BI191" s="32"/>
    </row>
    <row r="192" spans="57:61" ht="15.95" hidden="1" customHeight="1">
      <c r="BE192" s="26"/>
      <c r="BH192" s="26"/>
      <c r="BI192" s="32"/>
    </row>
    <row r="193" spans="1:69" ht="15.95" hidden="1" customHeight="1">
      <c r="BE193" s="26"/>
      <c r="BH193" s="26"/>
      <c r="BI193" s="32"/>
    </row>
    <row r="194" spans="1:69" ht="15.95" hidden="1" customHeight="1">
      <c r="BE194" s="26"/>
      <c r="BH194" s="26"/>
      <c r="BI194" s="32"/>
    </row>
    <row r="195" spans="1:69" ht="15.95" hidden="1" customHeight="1">
      <c r="BE195" s="26"/>
      <c r="BH195" s="26"/>
      <c r="BI195" s="32"/>
    </row>
    <row r="196" spans="1:69" ht="15.95" hidden="1" customHeight="1">
      <c r="BE196" s="26"/>
      <c r="BH196" s="26"/>
      <c r="BI196" s="32"/>
    </row>
    <row r="197" spans="1:69" ht="15.95" hidden="1" customHeight="1">
      <c r="BE197" s="26"/>
      <c r="BH197" s="26"/>
      <c r="BI197" s="32"/>
    </row>
    <row r="198" spans="1:69" ht="15.95" hidden="1" customHeight="1">
      <c r="BE198" s="26"/>
      <c r="BH198" s="26"/>
      <c r="BI198" s="32"/>
    </row>
    <row r="199" spans="1:69" ht="15.95" hidden="1" customHeight="1">
      <c r="BE199" s="26"/>
      <c r="BH199" s="26"/>
      <c r="BI199" s="32"/>
    </row>
    <row r="200" spans="1:6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E200" s="861">
        <f>SUM(BE18:BE199)</f>
        <v>0</v>
      </c>
      <c r="BF200" s="861">
        <f>SUM(BF18:BF199)</f>
        <v>0</v>
      </c>
      <c r="BH200" s="863">
        <f>SUM(BH18:BH199)</f>
        <v>0</v>
      </c>
      <c r="BI200" s="861">
        <f>SUM(BI18:BI199)</f>
        <v>0</v>
      </c>
      <c r="BL200" s="862">
        <f>SUM(BL18:BL199)</f>
        <v>0</v>
      </c>
      <c r="BQ200" s="319"/>
    </row>
    <row r="201" spans="1:6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E201" s="861"/>
      <c r="BF201" s="861"/>
      <c r="BH201" s="863"/>
      <c r="BI201" s="861"/>
      <c r="BL201" s="862"/>
      <c r="BQ201" s="319"/>
    </row>
    <row r="202" spans="1:6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9" ht="15.95" hidden="1" customHeight="1"/>
    <row r="204" spans="1:69" ht="15.95" hidden="1" customHeight="1"/>
  </sheetData>
  <sheetProtection algorithmName="SHA-512" hashValue="/ya5kUydUG/uaGcHiwoYDk7GwvMIlL4pXLLhZM/ioVU/xxtITPPWxj95WNual5QqICIh3MSMX4zLZrhlkyE1wQ==" saltValue="dQbkxhwq31Mz2BHSJ5csKQ==" spinCount="100000" sheet="1" objects="1" scenarios="1" selectLockedCells="1"/>
  <mergeCells count="537">
    <mergeCell ref="X16:AA17"/>
    <mergeCell ref="AT1:AW3"/>
    <mergeCell ref="A4:E6"/>
    <mergeCell ref="A7:E8"/>
    <mergeCell ref="X18:AA19"/>
    <mergeCell ref="X20:AA21"/>
    <mergeCell ref="X22:AA23"/>
    <mergeCell ref="X24:AA25"/>
    <mergeCell ref="X26:AA27"/>
    <mergeCell ref="AB24:AE25"/>
    <mergeCell ref="AI24:AJ25"/>
    <mergeCell ref="AD9:AG11"/>
    <mergeCell ref="AS5:AW6"/>
    <mergeCell ref="AH9:AK11"/>
    <mergeCell ref="AI17:AJ17"/>
    <mergeCell ref="AK17:AL17"/>
    <mergeCell ref="AI16:AL16"/>
    <mergeCell ref="AM16:AN17"/>
    <mergeCell ref="AO16:AQ17"/>
    <mergeCell ref="AR16:AU17"/>
    <mergeCell ref="AS7:AW7"/>
    <mergeCell ref="AS8:AW8"/>
    <mergeCell ref="M16:N17"/>
    <mergeCell ref="M18:N19"/>
    <mergeCell ref="BM36:BM37"/>
    <mergeCell ref="BY36:BY37"/>
    <mergeCell ref="BZ16:BZ17"/>
    <mergeCell ref="BJ34:BJ35"/>
    <mergeCell ref="BD32:BD33"/>
    <mergeCell ref="BD26:BD27"/>
    <mergeCell ref="BD28:BD29"/>
    <mergeCell ref="BD30:BD31"/>
    <mergeCell ref="BK18:BK19"/>
    <mergeCell ref="BZ22:BZ23"/>
    <mergeCell ref="BJ26:BJ27"/>
    <mergeCell ref="BJ28:BJ29"/>
    <mergeCell ref="BR22:BR23"/>
    <mergeCell ref="BT22:BT23"/>
    <mergeCell ref="BV22:BV23"/>
    <mergeCell ref="BX22:BX23"/>
    <mergeCell ref="BR24:BR25"/>
    <mergeCell ref="BM18:BM19"/>
    <mergeCell ref="BM20:BM21"/>
    <mergeCell ref="BM22:BM23"/>
    <mergeCell ref="BM24:BM25"/>
    <mergeCell ref="BM26:BM27"/>
    <mergeCell ref="BM28:BM29"/>
    <mergeCell ref="BM30:BM31"/>
    <mergeCell ref="BD36:BD37"/>
    <mergeCell ref="BE36:BE37"/>
    <mergeCell ref="BZ18:BZ19"/>
    <mergeCell ref="BB32:BB33"/>
    <mergeCell ref="BZ26:BZ27"/>
    <mergeCell ref="BF30:BF31"/>
    <mergeCell ref="BF32:BF33"/>
    <mergeCell ref="BF36:BF37"/>
    <mergeCell ref="BW34:BW35"/>
    <mergeCell ref="BF34:BF35"/>
    <mergeCell ref="BZ24:BZ25"/>
    <mergeCell ref="BY26:BY27"/>
    <mergeCell ref="BE28:BE29"/>
    <mergeCell ref="BY28:BY29"/>
    <mergeCell ref="BW28:BW29"/>
    <mergeCell ref="BC28:BC29"/>
    <mergeCell ref="BZ28:BZ29"/>
    <mergeCell ref="BZ30:BZ31"/>
    <mergeCell ref="BZ20:BZ21"/>
    <mergeCell ref="BE22:BE23"/>
    <mergeCell ref="BJ24:BJ25"/>
    <mergeCell ref="BK20:BK21"/>
    <mergeCell ref="BK22:BK23"/>
    <mergeCell ref="BW36:BW37"/>
    <mergeCell ref="Q34:S35"/>
    <mergeCell ref="AF34:AH35"/>
    <mergeCell ref="O200:AI201"/>
    <mergeCell ref="BL200:BL201"/>
    <mergeCell ref="BH200:BH201"/>
    <mergeCell ref="BI200:BI201"/>
    <mergeCell ref="AO36:AQ37"/>
    <mergeCell ref="AR36:AU37"/>
    <mergeCell ref="BL36:BL37"/>
    <mergeCell ref="BH36:BH37"/>
    <mergeCell ref="BI36:BI37"/>
    <mergeCell ref="AB36:AE37"/>
    <mergeCell ref="AI36:AJ37"/>
    <mergeCell ref="AK36:AL37"/>
    <mergeCell ref="AM36:AN37"/>
    <mergeCell ref="T36:W37"/>
    <mergeCell ref="Q36:S37"/>
    <mergeCell ref="AF36:AH37"/>
    <mergeCell ref="AX36:AX37"/>
    <mergeCell ref="X36:AA37"/>
    <mergeCell ref="BE200:BE201"/>
    <mergeCell ref="BF200:BF201"/>
    <mergeCell ref="BJ36:BJ37"/>
    <mergeCell ref="BK36:BK37"/>
    <mergeCell ref="AY36:AY37"/>
    <mergeCell ref="AZ36:AZ37"/>
    <mergeCell ref="BG36:BG37"/>
    <mergeCell ref="BK34:BK35"/>
    <mergeCell ref="BD34:BD35"/>
    <mergeCell ref="B28:B29"/>
    <mergeCell ref="O28:P29"/>
    <mergeCell ref="BB36:BB37"/>
    <mergeCell ref="C34:L35"/>
    <mergeCell ref="BA36:BA37"/>
    <mergeCell ref="C36:L37"/>
    <mergeCell ref="X34:AA35"/>
    <mergeCell ref="M34:N35"/>
    <mergeCell ref="AX34:AX35"/>
    <mergeCell ref="B34:B35"/>
    <mergeCell ref="O34:P35"/>
    <mergeCell ref="AK28:AL29"/>
    <mergeCell ref="T30:W31"/>
    <mergeCell ref="B30:B31"/>
    <mergeCell ref="B32:B33"/>
    <mergeCell ref="M36:N37"/>
    <mergeCell ref="B36:B37"/>
    <mergeCell ref="O36:P37"/>
    <mergeCell ref="T34:W35"/>
    <mergeCell ref="BZ34:BZ35"/>
    <mergeCell ref="Q32:S33"/>
    <mergeCell ref="BZ36:BZ37"/>
    <mergeCell ref="BC36:BC37"/>
    <mergeCell ref="X28:AA29"/>
    <mergeCell ref="X30:AA31"/>
    <mergeCell ref="AB32:AE33"/>
    <mergeCell ref="AI32:AJ33"/>
    <mergeCell ref="AK32:AL33"/>
    <mergeCell ref="AM32:AN33"/>
    <mergeCell ref="Q28:S29"/>
    <mergeCell ref="AF28:AH29"/>
    <mergeCell ref="AB28:AE29"/>
    <mergeCell ref="AI28:AJ29"/>
    <mergeCell ref="AO32:AQ33"/>
    <mergeCell ref="AO34:AQ35"/>
    <mergeCell ref="AR34:AU35"/>
    <mergeCell ref="BL34:BL35"/>
    <mergeCell ref="BH34:BH35"/>
    <mergeCell ref="BI34:BI35"/>
    <mergeCell ref="AB34:AE35"/>
    <mergeCell ref="AI34:AJ35"/>
    <mergeCell ref="AK34:AL35"/>
    <mergeCell ref="AM34:AN35"/>
    <mergeCell ref="B26:B27"/>
    <mergeCell ref="O26:P27"/>
    <mergeCell ref="BI28:BI29"/>
    <mergeCell ref="AM28:AN29"/>
    <mergeCell ref="C26:L27"/>
    <mergeCell ref="BL28:BL29"/>
    <mergeCell ref="AR28:AU29"/>
    <mergeCell ref="AO26:AQ27"/>
    <mergeCell ref="AR26:AU27"/>
    <mergeCell ref="BL26:BL27"/>
    <mergeCell ref="BH26:BH27"/>
    <mergeCell ref="BI26:BI27"/>
    <mergeCell ref="AB26:AE27"/>
    <mergeCell ref="AI26:AJ27"/>
    <mergeCell ref="AK26:AL27"/>
    <mergeCell ref="AM26:AN27"/>
    <mergeCell ref="AF26:AH27"/>
    <mergeCell ref="BK26:BK27"/>
    <mergeCell ref="C16:L17"/>
    <mergeCell ref="C20:L21"/>
    <mergeCell ref="BY16:BY17"/>
    <mergeCell ref="C28:L29"/>
    <mergeCell ref="B24:B25"/>
    <mergeCell ref="O24:P25"/>
    <mergeCell ref="AO22:AQ23"/>
    <mergeCell ref="AR22:AU23"/>
    <mergeCell ref="BL22:BL23"/>
    <mergeCell ref="BH22:BH23"/>
    <mergeCell ref="BI22:BI23"/>
    <mergeCell ref="AB22:AE23"/>
    <mergeCell ref="AI22:AJ23"/>
    <mergeCell ref="AK22:AL23"/>
    <mergeCell ref="AM22:AN23"/>
    <mergeCell ref="AF22:AH23"/>
    <mergeCell ref="AK24:AL25"/>
    <mergeCell ref="AM24:AN25"/>
    <mergeCell ref="AF24:AH25"/>
    <mergeCell ref="Q24:S25"/>
    <mergeCell ref="T24:W25"/>
    <mergeCell ref="Q22:S23"/>
    <mergeCell ref="C24:L25"/>
    <mergeCell ref="B22:B23"/>
    <mergeCell ref="B20:B21"/>
    <mergeCell ref="O20:P21"/>
    <mergeCell ref="AO18:AQ19"/>
    <mergeCell ref="AR18:AU19"/>
    <mergeCell ref="BL18:BL19"/>
    <mergeCell ref="BH18:BH19"/>
    <mergeCell ref="BI18:BI19"/>
    <mergeCell ref="AB18:AE19"/>
    <mergeCell ref="AI18:AJ19"/>
    <mergeCell ref="AK18:AL19"/>
    <mergeCell ref="AM18:AN19"/>
    <mergeCell ref="AF18:AH19"/>
    <mergeCell ref="B18:B19"/>
    <mergeCell ref="O18:P19"/>
    <mergeCell ref="T18:W19"/>
    <mergeCell ref="C18:L19"/>
    <mergeCell ref="M20:N21"/>
    <mergeCell ref="T20:W21"/>
    <mergeCell ref="AK20:AL21"/>
    <mergeCell ref="AM20:AN21"/>
    <mergeCell ref="AF20:AH21"/>
    <mergeCell ref="BI20:BI21"/>
    <mergeCell ref="AX18:AX19"/>
    <mergeCell ref="AX20:AX21"/>
    <mergeCell ref="BL16:BL17"/>
    <mergeCell ref="BA16:BA17"/>
    <mergeCell ref="BB16:BB17"/>
    <mergeCell ref="BE16:BF16"/>
    <mergeCell ref="AX16:AX17"/>
    <mergeCell ref="BW16:BW17"/>
    <mergeCell ref="BQ16:BQ17"/>
    <mergeCell ref="BH16:BI16"/>
    <mergeCell ref="BU16:BU17"/>
    <mergeCell ref="BC16:BC17"/>
    <mergeCell ref="BM16:BM17"/>
    <mergeCell ref="BD16:BD17"/>
    <mergeCell ref="BP16:BP17"/>
    <mergeCell ref="BS16:BS17"/>
    <mergeCell ref="BK16:BK17"/>
    <mergeCell ref="BJ16:BJ17"/>
    <mergeCell ref="F1:I3"/>
    <mergeCell ref="J1:M3"/>
    <mergeCell ref="AL1:AO3"/>
    <mergeCell ref="AP1:AS3"/>
    <mergeCell ref="AF16:AH17"/>
    <mergeCell ref="T14:W14"/>
    <mergeCell ref="X14:AA14"/>
    <mergeCell ref="AB14:AE14"/>
    <mergeCell ref="O16:P17"/>
    <mergeCell ref="AB16:AE17"/>
    <mergeCell ref="T12:W13"/>
    <mergeCell ref="X12:AA13"/>
    <mergeCell ref="AB12:AE13"/>
    <mergeCell ref="T16:W17"/>
    <mergeCell ref="J9:M11"/>
    <mergeCell ref="N9:Q11"/>
    <mergeCell ref="R9:U11"/>
    <mergeCell ref="V9:Y11"/>
    <mergeCell ref="Z9:AC11"/>
    <mergeCell ref="Q16:S17"/>
    <mergeCell ref="AL9:AO11"/>
    <mergeCell ref="AM13:AU14"/>
    <mergeCell ref="N1:T3"/>
    <mergeCell ref="U1:AK3"/>
    <mergeCell ref="AR32:AU33"/>
    <mergeCell ref="AR30:AU31"/>
    <mergeCell ref="AY32:AY33"/>
    <mergeCell ref="AZ32:AZ33"/>
    <mergeCell ref="AX26:AX27"/>
    <mergeCell ref="AX28:AX29"/>
    <mergeCell ref="AX22:AX23"/>
    <mergeCell ref="Q26:S27"/>
    <mergeCell ref="T26:W27"/>
    <mergeCell ref="AO30:AQ31"/>
    <mergeCell ref="AX30:AX31"/>
    <mergeCell ref="AX32:AX33"/>
    <mergeCell ref="C22:L23"/>
    <mergeCell ref="AO24:AQ25"/>
    <mergeCell ref="C30:L31"/>
    <mergeCell ref="C32:L33"/>
    <mergeCell ref="M26:N27"/>
    <mergeCell ref="M28:N29"/>
    <mergeCell ref="M30:N31"/>
    <mergeCell ref="M32:N33"/>
    <mergeCell ref="O30:P31"/>
    <mergeCell ref="AO28:AQ29"/>
    <mergeCell ref="T32:W33"/>
    <mergeCell ref="O32:P33"/>
    <mergeCell ref="X32:AA33"/>
    <mergeCell ref="AM30:AN31"/>
    <mergeCell ref="AF32:AH33"/>
    <mergeCell ref="Q30:S31"/>
    <mergeCell ref="AB30:AE31"/>
    <mergeCell ref="AI30:AJ31"/>
    <mergeCell ref="AK30:AL31"/>
    <mergeCell ref="T28:W29"/>
    <mergeCell ref="M22:N23"/>
    <mergeCell ref="O22:P23"/>
    <mergeCell ref="M24:N25"/>
    <mergeCell ref="BY30:BY31"/>
    <mergeCell ref="BE32:BE33"/>
    <mergeCell ref="BY32:BY33"/>
    <mergeCell ref="BH28:BH29"/>
    <mergeCell ref="BL24:BL25"/>
    <mergeCell ref="BH24:BH25"/>
    <mergeCell ref="BI24:BI25"/>
    <mergeCell ref="BA34:BA35"/>
    <mergeCell ref="BY34:BY35"/>
    <mergeCell ref="BL30:BL31"/>
    <mergeCell ref="BH30:BH31"/>
    <mergeCell ref="BI30:BI31"/>
    <mergeCell ref="BB34:BB35"/>
    <mergeCell ref="BH32:BH33"/>
    <mergeCell ref="BL32:BL33"/>
    <mergeCell ref="BI32:BI33"/>
    <mergeCell ref="BU32:BU33"/>
    <mergeCell ref="BU34:BU35"/>
    <mergeCell ref="BC32:BC33"/>
    <mergeCell ref="BB30:BB31"/>
    <mergeCell ref="BQ30:BQ31"/>
    <mergeCell ref="BE30:BE31"/>
    <mergeCell ref="BC34:BC35"/>
    <mergeCell ref="BE34:BE35"/>
    <mergeCell ref="Q20:S21"/>
    <mergeCell ref="T22:W23"/>
    <mergeCell ref="Q18:S19"/>
    <mergeCell ref="BB20:BB21"/>
    <mergeCell ref="BA20:BA21"/>
    <mergeCell ref="AR24:AU25"/>
    <mergeCell ref="BA18:BA19"/>
    <mergeCell ref="BB28:BB29"/>
    <mergeCell ref="BB26:BB27"/>
    <mergeCell ref="BB22:BB23"/>
    <mergeCell ref="AY20:AY21"/>
    <mergeCell ref="AZ20:AZ21"/>
    <mergeCell ref="AY22:AY23"/>
    <mergeCell ref="AZ22:AZ23"/>
    <mergeCell ref="AY24:AY25"/>
    <mergeCell ref="AZ24:AZ25"/>
    <mergeCell ref="AY28:AY29"/>
    <mergeCell ref="AZ28:AZ29"/>
    <mergeCell ref="AX24:AX25"/>
    <mergeCell ref="BB24:BB25"/>
    <mergeCell ref="AO20:AQ21"/>
    <mergeCell ref="AR20:AU21"/>
    <mergeCell ref="BB18:BB19"/>
    <mergeCell ref="BA22:BA23"/>
    <mergeCell ref="BZ32:BZ33"/>
    <mergeCell ref="BJ30:BJ31"/>
    <mergeCell ref="BJ32:BJ33"/>
    <mergeCell ref="BU26:BU27"/>
    <mergeCell ref="BU28:BU29"/>
    <mergeCell ref="BU30:BU31"/>
    <mergeCell ref="BD18:BD19"/>
    <mergeCell ref="BD20:BD21"/>
    <mergeCell ref="BD22:BD23"/>
    <mergeCell ref="BD24:BD25"/>
    <mergeCell ref="BF28:BF29"/>
    <mergeCell ref="BQ22:BQ23"/>
    <mergeCell ref="BQ24:BQ25"/>
    <mergeCell ref="BQ26:BQ27"/>
    <mergeCell ref="BQ28:BQ29"/>
    <mergeCell ref="BE20:BE21"/>
    <mergeCell ref="BE26:BE27"/>
    <mergeCell ref="BO22:BO23"/>
    <mergeCell ref="BG24:BG25"/>
    <mergeCell ref="BN24:BN25"/>
    <mergeCell ref="BO24:BO25"/>
    <mergeCell ref="BG28:BG29"/>
    <mergeCell ref="BN28:BN29"/>
    <mergeCell ref="BG32:BG33"/>
    <mergeCell ref="BL20:BL21"/>
    <mergeCell ref="AB20:AE21"/>
    <mergeCell ref="AI20:AJ21"/>
    <mergeCell ref="AF30:AH31"/>
    <mergeCell ref="BK24:BK25"/>
    <mergeCell ref="BK28:BK29"/>
    <mergeCell ref="BK30:BK31"/>
    <mergeCell ref="BC20:BC21"/>
    <mergeCell ref="BC22:BC23"/>
    <mergeCell ref="BC24:BC25"/>
    <mergeCell ref="BC26:BC27"/>
    <mergeCell ref="AY26:AY27"/>
    <mergeCell ref="AZ26:AZ27"/>
    <mergeCell ref="AY30:AY31"/>
    <mergeCell ref="AZ30:AZ31"/>
    <mergeCell ref="BA24:BA25"/>
    <mergeCell ref="BA26:BA27"/>
    <mergeCell ref="BA28:BA29"/>
    <mergeCell ref="BA30:BA31"/>
    <mergeCell ref="BC18:BC19"/>
    <mergeCell ref="BH20:BH21"/>
    <mergeCell ref="BC30:BC31"/>
    <mergeCell ref="BE18:BE19"/>
    <mergeCell ref="BF20:BF21"/>
    <mergeCell ref="BF22:BF23"/>
    <mergeCell ref="BF24:BF25"/>
    <mergeCell ref="BF26:BF27"/>
    <mergeCell ref="BG26:BG27"/>
    <mergeCell ref="BG30:BG31"/>
    <mergeCell ref="BY22:BY23"/>
    <mergeCell ref="BE24:BE25"/>
    <mergeCell ref="BY24:BY25"/>
    <mergeCell ref="BJ18:BJ19"/>
    <mergeCell ref="BJ20:BJ21"/>
    <mergeCell ref="BJ22:BJ23"/>
    <mergeCell ref="BF18:BF19"/>
    <mergeCell ref="BQ20:BQ21"/>
    <mergeCell ref="BY18:BY19"/>
    <mergeCell ref="BY20:BY21"/>
    <mergeCell ref="BG20:BG21"/>
    <mergeCell ref="BN20:BN21"/>
    <mergeCell ref="BO20:BO21"/>
    <mergeCell ref="BR20:BR21"/>
    <mergeCell ref="BT20:BT21"/>
    <mergeCell ref="BV20:BV21"/>
    <mergeCell ref="BX20:BX21"/>
    <mergeCell ref="BG22:BG23"/>
    <mergeCell ref="BN22:BN23"/>
    <mergeCell ref="BW18:BW19"/>
    <mergeCell ref="BW20:BW21"/>
    <mergeCell ref="BW22:BW23"/>
    <mergeCell ref="BW24:BW25"/>
    <mergeCell ref="BS22:BS23"/>
    <mergeCell ref="BU18:BU19"/>
    <mergeCell ref="BU20:BU21"/>
    <mergeCell ref="BU22:BU23"/>
    <mergeCell ref="BU24:BU25"/>
    <mergeCell ref="BP34:BP35"/>
    <mergeCell ref="BW30:BW31"/>
    <mergeCell ref="BW32:BW33"/>
    <mergeCell ref="BP18:BP19"/>
    <mergeCell ref="BP20:BP21"/>
    <mergeCell ref="BP22:BP23"/>
    <mergeCell ref="BP24:BP25"/>
    <mergeCell ref="BP26:BP27"/>
    <mergeCell ref="BQ18:BQ19"/>
    <mergeCell ref="BQ32:BQ33"/>
    <mergeCell ref="BQ34:BQ35"/>
    <mergeCell ref="BS18:BS19"/>
    <mergeCell ref="BS20:BS21"/>
    <mergeCell ref="BS24:BS25"/>
    <mergeCell ref="BS26:BS27"/>
    <mergeCell ref="BS28:BS29"/>
    <mergeCell ref="BS30:BS31"/>
    <mergeCell ref="BS32:BS33"/>
    <mergeCell ref="BT24:BT25"/>
    <mergeCell ref="BV24:BV25"/>
    <mergeCell ref="CA16:CA17"/>
    <mergeCell ref="CB16:CB17"/>
    <mergeCell ref="CC16:CC17"/>
    <mergeCell ref="CA18:CA19"/>
    <mergeCell ref="CB18:CB19"/>
    <mergeCell ref="CC18:CC19"/>
    <mergeCell ref="CA20:CA21"/>
    <mergeCell ref="CB20:CB21"/>
    <mergeCell ref="CC20:CC21"/>
    <mergeCell ref="CA22:CA23"/>
    <mergeCell ref="CB22:CB23"/>
    <mergeCell ref="CC22:CC23"/>
    <mergeCell ref="CA24:CA25"/>
    <mergeCell ref="CB24:CB25"/>
    <mergeCell ref="CC24:CC25"/>
    <mergeCell ref="CA26:CA27"/>
    <mergeCell ref="CB26:CB27"/>
    <mergeCell ref="CC26:CC27"/>
    <mergeCell ref="CA28:CA29"/>
    <mergeCell ref="CB28:CB29"/>
    <mergeCell ref="CC28:CC29"/>
    <mergeCell ref="CA30:CA31"/>
    <mergeCell ref="CB30:CB31"/>
    <mergeCell ref="CC30:CC31"/>
    <mergeCell ref="CA32:CA33"/>
    <mergeCell ref="CB32:CB33"/>
    <mergeCell ref="CC32:CC33"/>
    <mergeCell ref="CA34:CA35"/>
    <mergeCell ref="CB34:CB35"/>
    <mergeCell ref="CC34:CC35"/>
    <mergeCell ref="CA36:CA37"/>
    <mergeCell ref="CB36:CB37"/>
    <mergeCell ref="CC36:CC37"/>
    <mergeCell ref="AY16:AY17"/>
    <mergeCell ref="AZ16:AZ17"/>
    <mergeCell ref="AY18:AY19"/>
    <mergeCell ref="AZ18:AZ19"/>
    <mergeCell ref="BG16:BG17"/>
    <mergeCell ref="BN16:BN17"/>
    <mergeCell ref="BO16:BO17"/>
    <mergeCell ref="BR16:BR17"/>
    <mergeCell ref="BT16:BT17"/>
    <mergeCell ref="BV16:BV17"/>
    <mergeCell ref="BX16:BX17"/>
    <mergeCell ref="BG18:BG19"/>
    <mergeCell ref="BN18:BN19"/>
    <mergeCell ref="BO18:BO19"/>
    <mergeCell ref="BR18:BR19"/>
    <mergeCell ref="BT18:BT19"/>
    <mergeCell ref="BV18:BV19"/>
    <mergeCell ref="BX18:BX19"/>
    <mergeCell ref="BX24:BX25"/>
    <mergeCell ref="BN26:BN27"/>
    <mergeCell ref="BO26:BO27"/>
    <mergeCell ref="BR26:BR27"/>
    <mergeCell ref="BT26:BT27"/>
    <mergeCell ref="BV26:BV27"/>
    <mergeCell ref="BX26:BX27"/>
    <mergeCell ref="BR28:BR29"/>
    <mergeCell ref="BT28:BT29"/>
    <mergeCell ref="BV28:BV29"/>
    <mergeCell ref="BX28:BX29"/>
    <mergeCell ref="BW26:BW27"/>
    <mergeCell ref="BP28:BP29"/>
    <mergeCell ref="BN30:BN31"/>
    <mergeCell ref="BO30:BO31"/>
    <mergeCell ref="BR30:BR31"/>
    <mergeCell ref="BT30:BT31"/>
    <mergeCell ref="BV30:BV31"/>
    <mergeCell ref="BX30:BX31"/>
    <mergeCell ref="BO28:BO29"/>
    <mergeCell ref="AY34:AY35"/>
    <mergeCell ref="AZ34:AZ35"/>
    <mergeCell ref="BG34:BG35"/>
    <mergeCell ref="BN34:BN35"/>
    <mergeCell ref="BO34:BO35"/>
    <mergeCell ref="BR34:BR35"/>
    <mergeCell ref="BT34:BT35"/>
    <mergeCell ref="BV34:BV35"/>
    <mergeCell ref="BX34:BX35"/>
    <mergeCell ref="BS34:BS35"/>
    <mergeCell ref="BP30:BP31"/>
    <mergeCell ref="BP32:BP33"/>
    <mergeCell ref="BK32:BK33"/>
    <mergeCell ref="BM34:BM35"/>
    <mergeCell ref="BA32:BA33"/>
    <mergeCell ref="BM32:BM33"/>
    <mergeCell ref="BN36:BN37"/>
    <mergeCell ref="BO36:BO37"/>
    <mergeCell ref="BR36:BR37"/>
    <mergeCell ref="BT36:BT37"/>
    <mergeCell ref="BV36:BV37"/>
    <mergeCell ref="BX36:BX37"/>
    <mergeCell ref="BN32:BN33"/>
    <mergeCell ref="BO32:BO33"/>
    <mergeCell ref="BR32:BR33"/>
    <mergeCell ref="BT32:BT33"/>
    <mergeCell ref="BV32:BV33"/>
    <mergeCell ref="BX32:BX33"/>
    <mergeCell ref="BS36:BS37"/>
    <mergeCell ref="BP36:BP37"/>
    <mergeCell ref="BU36:BU37"/>
    <mergeCell ref="BQ36:BQ37"/>
  </mergeCells>
  <conditionalFormatting sqref="O18:W37 AB18:AL37">
    <cfRule type="expression" dxfId="128" priority="8">
      <formula>AND(ISBLANK($C18)=FALSE,OR(ISBLANK(O18)=TRUE,O18=""))</formula>
    </cfRule>
  </conditionalFormatting>
  <conditionalFormatting sqref="AM18:AN37">
    <cfRule type="expression" dxfId="127" priority="1">
      <formula>AM18 &lt;&gt; INDEX(STDLIGHTCONTINC, MATCH(C18, STDLIGHTCONTLIST,0))</formula>
    </cfRule>
  </conditionalFormatting>
  <conditionalFormatting sqref="AR18:AU37">
    <cfRule type="expression" dxfId="126" priority="1879" stopIfTrue="1">
      <formula>ISNUMBER($AR18)=FALSE</formula>
    </cfRule>
    <cfRule type="expression" dxfId="125" priority="1880">
      <formula xml:space="preserve"> $AR18 &lt;&gt; $BQ18</formula>
    </cfRule>
  </conditionalFormatting>
  <conditionalFormatting sqref="AS8:AW8">
    <cfRule type="expression" dxfId="124" priority="9">
      <formula>IF($AS$8=PROJSTATMEASURE,FALSE,TRUE)</formula>
    </cfRule>
  </conditionalFormatting>
  <dataValidations xWindow="513" yWindow="517" count="11">
    <dataValidation type="decimal" allowBlank="1" showInputMessage="1" showErrorMessage="1" prompt="This is the TOTAL Labor Cost of the measure, NOT a per unit basis." sqref="AK18:AL37" xr:uid="{45D6A1D6-B163-43DB-A1DD-D5E08F4169D5}">
      <formula1>0</formula1>
      <formula2>999999</formula2>
    </dataValidation>
    <dataValidation type="whole" operator="greaterThan" allowBlank="1" showInputMessage="1" showErrorMessage="1" errorTitle="Invalid Entry" error="Value must be a whole number greater than zero." prompt="Enter the total number of sensors or sq. ft. as specified in Quantity Type_x000a_" sqref="O18:P37" xr:uid="{B68870D0-95FB-4F01-8106-B68778A2570F}">
      <formula1>0</formula1>
    </dataValidation>
    <dataValidation type="list" allowBlank="1" showInputMessage="1" showErrorMessage="1" prompt="Select Efficient Measure. If you do not see your equipment listed, it may qualify as a Custom Measure." sqref="C34 C18 C36 C22 C24 C26 C28 C30 C32 C20" xr:uid="{08079EEC-0E11-4E99-811B-EBB1B2221436}">
      <formula1>STDLIGHTCONTLIST</formula1>
    </dataValidation>
    <dataValidation type="whole" allowBlank="1" showInputMessage="1" showErrorMessage="1" error="Enter valid operating hours. " prompt="Enter the annual operating hours of the lighting before the controls were installed. " sqref="T18:W37" xr:uid="{1BC86C17-D81A-4491-AFA5-1CF054A99B27}">
      <formula1>0</formula1>
      <formula2>8760</formula2>
    </dataValidation>
    <dataValidation type="decimal" allowBlank="1" showInputMessage="1" showErrorMessage="1" prompt="This is the TOTAL Material Cost of the measure, NOT a per unit basis." sqref="AI18:AJ37" xr:uid="{44601B7C-2EB2-4952-9924-A7BF12D6A1E1}">
      <formula1>0</formula1>
      <formula2>999999</formula2>
    </dataValidation>
    <dataValidation allowBlank="1" showInputMessage="1" showErrorMessage="1" prompt="Install Location should describe the area where the equipment installed. (e.g. Room 201, Garage, Mechanical Room)" sqref="AF18:AH37" xr:uid="{E2DD5858-4520-4FEC-A469-7DF695B0D006}"/>
    <dataValidation allowBlank="1" showInputMessage="1" showErrorMessage="1" prompt="Enter the Brand and Model # as it appears in technical documents and invoices." sqref="X18:AE37" xr:uid="{88E2BEA8-BB89-41F8-A73B-0A5005AE57F7}"/>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Q18:Q37" xr:uid="{D756B650-F549-4EFF-9B8C-86D7958444A4}">
      <formula1>BZ18</formula1>
    </dataValidation>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R18:R37" xr:uid="{034AA0EB-234D-4EB9-92FC-1A0CE46D86F1}">
      <formula1>BD18</formula1>
    </dataValidation>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S18:S37" xr:uid="{524FD29F-DA32-4220-940E-84A99C0BC979}">
      <formula1>BP18</formula1>
    </dataValidation>
    <dataValidation type="list" allowBlank="1" showInputMessage="1" showErrorMessage="1" sqref="BC18:BC37" xr:uid="{C141CA03-AA82-4DD9-A521-DACC9369C100}">
      <formula1>ENDUSECAT</formula1>
    </dataValidation>
  </dataValidations>
  <hyperlinks>
    <hyperlink ref="B202" r:id="rId1" display="businessrebates@evergy.com" xr:uid="{548A7AE0-7093-4FE2-A690-6D6CB8661683}"/>
    <hyperlink ref="J1:M3" location="'M01-S02'!J1" tooltip="Instructions" display="'M01-S02'!J1" xr:uid="{853E7E60-EDE4-4360-AE63-2C8527C5622F}"/>
    <hyperlink ref="AP1:AS3" location="'M05-S05'!AL1" tooltip=" " display="'M05-S05'!AL1" xr:uid="{31879591-71E8-4F15-B8A2-C7CEFBFB03E1}"/>
    <hyperlink ref="AL1:AO3" location="'M05-S04'!AH1" tooltip=" " display="'M05-S04'!AH1" xr:uid="{7B01C24A-15EE-46A1-B3C3-A6BAC48DFF53}"/>
    <hyperlink ref="AT1:AW3" location="'M01-S03'!AP1" tooltip="Contact" display="'M01-S03'!AP1" xr:uid="{1076BC74-2313-41D2-A0F5-3D6DA0702FA9}"/>
    <hyperlink ref="J9:M11" location="'M03-S02'!C18" tooltip="Lighting" display="'M03-S02'!C18" xr:uid="{D6B640B0-3333-43D5-8EBE-7B786730BA62}"/>
    <hyperlink ref="N9:Q11" location="'M03-S03'!C18" tooltip="Lighting Controls" display="'M03-S03'!C18" xr:uid="{20CBD932-A643-453C-B25B-6E5F62708003}"/>
    <hyperlink ref="R9:U11" location="'M03-S04'!C18" tooltip="Refrigeration" display="'M03-S04'!C18" xr:uid="{991C63B6-30FE-442E-85C7-2458E126EAFE}"/>
    <hyperlink ref="AD9:AG11" location="'M03-S06'!C18" tooltip="Compressed Air / Process" display="'M03-S06'!C18" xr:uid="{8E4B13C8-DFA1-4035-BDE5-6DE8D189DAB9}"/>
    <hyperlink ref="AH9:AK11" location="'M03-S07'!C18" tooltip="Water Heating / Cooking" display="'M03-S07'!C18" xr:uid="{1E4018D5-89CB-4958-B57A-2CE790829A84}"/>
    <hyperlink ref="Z9:AC11" location="'M03-S08'!C18" tooltip="Motors and Drives" display="'M03-S08'!C18" xr:uid="{D6A6BF3B-C73D-48B0-A590-3FE538BF5211}"/>
  </hyperlinks>
  <printOptions horizontalCentered="1"/>
  <pageMargins left="0" right="0" top="0" bottom="0" header="0" footer="0"/>
  <pageSetup scale="43"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tabColor theme="8" tint="0.59999389629810485"/>
    <pageSetUpPr fitToPage="1"/>
  </sheetPr>
  <dimension ref="A1:CW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2"/>
      <c r="G5" s="372"/>
      <c r="H5" s="372"/>
      <c r="I5" s="372"/>
      <c r="AS5" s="663">
        <f ca="1">PROGRESSSTATUS</f>
        <v>0</v>
      </c>
      <c r="AT5" s="663"/>
      <c r="AU5" s="663"/>
      <c r="AV5" s="663"/>
      <c r="AW5" s="663"/>
      <c r="AY5" s="17"/>
      <c r="AZ5" s="108" t="s">
        <v>933</v>
      </c>
      <c r="BA5" s="108" t="s">
        <v>325</v>
      </c>
    </row>
    <row r="6" spans="1:81" ht="15.95" customHeight="1">
      <c r="A6" s="692"/>
      <c r="B6" s="692"/>
      <c r="C6" s="692"/>
      <c r="D6" s="692"/>
      <c r="E6" s="692"/>
      <c r="F6" s="372"/>
      <c r="G6" s="372"/>
      <c r="H6" s="372"/>
      <c r="I6" s="372"/>
      <c r="AS6" s="663"/>
      <c r="AT6" s="663"/>
      <c r="AU6" s="663"/>
      <c r="AV6" s="663"/>
      <c r="AW6" s="663"/>
      <c r="AY6" s="107" t="s">
        <v>938</v>
      </c>
      <c r="AZ6" s="106" t="str">
        <f>CBPRESE</f>
        <v>NA</v>
      </c>
      <c r="BA6" s="106" t="str">
        <f>PAYPRESE</f>
        <v>NA</v>
      </c>
    </row>
    <row r="7" spans="1:81" ht="15.95" customHeight="1">
      <c r="A7" s="662" t="s">
        <v>83</v>
      </c>
      <c r="B7" s="662"/>
      <c r="C7" s="662"/>
      <c r="D7" s="662"/>
      <c r="E7" s="662"/>
      <c r="F7" s="75"/>
      <c r="G7" s="75"/>
      <c r="H7" s="75"/>
      <c r="I7" s="75"/>
      <c r="AS7" s="662" t="s">
        <v>299</v>
      </c>
      <c r="AT7" s="662"/>
      <c r="AU7" s="662"/>
      <c r="AV7" s="662"/>
      <c r="AW7" s="662"/>
      <c r="AY7" s="107" t="s">
        <v>135</v>
      </c>
      <c r="AZ7" s="106" t="str">
        <f>CBCUSE</f>
        <v>NA</v>
      </c>
      <c r="BA7" s="106" t="str">
        <f>PAYCUSE</f>
        <v>NA</v>
      </c>
    </row>
    <row r="8" spans="1:81" ht="15.95" customHeight="1" thickBot="1">
      <c r="A8" s="665"/>
      <c r="B8" s="665"/>
      <c r="C8" s="665"/>
      <c r="D8" s="665"/>
      <c r="E8" s="665"/>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61" t="str">
        <f ca="1">PROJSTATUS</f>
        <v>Enter Measures</v>
      </c>
      <c r="AT8" s="661"/>
      <c r="AU8" s="661"/>
      <c r="AV8" s="661"/>
      <c r="AW8" s="661"/>
      <c r="AY8" s="107" t="s">
        <v>596</v>
      </c>
      <c r="AZ8" s="106" t="str">
        <f>CBALL</f>
        <v>NA</v>
      </c>
      <c r="BA8" s="106" t="str">
        <f>PAYALL</f>
        <v>NA</v>
      </c>
    </row>
    <row r="9" spans="1:81" s="78" customFormat="1" ht="15.95" customHeight="1">
      <c r="B9" s="79"/>
      <c r="C9" s="79"/>
      <c r="D9" s="79"/>
      <c r="E9" s="79"/>
      <c r="F9" s="79"/>
      <c r="G9" s="79"/>
      <c r="J9" s="829" t="str">
        <f>M3S2</f>
        <v>Lighting</v>
      </c>
      <c r="K9" s="830"/>
      <c r="L9" s="830"/>
      <c r="M9" s="830"/>
      <c r="N9" s="829" t="str">
        <f>M3S3</f>
        <v>Lighting Controls</v>
      </c>
      <c r="O9" s="830"/>
      <c r="P9" s="830"/>
      <c r="Q9" s="830"/>
      <c r="R9" s="842" t="str">
        <f>M3S4</f>
        <v>Refrigeration</v>
      </c>
      <c r="S9" s="842"/>
      <c r="T9" s="842"/>
      <c r="U9" s="842"/>
      <c r="V9" s="834" t="str">
        <f>M3S5</f>
        <v>HVAC</v>
      </c>
      <c r="W9" s="834"/>
      <c r="X9" s="834"/>
      <c r="Y9" s="834"/>
      <c r="Z9" s="829" t="str">
        <f>M4S8</f>
        <v>Motors and Drives</v>
      </c>
      <c r="AA9" s="830"/>
      <c r="AB9" s="830"/>
      <c r="AC9" s="830"/>
      <c r="AD9" s="829" t="str">
        <f>M3S6</f>
        <v>Compressed Air / Process</v>
      </c>
      <c r="AE9" s="830"/>
      <c r="AF9" s="830"/>
      <c r="AG9" s="830"/>
      <c r="AH9" s="829" t="str">
        <f>M3S7</f>
        <v>Water Heating / Food Services</v>
      </c>
      <c r="AI9" s="830"/>
      <c r="AJ9" s="830"/>
      <c r="AK9" s="830"/>
      <c r="AL9" s="834" t="str">
        <f>M4S9</f>
        <v>Miscellaneous</v>
      </c>
      <c r="AM9" s="834"/>
      <c r="AN9" s="834"/>
      <c r="AO9" s="834"/>
      <c r="AP9" s="79"/>
      <c r="AQ9" s="79"/>
      <c r="AR9" s="79"/>
      <c r="AS9"/>
      <c r="AU9" s="79"/>
      <c r="AV9" s="79"/>
    </row>
    <row r="10" spans="1:81" s="78" customFormat="1" ht="15.95" customHeight="1">
      <c r="B10" s="79"/>
      <c r="C10" s="79"/>
      <c r="D10" s="79"/>
      <c r="E10" s="79"/>
      <c r="F10" s="79"/>
      <c r="G10" s="79"/>
      <c r="J10" s="831"/>
      <c r="K10" s="831"/>
      <c r="L10" s="831"/>
      <c r="M10" s="831"/>
      <c r="N10" s="831"/>
      <c r="O10" s="831"/>
      <c r="P10" s="831"/>
      <c r="Q10" s="831"/>
      <c r="R10" s="843"/>
      <c r="S10" s="843"/>
      <c r="T10" s="843"/>
      <c r="U10" s="843"/>
      <c r="V10" s="835"/>
      <c r="W10" s="835"/>
      <c r="X10" s="835"/>
      <c r="Y10" s="835"/>
      <c r="Z10" s="831"/>
      <c r="AA10" s="831"/>
      <c r="AB10" s="831"/>
      <c r="AC10" s="831"/>
      <c r="AD10" s="831"/>
      <c r="AE10" s="831"/>
      <c r="AF10" s="831"/>
      <c r="AG10" s="831"/>
      <c r="AH10" s="831"/>
      <c r="AI10" s="831"/>
      <c r="AJ10" s="831"/>
      <c r="AK10" s="831"/>
      <c r="AL10" s="835"/>
      <c r="AM10" s="835"/>
      <c r="AN10" s="835"/>
      <c r="AO10" s="835"/>
      <c r="AP10" s="79"/>
      <c r="AQ10" s="79"/>
      <c r="AR10" s="79"/>
      <c r="AS10"/>
      <c r="AU10" s="79"/>
      <c r="AV10" s="79"/>
    </row>
    <row r="11" spans="1:81" ht="15.95" customHeight="1">
      <c r="B11" s="96"/>
      <c r="C11" s="96"/>
      <c r="D11" s="96"/>
      <c r="E11" s="96"/>
      <c r="F11" s="96"/>
      <c r="G11" s="96"/>
      <c r="J11" s="831"/>
      <c r="K11" s="831"/>
      <c r="L11" s="831"/>
      <c r="M11" s="831"/>
      <c r="N11" s="831"/>
      <c r="O11" s="831"/>
      <c r="P11" s="831"/>
      <c r="Q11" s="831"/>
      <c r="R11" s="843"/>
      <c r="S11" s="843"/>
      <c r="T11" s="843"/>
      <c r="U11" s="843"/>
      <c r="V11" s="835"/>
      <c r="W11" s="835"/>
      <c r="X11" s="835"/>
      <c r="Y11" s="835"/>
      <c r="Z11" s="831"/>
      <c r="AA11" s="831"/>
      <c r="AB11" s="831"/>
      <c r="AC11" s="831"/>
      <c r="AD11" s="831"/>
      <c r="AE11" s="831"/>
      <c r="AF11" s="831"/>
      <c r="AG11" s="831"/>
      <c r="AH11" s="831"/>
      <c r="AI11" s="831"/>
      <c r="AJ11" s="831"/>
      <c r="AK11" s="831"/>
      <c r="AL11" s="835"/>
      <c r="AM11" s="835"/>
      <c r="AN11" s="835"/>
      <c r="AO11" s="835"/>
      <c r="AP11" s="96"/>
      <c r="AQ11" s="96"/>
      <c r="AR11" s="96"/>
      <c r="AU11" s="96"/>
      <c r="AV11" s="96"/>
    </row>
    <row r="12" spans="1:81" ht="15.95" customHeight="1">
      <c r="A12" s="76"/>
      <c r="B12" s="76"/>
      <c r="C12" s="76"/>
      <c r="D12" s="76"/>
      <c r="E12" s="76"/>
      <c r="F12" s="76"/>
      <c r="G12" s="76"/>
      <c r="T12" s="837">
        <f>SUM(AR18:AU199)</f>
        <v>0</v>
      </c>
      <c r="U12" s="837"/>
      <c r="V12" s="837"/>
      <c r="W12" s="837"/>
      <c r="X12" s="837">
        <f>SUM(BL18:BL199)</f>
        <v>0</v>
      </c>
      <c r="Y12" s="837"/>
      <c r="Z12" s="837"/>
      <c r="AA12" s="837"/>
      <c r="AB12" s="836">
        <f ca="1">SUMIF(AR18:AU199,"&gt;0",AO18:AQ199)</f>
        <v>0</v>
      </c>
      <c r="AC12" s="836"/>
      <c r="AD12" s="836"/>
      <c r="AE12" s="836"/>
      <c r="AT12" s="320"/>
    </row>
    <row r="13" spans="1:81" ht="15.95" customHeight="1">
      <c r="A13" s="76"/>
      <c r="B13" s="76"/>
      <c r="C13" s="76"/>
      <c r="D13" s="76"/>
      <c r="T13" s="837"/>
      <c r="U13" s="837"/>
      <c r="V13" s="837"/>
      <c r="W13" s="837"/>
      <c r="X13" s="837"/>
      <c r="Y13" s="837"/>
      <c r="Z13" s="837"/>
      <c r="AA13" s="837"/>
      <c r="AB13" s="836"/>
      <c r="AC13" s="836"/>
      <c r="AD13" s="836"/>
      <c r="AE13" s="836"/>
      <c r="AM13" s="839" t="str">
        <f>IF(IFERROR(MATCH("100% Total Cost", BI:BI,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L14" s="51" t="s">
        <v>3048</v>
      </c>
      <c r="BM14" s="51" t="s">
        <v>3048</v>
      </c>
      <c r="BN14" s="542" t="s">
        <v>2112</v>
      </c>
      <c r="BO14" s="542" t="s">
        <v>2112</v>
      </c>
      <c r="BV14" s="542" t="s">
        <v>2112</v>
      </c>
      <c r="BX14" s="542" t="s">
        <v>2112</v>
      </c>
    </row>
    <row r="15" spans="1:81" ht="15.95" customHeight="1"/>
    <row r="16" spans="1:81" ht="15.95" customHeight="1">
      <c r="C16" s="832" t="s">
        <v>870</v>
      </c>
      <c r="D16" s="832"/>
      <c r="E16" s="832"/>
      <c r="F16" s="832"/>
      <c r="G16" s="832"/>
      <c r="H16" s="832"/>
      <c r="I16" s="832"/>
      <c r="J16" s="832"/>
      <c r="K16" s="832"/>
      <c r="L16" s="832"/>
      <c r="M16" s="832"/>
      <c r="N16" s="832"/>
      <c r="O16" s="832"/>
      <c r="P16" s="832"/>
      <c r="Q16" s="832"/>
      <c r="R16" s="832" t="s">
        <v>880</v>
      </c>
      <c r="S16" s="832"/>
      <c r="T16" s="832"/>
      <c r="U16" s="832" t="s">
        <v>74</v>
      </c>
      <c r="V16" s="832"/>
      <c r="W16" s="832" t="s">
        <v>2170</v>
      </c>
      <c r="X16" s="832"/>
      <c r="Y16" s="832"/>
      <c r="Z16" s="832"/>
      <c r="AA16" s="832" t="s">
        <v>2171</v>
      </c>
      <c r="AB16" s="832"/>
      <c r="AC16" s="832"/>
      <c r="AD16" s="832"/>
      <c r="AE16" s="832" t="s">
        <v>869</v>
      </c>
      <c r="AF16" s="832"/>
      <c r="AG16" s="832"/>
      <c r="AH16" s="832"/>
      <c r="AI16" s="860" t="s">
        <v>864</v>
      </c>
      <c r="AJ16" s="860"/>
      <c r="AK16" s="860"/>
      <c r="AL16" s="860"/>
      <c r="AM16" s="832" t="s">
        <v>1227</v>
      </c>
      <c r="AN16" s="832"/>
      <c r="AO16" s="832" t="s">
        <v>735</v>
      </c>
      <c r="AP16" s="832"/>
      <c r="AQ16" s="832"/>
      <c r="AR16" s="832" t="s">
        <v>83</v>
      </c>
      <c r="AS16" s="832"/>
      <c r="AT16" s="832"/>
      <c r="AU16" s="832"/>
      <c r="AX16" s="783" t="s">
        <v>743</v>
      </c>
      <c r="AY16" s="779" t="s">
        <v>1985</v>
      </c>
      <c r="AZ16" s="779" t="s">
        <v>942</v>
      </c>
      <c r="BA16" s="783"/>
      <c r="BB16" s="783"/>
      <c r="BC16" s="783" t="s">
        <v>924</v>
      </c>
      <c r="BD16" s="781" t="s">
        <v>1701</v>
      </c>
      <c r="BE16" s="828"/>
      <c r="BF16" s="828"/>
      <c r="BG16" s="779"/>
      <c r="BH16" s="828" t="s">
        <v>873</v>
      </c>
      <c r="BI16" s="828"/>
      <c r="BJ16" s="781" t="s">
        <v>88</v>
      </c>
      <c r="BK16" s="781" t="s">
        <v>1619</v>
      </c>
      <c r="BL16" s="783" t="s">
        <v>876</v>
      </c>
      <c r="BM16" s="781" t="s">
        <v>922</v>
      </c>
      <c r="BN16" s="779" t="s">
        <v>132</v>
      </c>
      <c r="BO16" s="779" t="s">
        <v>325</v>
      </c>
      <c r="BP16" s="781" t="s">
        <v>1833</v>
      </c>
      <c r="BQ16" s="783" t="s">
        <v>2107</v>
      </c>
      <c r="BR16" s="781"/>
      <c r="BS16" s="783"/>
      <c r="BT16" s="779"/>
      <c r="BU16" s="783" t="s">
        <v>925</v>
      </c>
      <c r="BV16" s="781" t="s">
        <v>691</v>
      </c>
      <c r="BW16" s="783" t="s">
        <v>85</v>
      </c>
      <c r="BX16" s="783" t="s">
        <v>840</v>
      </c>
      <c r="BY16" s="783" t="s">
        <v>309</v>
      </c>
      <c r="BZ16" s="755"/>
      <c r="CA16" s="755"/>
      <c r="CB16" s="755"/>
      <c r="CC16" s="755"/>
    </row>
    <row r="17" spans="1:81" ht="15.95" customHeight="1" thickBot="1">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t="s">
        <v>862</v>
      </c>
      <c r="AJ17" s="833"/>
      <c r="AK17" s="833" t="s">
        <v>863</v>
      </c>
      <c r="AL17" s="833"/>
      <c r="AM17" s="833"/>
      <c r="AN17" s="833"/>
      <c r="AO17" s="833"/>
      <c r="AP17" s="833"/>
      <c r="AQ17" s="833"/>
      <c r="AR17" s="833"/>
      <c r="AS17" s="833"/>
      <c r="AT17" s="833"/>
      <c r="AU17" s="833"/>
      <c r="AX17" s="784"/>
      <c r="AY17" s="780"/>
      <c r="AZ17" s="780"/>
      <c r="BA17" s="784"/>
      <c r="BB17" s="784"/>
      <c r="BC17" s="784"/>
      <c r="BD17" s="782"/>
      <c r="BE17" s="97"/>
      <c r="BF17" s="97"/>
      <c r="BG17" s="780"/>
      <c r="BH17" s="97" t="s">
        <v>871</v>
      </c>
      <c r="BI17" s="97" t="s">
        <v>872</v>
      </c>
      <c r="BJ17" s="782"/>
      <c r="BK17" s="782"/>
      <c r="BL17" s="784"/>
      <c r="BM17" s="782"/>
      <c r="BN17" s="780"/>
      <c r="BO17" s="780"/>
      <c r="BP17" s="782"/>
      <c r="BQ17" s="784"/>
      <c r="BR17" s="782"/>
      <c r="BS17" s="784"/>
      <c r="BT17" s="780"/>
      <c r="BU17" s="784"/>
      <c r="BV17" s="782"/>
      <c r="BW17" s="784"/>
      <c r="BX17" s="784"/>
      <c r="BY17" s="784"/>
      <c r="BZ17" s="756"/>
      <c r="CA17" s="756"/>
      <c r="CB17" s="756"/>
      <c r="CC17" s="756"/>
    </row>
    <row r="18" spans="1:81" ht="15.95" customHeight="1">
      <c r="B18" s="785">
        <v>1</v>
      </c>
      <c r="C18" s="805"/>
      <c r="D18" s="805"/>
      <c r="E18" s="805"/>
      <c r="F18" s="805"/>
      <c r="G18" s="805"/>
      <c r="H18" s="805"/>
      <c r="I18" s="805"/>
      <c r="J18" s="805"/>
      <c r="K18" s="805"/>
      <c r="L18" s="805"/>
      <c r="M18" s="805"/>
      <c r="N18" s="805"/>
      <c r="O18" s="805"/>
      <c r="P18" s="805"/>
      <c r="Q18" s="805"/>
      <c r="R18" s="902" t="str">
        <f>IF(C18="","",INDEX(STDREFRIG[Current Unit],MATCH(C18,STDREFRIG[Measure Name],0)))</f>
        <v/>
      </c>
      <c r="S18" s="902"/>
      <c r="T18" s="902"/>
      <c r="U18" s="801"/>
      <c r="V18" s="801"/>
      <c r="W18" s="805"/>
      <c r="X18" s="805"/>
      <c r="Y18" s="805"/>
      <c r="Z18" s="805"/>
      <c r="AA18" s="805"/>
      <c r="AB18" s="805"/>
      <c r="AC18" s="805"/>
      <c r="AD18" s="805"/>
      <c r="AE18" s="805"/>
      <c r="AF18" s="805"/>
      <c r="AG18" s="805"/>
      <c r="AH18" s="793"/>
      <c r="AI18" s="807"/>
      <c r="AJ18" s="808"/>
      <c r="AK18" s="808"/>
      <c r="AL18" s="811"/>
      <c r="AM18" s="900" t="str" cm="1">
        <f t="array" ref="AM18">IFERROR(IF(C18="","",INDEX(IF(AND(ACTIVEBONUS = TRUE,INDEX(STDREFRIG[Bonus Incentive],MATCH(C18,STDREFRIG[Measure Name],0))&lt;&gt; ""),STDREFRIG[Bonus Incentive],_xlfn.SWITCH(Program_Banner,"Business Energy Savings",STDREFRIG[BESP Incentive],"Small Business / Non-Profit",STDREFRIG[SBNP Incentive],0)),MATCH(C18,STDREFRIG[Measure Name],0))),"")</f>
        <v/>
      </c>
      <c r="AN18" s="814"/>
      <c r="AO18" s="817" t="str">
        <f>IFERROR(IF(OR(C18="",U18="",R18="",AA18="",AE18="",AI18="",AK18=""),"",IF(BD18="Deemed",BH18,IF(BD18="Calculated",BE18,""))),"")</f>
        <v/>
      </c>
      <c r="AP18" s="817"/>
      <c r="AQ18" s="817"/>
      <c r="AR18" s="840" t="str">
        <f>IFERROR(IF(OR(C18="",U18="",R18="",AA18="",AE18="",AI18="",AK18=""),"",IF(BY18&lt;&gt;"",BY18,IF(BP18&gt;0,BP18,ROUND(IF(AO18&lt;=0,0,MIN(BL18,BQ18)),2)))),"")</f>
        <v/>
      </c>
      <c r="AS18" s="840"/>
      <c r="AT18" s="840"/>
      <c r="AU18" s="840"/>
      <c r="AV18" s="17"/>
      <c r="AX18" s="773" t="str">
        <f>IFERROR(IF(OR(C18="",U18="",R18="",AA18="",AE18="",AI18="",AK18=""),"",INDEX(STDREFRIG[Current Unit],MATCH(C18,STDREFRIG[Measure Name],0))),"Err")</f>
        <v/>
      </c>
      <c r="AY18" s="759" t="str">
        <f t="shared" ref="AY18:AY36" si="0">IF(OR(C18="", U18=""), "", 0)</f>
        <v/>
      </c>
      <c r="AZ18" s="759" t="str">
        <f t="shared" ref="AZ18:AZ36" si="1">IF(OR(C18="", U18=""), "",  U18 * IF(ISNUMBER(SEARCH("Curtain", C18)), 1/21, 1))</f>
        <v/>
      </c>
      <c r="BA18" s="903"/>
      <c r="BB18" s="903"/>
      <c r="BC18" s="773" t="str">
        <f>IFERROR(IF(OR(C18="",U18="",R18="",AA18="",AE18="",AI18="",AK18=""),"",INDEX(STDREFRIG[End Use],MATCH(C18,STDREFRIG[Measure Name],0))),"Err")</f>
        <v/>
      </c>
      <c r="BD18" s="757" t="str">
        <f>IFERROR(IF(OR(C18="",U18="",R18="",AA18="",AE18="",AI18="",AK18=""),"",INDEX(STDREFRIG[Reporting Methodology],MATCH(C18,STDREFRIG[Measure Name],0))),"Err")</f>
        <v/>
      </c>
      <c r="BE18" s="761"/>
      <c r="BF18" s="761"/>
      <c r="BG18" s="761"/>
      <c r="BH18" s="775" t="str" cm="1">
        <f t="array" ref="BH18">IF(OR(C18="",U18="",R18="",AA18="",AE18="",AI18="",AK18=""),"",ROUND(U18*INDEX(_xlfn.SWITCH(Program_Banner,"Business Energy Savings",STDREFRIG[Electric Energy Savings WBE (Annual kWh/unit)],"Small Business / Non-Profit",STDREFRIG[Electric Energy Savings HTRB (Annual kWh/unit)],0),MATCH(C18,STDREFRIG[Measure Name],0)),4))</f>
        <v/>
      </c>
      <c r="BI18" s="775" t="str" cm="1">
        <f t="array" ref="BI18">IF(OR(C18="",U18="",R18="",AA18="",AE18="",AI18="",AK18=""),"",ROUND(U18*INDEX(_xlfn.SWITCH(Program_Banner,"Business Energy Savings",STDREFRIG[Coincident Peak Demand Savings WBE (kW/unit)],"Small Business / Non-Profit",STDREFRIG[Coincident Peak Demand Savings HTRB (kW/unit)],0),MATCH(C18,STDREFRIG[Measure Name],0)),4))</f>
        <v/>
      </c>
      <c r="BJ18" s="777" t="str">
        <f>IFERROR(INDEX(STDREFRIG[Measure Life (Years)],MATCH(C18,STDREFRIG[Measure Name],0)),"")</f>
        <v/>
      </c>
      <c r="BK18" s="767" t="str">
        <f>IFERROR(IF(OR(C18="",U18="",R18="",AA18="",AE18="",AI18="",AK18=""),"",
ROUND(((1+ELOSS)*((BH18*INDEX(ELECCB[NPV AEC $/kWh],MATCH(BJ18,ELECCB[Year Number],1)))+(BI18*INDEX(ELECCB[NPV ACC $/kW],MATCH(BJ18,ELECCB[Year Number],1))))),2)),0)</f>
        <v/>
      </c>
      <c r="BL18" s="767" t="str">
        <f t="shared" ref="BL18:BL36" si="2">IF(OR(AI18="", AK18=""), "", AI18+AK18)</f>
        <v/>
      </c>
      <c r="BM18" s="767" t="str">
        <f>IF(OR(C18="", U18=""), "", U18 * INDEX(STDREFRIG[Incremental Measure Cost ($/Unit)],MATCH(C18,STDREFRIG[Measure Name],0)))</f>
        <v/>
      </c>
      <c r="BN18" s="763" t="str">
        <f t="shared" ref="BN18:BN36" si="3">IFERROR( BK18 / IF(BM18 &lt;&gt; "", BM18, BL18), "")</f>
        <v/>
      </c>
      <c r="BO18" s="763" t="str">
        <f>IFERROR(IF(BM18 &lt;&gt; "", BM18, BL18) / M02S04F06 / AO18, "")</f>
        <v/>
      </c>
      <c r="BP18" s="770"/>
      <c r="BQ18" s="767" t="str">
        <f>IFERROR(ROUND(U18*AM18, 2), "")</f>
        <v/>
      </c>
      <c r="BR18" s="765"/>
      <c r="BS18" s="765"/>
      <c r="BT18" s="765"/>
      <c r="BU18" s="757" t="str">
        <f>IFERROR(IF(BP18="",IF(AR18 &lt; BQ18, "100% Total Cost", ""), ""), "")</f>
        <v/>
      </c>
      <c r="BV18" s="767" t="str">
        <f t="shared" ref="BV18:BV36" si="4">IF(OR(AO18="", AR18=""), "", AR18/AO18)</f>
        <v/>
      </c>
      <c r="BW18" s="757" t="str">
        <f>IFERROR(IF(OR(C18="",U18="",R18="",AA18="",AE18="",AI18="",AK18=""),"",IF(BY18&lt;&gt;"", SPILLOVERNUMBER, INDEX(STDREFRIG[Measure Number],MATCH(C18,STDREFRIG[Measure Name],0)))),"Err")</f>
        <v/>
      </c>
      <c r="BX18" s="757" t="str" cm="1">
        <f t="array" ref="BX18">IFERROR(INDEX(_xlfn.SWITCH(Program_Banner,"Business Energy Savings",STDREFRIG[Primary Key WBE],"Small Business / Non-Profit",STDREFRIG[Primary Key HTRB],0),MATCH(BW18,STDREFRIG[Measure Number],0)),"")</f>
        <v/>
      </c>
      <c r="BY18" s="757" t="str">
        <f>IFERROR(IF(OR(C18="",U18="",AA18="",AE18="",AI18="",AK18=""),"",
IF(BP18&gt;0,"",
IF(EXPIRATION&lt;&gt;"",PROJSTATEXP,""))),"")</f>
        <v/>
      </c>
      <c r="BZ18" s="753"/>
      <c r="CA18" s="753"/>
      <c r="CB18" s="753"/>
      <c r="CC18" s="753"/>
    </row>
    <row r="19" spans="1:81" ht="15.95" customHeight="1">
      <c r="B19" s="785"/>
      <c r="C19" s="806"/>
      <c r="D19" s="806"/>
      <c r="E19" s="806"/>
      <c r="F19" s="806"/>
      <c r="G19" s="806"/>
      <c r="H19" s="806"/>
      <c r="I19" s="806"/>
      <c r="J19" s="806"/>
      <c r="K19" s="806"/>
      <c r="L19" s="806"/>
      <c r="M19" s="806"/>
      <c r="N19" s="806"/>
      <c r="O19" s="806"/>
      <c r="P19" s="806"/>
      <c r="Q19" s="806"/>
      <c r="R19" s="899"/>
      <c r="S19" s="899"/>
      <c r="T19" s="899"/>
      <c r="U19" s="802"/>
      <c r="V19" s="802"/>
      <c r="W19" s="806"/>
      <c r="X19" s="806"/>
      <c r="Y19" s="806"/>
      <c r="Z19" s="806"/>
      <c r="AA19" s="806"/>
      <c r="AB19" s="806"/>
      <c r="AC19" s="806"/>
      <c r="AD19" s="806"/>
      <c r="AE19" s="806"/>
      <c r="AF19" s="806"/>
      <c r="AG19" s="806"/>
      <c r="AH19" s="786"/>
      <c r="AI19" s="809"/>
      <c r="AJ19" s="810"/>
      <c r="AK19" s="810"/>
      <c r="AL19" s="812"/>
      <c r="AM19" s="901"/>
      <c r="AN19" s="816"/>
      <c r="AO19" s="818"/>
      <c r="AP19" s="818"/>
      <c r="AQ19" s="818"/>
      <c r="AR19" s="841"/>
      <c r="AS19" s="841"/>
      <c r="AT19" s="841"/>
      <c r="AU19" s="841"/>
      <c r="AV19" s="17"/>
      <c r="AX19" s="774"/>
      <c r="AY19" s="760"/>
      <c r="AZ19" s="760"/>
      <c r="BA19" s="898"/>
      <c r="BB19" s="898"/>
      <c r="BC19" s="774"/>
      <c r="BD19" s="758"/>
      <c r="BE19" s="762"/>
      <c r="BF19" s="762"/>
      <c r="BG19" s="762"/>
      <c r="BH19" s="776"/>
      <c r="BI19" s="776"/>
      <c r="BJ19" s="778"/>
      <c r="BK19" s="768"/>
      <c r="BL19" s="768"/>
      <c r="BM19" s="768"/>
      <c r="BN19" s="764"/>
      <c r="BO19" s="764"/>
      <c r="BP19" s="879"/>
      <c r="BQ19" s="768"/>
      <c r="BR19" s="766"/>
      <c r="BS19" s="766"/>
      <c r="BT19" s="766"/>
      <c r="BU19" s="758"/>
      <c r="BV19" s="768"/>
      <c r="BW19" s="758"/>
      <c r="BX19" s="758"/>
      <c r="BY19" s="758"/>
      <c r="BZ19" s="754"/>
      <c r="CA19" s="754"/>
      <c r="CB19" s="754"/>
      <c r="CC19" s="754"/>
    </row>
    <row r="20" spans="1:81" ht="15.95" customHeight="1">
      <c r="A20" s="75"/>
      <c r="B20" s="785">
        <v>2</v>
      </c>
      <c r="C20" s="806"/>
      <c r="D20" s="806"/>
      <c r="E20" s="806"/>
      <c r="F20" s="806"/>
      <c r="G20" s="806"/>
      <c r="H20" s="806"/>
      <c r="I20" s="806"/>
      <c r="J20" s="806"/>
      <c r="K20" s="806"/>
      <c r="L20" s="806"/>
      <c r="M20" s="806"/>
      <c r="N20" s="806"/>
      <c r="O20" s="806"/>
      <c r="P20" s="806"/>
      <c r="Q20" s="806"/>
      <c r="R20" s="899" t="str">
        <f>IF(C20="","",INDEX(STDREFRIG[Current Unit],MATCH(C20,STDREFRIG[Measure Name],0)))</f>
        <v/>
      </c>
      <c r="S20" s="899"/>
      <c r="T20" s="899"/>
      <c r="U20" s="802"/>
      <c r="V20" s="802"/>
      <c r="W20" s="806"/>
      <c r="X20" s="806"/>
      <c r="Y20" s="806"/>
      <c r="Z20" s="806"/>
      <c r="AA20" s="806"/>
      <c r="AB20" s="806"/>
      <c r="AC20" s="806"/>
      <c r="AD20" s="806"/>
      <c r="AE20" s="806"/>
      <c r="AF20" s="806"/>
      <c r="AG20" s="806"/>
      <c r="AH20" s="786"/>
      <c r="AI20" s="809"/>
      <c r="AJ20" s="810"/>
      <c r="AK20" s="810"/>
      <c r="AL20" s="812"/>
      <c r="AM20" s="900" t="str" cm="1">
        <f t="array" ref="AM20">IFERROR(IF(C20="","",INDEX(IF(AND(ACTIVEBONUS = TRUE,INDEX(STDREFRIG[Bonus Incentive],MATCH(C20,STDREFRIG[Measure Name],0))&lt;&gt; ""),STDREFRIG[Bonus Incentive],_xlfn.SWITCH(Program_Banner,"Business Energy Savings",STDREFRIG[BESP Incentive],"Small Business / Non-Profit",STDREFRIG[SBNP Incentive],0)),MATCH(C20,STDREFRIG[Measure Name],0))),"")</f>
        <v/>
      </c>
      <c r="AN20" s="814"/>
      <c r="AO20" s="817" t="str">
        <f>IFERROR(IF(OR(C20="",U20="",R20="",AA20="",AE20="",AI20="",AK20=""),"",IF(BD20="Deemed",BH20,IF(BD20="Calculated",BE20,""))),"")</f>
        <v/>
      </c>
      <c r="AP20" s="817"/>
      <c r="AQ20" s="817"/>
      <c r="AR20" s="819" t="str">
        <f>IFERROR(IF(OR(C20="",U20="",R20="",AA20="",AE20="",AI20="",AK20=""),"",IF(BY20&lt;&gt;"",BY20,IF(BP20&gt;0,BP20,ROUND(IF(AO20&lt;=0,0,MIN(BL20,BQ20)),2)))),"")</f>
        <v/>
      </c>
      <c r="AS20" s="820"/>
      <c r="AT20" s="820"/>
      <c r="AU20" s="821"/>
      <c r="AV20" s="17"/>
      <c r="AX20" s="774" t="str">
        <f>IFERROR(IF(OR(C20="",U20="",R20="",AA20="",AE20="",AI20="",AK20=""),"",INDEX(STDREFRIG[Current Unit],MATCH(C20,STDREFRIG[Measure Name],0))),"Err")</f>
        <v/>
      </c>
      <c r="AY20" s="759" t="str">
        <f t="shared" si="0"/>
        <v/>
      </c>
      <c r="AZ20" s="759" t="str">
        <f t="shared" si="1"/>
        <v/>
      </c>
      <c r="BA20" s="898"/>
      <c r="BB20" s="898"/>
      <c r="BC20" s="774" t="str">
        <f>IFERROR(IF(OR(C20="",U20="",R20="",AA20="",AE20="",AI20="",AK20=""),"",INDEX(STDREFRIG[End Use],MATCH(C20,STDREFRIG[Measure Name],0))),"Err")</f>
        <v/>
      </c>
      <c r="BD20" s="758" t="str">
        <f>IFERROR(IF(OR(C20="",U20="",R20="",AA20="",AE20="",AI20="",AK20=""),"",INDEX(STDREFRIG[Reporting Methodology],MATCH(C20,STDREFRIG[Measure Name],0))),"Err")</f>
        <v/>
      </c>
      <c r="BE20" s="762"/>
      <c r="BF20" s="762"/>
      <c r="BG20" s="761"/>
      <c r="BH20" s="775" t="str" cm="1">
        <f t="array" ref="BH20">IF(OR(C20="",U20="",R20="",AA20="",AE20="",AI20="",AK20=""),"",ROUND(U20*INDEX(_xlfn.SWITCH(Program_Banner,"Business Energy Savings",STDREFRIG[Electric Energy Savings WBE (Annual kWh/unit)],"Small Business / Non-Profit",STDREFRIG[Electric Energy Savings HTRB (Annual kWh/unit)],0),MATCH(C20,STDREFRIG[Measure Name],0)),4))</f>
        <v/>
      </c>
      <c r="BI20" s="775" t="str" cm="1">
        <f t="array" ref="BI20">IF(OR(C20="",U20="",R20="",AA20="",AE20="",AI20="",AK20=""),"",ROUND(U20*INDEX(_xlfn.SWITCH(Program_Banner,"Business Energy Savings",STDREFRIG[Coincident Peak Demand Savings WBE (kW/unit)],"Small Business / Non-Profit",STDREFRIG[Coincident Peak Demand Savings HTRB (kW/unit)],0),MATCH(C20,STDREFRIG[Measure Name],0)),4))</f>
        <v/>
      </c>
      <c r="BJ20" s="778" t="str">
        <f>IFERROR(INDEX(STDREFRIG[Measure Life (Years)],MATCH(C20,STDREFRIG[Measure Name],0)),"")</f>
        <v/>
      </c>
      <c r="BK20" s="768" t="str">
        <f>IFERROR(IF(OR(C20="",U20="",R20="",AA20="",AE20="",AI20="",AK20=""),"",
ROUND(((1+ELOSS)*((BH20*INDEX(ELECCB[NPV AEC $/kWh],MATCH(BJ20,ELECCB[Year Number],1)))+(BI20*INDEX(ELECCB[NPV ACC $/kW],MATCH(BJ20,ELECCB[Year Number],1))))),2)),0)</f>
        <v/>
      </c>
      <c r="BL20" s="768" t="str">
        <f t="shared" si="2"/>
        <v/>
      </c>
      <c r="BM20" s="768" t="str">
        <f>IF(OR(C20="", U20=""), "", U20 * INDEX(STDREFRIG[Incremental Measure Cost ($/Unit)],MATCH(C20,STDREFRIG[Measure Name],0)))</f>
        <v/>
      </c>
      <c r="BN20" s="764" t="str">
        <f t="shared" si="3"/>
        <v/>
      </c>
      <c r="BO20" s="764" t="str">
        <f>IFERROR(IF(BM20 &lt;&gt; "", BM20, BL20) / M02S04F06 / AO20, "")</f>
        <v/>
      </c>
      <c r="BP20" s="879"/>
      <c r="BQ20" s="768" t="str">
        <f t="shared" ref="BQ20" si="5">IFERROR(ROUND(U20*AM20, 2), "")</f>
        <v/>
      </c>
      <c r="BR20" s="765"/>
      <c r="BS20" s="765"/>
      <c r="BT20" s="765"/>
      <c r="BU20" s="758" t="str">
        <f t="shared" ref="BU20" si="6">IFERROR(IF(BP20="",IF(AR20 &lt; BQ20, "100% Total Cost", ""), ""), "")</f>
        <v/>
      </c>
      <c r="BV20" s="767" t="str">
        <f t="shared" si="4"/>
        <v/>
      </c>
      <c r="BW20" s="758" t="str">
        <f>IFERROR(IF(OR(C20="",U20="",R20="",AA20="",AE20="",AI20="",AK20=""),"",IF(BY20&lt;&gt;"", SPILLOVERNUMBER, INDEX(STDREFRIG[Measure Number],MATCH(C20,STDREFRIG[Measure Name],0)))),"Err")</f>
        <v/>
      </c>
      <c r="BX20" s="757" t="str" cm="1">
        <f t="array" ref="BX20">IFERROR(INDEX(_xlfn.SWITCH(Program_Banner,"Business Energy Savings",STDREFRIG[Primary Key WBE],"Small Business / Non-Profit",STDREFRIG[Primary Key HTRB],0),MATCH(BW20,STDREFRIG[Measure Number],0)),"")</f>
        <v/>
      </c>
      <c r="BY20" s="758" t="str">
        <f>IFERROR(IF(OR(C20="",U20="",AA20="",AE20="",AI20="",AK20=""),"",
IF(BP20&gt;0,"",
IF(EXPIRATION&lt;&gt;"",PROJSTATEXP,""))),"")</f>
        <v/>
      </c>
      <c r="BZ20" s="754"/>
      <c r="CA20" s="754"/>
      <c r="CB20" s="754"/>
      <c r="CC20" s="754"/>
    </row>
    <row r="21" spans="1:81" ht="15.95" customHeight="1">
      <c r="B21" s="785"/>
      <c r="C21" s="806"/>
      <c r="D21" s="806"/>
      <c r="E21" s="806"/>
      <c r="F21" s="806"/>
      <c r="G21" s="806"/>
      <c r="H21" s="806"/>
      <c r="I21" s="806"/>
      <c r="J21" s="806"/>
      <c r="K21" s="806"/>
      <c r="L21" s="806"/>
      <c r="M21" s="806"/>
      <c r="N21" s="806"/>
      <c r="O21" s="806"/>
      <c r="P21" s="806"/>
      <c r="Q21" s="806"/>
      <c r="R21" s="899"/>
      <c r="S21" s="899"/>
      <c r="T21" s="899"/>
      <c r="U21" s="802"/>
      <c r="V21" s="802"/>
      <c r="W21" s="806"/>
      <c r="X21" s="806"/>
      <c r="Y21" s="806"/>
      <c r="Z21" s="806"/>
      <c r="AA21" s="806"/>
      <c r="AB21" s="806"/>
      <c r="AC21" s="806"/>
      <c r="AD21" s="806"/>
      <c r="AE21" s="806"/>
      <c r="AF21" s="806"/>
      <c r="AG21" s="806"/>
      <c r="AH21" s="786"/>
      <c r="AI21" s="809"/>
      <c r="AJ21" s="810"/>
      <c r="AK21" s="810"/>
      <c r="AL21" s="812"/>
      <c r="AM21" s="901"/>
      <c r="AN21" s="816"/>
      <c r="AO21" s="818"/>
      <c r="AP21" s="818"/>
      <c r="AQ21" s="818"/>
      <c r="AR21" s="822"/>
      <c r="AS21" s="823"/>
      <c r="AT21" s="823"/>
      <c r="AU21" s="824"/>
      <c r="AV21" s="17"/>
      <c r="AX21" s="774"/>
      <c r="AY21" s="760"/>
      <c r="AZ21" s="760"/>
      <c r="BA21" s="898"/>
      <c r="BB21" s="898"/>
      <c r="BC21" s="774"/>
      <c r="BD21" s="758"/>
      <c r="BE21" s="762"/>
      <c r="BF21" s="762"/>
      <c r="BG21" s="762"/>
      <c r="BH21" s="776"/>
      <c r="BI21" s="776"/>
      <c r="BJ21" s="778"/>
      <c r="BK21" s="768"/>
      <c r="BL21" s="768"/>
      <c r="BM21" s="768"/>
      <c r="BN21" s="764"/>
      <c r="BO21" s="764"/>
      <c r="BP21" s="879"/>
      <c r="BQ21" s="768"/>
      <c r="BR21" s="766"/>
      <c r="BS21" s="766"/>
      <c r="BT21" s="766"/>
      <c r="BU21" s="758"/>
      <c r="BV21" s="768"/>
      <c r="BW21" s="758"/>
      <c r="BX21" s="758"/>
      <c r="BY21" s="758"/>
      <c r="BZ21" s="754"/>
      <c r="CA21" s="754"/>
      <c r="CB21" s="754"/>
      <c r="CC21" s="754"/>
    </row>
    <row r="22" spans="1:81" ht="15.95" customHeight="1">
      <c r="A22" s="75"/>
      <c r="B22" s="785">
        <v>3</v>
      </c>
      <c r="C22" s="806"/>
      <c r="D22" s="806"/>
      <c r="E22" s="806"/>
      <c r="F22" s="806"/>
      <c r="G22" s="806"/>
      <c r="H22" s="806"/>
      <c r="I22" s="806"/>
      <c r="J22" s="806"/>
      <c r="K22" s="806"/>
      <c r="L22" s="806"/>
      <c r="M22" s="806"/>
      <c r="N22" s="806"/>
      <c r="O22" s="806"/>
      <c r="P22" s="806"/>
      <c r="Q22" s="806"/>
      <c r="R22" s="899" t="str">
        <f>IF(C22="","",INDEX(STDREFRIG[Current Unit],MATCH(C22,STDREFRIG[Measure Name],0)))</f>
        <v/>
      </c>
      <c r="S22" s="899"/>
      <c r="T22" s="899"/>
      <c r="U22" s="802"/>
      <c r="V22" s="802"/>
      <c r="W22" s="806"/>
      <c r="X22" s="806"/>
      <c r="Y22" s="806"/>
      <c r="Z22" s="806"/>
      <c r="AA22" s="806"/>
      <c r="AB22" s="806"/>
      <c r="AC22" s="806"/>
      <c r="AD22" s="806"/>
      <c r="AE22" s="806"/>
      <c r="AF22" s="806"/>
      <c r="AG22" s="806"/>
      <c r="AH22" s="786"/>
      <c r="AI22" s="809"/>
      <c r="AJ22" s="810"/>
      <c r="AK22" s="810"/>
      <c r="AL22" s="812"/>
      <c r="AM22" s="900" t="str" cm="1">
        <f t="array" ref="AM22">IFERROR(IF(C22="","",INDEX(IF(AND(ACTIVEBONUS = TRUE,INDEX(STDREFRIG[Bonus Incentive],MATCH(C22,STDREFRIG[Measure Name],0))&lt;&gt; ""),STDREFRIG[Bonus Incentive],_xlfn.SWITCH(Program_Banner,"Business Energy Savings",STDREFRIG[BESP Incentive],"Small Business / Non-Profit",STDREFRIG[SBNP Incentive],0)),MATCH(C22,STDREFRIG[Measure Name],0))),"")</f>
        <v/>
      </c>
      <c r="AN22" s="814"/>
      <c r="AO22" s="817" t="str">
        <f>IFERROR(IF(OR(C22="",U22="",R22="",AA22="",AE22="",AI22="",AK22=""),"",IF(BD22="Deemed",BH22,IF(BD22="Calculated",BE22,""))),"")</f>
        <v/>
      </c>
      <c r="AP22" s="817"/>
      <c r="AQ22" s="817"/>
      <c r="AR22" s="819" t="str">
        <f>IFERROR(IF(OR(C22="",U22="",R22="",AA22="",AE22="",AI22="",AK22=""),"",IF(BY22&lt;&gt;"",BY22,IF(BP22&gt;0,BP22,ROUND(IF(AO22&lt;=0,0,MIN(BL22,BQ22)),2)))),"")</f>
        <v/>
      </c>
      <c r="AS22" s="820"/>
      <c r="AT22" s="820"/>
      <c r="AU22" s="821"/>
      <c r="AV22" s="17"/>
      <c r="AX22" s="774" t="str">
        <f>IFERROR(IF(OR(C22="",U22="",R22="",AA22="",AE22="",AI22="",AK22=""),"",INDEX(STDREFRIG[Current Unit],MATCH(C22,STDREFRIG[Measure Name],0))),"Err")</f>
        <v/>
      </c>
      <c r="AY22" s="759" t="str">
        <f t="shared" si="0"/>
        <v/>
      </c>
      <c r="AZ22" s="759" t="str">
        <f t="shared" si="1"/>
        <v/>
      </c>
      <c r="BA22" s="898"/>
      <c r="BB22" s="898"/>
      <c r="BC22" s="774" t="str">
        <f>IFERROR(IF(OR(C22="",U22="",R22="",AA22="",AE22="",AI22="",AK22=""),"",INDEX(STDREFRIG[End Use],MATCH(C22,STDREFRIG[Measure Name],0))),"Err")</f>
        <v/>
      </c>
      <c r="BD22" s="758" t="str">
        <f>IFERROR(IF(OR(C22="",U22="",R22="",AA22="",AE22="",AI22="",AK22=""),"",INDEX(STDREFRIG[Reporting Methodology],MATCH(C22,STDREFRIG[Measure Name],0))),"Err")</f>
        <v/>
      </c>
      <c r="BE22" s="762"/>
      <c r="BF22" s="762"/>
      <c r="BG22" s="761"/>
      <c r="BH22" s="775" t="str" cm="1">
        <f t="array" ref="BH22">IF(OR(C22="",U22="",R22="",AA22="",AE22="",AI22="",AK22=""),"",ROUND(U22*INDEX(_xlfn.SWITCH(Program_Banner,"Business Energy Savings",STDREFRIG[Electric Energy Savings WBE (Annual kWh/unit)],"Small Business / Non-Profit",STDREFRIG[Electric Energy Savings HTRB (Annual kWh/unit)],0),MATCH(C22,STDREFRIG[Measure Name],0)),4))</f>
        <v/>
      </c>
      <c r="BI22" s="775" t="str" cm="1">
        <f t="array" ref="BI22">IF(OR(C22="",U22="",R22="",AA22="",AE22="",AI22="",AK22=""),"",ROUND(U22*INDEX(_xlfn.SWITCH(Program_Banner,"Business Energy Savings",STDREFRIG[Coincident Peak Demand Savings WBE (kW/unit)],"Small Business / Non-Profit",STDREFRIG[Coincident Peak Demand Savings HTRB (kW/unit)],0),MATCH(C22,STDREFRIG[Measure Name],0)),4))</f>
        <v/>
      </c>
      <c r="BJ22" s="778" t="str">
        <f>IFERROR(INDEX(STDREFRIG[Measure Life (Years)],MATCH(C22,STDREFRIG[Measure Name],0)),"")</f>
        <v/>
      </c>
      <c r="BK22" s="768" t="str">
        <f>IFERROR(IF(OR(C22="",U22="",R22="",AA22="",AE22="",AI22="",AK22=""),"",
ROUND(((1+ELOSS)*((BH22*INDEX(ELECCB[NPV AEC $/kWh],MATCH(BJ22,ELECCB[Year Number],1)))+(BI22*INDEX(ELECCB[NPV ACC $/kW],MATCH(BJ22,ELECCB[Year Number],1))))),2)),0)</f>
        <v/>
      </c>
      <c r="BL22" s="768" t="str">
        <f t="shared" si="2"/>
        <v/>
      </c>
      <c r="BM22" s="768" t="str">
        <f>IF(OR(C22="", U22=""), "", U22 * INDEX(STDREFRIG[Incremental Measure Cost ($/Unit)],MATCH(C22,STDREFRIG[Measure Name],0)))</f>
        <v/>
      </c>
      <c r="BN22" s="764" t="str">
        <f t="shared" si="3"/>
        <v/>
      </c>
      <c r="BO22" s="764" t="str">
        <f>IFERROR(IF(BM22 &lt;&gt; "", BM22, BL22) / M02S04F06 / AO22, "")</f>
        <v/>
      </c>
      <c r="BP22" s="879"/>
      <c r="BQ22" s="768" t="str">
        <f t="shared" ref="BQ22" si="7">IFERROR(ROUND(U22*AM22, 2), "")</f>
        <v/>
      </c>
      <c r="BR22" s="765"/>
      <c r="BS22" s="765"/>
      <c r="BT22" s="765"/>
      <c r="BU22" s="758" t="str">
        <f t="shared" ref="BU22" si="8">IFERROR(IF(BP22="",IF(AR22 &lt; BQ22, "100% Total Cost", ""), ""), "")</f>
        <v/>
      </c>
      <c r="BV22" s="767" t="str">
        <f t="shared" si="4"/>
        <v/>
      </c>
      <c r="BW22" s="758" t="str">
        <f>IFERROR(IF(OR(C22="",U22="",R22="",AA22="",AE22="",AI22="",AK22=""),"",IF(BY22&lt;&gt;"", SPILLOVERNUMBER, INDEX(STDREFRIG[Measure Number],MATCH(C22,STDREFRIG[Measure Name],0)))),"Err")</f>
        <v/>
      </c>
      <c r="BX22" s="757" t="str" cm="1">
        <f t="array" ref="BX22">IFERROR(INDEX(_xlfn.SWITCH(Program_Banner,"Business Energy Savings",STDREFRIG[Primary Key WBE],"Small Business / Non-Profit",STDREFRIG[Primary Key HTRB],0),MATCH(BW22,STDREFRIG[Measure Number],0)),"")</f>
        <v/>
      </c>
      <c r="BY22" s="758" t="str">
        <f>IFERROR(IF(OR(C22="",U22="",AA22="",AE22="",AI22="",AK22=""),"",
IF(BP22&gt;0,"",
IF(EXPIRATION&lt;&gt;"",PROJSTATEXP,""))),"")</f>
        <v/>
      </c>
      <c r="BZ22" s="754"/>
      <c r="CA22" s="754"/>
      <c r="CB22" s="754"/>
      <c r="CC22" s="754"/>
    </row>
    <row r="23" spans="1:81" ht="15.95" customHeight="1">
      <c r="B23" s="785"/>
      <c r="C23" s="806"/>
      <c r="D23" s="806"/>
      <c r="E23" s="806"/>
      <c r="F23" s="806"/>
      <c r="G23" s="806"/>
      <c r="H23" s="806"/>
      <c r="I23" s="806"/>
      <c r="J23" s="806"/>
      <c r="K23" s="806"/>
      <c r="L23" s="806"/>
      <c r="M23" s="806"/>
      <c r="N23" s="806"/>
      <c r="O23" s="806"/>
      <c r="P23" s="806"/>
      <c r="Q23" s="806"/>
      <c r="R23" s="899"/>
      <c r="S23" s="899"/>
      <c r="T23" s="899"/>
      <c r="U23" s="802"/>
      <c r="V23" s="802"/>
      <c r="W23" s="806"/>
      <c r="X23" s="806"/>
      <c r="Y23" s="806"/>
      <c r="Z23" s="806"/>
      <c r="AA23" s="806"/>
      <c r="AB23" s="806"/>
      <c r="AC23" s="806"/>
      <c r="AD23" s="806"/>
      <c r="AE23" s="806"/>
      <c r="AF23" s="806"/>
      <c r="AG23" s="806"/>
      <c r="AH23" s="786"/>
      <c r="AI23" s="809"/>
      <c r="AJ23" s="810"/>
      <c r="AK23" s="810"/>
      <c r="AL23" s="812"/>
      <c r="AM23" s="901"/>
      <c r="AN23" s="816"/>
      <c r="AO23" s="818"/>
      <c r="AP23" s="818"/>
      <c r="AQ23" s="818"/>
      <c r="AR23" s="822"/>
      <c r="AS23" s="823"/>
      <c r="AT23" s="823"/>
      <c r="AU23" s="824"/>
      <c r="AV23" s="17"/>
      <c r="AX23" s="774"/>
      <c r="AY23" s="760"/>
      <c r="AZ23" s="760"/>
      <c r="BA23" s="898"/>
      <c r="BB23" s="898"/>
      <c r="BC23" s="774"/>
      <c r="BD23" s="758"/>
      <c r="BE23" s="762"/>
      <c r="BF23" s="762"/>
      <c r="BG23" s="762"/>
      <c r="BH23" s="776"/>
      <c r="BI23" s="776"/>
      <c r="BJ23" s="778"/>
      <c r="BK23" s="768"/>
      <c r="BL23" s="768"/>
      <c r="BM23" s="768"/>
      <c r="BN23" s="764"/>
      <c r="BO23" s="764"/>
      <c r="BP23" s="879"/>
      <c r="BQ23" s="768"/>
      <c r="BR23" s="766"/>
      <c r="BS23" s="766"/>
      <c r="BT23" s="766"/>
      <c r="BU23" s="758"/>
      <c r="BV23" s="768"/>
      <c r="BW23" s="758"/>
      <c r="BX23" s="758"/>
      <c r="BY23" s="758"/>
      <c r="BZ23" s="754"/>
      <c r="CA23" s="754"/>
      <c r="CB23" s="754"/>
      <c r="CC23" s="754"/>
    </row>
    <row r="24" spans="1:81" ht="15.95" customHeight="1">
      <c r="B24" s="785">
        <v>4</v>
      </c>
      <c r="C24" s="806"/>
      <c r="D24" s="806"/>
      <c r="E24" s="806"/>
      <c r="F24" s="806"/>
      <c r="G24" s="806"/>
      <c r="H24" s="806"/>
      <c r="I24" s="806"/>
      <c r="J24" s="806"/>
      <c r="K24" s="806"/>
      <c r="L24" s="806"/>
      <c r="M24" s="806"/>
      <c r="N24" s="806"/>
      <c r="O24" s="806"/>
      <c r="P24" s="806"/>
      <c r="Q24" s="806"/>
      <c r="R24" s="899" t="str">
        <f>IF(C24="","",INDEX(STDREFRIG[Current Unit],MATCH(C24,STDREFRIG[Measure Name],0)))</f>
        <v/>
      </c>
      <c r="S24" s="899"/>
      <c r="T24" s="899"/>
      <c r="U24" s="802"/>
      <c r="V24" s="802"/>
      <c r="W24" s="806"/>
      <c r="X24" s="806"/>
      <c r="Y24" s="806"/>
      <c r="Z24" s="806"/>
      <c r="AA24" s="806"/>
      <c r="AB24" s="806"/>
      <c r="AC24" s="806"/>
      <c r="AD24" s="806"/>
      <c r="AE24" s="806"/>
      <c r="AF24" s="806"/>
      <c r="AG24" s="806"/>
      <c r="AH24" s="786"/>
      <c r="AI24" s="809"/>
      <c r="AJ24" s="810"/>
      <c r="AK24" s="810"/>
      <c r="AL24" s="812"/>
      <c r="AM24" s="900" t="str" cm="1">
        <f t="array" ref="AM24">IFERROR(IF(C24="","",INDEX(IF(AND(ACTIVEBONUS = TRUE,INDEX(STDREFRIG[Bonus Incentive],MATCH(C24,STDREFRIG[Measure Name],0))&lt;&gt; ""),STDREFRIG[Bonus Incentive],_xlfn.SWITCH(Program_Banner,"Business Energy Savings",STDREFRIG[BESP Incentive],"Small Business / Non-Profit",STDREFRIG[SBNP Incentive],0)),MATCH(C24,STDREFRIG[Measure Name],0))),"")</f>
        <v/>
      </c>
      <c r="AN24" s="814"/>
      <c r="AO24" s="817" t="str">
        <f>IFERROR(IF(OR(C24="",U24="",R24="",AA24="",AE24="",AI24="",AK24=""),"",IF(BD24="Deemed",BH24,IF(BD24="Calculated",BE24,""))),"")</f>
        <v/>
      </c>
      <c r="AP24" s="817"/>
      <c r="AQ24" s="817"/>
      <c r="AR24" s="819" t="str">
        <f>IFERROR(IF(OR(C24="",U24="",R24="",AA24="",AE24="",AI24="",AK24=""),"",IF(BY24&lt;&gt;"",BY24,IF(BP24&gt;0,BP24,ROUND(IF(AO24&lt;=0,0,MIN(BL24,BQ24)),2)))),"")</f>
        <v/>
      </c>
      <c r="AS24" s="820"/>
      <c r="AT24" s="820"/>
      <c r="AU24" s="821"/>
      <c r="AV24" s="17"/>
      <c r="AX24" s="774" t="str">
        <f>IFERROR(IF(OR(C24="",U24="",R24="",AA24="",AE24="",AI24="",AK24=""),"",INDEX(STDREFRIG[Current Unit],MATCH(C24,STDREFRIG[Measure Name],0))),"Err")</f>
        <v/>
      </c>
      <c r="AY24" s="759" t="str">
        <f t="shared" si="0"/>
        <v/>
      </c>
      <c r="AZ24" s="759" t="str">
        <f t="shared" si="1"/>
        <v/>
      </c>
      <c r="BA24" s="898"/>
      <c r="BB24" s="898"/>
      <c r="BC24" s="774" t="str">
        <f>IFERROR(IF(OR(C24="",U24="",R24="",AA24="",AE24="",AI24="",AK24=""),"",INDEX(STDREFRIG[End Use],MATCH(C24,STDREFRIG[Measure Name],0))),"Err")</f>
        <v/>
      </c>
      <c r="BD24" s="758" t="str">
        <f>IFERROR(IF(OR(C24="",U24="",R24="",AA24="",AE24="",AI24="",AK24=""),"",INDEX(STDREFRIG[Reporting Methodology],MATCH(C24,STDREFRIG[Measure Name],0))),"Err")</f>
        <v/>
      </c>
      <c r="BE24" s="762"/>
      <c r="BF24" s="762"/>
      <c r="BG24" s="761"/>
      <c r="BH24" s="775" t="str" cm="1">
        <f t="array" ref="BH24">IF(OR(C24="",U24="",R24="",AA24="",AE24="",AI24="",AK24=""),"",ROUND(U24*INDEX(_xlfn.SWITCH(Program_Banner,"Business Energy Savings",STDREFRIG[Electric Energy Savings WBE (Annual kWh/unit)],"Small Business / Non-Profit",STDREFRIG[Electric Energy Savings HTRB (Annual kWh/unit)],0),MATCH(C24,STDREFRIG[Measure Name],0)),4))</f>
        <v/>
      </c>
      <c r="BI24" s="775" t="str" cm="1">
        <f t="array" ref="BI24">IF(OR(C24="",U24="",R24="",AA24="",AE24="",AI24="",AK24=""),"",ROUND(U24*INDEX(_xlfn.SWITCH(Program_Banner,"Business Energy Savings",STDREFRIG[Coincident Peak Demand Savings WBE (kW/unit)],"Small Business / Non-Profit",STDREFRIG[Coincident Peak Demand Savings HTRB (kW/unit)],0),MATCH(C24,STDREFRIG[Measure Name],0)),4))</f>
        <v/>
      </c>
      <c r="BJ24" s="778" t="str">
        <f>IFERROR(INDEX(STDREFRIG[Measure Life (Years)],MATCH(C24,STDREFRIG[Measure Name],0)),"")</f>
        <v/>
      </c>
      <c r="BK24" s="768" t="str">
        <f>IFERROR(IF(OR(C24="",U24="",R24="",AA24="",AE24="",AI24="",AK24=""),"",
ROUND(((1+ELOSS)*((BH24*INDEX(ELECCB[NPV AEC $/kWh],MATCH(BJ24,ELECCB[Year Number],1)))+(BI24*INDEX(ELECCB[NPV ACC $/kW],MATCH(BJ24,ELECCB[Year Number],1))))),2)),0)</f>
        <v/>
      </c>
      <c r="BL24" s="768" t="str">
        <f t="shared" si="2"/>
        <v/>
      </c>
      <c r="BM24" s="768" t="str">
        <f>IF(OR(C24="", U24=""), "", U24 * INDEX(STDREFRIG[Incremental Measure Cost ($/Unit)],MATCH(C24,STDREFRIG[Measure Name],0)))</f>
        <v/>
      </c>
      <c r="BN24" s="764" t="str">
        <f t="shared" si="3"/>
        <v/>
      </c>
      <c r="BO24" s="764" t="str">
        <f>IFERROR(IF(BM24 &lt;&gt; "", BM24, BL24) / M02S04F06 / AO24, "")</f>
        <v/>
      </c>
      <c r="BP24" s="879"/>
      <c r="BQ24" s="768" t="str">
        <f t="shared" ref="BQ24" si="9">IFERROR(ROUND(U24*AM24, 2), "")</f>
        <v/>
      </c>
      <c r="BR24" s="765"/>
      <c r="BS24" s="765"/>
      <c r="BT24" s="765"/>
      <c r="BU24" s="758" t="str">
        <f t="shared" ref="BU24" si="10">IFERROR(IF(BP24="",IF(AR24 &lt; BQ24, "100% Total Cost", ""), ""), "")</f>
        <v/>
      </c>
      <c r="BV24" s="767" t="str">
        <f t="shared" si="4"/>
        <v/>
      </c>
      <c r="BW24" s="758" t="str">
        <f>IFERROR(IF(OR(C24="",U24="",R24="",AA24="",AE24="",AI24="",AK24=""),"",IF(BY24&lt;&gt;"", SPILLOVERNUMBER, INDEX(STDREFRIG[Measure Number],MATCH(C24,STDREFRIG[Measure Name],0)))),"Err")</f>
        <v/>
      </c>
      <c r="BX24" s="757" t="str" cm="1">
        <f t="array" ref="BX24">IFERROR(INDEX(_xlfn.SWITCH(Program_Banner,"Business Energy Savings",STDREFRIG[Primary Key WBE],"Small Business / Non-Profit",STDREFRIG[Primary Key HTRB],0),MATCH(BW24,STDREFRIG[Measure Number],0)),"")</f>
        <v/>
      </c>
      <c r="BY24" s="758" t="str">
        <f>IFERROR(IF(OR(C24="",U24="",AA24="",AE24="",AI24="",AK24=""),"",
IF(BP24&gt;0,"",
IF(EXPIRATION&lt;&gt;"",PROJSTATEXP,""))),"")</f>
        <v/>
      </c>
      <c r="BZ24" s="754"/>
      <c r="CA24" s="754"/>
      <c r="CB24" s="754"/>
      <c r="CC24" s="754"/>
    </row>
    <row r="25" spans="1:81" ht="15.95" customHeight="1">
      <c r="A25" s="75"/>
      <c r="B25" s="785"/>
      <c r="C25" s="806"/>
      <c r="D25" s="806"/>
      <c r="E25" s="806"/>
      <c r="F25" s="806"/>
      <c r="G25" s="806"/>
      <c r="H25" s="806"/>
      <c r="I25" s="806"/>
      <c r="J25" s="806"/>
      <c r="K25" s="806"/>
      <c r="L25" s="806"/>
      <c r="M25" s="806"/>
      <c r="N25" s="806"/>
      <c r="O25" s="806"/>
      <c r="P25" s="806"/>
      <c r="Q25" s="806"/>
      <c r="R25" s="899"/>
      <c r="S25" s="899"/>
      <c r="T25" s="899"/>
      <c r="U25" s="802"/>
      <c r="V25" s="802"/>
      <c r="W25" s="806"/>
      <c r="X25" s="806"/>
      <c r="Y25" s="806"/>
      <c r="Z25" s="806"/>
      <c r="AA25" s="806"/>
      <c r="AB25" s="806"/>
      <c r="AC25" s="806"/>
      <c r="AD25" s="806"/>
      <c r="AE25" s="806"/>
      <c r="AF25" s="806"/>
      <c r="AG25" s="806"/>
      <c r="AH25" s="786"/>
      <c r="AI25" s="809"/>
      <c r="AJ25" s="810"/>
      <c r="AK25" s="810"/>
      <c r="AL25" s="812"/>
      <c r="AM25" s="901"/>
      <c r="AN25" s="816"/>
      <c r="AO25" s="818"/>
      <c r="AP25" s="818"/>
      <c r="AQ25" s="818"/>
      <c r="AR25" s="822"/>
      <c r="AS25" s="823"/>
      <c r="AT25" s="823"/>
      <c r="AU25" s="824"/>
      <c r="AV25" s="17"/>
      <c r="AX25" s="774"/>
      <c r="AY25" s="760"/>
      <c r="AZ25" s="760"/>
      <c r="BA25" s="898"/>
      <c r="BB25" s="898"/>
      <c r="BC25" s="774"/>
      <c r="BD25" s="758"/>
      <c r="BE25" s="762"/>
      <c r="BF25" s="762"/>
      <c r="BG25" s="762"/>
      <c r="BH25" s="776"/>
      <c r="BI25" s="776"/>
      <c r="BJ25" s="778"/>
      <c r="BK25" s="768"/>
      <c r="BL25" s="768"/>
      <c r="BM25" s="768"/>
      <c r="BN25" s="764"/>
      <c r="BO25" s="764"/>
      <c r="BP25" s="879"/>
      <c r="BQ25" s="768"/>
      <c r="BR25" s="766"/>
      <c r="BS25" s="766"/>
      <c r="BT25" s="766"/>
      <c r="BU25" s="758"/>
      <c r="BV25" s="768"/>
      <c r="BW25" s="758"/>
      <c r="BX25" s="758"/>
      <c r="BY25" s="758"/>
      <c r="BZ25" s="754"/>
      <c r="CA25" s="754"/>
      <c r="CB25" s="754"/>
      <c r="CC25" s="754"/>
    </row>
    <row r="26" spans="1:81" ht="15.95" customHeight="1">
      <c r="B26" s="785">
        <v>5</v>
      </c>
      <c r="C26" s="806"/>
      <c r="D26" s="806"/>
      <c r="E26" s="806"/>
      <c r="F26" s="806"/>
      <c r="G26" s="806"/>
      <c r="H26" s="806"/>
      <c r="I26" s="806"/>
      <c r="J26" s="806"/>
      <c r="K26" s="806"/>
      <c r="L26" s="806"/>
      <c r="M26" s="806"/>
      <c r="N26" s="806"/>
      <c r="O26" s="806"/>
      <c r="P26" s="806"/>
      <c r="Q26" s="806"/>
      <c r="R26" s="899" t="str">
        <f>IF(C26="","",INDEX(STDREFRIG[Current Unit],MATCH(C26,STDREFRIG[Measure Name],0)))</f>
        <v/>
      </c>
      <c r="S26" s="899"/>
      <c r="T26" s="899"/>
      <c r="U26" s="802"/>
      <c r="V26" s="802"/>
      <c r="W26" s="806"/>
      <c r="X26" s="806"/>
      <c r="Y26" s="806"/>
      <c r="Z26" s="806"/>
      <c r="AA26" s="806"/>
      <c r="AB26" s="806"/>
      <c r="AC26" s="806"/>
      <c r="AD26" s="806"/>
      <c r="AE26" s="806"/>
      <c r="AF26" s="806"/>
      <c r="AG26" s="806"/>
      <c r="AH26" s="786"/>
      <c r="AI26" s="809"/>
      <c r="AJ26" s="810"/>
      <c r="AK26" s="810"/>
      <c r="AL26" s="812"/>
      <c r="AM26" s="900" t="str" cm="1">
        <f t="array" ref="AM26">IFERROR(IF(C26="","",INDEX(IF(AND(ACTIVEBONUS = TRUE,INDEX(STDREFRIG[Bonus Incentive],MATCH(C26,STDREFRIG[Measure Name],0))&lt;&gt; ""),STDREFRIG[Bonus Incentive],_xlfn.SWITCH(Program_Banner,"Business Energy Savings",STDREFRIG[BESP Incentive],"Small Business / Non-Profit",STDREFRIG[SBNP Incentive],0)),MATCH(C26,STDREFRIG[Measure Name],0))),"")</f>
        <v/>
      </c>
      <c r="AN26" s="814"/>
      <c r="AO26" s="817" t="str">
        <f>IFERROR(IF(OR(C26="",U26="",R26="",AA26="",AE26="",AI26="",AK26=""),"",IF(BD26="Deemed",BH26,IF(BD26="Calculated",BE26,""))),"")</f>
        <v/>
      </c>
      <c r="AP26" s="817"/>
      <c r="AQ26" s="817"/>
      <c r="AR26" s="819" t="str">
        <f>IFERROR(IF(OR(C26="",U26="",R26="",AA26="",AE26="",AI26="",AK26=""),"",IF(BY26&lt;&gt;"",BY26,IF(BP26&gt;0,BP26,ROUND(IF(AO26&lt;=0,0,MIN(BL26,BQ26)),2)))),"")</f>
        <v/>
      </c>
      <c r="AS26" s="820"/>
      <c r="AT26" s="820"/>
      <c r="AU26" s="821"/>
      <c r="AV26" s="17"/>
      <c r="AX26" s="774" t="str">
        <f>IFERROR(IF(OR(C26="",U26="",R26="",AA26="",AE26="",AI26="",AK26=""),"",INDEX(STDREFRIG[Current Unit],MATCH(C26,STDREFRIG[Measure Name],0))),"Err")</f>
        <v/>
      </c>
      <c r="AY26" s="759" t="str">
        <f t="shared" si="0"/>
        <v/>
      </c>
      <c r="AZ26" s="759" t="str">
        <f t="shared" si="1"/>
        <v/>
      </c>
      <c r="BA26" s="898"/>
      <c r="BB26" s="898"/>
      <c r="BC26" s="774" t="str">
        <f>IFERROR(IF(OR(C26="",U26="",R26="",AA26="",AE26="",AI26="",AK26=""),"",INDEX(STDREFRIG[End Use],MATCH(C26,STDREFRIG[Measure Name],0))),"Err")</f>
        <v/>
      </c>
      <c r="BD26" s="758" t="str">
        <f>IFERROR(IF(OR(C26="",U26="",R26="",AA26="",AE26="",AI26="",AK26=""),"",INDEX(STDREFRIG[Reporting Methodology],MATCH(C26,STDREFRIG[Measure Name],0))),"Err")</f>
        <v/>
      </c>
      <c r="BE26" s="762"/>
      <c r="BF26" s="762"/>
      <c r="BG26" s="761"/>
      <c r="BH26" s="775" t="str" cm="1">
        <f t="array" ref="BH26">IF(OR(C26="",U26="",R26="",AA26="",AE26="",AI26="",AK26=""),"",ROUND(U26*INDEX(_xlfn.SWITCH(Program_Banner,"Business Energy Savings",STDREFRIG[Electric Energy Savings WBE (Annual kWh/unit)],"Small Business / Non-Profit",STDREFRIG[Electric Energy Savings HTRB (Annual kWh/unit)],0),MATCH(C26,STDREFRIG[Measure Name],0)),4))</f>
        <v/>
      </c>
      <c r="BI26" s="775" t="str" cm="1">
        <f t="array" ref="BI26">IF(OR(C26="",U26="",R26="",AA26="",AE26="",AI26="",AK26=""),"",ROUND(U26*INDEX(_xlfn.SWITCH(Program_Banner,"Business Energy Savings",STDREFRIG[Coincident Peak Demand Savings WBE (kW/unit)],"Small Business / Non-Profit",STDREFRIG[Coincident Peak Demand Savings HTRB (kW/unit)],0),MATCH(C26,STDREFRIG[Measure Name],0)),4))</f>
        <v/>
      </c>
      <c r="BJ26" s="778" t="str">
        <f>IFERROR(INDEX(STDREFRIG[Measure Life (Years)],MATCH(C26,STDREFRIG[Measure Name],0)),"")</f>
        <v/>
      </c>
      <c r="BK26" s="768" t="str">
        <f>IFERROR(IF(OR(C26="",U26="",R26="",AA26="",AE26="",AI26="",AK26=""),"",
ROUND(((1+ELOSS)*((BH26*INDEX(ELECCB[NPV AEC $/kWh],MATCH(BJ26,ELECCB[Year Number],1)))+(BI26*INDEX(ELECCB[NPV ACC $/kW],MATCH(BJ26,ELECCB[Year Number],1))))),2)),0)</f>
        <v/>
      </c>
      <c r="BL26" s="768" t="str">
        <f t="shared" si="2"/>
        <v/>
      </c>
      <c r="BM26" s="768" t="str">
        <f>IF(OR(C26="", U26=""), "", U26 * INDEX(STDREFRIG[Incremental Measure Cost ($/Unit)],MATCH(C26,STDREFRIG[Measure Name],0)))</f>
        <v/>
      </c>
      <c r="BN26" s="764" t="str">
        <f t="shared" si="3"/>
        <v/>
      </c>
      <c r="BO26" s="764" t="str">
        <f>IFERROR(IF(BM26 &lt;&gt; "", BM26, BL26) / M02S04F06 / AO26, "")</f>
        <v/>
      </c>
      <c r="BP26" s="879"/>
      <c r="BQ26" s="768" t="str">
        <f t="shared" ref="BQ26" si="11">IFERROR(ROUND(U26*AM26, 2), "")</f>
        <v/>
      </c>
      <c r="BR26" s="765"/>
      <c r="BS26" s="765"/>
      <c r="BT26" s="765"/>
      <c r="BU26" s="758" t="str">
        <f t="shared" ref="BU26" si="12">IFERROR(IF(BP26="",IF(AR26 &lt; BQ26, "100% Total Cost", ""), ""), "")</f>
        <v/>
      </c>
      <c r="BV26" s="767" t="str">
        <f t="shared" si="4"/>
        <v/>
      </c>
      <c r="BW26" s="758" t="str">
        <f>IFERROR(IF(OR(C26="",U26="",R26="",AA26="",AE26="",AI26="",AK26=""),"",IF(BY26&lt;&gt;"", SPILLOVERNUMBER, INDEX(STDREFRIG[Measure Number],MATCH(C26,STDREFRIG[Measure Name],0)))),"Err")</f>
        <v/>
      </c>
      <c r="BX26" s="757" t="str" cm="1">
        <f t="array" ref="BX26">IFERROR(INDEX(_xlfn.SWITCH(Program_Banner,"Business Energy Savings",STDREFRIG[Primary Key WBE],"Small Business / Non-Profit",STDREFRIG[Primary Key HTRB],0),MATCH(BW26,STDREFRIG[Measure Number],0)),"")</f>
        <v/>
      </c>
      <c r="BY26" s="758" t="str">
        <f>IFERROR(IF(OR(C26="",U26="",AA26="",AE26="",AI26="",AK26=""),"",
IF(BP26&gt;0,"",
IF(EXPIRATION&lt;&gt;"",PROJSTATEXP,""))),"")</f>
        <v/>
      </c>
      <c r="BZ26" s="754"/>
      <c r="CA26" s="754"/>
      <c r="CB26" s="754"/>
      <c r="CC26" s="754"/>
    </row>
    <row r="27" spans="1:81" ht="15.95" customHeight="1">
      <c r="B27" s="785"/>
      <c r="C27" s="806"/>
      <c r="D27" s="806"/>
      <c r="E27" s="806"/>
      <c r="F27" s="806"/>
      <c r="G27" s="806"/>
      <c r="H27" s="806"/>
      <c r="I27" s="806"/>
      <c r="J27" s="806"/>
      <c r="K27" s="806"/>
      <c r="L27" s="806"/>
      <c r="M27" s="806"/>
      <c r="N27" s="806"/>
      <c r="O27" s="806"/>
      <c r="P27" s="806"/>
      <c r="Q27" s="806"/>
      <c r="R27" s="899"/>
      <c r="S27" s="899"/>
      <c r="T27" s="899"/>
      <c r="U27" s="802"/>
      <c r="V27" s="802"/>
      <c r="W27" s="806"/>
      <c r="X27" s="806"/>
      <c r="Y27" s="806"/>
      <c r="Z27" s="806"/>
      <c r="AA27" s="806"/>
      <c r="AB27" s="806"/>
      <c r="AC27" s="806"/>
      <c r="AD27" s="806"/>
      <c r="AE27" s="806"/>
      <c r="AF27" s="806"/>
      <c r="AG27" s="806"/>
      <c r="AH27" s="786"/>
      <c r="AI27" s="809"/>
      <c r="AJ27" s="810"/>
      <c r="AK27" s="810"/>
      <c r="AL27" s="812"/>
      <c r="AM27" s="901"/>
      <c r="AN27" s="816"/>
      <c r="AO27" s="818"/>
      <c r="AP27" s="818"/>
      <c r="AQ27" s="818"/>
      <c r="AR27" s="822"/>
      <c r="AS27" s="823"/>
      <c r="AT27" s="823"/>
      <c r="AU27" s="824"/>
      <c r="AV27" s="17"/>
      <c r="AX27" s="774"/>
      <c r="AY27" s="760"/>
      <c r="AZ27" s="760"/>
      <c r="BA27" s="898"/>
      <c r="BB27" s="898"/>
      <c r="BC27" s="774"/>
      <c r="BD27" s="758"/>
      <c r="BE27" s="762"/>
      <c r="BF27" s="762"/>
      <c r="BG27" s="762"/>
      <c r="BH27" s="776"/>
      <c r="BI27" s="776"/>
      <c r="BJ27" s="778"/>
      <c r="BK27" s="768"/>
      <c r="BL27" s="768"/>
      <c r="BM27" s="768"/>
      <c r="BN27" s="764"/>
      <c r="BO27" s="764"/>
      <c r="BP27" s="879"/>
      <c r="BQ27" s="768"/>
      <c r="BR27" s="766"/>
      <c r="BS27" s="766"/>
      <c r="BT27" s="766"/>
      <c r="BU27" s="758"/>
      <c r="BV27" s="768"/>
      <c r="BW27" s="758"/>
      <c r="BX27" s="758"/>
      <c r="BY27" s="758"/>
      <c r="BZ27" s="754"/>
      <c r="CA27" s="754"/>
      <c r="CB27" s="754"/>
      <c r="CC27" s="754"/>
    </row>
    <row r="28" spans="1:81" ht="15.95" customHeight="1">
      <c r="B28" s="785">
        <v>6</v>
      </c>
      <c r="C28" s="806"/>
      <c r="D28" s="806"/>
      <c r="E28" s="806"/>
      <c r="F28" s="806"/>
      <c r="G28" s="806"/>
      <c r="H28" s="806"/>
      <c r="I28" s="806"/>
      <c r="J28" s="806"/>
      <c r="K28" s="806"/>
      <c r="L28" s="806"/>
      <c r="M28" s="806"/>
      <c r="N28" s="806"/>
      <c r="O28" s="806"/>
      <c r="P28" s="806"/>
      <c r="Q28" s="806"/>
      <c r="R28" s="899" t="str">
        <f>IF(C28="","",INDEX(STDREFRIG[Current Unit],MATCH(C28,STDREFRIG[Measure Name],0)))</f>
        <v/>
      </c>
      <c r="S28" s="899"/>
      <c r="T28" s="899"/>
      <c r="U28" s="802"/>
      <c r="V28" s="802"/>
      <c r="W28" s="806"/>
      <c r="X28" s="806"/>
      <c r="Y28" s="806"/>
      <c r="Z28" s="806"/>
      <c r="AA28" s="806"/>
      <c r="AB28" s="806"/>
      <c r="AC28" s="806"/>
      <c r="AD28" s="806"/>
      <c r="AE28" s="806"/>
      <c r="AF28" s="806"/>
      <c r="AG28" s="806"/>
      <c r="AH28" s="786"/>
      <c r="AI28" s="809"/>
      <c r="AJ28" s="810"/>
      <c r="AK28" s="810"/>
      <c r="AL28" s="812"/>
      <c r="AM28" s="900" t="str" cm="1">
        <f t="array" ref="AM28">IFERROR(IF(C28="","",INDEX(IF(AND(ACTIVEBONUS = TRUE,INDEX(STDREFRIG[Bonus Incentive],MATCH(C28,STDREFRIG[Measure Name],0))&lt;&gt; ""),STDREFRIG[Bonus Incentive],_xlfn.SWITCH(Program_Banner,"Business Energy Savings",STDREFRIG[BESP Incentive],"Small Business / Non-Profit",STDREFRIG[SBNP Incentive],0)),MATCH(C28,STDREFRIG[Measure Name],0))),"")</f>
        <v/>
      </c>
      <c r="AN28" s="814"/>
      <c r="AO28" s="817" t="str">
        <f>IFERROR(IF(OR(C28="",U28="",R28="",AA28="",AE28="",AI28="",AK28=""),"",IF(BD28="Deemed",BH28,IF(BD28="Calculated",BE28,""))),"")</f>
        <v/>
      </c>
      <c r="AP28" s="817"/>
      <c r="AQ28" s="817"/>
      <c r="AR28" s="819" t="str">
        <f>IFERROR(IF(OR(C28="",U28="",R28="",AA28="",AE28="",AI28="",AK28=""),"",IF(BY28&lt;&gt;"",BY28,IF(BP28&gt;0,BP28,ROUND(IF(AO28&lt;=0,0,MIN(BL28,BQ28)),2)))),"")</f>
        <v/>
      </c>
      <c r="AS28" s="820"/>
      <c r="AT28" s="820"/>
      <c r="AU28" s="821"/>
      <c r="AV28" s="17"/>
      <c r="AX28" s="774" t="str">
        <f>IFERROR(IF(OR(C28="",U28="",R28="",AA28="",AE28="",AI28="",AK28=""),"",INDEX(STDREFRIG[Current Unit],MATCH(C28,STDREFRIG[Measure Name],0))),"Err")</f>
        <v/>
      </c>
      <c r="AY28" s="759" t="str">
        <f t="shared" si="0"/>
        <v/>
      </c>
      <c r="AZ28" s="759" t="str">
        <f t="shared" si="1"/>
        <v/>
      </c>
      <c r="BA28" s="898"/>
      <c r="BB28" s="898"/>
      <c r="BC28" s="774" t="str">
        <f>IFERROR(IF(OR(C28="",U28="",R28="",AA28="",AE28="",AI28="",AK28=""),"",INDEX(STDREFRIG[End Use],MATCH(C28,STDREFRIG[Measure Name],0))),"Err")</f>
        <v/>
      </c>
      <c r="BD28" s="758" t="str">
        <f>IFERROR(IF(OR(C28="",U28="",R28="",AA28="",AE28="",AI28="",AK28=""),"",INDEX(STDREFRIG[Reporting Methodology],MATCH(C28,STDREFRIG[Measure Name],0))),"Err")</f>
        <v/>
      </c>
      <c r="BE28" s="762"/>
      <c r="BF28" s="762"/>
      <c r="BG28" s="761"/>
      <c r="BH28" s="775" t="str" cm="1">
        <f t="array" ref="BH28">IF(OR(C28="",U28="",R28="",AA28="",AE28="",AI28="",AK28=""),"",ROUND(U28*INDEX(_xlfn.SWITCH(Program_Banner,"Business Energy Savings",STDREFRIG[Electric Energy Savings WBE (Annual kWh/unit)],"Small Business / Non-Profit",STDREFRIG[Electric Energy Savings HTRB (Annual kWh/unit)],0),MATCH(C28,STDREFRIG[Measure Name],0)),4))</f>
        <v/>
      </c>
      <c r="BI28" s="775" t="str" cm="1">
        <f t="array" ref="BI28">IF(OR(C28="",U28="",R28="",AA28="",AE28="",AI28="",AK28=""),"",ROUND(U28*INDEX(_xlfn.SWITCH(Program_Banner,"Business Energy Savings",STDREFRIG[Coincident Peak Demand Savings WBE (kW/unit)],"Small Business / Non-Profit",STDREFRIG[Coincident Peak Demand Savings HTRB (kW/unit)],0),MATCH(C28,STDREFRIG[Measure Name],0)),4))</f>
        <v/>
      </c>
      <c r="BJ28" s="778" t="str">
        <f>IFERROR(INDEX(STDREFRIG[Measure Life (Years)],MATCH(C28,STDREFRIG[Measure Name],0)),"")</f>
        <v/>
      </c>
      <c r="BK28" s="768" t="str">
        <f>IFERROR(IF(OR(C28="",U28="",R28="",AA28="",AE28="",AI28="",AK28=""),"",
ROUND(((1+ELOSS)*((BH28*INDEX(ELECCB[NPV AEC $/kWh],MATCH(BJ28,ELECCB[Year Number],1)))+(BI28*INDEX(ELECCB[NPV ACC $/kW],MATCH(BJ28,ELECCB[Year Number],1))))),2)),0)</f>
        <v/>
      </c>
      <c r="BL28" s="768" t="str">
        <f t="shared" si="2"/>
        <v/>
      </c>
      <c r="BM28" s="768" t="str">
        <f>IF(OR(C28="", U28=""), "", U28 * INDEX(STDREFRIG[Incremental Measure Cost ($/Unit)],MATCH(C28,STDREFRIG[Measure Name],0)))</f>
        <v/>
      </c>
      <c r="BN28" s="764" t="str">
        <f t="shared" si="3"/>
        <v/>
      </c>
      <c r="BO28" s="764" t="str">
        <f>IFERROR(IF(BM28 &lt;&gt; "", BM28, BL28) / M02S04F06 / AO28, "")</f>
        <v/>
      </c>
      <c r="BP28" s="879"/>
      <c r="BQ28" s="768" t="str">
        <f t="shared" ref="BQ28" si="13">IFERROR(ROUND(U28*AM28, 2), "")</f>
        <v/>
      </c>
      <c r="BR28" s="765"/>
      <c r="BS28" s="765"/>
      <c r="BT28" s="765"/>
      <c r="BU28" s="758" t="str">
        <f t="shared" ref="BU28" si="14">IFERROR(IF(BP28="",IF(AR28 &lt; BQ28, "100% Total Cost", ""), ""), "")</f>
        <v/>
      </c>
      <c r="BV28" s="767" t="str">
        <f t="shared" si="4"/>
        <v/>
      </c>
      <c r="BW28" s="758" t="str">
        <f>IFERROR(IF(OR(C28="",U28="",R28="",AA28="",AE28="",AI28="",AK28=""),"",IF(BY28&lt;&gt;"", SPILLOVERNUMBER, INDEX(STDREFRIG[Measure Number],MATCH(C28,STDREFRIG[Measure Name],0)))),"Err")</f>
        <v/>
      </c>
      <c r="BX28" s="757" t="str" cm="1">
        <f t="array" ref="BX28">IFERROR(INDEX(_xlfn.SWITCH(Program_Banner,"Business Energy Savings",STDREFRIG[Primary Key WBE],"Small Business / Non-Profit",STDREFRIG[Primary Key HTRB],0),MATCH(BW28,STDREFRIG[Measure Number],0)),"")</f>
        <v/>
      </c>
      <c r="BY28" s="758" t="str">
        <f>IFERROR(IF(OR(C28="",U28="",AA28="",AE28="",AI28="",AK28=""),"",
IF(BP28&gt;0,"",
IF(EXPIRATION&lt;&gt;"",PROJSTATEXP,""))),"")</f>
        <v/>
      </c>
      <c r="BZ28" s="754"/>
      <c r="CA28" s="754"/>
      <c r="CB28" s="754"/>
      <c r="CC28" s="754"/>
    </row>
    <row r="29" spans="1:81" ht="15.95" customHeight="1">
      <c r="B29" s="785"/>
      <c r="C29" s="806"/>
      <c r="D29" s="806"/>
      <c r="E29" s="806"/>
      <c r="F29" s="806"/>
      <c r="G29" s="806"/>
      <c r="H29" s="806"/>
      <c r="I29" s="806"/>
      <c r="J29" s="806"/>
      <c r="K29" s="806"/>
      <c r="L29" s="806"/>
      <c r="M29" s="806"/>
      <c r="N29" s="806"/>
      <c r="O29" s="806"/>
      <c r="P29" s="806"/>
      <c r="Q29" s="806"/>
      <c r="R29" s="899"/>
      <c r="S29" s="899"/>
      <c r="T29" s="899"/>
      <c r="U29" s="802"/>
      <c r="V29" s="802"/>
      <c r="W29" s="806"/>
      <c r="X29" s="806"/>
      <c r="Y29" s="806"/>
      <c r="Z29" s="806"/>
      <c r="AA29" s="806"/>
      <c r="AB29" s="806"/>
      <c r="AC29" s="806"/>
      <c r="AD29" s="806"/>
      <c r="AE29" s="806"/>
      <c r="AF29" s="806"/>
      <c r="AG29" s="806"/>
      <c r="AH29" s="786"/>
      <c r="AI29" s="809"/>
      <c r="AJ29" s="810"/>
      <c r="AK29" s="810"/>
      <c r="AL29" s="812"/>
      <c r="AM29" s="901"/>
      <c r="AN29" s="816"/>
      <c r="AO29" s="818"/>
      <c r="AP29" s="818"/>
      <c r="AQ29" s="818"/>
      <c r="AR29" s="822"/>
      <c r="AS29" s="823"/>
      <c r="AT29" s="823"/>
      <c r="AU29" s="824"/>
      <c r="AV29" s="17"/>
      <c r="AX29" s="774"/>
      <c r="AY29" s="760"/>
      <c r="AZ29" s="760"/>
      <c r="BA29" s="898"/>
      <c r="BB29" s="898"/>
      <c r="BC29" s="774"/>
      <c r="BD29" s="758"/>
      <c r="BE29" s="762"/>
      <c r="BF29" s="762"/>
      <c r="BG29" s="762"/>
      <c r="BH29" s="776"/>
      <c r="BI29" s="776"/>
      <c r="BJ29" s="778"/>
      <c r="BK29" s="768"/>
      <c r="BL29" s="768"/>
      <c r="BM29" s="768"/>
      <c r="BN29" s="764"/>
      <c r="BO29" s="764"/>
      <c r="BP29" s="879"/>
      <c r="BQ29" s="768"/>
      <c r="BR29" s="766"/>
      <c r="BS29" s="766"/>
      <c r="BT29" s="766"/>
      <c r="BU29" s="758"/>
      <c r="BV29" s="768"/>
      <c r="BW29" s="758"/>
      <c r="BX29" s="758"/>
      <c r="BY29" s="758"/>
      <c r="BZ29" s="754"/>
      <c r="CA29" s="754"/>
      <c r="CB29" s="754"/>
      <c r="CC29" s="754"/>
    </row>
    <row r="30" spans="1:81" ht="15.95" customHeight="1">
      <c r="B30" s="785">
        <v>7</v>
      </c>
      <c r="C30" s="806"/>
      <c r="D30" s="806"/>
      <c r="E30" s="806"/>
      <c r="F30" s="806"/>
      <c r="G30" s="806"/>
      <c r="H30" s="806"/>
      <c r="I30" s="806"/>
      <c r="J30" s="806"/>
      <c r="K30" s="806"/>
      <c r="L30" s="806"/>
      <c r="M30" s="806"/>
      <c r="N30" s="806"/>
      <c r="O30" s="806"/>
      <c r="P30" s="806"/>
      <c r="Q30" s="806"/>
      <c r="R30" s="899" t="str">
        <f>IF(C30="","",INDEX(STDREFRIG[Current Unit],MATCH(C30,STDREFRIG[Measure Name],0)))</f>
        <v/>
      </c>
      <c r="S30" s="899"/>
      <c r="T30" s="899"/>
      <c r="U30" s="802"/>
      <c r="V30" s="802"/>
      <c r="W30" s="806"/>
      <c r="X30" s="806"/>
      <c r="Y30" s="806"/>
      <c r="Z30" s="806"/>
      <c r="AA30" s="806"/>
      <c r="AB30" s="806"/>
      <c r="AC30" s="806"/>
      <c r="AD30" s="806"/>
      <c r="AE30" s="806"/>
      <c r="AF30" s="806"/>
      <c r="AG30" s="806"/>
      <c r="AH30" s="786"/>
      <c r="AI30" s="809"/>
      <c r="AJ30" s="810"/>
      <c r="AK30" s="810"/>
      <c r="AL30" s="812"/>
      <c r="AM30" s="900" t="str" cm="1">
        <f t="array" ref="AM30">IFERROR(IF(C30="","",INDEX(IF(AND(ACTIVEBONUS = TRUE,INDEX(STDREFRIG[Bonus Incentive],MATCH(C30,STDREFRIG[Measure Name],0))&lt;&gt; ""),STDREFRIG[Bonus Incentive],_xlfn.SWITCH(Program_Banner,"Business Energy Savings",STDREFRIG[BESP Incentive],"Small Business / Non-Profit",STDREFRIG[SBNP Incentive],0)),MATCH(C30,STDREFRIG[Measure Name],0))),"")</f>
        <v/>
      </c>
      <c r="AN30" s="814"/>
      <c r="AO30" s="817" t="str">
        <f>IFERROR(IF(OR(C30="",U30="",R30="",AA30="",AE30="",AI30="",AK30=""),"",IF(BD30="Deemed",BH30,IF(BD30="Calculated",BE30,""))),"")</f>
        <v/>
      </c>
      <c r="AP30" s="817"/>
      <c r="AQ30" s="817"/>
      <c r="AR30" s="819" t="str">
        <f>IFERROR(IF(OR(C30="",U30="",R30="",AA30="",AE30="",AI30="",AK30=""),"",IF(BY30&lt;&gt;"",BY30,IF(BP30&gt;0,BP30,ROUND(IF(AO30&lt;=0,0,MIN(BL30,BQ30)),2)))),"")</f>
        <v/>
      </c>
      <c r="AS30" s="820"/>
      <c r="AT30" s="820"/>
      <c r="AU30" s="821"/>
      <c r="AV30" s="17"/>
      <c r="AX30" s="774" t="str">
        <f>IFERROR(IF(OR(C30="",U30="",R30="",AA30="",AE30="",AI30="",AK30=""),"",INDEX(STDREFRIG[Current Unit],MATCH(C30,STDREFRIG[Measure Name],0))),"Err")</f>
        <v/>
      </c>
      <c r="AY30" s="759" t="str">
        <f t="shared" si="0"/>
        <v/>
      </c>
      <c r="AZ30" s="759" t="str">
        <f t="shared" si="1"/>
        <v/>
      </c>
      <c r="BA30" s="898"/>
      <c r="BB30" s="898"/>
      <c r="BC30" s="774" t="str">
        <f>IFERROR(IF(OR(C30="",U30="",R30="",AA30="",AE30="",AI30="",AK30=""),"",INDEX(STDREFRIG[End Use],MATCH(C30,STDREFRIG[Measure Name],0))),"Err")</f>
        <v/>
      </c>
      <c r="BD30" s="758" t="str">
        <f>IFERROR(IF(OR(C30="",U30="",R30="",AA30="",AE30="",AI30="",AK30=""),"",INDEX(STDREFRIG[Reporting Methodology],MATCH(C30,STDREFRIG[Measure Name],0))),"Err")</f>
        <v/>
      </c>
      <c r="BE30" s="762"/>
      <c r="BF30" s="762"/>
      <c r="BG30" s="761"/>
      <c r="BH30" s="775" t="str" cm="1">
        <f t="array" ref="BH30">IF(OR(C30="",U30="",R30="",AA30="",AE30="",AI30="",AK30=""),"",ROUND(U30*INDEX(_xlfn.SWITCH(Program_Banner,"Business Energy Savings",STDREFRIG[Electric Energy Savings WBE (Annual kWh/unit)],"Small Business / Non-Profit",STDREFRIG[Electric Energy Savings HTRB (Annual kWh/unit)],0),MATCH(C30,STDREFRIG[Measure Name],0)),4))</f>
        <v/>
      </c>
      <c r="BI30" s="775" t="str" cm="1">
        <f t="array" ref="BI30">IF(OR(C30="",U30="",R30="",AA30="",AE30="",AI30="",AK30=""),"",ROUND(U30*INDEX(_xlfn.SWITCH(Program_Banner,"Business Energy Savings",STDREFRIG[Coincident Peak Demand Savings WBE (kW/unit)],"Small Business / Non-Profit",STDREFRIG[Coincident Peak Demand Savings HTRB (kW/unit)],0),MATCH(C30,STDREFRIG[Measure Name],0)),4))</f>
        <v/>
      </c>
      <c r="BJ30" s="778" t="str">
        <f>IFERROR(INDEX(STDREFRIG[Measure Life (Years)],MATCH(C30,STDREFRIG[Measure Name],0)),"")</f>
        <v/>
      </c>
      <c r="BK30" s="768" t="str">
        <f>IFERROR(IF(OR(C30="",U30="",R30="",AA30="",AE30="",AI30="",AK30=""),"",
ROUND(((1+ELOSS)*((BH30*INDEX(ELECCB[NPV AEC $/kWh],MATCH(BJ30,ELECCB[Year Number],1)))+(BI30*INDEX(ELECCB[NPV ACC $/kW],MATCH(BJ30,ELECCB[Year Number],1))))),2)),0)</f>
        <v/>
      </c>
      <c r="BL30" s="768" t="str">
        <f t="shared" si="2"/>
        <v/>
      </c>
      <c r="BM30" s="768" t="str">
        <f>IF(OR(C30="", U30=""), "", U30 * INDEX(STDREFRIG[Incremental Measure Cost ($/Unit)],MATCH(C30,STDREFRIG[Measure Name],0)))</f>
        <v/>
      </c>
      <c r="BN30" s="764" t="str">
        <f t="shared" si="3"/>
        <v/>
      </c>
      <c r="BO30" s="764" t="str">
        <f>IFERROR(IF(BM30 &lt;&gt; "", BM30, BL30) / M02S04F06 / AO30, "")</f>
        <v/>
      </c>
      <c r="BP30" s="879"/>
      <c r="BQ30" s="768" t="str">
        <f t="shared" ref="BQ30" si="15">IFERROR(ROUND(U30*AM30, 2), "")</f>
        <v/>
      </c>
      <c r="BR30" s="765"/>
      <c r="BS30" s="765"/>
      <c r="BT30" s="765"/>
      <c r="BU30" s="758" t="str">
        <f t="shared" ref="BU30" si="16">IFERROR(IF(BP30="",IF(AR30 &lt; BQ30, "100% Total Cost", ""), ""), "")</f>
        <v/>
      </c>
      <c r="BV30" s="767" t="str">
        <f t="shared" si="4"/>
        <v/>
      </c>
      <c r="BW30" s="758" t="str">
        <f>IFERROR(IF(OR(C30="",U30="",R30="",AA30="",AE30="",AI30="",AK30=""),"",IF(BY30&lt;&gt;"", SPILLOVERNUMBER, INDEX(STDREFRIG[Measure Number],MATCH(C30,STDREFRIG[Measure Name],0)))),"Err")</f>
        <v/>
      </c>
      <c r="BX30" s="757" t="str" cm="1">
        <f t="array" ref="BX30">IFERROR(INDEX(_xlfn.SWITCH(Program_Banner,"Business Energy Savings",STDREFRIG[Primary Key WBE],"Small Business / Non-Profit",STDREFRIG[Primary Key HTRB],0),MATCH(BW30,STDREFRIG[Measure Number],0)),"")</f>
        <v/>
      </c>
      <c r="BY30" s="758" t="str">
        <f>IFERROR(IF(OR(C30="",U30="",AA30="",AE30="",AI30="",AK30=""),"",
IF(BP30&gt;0,"",
IF(EXPIRATION&lt;&gt;"",PROJSTATEXP,""))),"")</f>
        <v/>
      </c>
      <c r="BZ30" s="754"/>
      <c r="CA30" s="754"/>
      <c r="CB30" s="754"/>
      <c r="CC30" s="754"/>
    </row>
    <row r="31" spans="1:81" ht="15.95" customHeight="1">
      <c r="B31" s="785"/>
      <c r="C31" s="806"/>
      <c r="D31" s="806"/>
      <c r="E31" s="806"/>
      <c r="F31" s="806"/>
      <c r="G31" s="806"/>
      <c r="H31" s="806"/>
      <c r="I31" s="806"/>
      <c r="J31" s="806"/>
      <c r="K31" s="806"/>
      <c r="L31" s="806"/>
      <c r="M31" s="806"/>
      <c r="N31" s="806"/>
      <c r="O31" s="806"/>
      <c r="P31" s="806"/>
      <c r="Q31" s="806"/>
      <c r="R31" s="899"/>
      <c r="S31" s="899"/>
      <c r="T31" s="899"/>
      <c r="U31" s="802"/>
      <c r="V31" s="802"/>
      <c r="W31" s="806"/>
      <c r="X31" s="806"/>
      <c r="Y31" s="806"/>
      <c r="Z31" s="806"/>
      <c r="AA31" s="806"/>
      <c r="AB31" s="806"/>
      <c r="AC31" s="806"/>
      <c r="AD31" s="806"/>
      <c r="AE31" s="806"/>
      <c r="AF31" s="806"/>
      <c r="AG31" s="806"/>
      <c r="AH31" s="786"/>
      <c r="AI31" s="809"/>
      <c r="AJ31" s="810"/>
      <c r="AK31" s="810"/>
      <c r="AL31" s="812"/>
      <c r="AM31" s="901"/>
      <c r="AN31" s="816"/>
      <c r="AO31" s="818"/>
      <c r="AP31" s="818"/>
      <c r="AQ31" s="818"/>
      <c r="AR31" s="822"/>
      <c r="AS31" s="823"/>
      <c r="AT31" s="823"/>
      <c r="AU31" s="824"/>
      <c r="AV31" s="17"/>
      <c r="AX31" s="774"/>
      <c r="AY31" s="760"/>
      <c r="AZ31" s="760"/>
      <c r="BA31" s="898"/>
      <c r="BB31" s="898"/>
      <c r="BC31" s="774"/>
      <c r="BD31" s="758"/>
      <c r="BE31" s="762"/>
      <c r="BF31" s="762"/>
      <c r="BG31" s="762"/>
      <c r="BH31" s="776"/>
      <c r="BI31" s="776"/>
      <c r="BJ31" s="778"/>
      <c r="BK31" s="768"/>
      <c r="BL31" s="768"/>
      <c r="BM31" s="768"/>
      <c r="BN31" s="764"/>
      <c r="BO31" s="764"/>
      <c r="BP31" s="879"/>
      <c r="BQ31" s="768"/>
      <c r="BR31" s="766"/>
      <c r="BS31" s="766"/>
      <c r="BT31" s="766"/>
      <c r="BU31" s="758"/>
      <c r="BV31" s="768"/>
      <c r="BW31" s="758"/>
      <c r="BX31" s="758"/>
      <c r="BY31" s="758"/>
      <c r="BZ31" s="754"/>
      <c r="CA31" s="754"/>
      <c r="CB31" s="754"/>
      <c r="CC31" s="754"/>
    </row>
    <row r="32" spans="1:81" ht="15.95" customHeight="1">
      <c r="B32" s="785">
        <v>8</v>
      </c>
      <c r="C32" s="806"/>
      <c r="D32" s="806"/>
      <c r="E32" s="806"/>
      <c r="F32" s="806"/>
      <c r="G32" s="806"/>
      <c r="H32" s="806"/>
      <c r="I32" s="806"/>
      <c r="J32" s="806"/>
      <c r="K32" s="806"/>
      <c r="L32" s="806"/>
      <c r="M32" s="806"/>
      <c r="N32" s="806"/>
      <c r="O32" s="806"/>
      <c r="P32" s="806"/>
      <c r="Q32" s="806"/>
      <c r="R32" s="899" t="str">
        <f>IF(C32="","",INDEX(STDREFRIG[Current Unit],MATCH(C32,STDREFRIG[Measure Name],0)))</f>
        <v/>
      </c>
      <c r="S32" s="899"/>
      <c r="T32" s="899"/>
      <c r="U32" s="802"/>
      <c r="V32" s="802"/>
      <c r="W32" s="806"/>
      <c r="X32" s="806"/>
      <c r="Y32" s="806"/>
      <c r="Z32" s="806"/>
      <c r="AA32" s="806"/>
      <c r="AB32" s="806"/>
      <c r="AC32" s="806"/>
      <c r="AD32" s="806"/>
      <c r="AE32" s="806"/>
      <c r="AF32" s="806"/>
      <c r="AG32" s="806"/>
      <c r="AH32" s="786"/>
      <c r="AI32" s="809"/>
      <c r="AJ32" s="810"/>
      <c r="AK32" s="810"/>
      <c r="AL32" s="812"/>
      <c r="AM32" s="900" t="str" cm="1">
        <f t="array" ref="AM32">IFERROR(IF(C32="","",INDEX(IF(AND(ACTIVEBONUS = TRUE,INDEX(STDREFRIG[Bonus Incentive],MATCH(C32,STDREFRIG[Measure Name],0))&lt;&gt; ""),STDREFRIG[Bonus Incentive],_xlfn.SWITCH(Program_Banner,"Business Energy Savings",STDREFRIG[BESP Incentive],"Small Business / Non-Profit",STDREFRIG[SBNP Incentive],0)),MATCH(C32,STDREFRIG[Measure Name],0))),"")</f>
        <v/>
      </c>
      <c r="AN32" s="814"/>
      <c r="AO32" s="817" t="str">
        <f>IFERROR(IF(OR(C32="",U32="",R32="",AA32="",AE32="",AI32="",AK32=""),"",IF(BD32="Deemed",BH32,IF(BD32="Calculated",BE32,""))),"")</f>
        <v/>
      </c>
      <c r="AP32" s="817"/>
      <c r="AQ32" s="817"/>
      <c r="AR32" s="819" t="str">
        <f>IFERROR(IF(OR(C32="",U32="",R32="",AA32="",AE32="",AI32="",AK32=""),"",IF(BY32&lt;&gt;"",BY32,IF(BP32&gt;0,BP32,ROUND(IF(AO32&lt;=0,0,MIN(BL32,BQ32)),2)))),"")</f>
        <v/>
      </c>
      <c r="AS32" s="820"/>
      <c r="AT32" s="820"/>
      <c r="AU32" s="821"/>
      <c r="AV32" s="17"/>
      <c r="AX32" s="774" t="str">
        <f>IFERROR(IF(OR(C32="",U32="",R32="",AA32="",AE32="",AI32="",AK32=""),"",INDEX(STDREFRIG[Current Unit],MATCH(C32,STDREFRIG[Measure Name],0))),"Err")</f>
        <v/>
      </c>
      <c r="AY32" s="759" t="str">
        <f t="shared" si="0"/>
        <v/>
      </c>
      <c r="AZ32" s="759" t="str">
        <f t="shared" si="1"/>
        <v/>
      </c>
      <c r="BA32" s="898"/>
      <c r="BB32" s="898"/>
      <c r="BC32" s="774" t="str">
        <f>IFERROR(IF(OR(C32="",U32="",R32="",AA32="",AE32="",AI32="",AK32=""),"",INDEX(STDREFRIG[End Use],MATCH(C32,STDREFRIG[Measure Name],0))),"Err")</f>
        <v/>
      </c>
      <c r="BD32" s="758" t="str">
        <f>IFERROR(IF(OR(C32="",U32="",R32="",AA32="",AE32="",AI32="",AK32=""),"",INDEX(STDREFRIG[Reporting Methodology],MATCH(C32,STDREFRIG[Measure Name],0))),"Err")</f>
        <v/>
      </c>
      <c r="BE32" s="762"/>
      <c r="BF32" s="762"/>
      <c r="BG32" s="761"/>
      <c r="BH32" s="775" t="str" cm="1">
        <f t="array" ref="BH32">IF(OR(C32="",U32="",R32="",AA32="",AE32="",AI32="",AK32=""),"",ROUND(U32*INDEX(_xlfn.SWITCH(Program_Banner,"Business Energy Savings",STDREFRIG[Electric Energy Savings WBE (Annual kWh/unit)],"Small Business / Non-Profit",STDREFRIG[Electric Energy Savings HTRB (Annual kWh/unit)],0),MATCH(C32,STDREFRIG[Measure Name],0)),4))</f>
        <v/>
      </c>
      <c r="BI32" s="775" t="str" cm="1">
        <f t="array" ref="BI32">IF(OR(C32="",U32="",R32="",AA32="",AE32="",AI32="",AK32=""),"",ROUND(U32*INDEX(_xlfn.SWITCH(Program_Banner,"Business Energy Savings",STDREFRIG[Coincident Peak Demand Savings WBE (kW/unit)],"Small Business / Non-Profit",STDREFRIG[Coincident Peak Demand Savings HTRB (kW/unit)],0),MATCH(C32,STDREFRIG[Measure Name],0)),4))</f>
        <v/>
      </c>
      <c r="BJ32" s="778" t="str">
        <f>IFERROR(INDEX(STDREFRIG[Measure Life (Years)],MATCH(C32,STDREFRIG[Measure Name],0)),"")</f>
        <v/>
      </c>
      <c r="BK32" s="768" t="str">
        <f>IFERROR(IF(OR(C32="",U32="",R32="",AA32="",AE32="",AI32="",AK32=""),"",
ROUND(((1+ELOSS)*((BH32*INDEX(ELECCB[NPV AEC $/kWh],MATCH(BJ32,ELECCB[Year Number],1)))+(BI32*INDEX(ELECCB[NPV ACC $/kW],MATCH(BJ32,ELECCB[Year Number],1))))),2)),0)</f>
        <v/>
      </c>
      <c r="BL32" s="768" t="str">
        <f t="shared" si="2"/>
        <v/>
      </c>
      <c r="BM32" s="768" t="str">
        <f>IF(OR(C32="", U32=""), "", U32 * INDEX(STDREFRIG[Incremental Measure Cost ($/Unit)],MATCH(C32,STDREFRIG[Measure Name],0)))</f>
        <v/>
      </c>
      <c r="BN32" s="764" t="str">
        <f t="shared" si="3"/>
        <v/>
      </c>
      <c r="BO32" s="764" t="str">
        <f>IFERROR(IF(BM32 &lt;&gt; "", BM32, BL32) / M02S04F06 / AO32, "")</f>
        <v/>
      </c>
      <c r="BP32" s="879"/>
      <c r="BQ32" s="768" t="str">
        <f t="shared" ref="BQ32" si="17">IFERROR(ROUND(U32*AM32, 2), "")</f>
        <v/>
      </c>
      <c r="BR32" s="765"/>
      <c r="BS32" s="765"/>
      <c r="BT32" s="765"/>
      <c r="BU32" s="758" t="str">
        <f t="shared" ref="BU32" si="18">IFERROR(IF(BP32="",IF(AR32 &lt; BQ32, "100% Total Cost", ""), ""), "")</f>
        <v/>
      </c>
      <c r="BV32" s="767" t="str">
        <f t="shared" si="4"/>
        <v/>
      </c>
      <c r="BW32" s="758" t="str">
        <f>IFERROR(IF(OR(C32="",U32="",R32="",AA32="",AE32="",AI32="",AK32=""),"",IF(BY32&lt;&gt;"", SPILLOVERNUMBER, INDEX(STDREFRIG[Measure Number],MATCH(C32,STDREFRIG[Measure Name],0)))),"Err")</f>
        <v/>
      </c>
      <c r="BX32" s="757" t="str" cm="1">
        <f t="array" ref="BX32">IFERROR(INDEX(_xlfn.SWITCH(Program_Banner,"Business Energy Savings",STDREFRIG[Primary Key WBE],"Small Business / Non-Profit",STDREFRIG[Primary Key HTRB],0),MATCH(BW32,STDREFRIG[Measure Number],0)),"")</f>
        <v/>
      </c>
      <c r="BY32" s="758" t="str">
        <f>IFERROR(IF(OR(C32="",U32="",AA32="",AE32="",AI32="",AK32=""),"",
IF(BP32&gt;0,"",
IF(EXPIRATION&lt;&gt;"",PROJSTATEXP,""))),"")</f>
        <v/>
      </c>
      <c r="BZ32" s="754"/>
      <c r="CA32" s="754"/>
      <c r="CB32" s="754"/>
      <c r="CC32" s="754"/>
    </row>
    <row r="33" spans="2:81" ht="15.95" customHeight="1">
      <c r="B33" s="785"/>
      <c r="C33" s="806"/>
      <c r="D33" s="806"/>
      <c r="E33" s="806"/>
      <c r="F33" s="806"/>
      <c r="G33" s="806"/>
      <c r="H33" s="806"/>
      <c r="I33" s="806"/>
      <c r="J33" s="806"/>
      <c r="K33" s="806"/>
      <c r="L33" s="806"/>
      <c r="M33" s="806"/>
      <c r="N33" s="806"/>
      <c r="O33" s="806"/>
      <c r="P33" s="806"/>
      <c r="Q33" s="806"/>
      <c r="R33" s="899"/>
      <c r="S33" s="899"/>
      <c r="T33" s="899"/>
      <c r="U33" s="802"/>
      <c r="V33" s="802"/>
      <c r="W33" s="806"/>
      <c r="X33" s="806"/>
      <c r="Y33" s="806"/>
      <c r="Z33" s="806"/>
      <c r="AA33" s="806"/>
      <c r="AB33" s="806"/>
      <c r="AC33" s="806"/>
      <c r="AD33" s="806"/>
      <c r="AE33" s="806"/>
      <c r="AF33" s="806"/>
      <c r="AG33" s="806"/>
      <c r="AH33" s="786"/>
      <c r="AI33" s="809"/>
      <c r="AJ33" s="810"/>
      <c r="AK33" s="810"/>
      <c r="AL33" s="812"/>
      <c r="AM33" s="901"/>
      <c r="AN33" s="816"/>
      <c r="AO33" s="818"/>
      <c r="AP33" s="818"/>
      <c r="AQ33" s="818"/>
      <c r="AR33" s="822"/>
      <c r="AS33" s="823"/>
      <c r="AT33" s="823"/>
      <c r="AU33" s="824"/>
      <c r="AV33" s="17"/>
      <c r="AX33" s="774"/>
      <c r="AY33" s="760"/>
      <c r="AZ33" s="760"/>
      <c r="BA33" s="898"/>
      <c r="BB33" s="898"/>
      <c r="BC33" s="774"/>
      <c r="BD33" s="758"/>
      <c r="BE33" s="762"/>
      <c r="BF33" s="762"/>
      <c r="BG33" s="762"/>
      <c r="BH33" s="776"/>
      <c r="BI33" s="776"/>
      <c r="BJ33" s="778"/>
      <c r="BK33" s="768"/>
      <c r="BL33" s="768"/>
      <c r="BM33" s="768"/>
      <c r="BN33" s="764"/>
      <c r="BO33" s="764"/>
      <c r="BP33" s="879"/>
      <c r="BQ33" s="768"/>
      <c r="BR33" s="766"/>
      <c r="BS33" s="766"/>
      <c r="BT33" s="766"/>
      <c r="BU33" s="758"/>
      <c r="BV33" s="768"/>
      <c r="BW33" s="758"/>
      <c r="BX33" s="758"/>
      <c r="BY33" s="758"/>
      <c r="BZ33" s="754"/>
      <c r="CA33" s="754"/>
      <c r="CB33" s="754"/>
      <c r="CC33" s="754"/>
    </row>
    <row r="34" spans="2:81" ht="15.95" customHeight="1">
      <c r="B34" s="785">
        <v>9</v>
      </c>
      <c r="C34" s="806"/>
      <c r="D34" s="806"/>
      <c r="E34" s="806"/>
      <c r="F34" s="806"/>
      <c r="G34" s="806"/>
      <c r="H34" s="806"/>
      <c r="I34" s="806"/>
      <c r="J34" s="806"/>
      <c r="K34" s="806"/>
      <c r="L34" s="806"/>
      <c r="M34" s="806"/>
      <c r="N34" s="806"/>
      <c r="O34" s="806"/>
      <c r="P34" s="806"/>
      <c r="Q34" s="806"/>
      <c r="R34" s="899" t="str">
        <f>IF(C34="","",INDEX(STDREFRIG[Current Unit],MATCH(C34,STDREFRIG[Measure Name],0)))</f>
        <v/>
      </c>
      <c r="S34" s="899"/>
      <c r="T34" s="899"/>
      <c r="U34" s="802"/>
      <c r="V34" s="802"/>
      <c r="W34" s="806"/>
      <c r="X34" s="806"/>
      <c r="Y34" s="806"/>
      <c r="Z34" s="806"/>
      <c r="AA34" s="806"/>
      <c r="AB34" s="806"/>
      <c r="AC34" s="806"/>
      <c r="AD34" s="806"/>
      <c r="AE34" s="806"/>
      <c r="AF34" s="806"/>
      <c r="AG34" s="806"/>
      <c r="AH34" s="786"/>
      <c r="AI34" s="809"/>
      <c r="AJ34" s="810"/>
      <c r="AK34" s="810"/>
      <c r="AL34" s="812"/>
      <c r="AM34" s="900" t="str" cm="1">
        <f t="array" ref="AM34">IFERROR(IF(C34="","",INDEX(IF(AND(ACTIVEBONUS = TRUE,INDEX(STDREFRIG[Bonus Incentive],MATCH(C34,STDREFRIG[Measure Name],0))&lt;&gt; ""),STDREFRIG[Bonus Incentive],_xlfn.SWITCH(Program_Banner,"Business Energy Savings",STDREFRIG[BESP Incentive],"Small Business / Non-Profit",STDREFRIG[SBNP Incentive],0)),MATCH(C34,STDREFRIG[Measure Name],0))),"")</f>
        <v/>
      </c>
      <c r="AN34" s="814"/>
      <c r="AO34" s="817" t="str">
        <f>IFERROR(IF(OR(C34="",U34="",R34="",AA34="",AE34="",AI34="",AK34=""),"",IF(BD34="Deemed",BH34,IF(BD34="Calculated",BE34,""))),"")</f>
        <v/>
      </c>
      <c r="AP34" s="817"/>
      <c r="AQ34" s="817"/>
      <c r="AR34" s="819" t="str">
        <f>IFERROR(IF(OR(C34="",U34="",R34="",AA34="",AE34="",AI34="",AK34=""),"",IF(BY34&lt;&gt;"",BY34,IF(BP34&gt;0,BP34,ROUND(IF(AO34&lt;=0,0,MIN(BL34,BQ34)),2)))),"")</f>
        <v/>
      </c>
      <c r="AS34" s="820"/>
      <c r="AT34" s="820"/>
      <c r="AU34" s="821"/>
      <c r="AV34" s="17"/>
      <c r="AX34" s="774" t="str">
        <f>IFERROR(IF(OR(C34="",U34="",R34="",AA34="",AE34="",AI34="",AK34=""),"",INDEX(STDREFRIG[Current Unit],MATCH(C34,STDREFRIG[Measure Name],0))),"Err")</f>
        <v/>
      </c>
      <c r="AY34" s="759" t="str">
        <f t="shared" si="0"/>
        <v/>
      </c>
      <c r="AZ34" s="759" t="str">
        <f t="shared" si="1"/>
        <v/>
      </c>
      <c r="BA34" s="898"/>
      <c r="BB34" s="898"/>
      <c r="BC34" s="774" t="str">
        <f>IFERROR(IF(OR(C34="",U34="",R34="",AA34="",AE34="",AI34="",AK34=""),"",INDEX(STDREFRIG[End Use],MATCH(C34,STDREFRIG[Measure Name],0))),"Err")</f>
        <v/>
      </c>
      <c r="BD34" s="758" t="str">
        <f>IFERROR(IF(OR(C34="",U34="",R34="",AA34="",AE34="",AI34="",AK34=""),"",INDEX(STDREFRIG[Reporting Methodology],MATCH(C34,STDREFRIG[Measure Name],0))),"Err")</f>
        <v/>
      </c>
      <c r="BE34" s="762"/>
      <c r="BF34" s="762"/>
      <c r="BG34" s="761"/>
      <c r="BH34" s="775" t="str" cm="1">
        <f t="array" ref="BH34">IF(OR(C34="",U34="",R34="",AA34="",AE34="",AI34="",AK34=""),"",ROUND(U34*INDEX(_xlfn.SWITCH(Program_Banner,"Business Energy Savings",STDREFRIG[Electric Energy Savings WBE (Annual kWh/unit)],"Small Business / Non-Profit",STDREFRIG[Electric Energy Savings HTRB (Annual kWh/unit)],0),MATCH(C34,STDREFRIG[Measure Name],0)),4))</f>
        <v/>
      </c>
      <c r="BI34" s="775" t="str" cm="1">
        <f t="array" ref="BI34">IF(OR(C34="",U34="",R34="",AA34="",AE34="",AI34="",AK34=""),"",ROUND(U34*INDEX(_xlfn.SWITCH(Program_Banner,"Business Energy Savings",STDREFRIG[Coincident Peak Demand Savings WBE (kW/unit)],"Small Business / Non-Profit",STDREFRIG[Coincident Peak Demand Savings HTRB (kW/unit)],0),MATCH(C34,STDREFRIG[Measure Name],0)),4))</f>
        <v/>
      </c>
      <c r="BJ34" s="778" t="str">
        <f>IFERROR(INDEX(STDREFRIG[Measure Life (Years)],MATCH(C34,STDREFRIG[Measure Name],0)),"")</f>
        <v/>
      </c>
      <c r="BK34" s="768" t="str">
        <f>IFERROR(IF(OR(C34="",U34="",R34="",AA34="",AE34="",AI34="",AK34=""),"",
ROUND(((1+ELOSS)*((BH34*INDEX(ELECCB[NPV AEC $/kWh],MATCH(BJ34,ELECCB[Year Number],1)))+(BI34*INDEX(ELECCB[NPV ACC $/kW],MATCH(BJ34,ELECCB[Year Number],1))))),2)),0)</f>
        <v/>
      </c>
      <c r="BL34" s="768" t="str">
        <f t="shared" si="2"/>
        <v/>
      </c>
      <c r="BM34" s="768" t="str">
        <f>IF(OR(C34="", U34=""), "", U34 * INDEX(STDREFRIG[Incremental Measure Cost ($/Unit)],MATCH(C34,STDREFRIG[Measure Name],0)))</f>
        <v/>
      </c>
      <c r="BN34" s="764" t="str">
        <f t="shared" si="3"/>
        <v/>
      </c>
      <c r="BO34" s="764" t="str">
        <f>IFERROR(IF(BM34 &lt;&gt; "", BM34, BL34) / M02S04F06 / AO34, "")</f>
        <v/>
      </c>
      <c r="BP34" s="879"/>
      <c r="BQ34" s="768" t="str">
        <f t="shared" ref="BQ34" si="19">IFERROR(ROUND(U34*AM34, 2), "")</f>
        <v/>
      </c>
      <c r="BR34" s="765"/>
      <c r="BS34" s="765"/>
      <c r="BT34" s="765"/>
      <c r="BU34" s="758" t="str">
        <f t="shared" ref="BU34" si="20">IFERROR(IF(BP34="",IF(AR34 &lt; BQ34, "100% Total Cost", ""), ""), "")</f>
        <v/>
      </c>
      <c r="BV34" s="767" t="str">
        <f t="shared" si="4"/>
        <v/>
      </c>
      <c r="BW34" s="758" t="str">
        <f>IFERROR(IF(OR(C34="",U34="",R34="",AA34="",AE34="",AI34="",AK34=""),"",IF(BY34&lt;&gt;"", SPILLOVERNUMBER, INDEX(STDREFRIG[Measure Number],MATCH(C34,STDREFRIG[Measure Name],0)))),"Err")</f>
        <v/>
      </c>
      <c r="BX34" s="757" t="str" cm="1">
        <f t="array" ref="BX34">IFERROR(INDEX(_xlfn.SWITCH(Program_Banner,"Business Energy Savings",STDREFRIG[Primary Key WBE],"Small Business / Non-Profit",STDREFRIG[Primary Key HTRB],0),MATCH(BW34,STDREFRIG[Measure Number],0)),"")</f>
        <v/>
      </c>
      <c r="BY34" s="758" t="str">
        <f>IFERROR(IF(OR(C34="",U34="",AA34="",AE34="",AI34="",AK34=""),"",
IF(BP34&gt;0,"",
IF(EXPIRATION&lt;&gt;"",PROJSTATEXP,""))),"")</f>
        <v/>
      </c>
      <c r="BZ34" s="754"/>
      <c r="CA34" s="754"/>
      <c r="CB34" s="754"/>
      <c r="CC34" s="754"/>
    </row>
    <row r="35" spans="2:81" ht="15.95" customHeight="1">
      <c r="B35" s="785"/>
      <c r="C35" s="806"/>
      <c r="D35" s="806"/>
      <c r="E35" s="806"/>
      <c r="F35" s="806"/>
      <c r="G35" s="806"/>
      <c r="H35" s="806"/>
      <c r="I35" s="806"/>
      <c r="J35" s="806"/>
      <c r="K35" s="806"/>
      <c r="L35" s="806"/>
      <c r="M35" s="806"/>
      <c r="N35" s="806"/>
      <c r="O35" s="806"/>
      <c r="P35" s="806"/>
      <c r="Q35" s="806"/>
      <c r="R35" s="899"/>
      <c r="S35" s="899"/>
      <c r="T35" s="899"/>
      <c r="U35" s="802"/>
      <c r="V35" s="802"/>
      <c r="W35" s="806"/>
      <c r="X35" s="806"/>
      <c r="Y35" s="806"/>
      <c r="Z35" s="806"/>
      <c r="AA35" s="806"/>
      <c r="AB35" s="806"/>
      <c r="AC35" s="806"/>
      <c r="AD35" s="806"/>
      <c r="AE35" s="806"/>
      <c r="AF35" s="806"/>
      <c r="AG35" s="806"/>
      <c r="AH35" s="786"/>
      <c r="AI35" s="809"/>
      <c r="AJ35" s="810"/>
      <c r="AK35" s="810"/>
      <c r="AL35" s="812"/>
      <c r="AM35" s="901"/>
      <c r="AN35" s="816"/>
      <c r="AO35" s="818"/>
      <c r="AP35" s="818"/>
      <c r="AQ35" s="818"/>
      <c r="AR35" s="822"/>
      <c r="AS35" s="823"/>
      <c r="AT35" s="823"/>
      <c r="AU35" s="824"/>
      <c r="AV35" s="17"/>
      <c r="AX35" s="774"/>
      <c r="AY35" s="760"/>
      <c r="AZ35" s="760"/>
      <c r="BA35" s="898"/>
      <c r="BB35" s="898"/>
      <c r="BC35" s="774"/>
      <c r="BD35" s="758"/>
      <c r="BE35" s="762"/>
      <c r="BF35" s="762"/>
      <c r="BG35" s="762"/>
      <c r="BH35" s="776"/>
      <c r="BI35" s="776"/>
      <c r="BJ35" s="778"/>
      <c r="BK35" s="768"/>
      <c r="BL35" s="768"/>
      <c r="BM35" s="768"/>
      <c r="BN35" s="764"/>
      <c r="BO35" s="764"/>
      <c r="BP35" s="879"/>
      <c r="BQ35" s="768"/>
      <c r="BR35" s="766"/>
      <c r="BS35" s="766"/>
      <c r="BT35" s="766"/>
      <c r="BU35" s="758"/>
      <c r="BV35" s="768"/>
      <c r="BW35" s="758"/>
      <c r="BX35" s="758"/>
      <c r="BY35" s="758"/>
      <c r="BZ35" s="754"/>
      <c r="CA35" s="754"/>
      <c r="CB35" s="754"/>
      <c r="CC35" s="754"/>
    </row>
    <row r="36" spans="2:81" ht="15.95" customHeight="1">
      <c r="B36" s="785">
        <v>10</v>
      </c>
      <c r="C36" s="805"/>
      <c r="D36" s="805"/>
      <c r="E36" s="805"/>
      <c r="F36" s="805"/>
      <c r="G36" s="805"/>
      <c r="H36" s="805"/>
      <c r="I36" s="805"/>
      <c r="J36" s="805"/>
      <c r="K36" s="805"/>
      <c r="L36" s="805"/>
      <c r="M36" s="805"/>
      <c r="N36" s="805"/>
      <c r="O36" s="805"/>
      <c r="P36" s="805"/>
      <c r="Q36" s="805"/>
      <c r="R36" s="902" t="str">
        <f>IF(C36="","",INDEX(STDREFRIG[Current Unit],MATCH(C36,STDREFRIG[Measure Name],0)))</f>
        <v/>
      </c>
      <c r="S36" s="902"/>
      <c r="T36" s="902"/>
      <c r="U36" s="801"/>
      <c r="V36" s="801"/>
      <c r="W36" s="805"/>
      <c r="X36" s="805"/>
      <c r="Y36" s="805"/>
      <c r="Z36" s="805"/>
      <c r="AA36" s="805"/>
      <c r="AB36" s="805"/>
      <c r="AC36" s="805"/>
      <c r="AD36" s="805"/>
      <c r="AE36" s="805"/>
      <c r="AF36" s="805"/>
      <c r="AG36" s="805"/>
      <c r="AH36" s="793"/>
      <c r="AI36" s="807"/>
      <c r="AJ36" s="808"/>
      <c r="AK36" s="808"/>
      <c r="AL36" s="811"/>
      <c r="AM36" s="900" t="str" cm="1">
        <f t="array" ref="AM36">IFERROR(IF(C36="","",INDEX(IF(AND(ACTIVEBONUS = TRUE,INDEX(STDREFRIG[Bonus Incentive],MATCH(C36,STDREFRIG[Measure Name],0))&lt;&gt; ""),STDREFRIG[Bonus Incentive],_xlfn.SWITCH(Program_Banner,"Business Energy Savings",STDREFRIG[BESP Incentive],"Small Business / Non-Profit",STDREFRIG[SBNP Incentive],0)),MATCH(C36,STDREFRIG[Measure Name],0))),"")</f>
        <v/>
      </c>
      <c r="AN36" s="814"/>
      <c r="AO36" s="817" t="str">
        <f>IFERROR(IF(OR(C36="",U36="",R36="",AA36="",AE36="",AI36="",AK36=""),"",IF(BD36="Deemed",BH36,IF(BD36="Calculated",BE36,""))),"")</f>
        <v/>
      </c>
      <c r="AP36" s="817"/>
      <c r="AQ36" s="817"/>
      <c r="AR36" s="819" t="str">
        <f>IFERROR(IF(OR(C36="",U36="",R36="",AA36="",AE36="",AI36="",AK36=""),"",IF(BY36&lt;&gt;"",BY36,IF(BP36&gt;0,BP36,ROUND(IF(AO36&lt;=0,0,MIN(BL36,BQ36)),2)))),"")</f>
        <v/>
      </c>
      <c r="AS36" s="820"/>
      <c r="AT36" s="820"/>
      <c r="AU36" s="821"/>
      <c r="AV36" s="17"/>
      <c r="AX36" s="774" t="str">
        <f>IFERROR(IF(OR(C36="",U36="",R36="",AA36="",AE36="",AI36="",AK36=""),"",INDEX(STDREFRIG[Current Unit],MATCH(C36,STDREFRIG[Measure Name],0))),"Err")</f>
        <v/>
      </c>
      <c r="AY36" s="759" t="str">
        <f t="shared" si="0"/>
        <v/>
      </c>
      <c r="AZ36" s="759" t="str">
        <f t="shared" si="1"/>
        <v/>
      </c>
      <c r="BA36" s="898"/>
      <c r="BB36" s="898"/>
      <c r="BC36" s="774" t="str">
        <f>IFERROR(IF(OR(C36="",U36="",R36="",AA36="",AE36="",AI36="",AK36=""),"",INDEX(STDREFRIG[End Use],MATCH(C36,STDREFRIG[Measure Name],0))),"Err")</f>
        <v/>
      </c>
      <c r="BD36" s="758" t="str">
        <f>IFERROR(IF(OR(C36="",U36="",R36="",AA36="",AE36="",AI36="",AK36=""),"",INDEX(STDREFRIG[Reporting Methodology],MATCH(C36,STDREFRIG[Measure Name],0))),"Err")</f>
        <v/>
      </c>
      <c r="BE36" s="762"/>
      <c r="BF36" s="762"/>
      <c r="BG36" s="761"/>
      <c r="BH36" s="775" t="str" cm="1">
        <f t="array" ref="BH36">IF(OR(C36="",U36="",R36="",AA36="",AE36="",AI36="",AK36=""),"",ROUND(U36*INDEX(_xlfn.SWITCH(Program_Banner,"Business Energy Savings",STDREFRIG[Electric Energy Savings WBE (Annual kWh/unit)],"Small Business / Non-Profit",STDREFRIG[Electric Energy Savings HTRB (Annual kWh/unit)],0),MATCH(C36,STDREFRIG[Measure Name],0)),4))</f>
        <v/>
      </c>
      <c r="BI36" s="775" t="str" cm="1">
        <f t="array" ref="BI36">IF(OR(C36="",U36="",R36="",AA36="",AE36="",AI36="",AK36=""),"",ROUND(U36*INDEX(_xlfn.SWITCH(Program_Banner,"Business Energy Savings",STDREFRIG[Coincident Peak Demand Savings WBE (kW/unit)],"Small Business / Non-Profit",STDREFRIG[Coincident Peak Demand Savings HTRB (kW/unit)],0),MATCH(C36,STDREFRIG[Measure Name],0)),4))</f>
        <v/>
      </c>
      <c r="BJ36" s="778" t="str">
        <f>IFERROR(INDEX(STDREFRIG[Measure Life (Years)],MATCH(C36,STDREFRIG[Measure Name],0)),"")</f>
        <v/>
      </c>
      <c r="BK36" s="768" t="str">
        <f>IFERROR(IF(OR(C36="",U36="",R36="",AA36="",AE36="",AI36="",AK36=""),"",
ROUND(((1+ELOSS)*((BH36*INDEX(ELECCB[NPV AEC $/kWh],MATCH(BJ36,ELECCB[Year Number],1)))+(BI36*INDEX(ELECCB[NPV ACC $/kW],MATCH(BJ36,ELECCB[Year Number],1))))),2)),0)</f>
        <v/>
      </c>
      <c r="BL36" s="768" t="str">
        <f t="shared" si="2"/>
        <v/>
      </c>
      <c r="BM36" s="768" t="str">
        <f>IF(OR(C36="", U36=""), "", U36 * INDEX(STDREFRIG[Incremental Measure Cost ($/Unit)],MATCH(C36,STDREFRIG[Measure Name],0)))</f>
        <v/>
      </c>
      <c r="BN36" s="764" t="str">
        <f t="shared" si="3"/>
        <v/>
      </c>
      <c r="BO36" s="764" t="str">
        <f>IFERROR(IF(BM36 &lt;&gt; "", BM36, BL36) / M02S04F06 / AO36, "")</f>
        <v/>
      </c>
      <c r="BP36" s="879"/>
      <c r="BQ36" s="768" t="str">
        <f t="shared" ref="BQ36" si="21">IFERROR(ROUND(U36*AM36, 2), "")</f>
        <v/>
      </c>
      <c r="BR36" s="765"/>
      <c r="BS36" s="765"/>
      <c r="BT36" s="765"/>
      <c r="BU36" s="758" t="str">
        <f t="shared" ref="BU36" si="22">IFERROR(IF(BP36="",IF(AR36 &lt; BQ36, "100% Total Cost", ""), ""), "")</f>
        <v/>
      </c>
      <c r="BV36" s="767" t="str">
        <f t="shared" si="4"/>
        <v/>
      </c>
      <c r="BW36" s="758" t="str">
        <f>IFERROR(IF(OR(C36="",U36="",R36="",AA36="",AE36="",AI36="",AK36=""),"",IF(BY36&lt;&gt;"", SPILLOVERNUMBER, INDEX(STDREFRIG[Measure Number],MATCH(C36,STDREFRIG[Measure Name],0)))),"Err")</f>
        <v/>
      </c>
      <c r="BX36" s="757" t="str" cm="1">
        <f t="array" ref="BX36">IFERROR(INDEX(_xlfn.SWITCH(Program_Banner,"Business Energy Savings",STDREFRIG[Primary Key WBE],"Small Business / Non-Profit",STDREFRIG[Primary Key HTRB],0),MATCH(BW36,STDREFRIG[Measure Number],0)),"")</f>
        <v/>
      </c>
      <c r="BY36" s="758" t="str">
        <f>IFERROR(IF(OR(C36="",U36="",AA36="",AE36="",AI36="",AK36=""),"",
IF(BP36&gt;0,"",
IF(EXPIRATION&lt;&gt;"",PROJSTATEXP,""))),"")</f>
        <v/>
      </c>
      <c r="BZ36" s="754"/>
      <c r="CA36" s="754"/>
      <c r="CB36" s="754"/>
      <c r="CC36" s="754"/>
    </row>
    <row r="37" spans="2:81" ht="15.95" customHeight="1">
      <c r="B37" s="785"/>
      <c r="C37" s="806"/>
      <c r="D37" s="806"/>
      <c r="E37" s="806"/>
      <c r="F37" s="806"/>
      <c r="G37" s="806"/>
      <c r="H37" s="806"/>
      <c r="I37" s="806"/>
      <c r="J37" s="806"/>
      <c r="K37" s="806"/>
      <c r="L37" s="806"/>
      <c r="M37" s="806"/>
      <c r="N37" s="806"/>
      <c r="O37" s="806"/>
      <c r="P37" s="806"/>
      <c r="Q37" s="806"/>
      <c r="R37" s="899"/>
      <c r="S37" s="899"/>
      <c r="T37" s="899"/>
      <c r="U37" s="802"/>
      <c r="V37" s="802"/>
      <c r="W37" s="806"/>
      <c r="X37" s="806"/>
      <c r="Y37" s="806"/>
      <c r="Z37" s="806"/>
      <c r="AA37" s="806"/>
      <c r="AB37" s="806"/>
      <c r="AC37" s="806"/>
      <c r="AD37" s="806"/>
      <c r="AE37" s="806"/>
      <c r="AF37" s="806"/>
      <c r="AG37" s="806"/>
      <c r="AH37" s="786"/>
      <c r="AI37" s="809"/>
      <c r="AJ37" s="810"/>
      <c r="AK37" s="810"/>
      <c r="AL37" s="812"/>
      <c r="AM37" s="901"/>
      <c r="AN37" s="816"/>
      <c r="AO37" s="818"/>
      <c r="AP37" s="818"/>
      <c r="AQ37" s="818"/>
      <c r="AR37" s="822"/>
      <c r="AS37" s="823"/>
      <c r="AT37" s="823"/>
      <c r="AU37" s="824"/>
      <c r="AV37" s="17"/>
      <c r="AX37" s="774"/>
      <c r="AY37" s="760"/>
      <c r="AZ37" s="760"/>
      <c r="BA37" s="898"/>
      <c r="BB37" s="898"/>
      <c r="BC37" s="774"/>
      <c r="BD37" s="758"/>
      <c r="BE37" s="762"/>
      <c r="BF37" s="762"/>
      <c r="BG37" s="762"/>
      <c r="BH37" s="776"/>
      <c r="BI37" s="776"/>
      <c r="BJ37" s="778"/>
      <c r="BK37" s="768"/>
      <c r="BL37" s="768"/>
      <c r="BM37" s="768"/>
      <c r="BN37" s="764"/>
      <c r="BO37" s="764"/>
      <c r="BP37" s="879"/>
      <c r="BQ37" s="768"/>
      <c r="BR37" s="766"/>
      <c r="BS37" s="766"/>
      <c r="BT37" s="766"/>
      <c r="BU37" s="758"/>
      <c r="BV37" s="768"/>
      <c r="BW37" s="758"/>
      <c r="BX37" s="758"/>
      <c r="BY37" s="758"/>
      <c r="BZ37" s="754"/>
      <c r="CA37" s="754"/>
      <c r="CB37" s="754"/>
      <c r="CC37" s="754"/>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H48" s="26"/>
      <c r="BI48" s="32"/>
    </row>
    <row r="49" spans="60:61" ht="15.95" hidden="1" customHeight="1">
      <c r="BH49" s="26"/>
      <c r="BI49" s="32"/>
    </row>
    <row r="50" spans="60:61" ht="15.95" hidden="1" customHeight="1">
      <c r="BH50" s="26"/>
      <c r="BI50" s="32"/>
    </row>
    <row r="51" spans="60:61" ht="15.95" hidden="1" customHeight="1">
      <c r="BH51" s="26"/>
      <c r="BI51" s="32"/>
    </row>
    <row r="52" spans="60:61" ht="15.95" hidden="1" customHeight="1">
      <c r="BH52" s="26"/>
      <c r="BI52" s="32"/>
    </row>
    <row r="53" spans="60:61" ht="15.95" hidden="1" customHeight="1">
      <c r="BH53" s="26"/>
      <c r="BI53" s="32"/>
    </row>
    <row r="54" spans="60:61" ht="15.95" hidden="1" customHeight="1">
      <c r="BH54" s="26"/>
      <c r="BI54" s="32"/>
    </row>
    <row r="55" spans="60:61" ht="15.95" hidden="1" customHeight="1">
      <c r="BH55" s="26"/>
      <c r="BI55" s="32"/>
    </row>
    <row r="56" spans="60:61" ht="15.95" hidden="1" customHeight="1">
      <c r="BH56" s="26"/>
      <c r="BI56" s="32"/>
    </row>
    <row r="57" spans="60:61" ht="15.95" hidden="1" customHeight="1">
      <c r="BH57" s="26"/>
      <c r="BI57" s="32"/>
    </row>
    <row r="58" spans="60:61" ht="15.95" hidden="1" customHeight="1">
      <c r="BH58" s="26"/>
      <c r="BI58" s="32"/>
    </row>
    <row r="59" spans="60:61" ht="15.95" hidden="1" customHeight="1">
      <c r="BH59" s="26"/>
      <c r="BI59" s="32"/>
    </row>
    <row r="60" spans="60:61" ht="15.95" hidden="1" customHeight="1">
      <c r="BH60" s="26"/>
      <c r="BI60" s="32"/>
    </row>
    <row r="61" spans="60:61" ht="15.95" hidden="1" customHeight="1">
      <c r="BH61" s="26"/>
      <c r="BI61" s="32"/>
    </row>
    <row r="62" spans="60:61" ht="15.95" hidden="1" customHeight="1">
      <c r="BH62" s="26"/>
      <c r="BI62" s="32"/>
    </row>
    <row r="63" spans="60:61" ht="15.95" hidden="1" customHeight="1">
      <c r="BH63" s="26"/>
      <c r="BI63" s="32"/>
    </row>
    <row r="64" spans="60:61" ht="15.95" hidden="1" customHeight="1">
      <c r="BH64" s="26"/>
      <c r="BI64" s="32"/>
    </row>
    <row r="65" spans="60:61" ht="15.95" hidden="1" customHeight="1">
      <c r="BH65" s="26"/>
      <c r="BI65" s="32"/>
    </row>
    <row r="66" spans="60:61" ht="15.95" hidden="1" customHeight="1">
      <c r="BH66" s="26"/>
      <c r="BI66" s="32"/>
    </row>
    <row r="67" spans="60:61" ht="15.95" hidden="1" customHeight="1">
      <c r="BH67" s="26"/>
      <c r="BI67" s="32"/>
    </row>
    <row r="68" spans="60:61" ht="15.95" hidden="1" customHeight="1">
      <c r="BH68" s="26"/>
      <c r="BI68" s="32"/>
    </row>
    <row r="69" spans="60:61" ht="15.95" hidden="1" customHeight="1">
      <c r="BH69" s="26"/>
      <c r="BI69" s="32"/>
    </row>
    <row r="70" spans="60:61" ht="15.95" hidden="1" customHeight="1">
      <c r="BH70" s="26"/>
      <c r="BI70" s="32"/>
    </row>
    <row r="71" spans="60:61" ht="15.95" hidden="1" customHeight="1">
      <c r="BH71" s="26"/>
      <c r="BI71" s="32"/>
    </row>
    <row r="72" spans="60:61" ht="15.95" hidden="1" customHeight="1">
      <c r="BH72" s="26"/>
      <c r="BI72" s="32"/>
    </row>
    <row r="73" spans="60:61" ht="15.95" hidden="1" customHeight="1">
      <c r="BH73" s="26"/>
      <c r="BI73" s="32"/>
    </row>
    <row r="74" spans="60:61" ht="15.95" hidden="1" customHeight="1">
      <c r="BH74" s="26"/>
      <c r="BI74" s="32"/>
    </row>
    <row r="75" spans="60:61" ht="15.95" hidden="1" customHeight="1">
      <c r="BH75" s="26"/>
      <c r="BI75" s="32"/>
    </row>
    <row r="76" spans="60:61" ht="15.95" hidden="1" customHeight="1">
      <c r="BH76" s="26"/>
      <c r="BI76" s="32"/>
    </row>
    <row r="77" spans="60:61" ht="15.95" hidden="1" customHeight="1">
      <c r="BH77" s="26"/>
      <c r="BI77" s="32"/>
    </row>
    <row r="78" spans="60:61" ht="15.95" hidden="1" customHeight="1">
      <c r="BH78" s="26"/>
      <c r="BI78" s="32"/>
    </row>
    <row r="79" spans="60:61" ht="15.95" hidden="1" customHeight="1">
      <c r="BH79" s="26"/>
      <c r="BI79" s="32"/>
    </row>
    <row r="80" spans="60:61" ht="15.95" hidden="1" customHeight="1">
      <c r="BH80" s="26"/>
      <c r="BI80" s="32"/>
    </row>
    <row r="81" spans="60:61" ht="15.95" hidden="1" customHeight="1">
      <c r="BH81" s="26"/>
      <c r="BI81" s="32"/>
    </row>
    <row r="82" spans="60:61" ht="15.95" hidden="1" customHeight="1">
      <c r="BH82" s="26"/>
      <c r="BI82" s="32"/>
    </row>
    <row r="83" spans="60:61" ht="15.95" hidden="1" customHeight="1">
      <c r="BH83" s="26"/>
      <c r="BI83" s="32"/>
    </row>
    <row r="84" spans="60:61" ht="15.95" hidden="1" customHeight="1">
      <c r="BH84" s="26"/>
      <c r="BI84" s="32"/>
    </row>
    <row r="85" spans="60:61" ht="15.95" hidden="1" customHeight="1">
      <c r="BH85" s="26"/>
      <c r="BI85" s="32"/>
    </row>
    <row r="86" spans="60:61" ht="15.95" hidden="1" customHeight="1">
      <c r="BH86" s="26"/>
      <c r="BI86" s="32"/>
    </row>
    <row r="87" spans="60:61" ht="15.95" hidden="1" customHeight="1">
      <c r="BH87" s="26"/>
      <c r="BI87" s="32"/>
    </row>
    <row r="88" spans="60:61" ht="15.95" hidden="1" customHeight="1">
      <c r="BH88" s="26"/>
      <c r="BI88" s="32"/>
    </row>
    <row r="89" spans="60:61" ht="15.95" hidden="1" customHeight="1">
      <c r="BH89" s="26"/>
      <c r="BI89" s="32"/>
    </row>
    <row r="90" spans="60:61" ht="15.95" hidden="1" customHeight="1">
      <c r="BH90" s="26"/>
      <c r="BI90" s="32"/>
    </row>
    <row r="91" spans="60:61" ht="15.95" hidden="1" customHeight="1">
      <c r="BH91" s="26"/>
      <c r="BI91" s="32"/>
    </row>
    <row r="92" spans="60:61" ht="15.95" hidden="1" customHeight="1">
      <c r="BH92" s="26"/>
      <c r="BI92" s="32"/>
    </row>
    <row r="93" spans="60:61" ht="15.95" hidden="1" customHeight="1">
      <c r="BH93" s="26"/>
      <c r="BI93" s="32"/>
    </row>
    <row r="94" spans="60:61" ht="15.95" hidden="1" customHeight="1">
      <c r="BH94" s="26"/>
      <c r="BI94" s="32"/>
    </row>
    <row r="95" spans="60:61" ht="15.95" hidden="1" customHeight="1">
      <c r="BH95" s="26"/>
      <c r="BI95" s="32"/>
    </row>
    <row r="96" spans="60:61" ht="15.95" hidden="1" customHeight="1">
      <c r="BH96" s="26"/>
      <c r="BI96" s="32"/>
    </row>
    <row r="97" spans="60:61" ht="15.95" hidden="1" customHeight="1">
      <c r="BH97" s="26"/>
      <c r="BI97" s="32"/>
    </row>
    <row r="98" spans="60:61" ht="15.95" hidden="1" customHeight="1">
      <c r="BH98" s="26"/>
      <c r="BI98" s="32"/>
    </row>
    <row r="99" spans="60:61" ht="15.95" hidden="1" customHeight="1">
      <c r="BH99" s="26"/>
      <c r="BI99" s="32"/>
    </row>
    <row r="100" spans="60:61" ht="15.95" hidden="1" customHeight="1">
      <c r="BH100" s="26"/>
      <c r="BI100" s="32"/>
    </row>
    <row r="101" spans="60:61" ht="15.95" hidden="1" customHeight="1">
      <c r="BH101" s="26"/>
      <c r="BI101" s="32"/>
    </row>
    <row r="102" spans="60:61" ht="15.95" hidden="1" customHeight="1">
      <c r="BH102" s="26"/>
      <c r="BI102" s="32"/>
    </row>
    <row r="103" spans="60:61" ht="15.95" hidden="1" customHeight="1">
      <c r="BH103" s="26"/>
      <c r="BI103" s="32"/>
    </row>
    <row r="104" spans="60:61" ht="15.95" hidden="1" customHeight="1">
      <c r="BH104" s="26"/>
      <c r="BI104" s="32"/>
    </row>
    <row r="105" spans="60:61" ht="15.95" hidden="1" customHeight="1">
      <c r="BH105" s="26"/>
      <c r="BI105" s="32"/>
    </row>
    <row r="106" spans="60:61" ht="15.95" hidden="1" customHeight="1">
      <c r="BH106" s="26"/>
      <c r="BI106" s="32"/>
    </row>
    <row r="107" spans="60:61" ht="15.95" hidden="1" customHeight="1">
      <c r="BH107" s="26"/>
      <c r="BI107" s="32"/>
    </row>
    <row r="108" spans="60:61" ht="15.95" hidden="1" customHeight="1">
      <c r="BH108" s="26"/>
      <c r="BI108" s="32"/>
    </row>
    <row r="109" spans="60:61" ht="15.95" hidden="1" customHeight="1">
      <c r="BH109" s="26"/>
      <c r="BI109" s="32"/>
    </row>
    <row r="110" spans="60:61" ht="15.95" hidden="1" customHeight="1">
      <c r="BH110" s="26"/>
      <c r="BI110" s="32"/>
    </row>
    <row r="111" spans="60:61" ht="15.95" hidden="1" customHeight="1">
      <c r="BH111" s="26"/>
      <c r="BI111" s="32"/>
    </row>
    <row r="112" spans="60:61" ht="15.95" hidden="1" customHeight="1">
      <c r="BH112" s="26"/>
      <c r="BI112" s="32"/>
    </row>
    <row r="113" spans="60:61" ht="15.95" hidden="1" customHeight="1">
      <c r="BH113" s="26"/>
      <c r="BI113" s="32"/>
    </row>
    <row r="114" spans="60:61" ht="15.95" hidden="1" customHeight="1">
      <c r="BH114" s="26"/>
      <c r="BI114" s="32"/>
    </row>
    <row r="115" spans="60:61" ht="15.95" hidden="1" customHeight="1">
      <c r="BH115" s="26"/>
      <c r="BI115" s="32"/>
    </row>
    <row r="116" spans="60:61" ht="15.95" hidden="1" customHeight="1">
      <c r="BH116" s="26"/>
      <c r="BI116" s="32"/>
    </row>
    <row r="117" spans="60:61" ht="15.95" hidden="1" customHeight="1">
      <c r="BH117" s="26"/>
      <c r="BI117" s="32"/>
    </row>
    <row r="118" spans="60:61" ht="15.95" hidden="1" customHeight="1">
      <c r="BH118" s="26"/>
      <c r="BI118" s="32"/>
    </row>
    <row r="119" spans="60:61" ht="15.95" hidden="1" customHeight="1">
      <c r="BH119" s="26"/>
      <c r="BI119" s="32"/>
    </row>
    <row r="120" spans="60:61" ht="15.95" hidden="1" customHeight="1">
      <c r="BH120" s="26"/>
      <c r="BI120" s="32"/>
    </row>
    <row r="121" spans="60:61" ht="15.95" hidden="1" customHeight="1">
      <c r="BH121" s="26"/>
      <c r="BI121" s="32"/>
    </row>
    <row r="122" spans="60:61" ht="15.95" hidden="1" customHeight="1">
      <c r="BH122" s="26"/>
      <c r="BI122" s="32"/>
    </row>
    <row r="123" spans="60:61" ht="15.95" hidden="1" customHeight="1">
      <c r="BH123" s="26"/>
      <c r="BI123" s="32"/>
    </row>
    <row r="124" spans="60:61" ht="15.95" hidden="1" customHeight="1">
      <c r="BH124" s="26"/>
      <c r="BI124" s="32"/>
    </row>
    <row r="125" spans="60:61" ht="15.95" hidden="1" customHeight="1">
      <c r="BH125" s="26"/>
      <c r="BI125" s="32"/>
    </row>
    <row r="126" spans="60:61" ht="15.95" hidden="1" customHeight="1">
      <c r="BH126" s="26"/>
      <c r="BI126" s="32"/>
    </row>
    <row r="127" spans="60:61" ht="15.95" hidden="1" customHeight="1">
      <c r="BH127" s="26"/>
      <c r="BI127" s="32"/>
    </row>
    <row r="128" spans="60:61" ht="15.95" hidden="1" customHeight="1">
      <c r="BH128" s="26"/>
      <c r="BI128" s="32"/>
    </row>
    <row r="129" spans="60:61" ht="15.95" hidden="1" customHeight="1">
      <c r="BH129" s="26"/>
      <c r="BI129" s="32"/>
    </row>
    <row r="130" spans="60:61" ht="15.95" hidden="1" customHeight="1">
      <c r="BH130" s="26"/>
      <c r="BI130" s="32"/>
    </row>
    <row r="131" spans="60:61" ht="15.95" hidden="1" customHeight="1">
      <c r="BH131" s="26"/>
      <c r="BI131" s="32"/>
    </row>
    <row r="132" spans="60:61" ht="15.95" hidden="1" customHeight="1">
      <c r="BH132" s="26"/>
      <c r="BI132" s="32"/>
    </row>
    <row r="133" spans="60:61" ht="15.95" hidden="1" customHeight="1">
      <c r="BH133" s="26"/>
      <c r="BI133" s="32"/>
    </row>
    <row r="134" spans="60:61" ht="15.95" hidden="1" customHeight="1">
      <c r="BH134" s="26"/>
      <c r="BI134" s="32"/>
    </row>
    <row r="135" spans="60:61" ht="15.95" hidden="1" customHeight="1">
      <c r="BH135" s="26"/>
      <c r="BI135" s="32"/>
    </row>
    <row r="136" spans="60:61" ht="15.95" hidden="1" customHeight="1">
      <c r="BH136" s="26"/>
      <c r="BI136" s="32"/>
    </row>
    <row r="137" spans="60:61" ht="15.95" hidden="1" customHeight="1">
      <c r="BH137" s="26"/>
      <c r="BI137" s="32"/>
    </row>
    <row r="138" spans="60:61" ht="15.95" hidden="1" customHeight="1">
      <c r="BH138" s="26"/>
      <c r="BI138" s="32"/>
    </row>
    <row r="139" spans="60:61" ht="15.95" hidden="1" customHeight="1">
      <c r="BH139" s="26"/>
      <c r="BI139" s="32"/>
    </row>
    <row r="140" spans="60:61" ht="15.95" hidden="1" customHeight="1">
      <c r="BH140" s="26"/>
      <c r="BI140" s="32"/>
    </row>
    <row r="141" spans="60:61" ht="15.95" hidden="1" customHeight="1">
      <c r="BH141" s="26"/>
      <c r="BI141" s="32"/>
    </row>
    <row r="142" spans="60:61" ht="15.95" hidden="1" customHeight="1">
      <c r="BH142" s="26"/>
      <c r="BI142" s="32"/>
    </row>
    <row r="143" spans="60:61" ht="15.95" hidden="1" customHeight="1">
      <c r="BH143" s="26"/>
      <c r="BI143" s="32"/>
    </row>
    <row r="144" spans="60:61" ht="15.95" hidden="1" customHeight="1">
      <c r="BH144" s="26"/>
      <c r="BI144" s="32"/>
    </row>
    <row r="145" spans="60:61" ht="15.95" hidden="1" customHeight="1">
      <c r="BH145" s="26"/>
      <c r="BI145" s="32"/>
    </row>
    <row r="146" spans="60:61" ht="15.95" hidden="1" customHeight="1">
      <c r="BH146" s="26"/>
      <c r="BI146" s="32"/>
    </row>
    <row r="147" spans="60:61" ht="15.95" hidden="1" customHeight="1">
      <c r="BH147" s="26"/>
      <c r="BI147" s="32"/>
    </row>
    <row r="148" spans="60:61" ht="15.95" hidden="1" customHeight="1">
      <c r="BH148" s="26"/>
      <c r="BI148" s="32"/>
    </row>
    <row r="149" spans="60:61" ht="15.95" hidden="1" customHeight="1">
      <c r="BH149" s="26"/>
      <c r="BI149" s="32"/>
    </row>
    <row r="150" spans="60:61" ht="15.95" hidden="1" customHeight="1">
      <c r="BH150" s="26"/>
      <c r="BI150" s="32"/>
    </row>
    <row r="151" spans="60:61" ht="15.95" hidden="1" customHeight="1">
      <c r="BH151" s="26"/>
      <c r="BI151" s="32"/>
    </row>
    <row r="152" spans="60:61" ht="15.95" hidden="1" customHeight="1">
      <c r="BH152" s="26"/>
      <c r="BI152" s="32"/>
    </row>
    <row r="153" spans="60:61" ht="15.95" hidden="1" customHeight="1">
      <c r="BH153" s="26"/>
      <c r="BI153" s="32"/>
    </row>
    <row r="154" spans="60:61" ht="15.95" hidden="1" customHeight="1">
      <c r="BH154" s="26"/>
      <c r="BI154" s="32"/>
    </row>
    <row r="155" spans="60:61" ht="15.95" hidden="1" customHeight="1">
      <c r="BH155" s="26"/>
      <c r="BI155" s="32"/>
    </row>
    <row r="156" spans="60:61" ht="15.95" hidden="1" customHeight="1">
      <c r="BH156" s="26"/>
      <c r="BI156" s="32"/>
    </row>
    <row r="157" spans="60:61" ht="15.95" hidden="1" customHeight="1">
      <c r="BH157" s="26"/>
      <c r="BI157" s="32"/>
    </row>
    <row r="158" spans="60:61" ht="15.95" hidden="1" customHeight="1">
      <c r="BH158" s="26"/>
      <c r="BI158" s="32"/>
    </row>
    <row r="159" spans="60:61" ht="15.95" hidden="1" customHeight="1">
      <c r="BH159" s="26"/>
      <c r="BI159" s="32"/>
    </row>
    <row r="160" spans="60:61" ht="15.95" hidden="1" customHeight="1">
      <c r="BH160" s="26"/>
      <c r="BI160" s="32"/>
    </row>
    <row r="161" spans="60:61" ht="15.95" hidden="1" customHeight="1">
      <c r="BH161" s="26"/>
      <c r="BI161" s="32"/>
    </row>
    <row r="162" spans="60:61" ht="15.95" hidden="1" customHeight="1">
      <c r="BH162" s="26"/>
      <c r="BI162" s="32"/>
    </row>
    <row r="163" spans="60:61" ht="15.95" hidden="1" customHeight="1">
      <c r="BH163" s="26"/>
      <c r="BI163" s="32"/>
    </row>
    <row r="164" spans="60:61" ht="15.95" hidden="1" customHeight="1">
      <c r="BH164" s="26"/>
      <c r="BI164" s="32"/>
    </row>
    <row r="165" spans="60:61" ht="15.95" hidden="1" customHeight="1">
      <c r="BH165" s="26"/>
      <c r="BI165" s="32"/>
    </row>
    <row r="166" spans="60:61" ht="15.95" hidden="1" customHeight="1">
      <c r="BH166" s="26"/>
      <c r="BI166" s="32"/>
    </row>
    <row r="167" spans="60:61" ht="15.95" hidden="1" customHeight="1">
      <c r="BH167" s="26"/>
      <c r="BI167" s="32"/>
    </row>
    <row r="168" spans="60:61" ht="15.95" hidden="1" customHeight="1">
      <c r="BH168" s="26"/>
      <c r="BI168" s="32"/>
    </row>
    <row r="169" spans="60:61" ht="15.95" hidden="1" customHeight="1">
      <c r="BH169" s="26"/>
      <c r="BI169" s="32"/>
    </row>
    <row r="170" spans="60:61" ht="15.95" hidden="1" customHeight="1">
      <c r="BH170" s="26"/>
      <c r="BI170" s="32"/>
    </row>
    <row r="171" spans="60:61" ht="15.95" hidden="1" customHeight="1">
      <c r="BH171" s="26"/>
      <c r="BI171" s="32"/>
    </row>
    <row r="172" spans="60:61" ht="15.95" hidden="1" customHeight="1">
      <c r="BH172" s="26"/>
      <c r="BI172" s="32"/>
    </row>
    <row r="173" spans="60:61" ht="15.95" hidden="1" customHeight="1">
      <c r="BH173" s="26"/>
      <c r="BI173" s="32"/>
    </row>
    <row r="174" spans="60:61" ht="15.95" hidden="1" customHeight="1">
      <c r="BH174" s="26"/>
      <c r="BI174" s="32"/>
    </row>
    <row r="175" spans="60:61" ht="15.95" hidden="1" customHeight="1">
      <c r="BH175" s="26"/>
      <c r="BI175" s="32"/>
    </row>
    <row r="176" spans="60:61" ht="15.95" hidden="1" customHeight="1">
      <c r="BH176" s="26"/>
      <c r="BI176" s="32"/>
    </row>
    <row r="177" spans="60:61" ht="15.95" hidden="1" customHeight="1">
      <c r="BH177" s="26"/>
      <c r="BI177" s="32"/>
    </row>
    <row r="178" spans="60:61" ht="15.95" hidden="1" customHeight="1">
      <c r="BH178" s="26"/>
      <c r="BI178" s="32"/>
    </row>
    <row r="179" spans="60:61" ht="15.95" hidden="1" customHeight="1">
      <c r="BH179" s="26"/>
      <c r="BI179" s="32"/>
    </row>
    <row r="180" spans="60:61" ht="15.95" hidden="1" customHeight="1">
      <c r="BH180" s="26"/>
      <c r="BI180" s="32"/>
    </row>
    <row r="181" spans="60:61" ht="15.95" hidden="1" customHeight="1">
      <c r="BH181" s="26"/>
      <c r="BI181" s="32"/>
    </row>
    <row r="182" spans="60:61" ht="15.95" hidden="1" customHeight="1">
      <c r="BH182" s="26"/>
      <c r="BI182" s="32"/>
    </row>
    <row r="183" spans="60:61" ht="15.95" hidden="1" customHeight="1">
      <c r="BH183" s="26"/>
      <c r="BI183" s="32"/>
    </row>
    <row r="184" spans="60:61" ht="15.95" hidden="1" customHeight="1">
      <c r="BH184" s="26"/>
      <c r="BI184" s="32"/>
    </row>
    <row r="185" spans="60:61" ht="15.95" hidden="1" customHeight="1">
      <c r="BH185" s="26"/>
      <c r="BI185" s="32"/>
    </row>
    <row r="186" spans="60:61" ht="15.95" hidden="1" customHeight="1">
      <c r="BH186" s="26"/>
      <c r="BI186" s="32"/>
    </row>
    <row r="187" spans="60:61" ht="15.95" hidden="1" customHeight="1">
      <c r="BH187" s="26"/>
      <c r="BI187" s="32"/>
    </row>
    <row r="188" spans="60:61" ht="15.95" hidden="1" customHeight="1">
      <c r="BH188" s="26"/>
      <c r="BI188" s="32"/>
    </row>
    <row r="189" spans="60:61" ht="15.95" hidden="1" customHeight="1">
      <c r="BH189" s="26"/>
      <c r="BI189" s="32"/>
    </row>
    <row r="190" spans="60:61" ht="15.95" hidden="1" customHeight="1">
      <c r="BH190" s="26"/>
      <c r="BI190" s="32"/>
    </row>
    <row r="191" spans="60:61" ht="15.95" hidden="1" customHeight="1">
      <c r="BH191" s="26"/>
      <c r="BI191" s="32"/>
    </row>
    <row r="192" spans="60:61" ht="15.95" hidden="1" customHeight="1">
      <c r="BH192" s="26"/>
      <c r="BI192" s="32"/>
    </row>
    <row r="193" spans="1:64" ht="15.95" hidden="1" customHeight="1">
      <c r="BH193" s="26"/>
      <c r="BI193" s="32"/>
    </row>
    <row r="194" spans="1:64" ht="15.95" hidden="1" customHeight="1">
      <c r="BH194" s="26"/>
      <c r="BI194" s="32"/>
    </row>
    <row r="195" spans="1:64" ht="15.95" hidden="1" customHeight="1">
      <c r="BH195" s="26"/>
      <c r="BI195" s="32"/>
    </row>
    <row r="196" spans="1:64" ht="15.95" hidden="1" customHeight="1">
      <c r="BH196" s="26"/>
      <c r="BI196" s="32"/>
    </row>
    <row r="197" spans="1:64" ht="15.95" hidden="1" customHeight="1">
      <c r="BH197" s="26"/>
      <c r="BI197" s="32"/>
    </row>
    <row r="198" spans="1:64" ht="15.95" hidden="1" customHeight="1">
      <c r="BH198" s="26"/>
      <c r="BI198" s="32"/>
    </row>
    <row r="199" spans="1:64" ht="15.95" hidden="1" customHeight="1">
      <c r="BH199" s="26"/>
      <c r="BI199" s="32"/>
    </row>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H200" s="863">
        <f>SUM(BH18:BH199)</f>
        <v>0</v>
      </c>
      <c r="BI200" s="861">
        <f>SUM(BI18:BI199)</f>
        <v>0</v>
      </c>
      <c r="BL200" s="862">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H201" s="863"/>
      <c r="BI201" s="861"/>
      <c r="BL201" s="862"/>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4" ht="15.95" hidden="1" customHeight="1"/>
    <row r="204" spans="1:64" ht="15.95" hidden="1" customHeight="1"/>
  </sheetData>
  <sheetProtection algorithmName="SHA-512" hashValue="0Gq29d/lUZj42WvyoHQc+l1jDnhzyNopKw5Mca1l6s1gRJBE78wQ71sP97nhTqOmuel/maOa2Qdnr+d20iGXmw==" saltValue="6lEMcdacQQrVHuMG4HFs6A==" spinCount="100000" sheet="1" objects="1" scenarios="1" selectLockedCells="1"/>
  <mergeCells count="513">
    <mergeCell ref="BZ36:BZ37"/>
    <mergeCell ref="CA36:CA37"/>
    <mergeCell ref="CB36:CB37"/>
    <mergeCell ref="CC36:CC37"/>
    <mergeCell ref="AY36:AY37"/>
    <mergeCell ref="AZ36:AZ37"/>
    <mergeCell ref="BG36:BG37"/>
    <mergeCell ref="BN36:BN37"/>
    <mergeCell ref="BO36:BO37"/>
    <mergeCell ref="BR36:BR37"/>
    <mergeCell ref="BT36:BT37"/>
    <mergeCell ref="BV36:BV37"/>
    <mergeCell ref="BX36:BX37"/>
    <mergeCell ref="BW36:BW37"/>
    <mergeCell ref="BJ36:BJ37"/>
    <mergeCell ref="BK36:BK37"/>
    <mergeCell ref="BC36:BC37"/>
    <mergeCell ref="BQ36:BQ37"/>
    <mergeCell ref="BE36:BE37"/>
    <mergeCell ref="BF36:BF37"/>
    <mergeCell ref="BA36:BA37"/>
    <mergeCell ref="BB36:BB37"/>
    <mergeCell ref="BD36:BD37"/>
    <mergeCell ref="BM36:BM37"/>
    <mergeCell ref="CB32:CB33"/>
    <mergeCell ref="CC32:CC33"/>
    <mergeCell ref="AY34:AY35"/>
    <mergeCell ref="AZ34:AZ35"/>
    <mergeCell ref="BG34:BG35"/>
    <mergeCell ref="BN34:BN35"/>
    <mergeCell ref="BO34:BO35"/>
    <mergeCell ref="BR34:BR35"/>
    <mergeCell ref="BT34:BT35"/>
    <mergeCell ref="BV34:BV35"/>
    <mergeCell ref="BX34:BX35"/>
    <mergeCell ref="BZ34:BZ35"/>
    <mergeCell ref="CA34:CA35"/>
    <mergeCell ref="CB34:CB35"/>
    <mergeCell ref="CC34:CC35"/>
    <mergeCell ref="BG32:BG33"/>
    <mergeCell ref="BN32:BN33"/>
    <mergeCell ref="BO32:BO33"/>
    <mergeCell ref="BR32:BR33"/>
    <mergeCell ref="BT32:BT33"/>
    <mergeCell ref="BV32:BV33"/>
    <mergeCell ref="BX32:BX33"/>
    <mergeCell ref="BZ32:BZ33"/>
    <mergeCell ref="CA32:CA33"/>
    <mergeCell ref="BX28:BX29"/>
    <mergeCell ref="BZ28:BZ29"/>
    <mergeCell ref="CA28:CA29"/>
    <mergeCell ref="CB28:CB29"/>
    <mergeCell ref="CC28:CC29"/>
    <mergeCell ref="AY30:AY31"/>
    <mergeCell ref="AZ30:AZ31"/>
    <mergeCell ref="BG30:BG31"/>
    <mergeCell ref="BN30:BN31"/>
    <mergeCell ref="BO30:BO31"/>
    <mergeCell ref="BR30:BR31"/>
    <mergeCell ref="BT30:BT31"/>
    <mergeCell ref="BV30:BV31"/>
    <mergeCell ref="BX30:BX31"/>
    <mergeCell ref="BZ30:BZ31"/>
    <mergeCell ref="CA30:CA31"/>
    <mergeCell ref="CB30:CB31"/>
    <mergeCell ref="CC30:CC31"/>
    <mergeCell ref="BY30:BY31"/>
    <mergeCell ref="AY28:AY29"/>
    <mergeCell ref="AZ28:AZ29"/>
    <mergeCell ref="BN28:BN29"/>
    <mergeCell ref="BT28:BT29"/>
    <mergeCell ref="CA24:CA25"/>
    <mergeCell ref="CB24:CB25"/>
    <mergeCell ref="CC24:CC25"/>
    <mergeCell ref="AY26:AY27"/>
    <mergeCell ref="AZ26:AZ27"/>
    <mergeCell ref="BG26:BG27"/>
    <mergeCell ref="BN26:BN27"/>
    <mergeCell ref="BO26:BO27"/>
    <mergeCell ref="BR26:BR27"/>
    <mergeCell ref="BT26:BT27"/>
    <mergeCell ref="BV26:BV27"/>
    <mergeCell ref="BX26:BX27"/>
    <mergeCell ref="BZ26:BZ27"/>
    <mergeCell ref="CA26:CA27"/>
    <mergeCell ref="CB26:CB27"/>
    <mergeCell ref="CC26:CC27"/>
    <mergeCell ref="AY24:AY25"/>
    <mergeCell ref="AZ24:AZ25"/>
    <mergeCell ref="BG24:BG25"/>
    <mergeCell ref="BN24:BN25"/>
    <mergeCell ref="BO24:BO25"/>
    <mergeCell ref="BR24:BR25"/>
    <mergeCell ref="BT24:BT25"/>
    <mergeCell ref="BX24:BX25"/>
    <mergeCell ref="BZ20:BZ21"/>
    <mergeCell ref="CA20:CA21"/>
    <mergeCell ref="CB20:CB21"/>
    <mergeCell ref="CC20:CC21"/>
    <mergeCell ref="AY22:AY23"/>
    <mergeCell ref="AZ22:AZ23"/>
    <mergeCell ref="BG22:BG23"/>
    <mergeCell ref="BN22:BN23"/>
    <mergeCell ref="BO22:BO23"/>
    <mergeCell ref="BR22:BR23"/>
    <mergeCell ref="BT22:BT23"/>
    <mergeCell ref="BV22:BV23"/>
    <mergeCell ref="BX22:BX23"/>
    <mergeCell ref="BZ22:BZ23"/>
    <mergeCell ref="CA22:CA23"/>
    <mergeCell ref="CB22:CB23"/>
    <mergeCell ref="CC22:CC23"/>
    <mergeCell ref="AY20:AY21"/>
    <mergeCell ref="AZ20:AZ21"/>
    <mergeCell ref="BG20:BG21"/>
    <mergeCell ref="BN20:BN21"/>
    <mergeCell ref="BO20:BO21"/>
    <mergeCell ref="BW22:BW23"/>
    <mergeCell ref="BY22:BY23"/>
    <mergeCell ref="BZ24:BZ25"/>
    <mergeCell ref="BX20:BX21"/>
    <mergeCell ref="BZ18:BZ19"/>
    <mergeCell ref="CA18:CA19"/>
    <mergeCell ref="CB18:CB19"/>
    <mergeCell ref="CC18:CC19"/>
    <mergeCell ref="AY16:AY17"/>
    <mergeCell ref="AZ16:AZ17"/>
    <mergeCell ref="BG16:BG17"/>
    <mergeCell ref="BN16:BN17"/>
    <mergeCell ref="BO16:BO17"/>
    <mergeCell ref="BR16:BR17"/>
    <mergeCell ref="BT16:BT17"/>
    <mergeCell ref="BV16:BV17"/>
    <mergeCell ref="BX16:BX17"/>
    <mergeCell ref="BZ16:BZ17"/>
    <mergeCell ref="CA16:CA17"/>
    <mergeCell ref="CB16:CB17"/>
    <mergeCell ref="CC16:CC17"/>
    <mergeCell ref="AY18:AY19"/>
    <mergeCell ref="AZ18:AZ19"/>
    <mergeCell ref="BG18:BG19"/>
    <mergeCell ref="BN18:BN19"/>
    <mergeCell ref="BO18:BO19"/>
    <mergeCell ref="C24:Q25"/>
    <mergeCell ref="AE20:AH21"/>
    <mergeCell ref="BR18:BR19"/>
    <mergeCell ref="BT18:BT19"/>
    <mergeCell ref="BV18:BV19"/>
    <mergeCell ref="BX18:BX19"/>
    <mergeCell ref="A4:E6"/>
    <mergeCell ref="A7:E8"/>
    <mergeCell ref="W16:Z17"/>
    <mergeCell ref="W18:Z19"/>
    <mergeCell ref="T12:W13"/>
    <mergeCell ref="X12:AA13"/>
    <mergeCell ref="AB12:AE13"/>
    <mergeCell ref="AE18:AH19"/>
    <mergeCell ref="AM13:AU14"/>
    <mergeCell ref="AK18:AL19"/>
    <mergeCell ref="BA18:BA19"/>
    <mergeCell ref="BB18:BB19"/>
    <mergeCell ref="BE18:BE19"/>
    <mergeCell ref="BL18:BL19"/>
    <mergeCell ref="BH18:BH19"/>
    <mergeCell ref="AI17:AJ17"/>
    <mergeCell ref="AK17:AL17"/>
    <mergeCell ref="AI16:AL16"/>
    <mergeCell ref="B20:B21"/>
    <mergeCell ref="B18:B19"/>
    <mergeCell ref="T14:W14"/>
    <mergeCell ref="X14:AA14"/>
    <mergeCell ref="C16:Q17"/>
    <mergeCell ref="C18:Q19"/>
    <mergeCell ref="C20:Q21"/>
    <mergeCell ref="C22:Q23"/>
    <mergeCell ref="R22:T23"/>
    <mergeCell ref="AA18:AD19"/>
    <mergeCell ref="AB14:AE14"/>
    <mergeCell ref="R16:T17"/>
    <mergeCell ref="R18:T19"/>
    <mergeCell ref="R20:T21"/>
    <mergeCell ref="AA16:AD17"/>
    <mergeCell ref="AE16:AH17"/>
    <mergeCell ref="U16:V17"/>
    <mergeCell ref="U18:V19"/>
    <mergeCell ref="U24:V25"/>
    <mergeCell ref="AX24:AX25"/>
    <mergeCell ref="AM24:AN25"/>
    <mergeCell ref="U36:V37"/>
    <mergeCell ref="AA36:AD37"/>
    <mergeCell ref="AE36:AH37"/>
    <mergeCell ref="AI20:AJ21"/>
    <mergeCell ref="AX20:AX21"/>
    <mergeCell ref="U20:V21"/>
    <mergeCell ref="AA20:AD21"/>
    <mergeCell ref="AK36:AL37"/>
    <mergeCell ref="AX26:AX27"/>
    <mergeCell ref="AM28:AN29"/>
    <mergeCell ref="W20:Z21"/>
    <mergeCell ref="W22:Z23"/>
    <mergeCell ref="W24:Z25"/>
    <mergeCell ref="W26:Z27"/>
    <mergeCell ref="W28:Z29"/>
    <mergeCell ref="U32:V33"/>
    <mergeCell ref="AA32:AD33"/>
    <mergeCell ref="AX36:AX37"/>
    <mergeCell ref="AA24:AD25"/>
    <mergeCell ref="AE24:AH25"/>
    <mergeCell ref="BB16:BB17"/>
    <mergeCell ref="BH16:BI16"/>
    <mergeCell ref="BB34:BB35"/>
    <mergeCell ref="BC34:BC35"/>
    <mergeCell ref="AX34:AX35"/>
    <mergeCell ref="BA34:BA35"/>
    <mergeCell ref="U30:V31"/>
    <mergeCell ref="U26:V27"/>
    <mergeCell ref="AX18:AX19"/>
    <mergeCell ref="AI18:AJ19"/>
    <mergeCell ref="AM18:AN19"/>
    <mergeCell ref="AI24:AJ25"/>
    <mergeCell ref="AK24:AL25"/>
    <mergeCell ref="BA24:BA25"/>
    <mergeCell ref="AM20:AN21"/>
    <mergeCell ref="AO18:AQ19"/>
    <mergeCell ref="AR18:AU19"/>
    <mergeCell ref="AM16:AN17"/>
    <mergeCell ref="AO16:AQ17"/>
    <mergeCell ref="AK22:AL23"/>
    <mergeCell ref="AM22:AN23"/>
    <mergeCell ref="AR16:AU17"/>
    <mergeCell ref="BA16:BA17"/>
    <mergeCell ref="BB24:BB25"/>
    <mergeCell ref="BQ34:BQ35"/>
    <mergeCell ref="BE34:BE35"/>
    <mergeCell ref="BF34:BF35"/>
    <mergeCell ref="BQ32:BQ33"/>
    <mergeCell ref="BC30:BC31"/>
    <mergeCell ref="BQ20:BQ21"/>
    <mergeCell ref="BE28:BE29"/>
    <mergeCell ref="BC24:BC25"/>
    <mergeCell ref="BG28:BG29"/>
    <mergeCell ref="BM34:BM35"/>
    <mergeCell ref="BC28:BC29"/>
    <mergeCell ref="BQ22:BQ23"/>
    <mergeCell ref="BQ24:BQ25"/>
    <mergeCell ref="BQ26:BQ27"/>
    <mergeCell ref="BJ28:BJ29"/>
    <mergeCell ref="BK28:BK29"/>
    <mergeCell ref="BJ32:BJ33"/>
    <mergeCell ref="BK32:BK33"/>
    <mergeCell ref="BJ34:BJ35"/>
    <mergeCell ref="BK34:BK35"/>
    <mergeCell ref="BF28:BF29"/>
    <mergeCell ref="BM26:BM27"/>
    <mergeCell ref="BM28:BM29"/>
    <mergeCell ref="BD28:BD29"/>
    <mergeCell ref="BW24:BW25"/>
    <mergeCell ref="BW26:BW27"/>
    <mergeCell ref="BW18:BW19"/>
    <mergeCell ref="BW20:BW21"/>
    <mergeCell ref="BC26:BC27"/>
    <mergeCell ref="BW28:BW29"/>
    <mergeCell ref="BF18:BF19"/>
    <mergeCell ref="BF20:BF21"/>
    <mergeCell ref="BU24:BU25"/>
    <mergeCell ref="BU26:BU27"/>
    <mergeCell ref="BU28:BU29"/>
    <mergeCell ref="BV20:BV21"/>
    <mergeCell ref="BV24:BV25"/>
    <mergeCell ref="BV28:BV29"/>
    <mergeCell ref="BO28:BO29"/>
    <mergeCell ref="BC20:BC21"/>
    <mergeCell ref="BQ28:BQ29"/>
    <mergeCell ref="BE26:BE27"/>
    <mergeCell ref="BF26:BF27"/>
    <mergeCell ref="BS26:BS27"/>
    <mergeCell ref="BD26:BD27"/>
    <mergeCell ref="BS28:BS29"/>
    <mergeCell ref="BJ26:BJ27"/>
    <mergeCell ref="BK26:BK27"/>
    <mergeCell ref="C36:Q37"/>
    <mergeCell ref="O200:AI201"/>
    <mergeCell ref="BL200:BL201"/>
    <mergeCell ref="BH200:BH201"/>
    <mergeCell ref="BI200:BI201"/>
    <mergeCell ref="BI28:BI29"/>
    <mergeCell ref="AI28:AJ29"/>
    <mergeCell ref="AK28:AL29"/>
    <mergeCell ref="R36:T37"/>
    <mergeCell ref="U28:V29"/>
    <mergeCell ref="AA28:AD29"/>
    <mergeCell ref="AE28:AH29"/>
    <mergeCell ref="C32:Q33"/>
    <mergeCell ref="C28:Q29"/>
    <mergeCell ref="AM36:AN37"/>
    <mergeCell ref="W30:Z31"/>
    <mergeCell ref="W32:Z33"/>
    <mergeCell ref="W34:Z35"/>
    <mergeCell ref="W36:Z37"/>
    <mergeCell ref="AX28:AX29"/>
    <mergeCell ref="AZ32:AZ33"/>
    <mergeCell ref="BD34:BD35"/>
    <mergeCell ref="R32:T33"/>
    <mergeCell ref="R28:T29"/>
    <mergeCell ref="R26:T27"/>
    <mergeCell ref="U34:V35"/>
    <mergeCell ref="BY34:BY35"/>
    <mergeCell ref="B36:B37"/>
    <mergeCell ref="AO34:AQ35"/>
    <mergeCell ref="AR34:AU35"/>
    <mergeCell ref="BL34:BL35"/>
    <mergeCell ref="BH34:BH35"/>
    <mergeCell ref="BI34:BI35"/>
    <mergeCell ref="AI34:AJ35"/>
    <mergeCell ref="AK34:AL35"/>
    <mergeCell ref="AM34:AN35"/>
    <mergeCell ref="BY36:BY37"/>
    <mergeCell ref="AA34:AD35"/>
    <mergeCell ref="R34:T35"/>
    <mergeCell ref="AE34:AH35"/>
    <mergeCell ref="C34:Q35"/>
    <mergeCell ref="B34:B35"/>
    <mergeCell ref="AO36:AQ37"/>
    <mergeCell ref="AR36:AU37"/>
    <mergeCell ref="BL36:BL37"/>
    <mergeCell ref="BH36:BH37"/>
    <mergeCell ref="BI36:BI37"/>
    <mergeCell ref="AI36:AJ37"/>
    <mergeCell ref="BW34:BW35"/>
    <mergeCell ref="B32:B33"/>
    <mergeCell ref="AO30:AQ31"/>
    <mergeCell ref="AR30:AU31"/>
    <mergeCell ref="BL30:BL31"/>
    <mergeCell ref="BH30:BH31"/>
    <mergeCell ref="BI30:BI31"/>
    <mergeCell ref="AI30:AJ31"/>
    <mergeCell ref="AK30:AL31"/>
    <mergeCell ref="AM30:AN31"/>
    <mergeCell ref="AA30:AD31"/>
    <mergeCell ref="R30:T31"/>
    <mergeCell ref="AE30:AH31"/>
    <mergeCell ref="C30:Q31"/>
    <mergeCell ref="B30:B31"/>
    <mergeCell ref="AO32:AQ33"/>
    <mergeCell ref="AR32:AU33"/>
    <mergeCell ref="BL32:BL33"/>
    <mergeCell ref="BH32:BH33"/>
    <mergeCell ref="BI32:BI33"/>
    <mergeCell ref="AI32:AJ33"/>
    <mergeCell ref="AK32:AL33"/>
    <mergeCell ref="AM32:AN33"/>
    <mergeCell ref="AY32:AY33"/>
    <mergeCell ref="BY32:BY33"/>
    <mergeCell ref="AE32:AH33"/>
    <mergeCell ref="BA30:BA31"/>
    <mergeCell ref="BB30:BB31"/>
    <mergeCell ref="BE30:BE31"/>
    <mergeCell ref="BF30:BF31"/>
    <mergeCell ref="BA32:BA33"/>
    <mergeCell ref="BB32:BB33"/>
    <mergeCell ref="BE32:BE33"/>
    <mergeCell ref="BF32:BF33"/>
    <mergeCell ref="BW30:BW31"/>
    <mergeCell ref="BW32:BW33"/>
    <mergeCell ref="AX30:AX31"/>
    <mergeCell ref="AX32:AX33"/>
    <mergeCell ref="BC32:BC33"/>
    <mergeCell ref="BU30:BU31"/>
    <mergeCell ref="BU32:BU33"/>
    <mergeCell ref="BQ30:BQ31"/>
    <mergeCell ref="BM30:BM31"/>
    <mergeCell ref="BM32:BM33"/>
    <mergeCell ref="BD30:BD31"/>
    <mergeCell ref="BD32:BD33"/>
    <mergeCell ref="BJ30:BJ31"/>
    <mergeCell ref="BK30:BK31"/>
    <mergeCell ref="BY26:BY27"/>
    <mergeCell ref="B28:B29"/>
    <mergeCell ref="AO26:AQ27"/>
    <mergeCell ref="AR26:AU27"/>
    <mergeCell ref="BL26:BL27"/>
    <mergeCell ref="BH26:BH27"/>
    <mergeCell ref="BI26:BI27"/>
    <mergeCell ref="AI26:AJ27"/>
    <mergeCell ref="AK26:AL27"/>
    <mergeCell ref="AM26:AN27"/>
    <mergeCell ref="BY28:BY29"/>
    <mergeCell ref="AA26:AD27"/>
    <mergeCell ref="AE26:AH27"/>
    <mergeCell ref="C26:Q27"/>
    <mergeCell ref="B26:B27"/>
    <mergeCell ref="AO28:AQ29"/>
    <mergeCell ref="AR28:AU29"/>
    <mergeCell ref="BL28:BL29"/>
    <mergeCell ref="BH28:BH29"/>
    <mergeCell ref="BB28:BB29"/>
    <mergeCell ref="BA26:BA27"/>
    <mergeCell ref="BB26:BB27"/>
    <mergeCell ref="BA28:BA29"/>
    <mergeCell ref="BR28:BR29"/>
    <mergeCell ref="BY24:BY25"/>
    <mergeCell ref="U22:V23"/>
    <mergeCell ref="AA22:AD23"/>
    <mergeCell ref="AE22:AH23"/>
    <mergeCell ref="B22:B23"/>
    <mergeCell ref="AO24:AQ25"/>
    <mergeCell ref="AR24:AU25"/>
    <mergeCell ref="BL24:BL25"/>
    <mergeCell ref="BH24:BH25"/>
    <mergeCell ref="BE22:BE23"/>
    <mergeCell ref="BF22:BF23"/>
    <mergeCell ref="R24:T25"/>
    <mergeCell ref="BU22:BU23"/>
    <mergeCell ref="BC22:BC23"/>
    <mergeCell ref="BB22:BB23"/>
    <mergeCell ref="AX22:AX23"/>
    <mergeCell ref="BA22:BA23"/>
    <mergeCell ref="B24:B25"/>
    <mergeCell ref="AO22:AQ23"/>
    <mergeCell ref="AR22:AU23"/>
    <mergeCell ref="BL22:BL23"/>
    <mergeCell ref="BH22:BH23"/>
    <mergeCell ref="BI22:BI23"/>
    <mergeCell ref="AI22:AJ23"/>
    <mergeCell ref="BY18:BY19"/>
    <mergeCell ref="BY20:BY21"/>
    <mergeCell ref="AX16:AX17"/>
    <mergeCell ref="BC16:BC17"/>
    <mergeCell ref="BC18:BC19"/>
    <mergeCell ref="AK20:AL21"/>
    <mergeCell ref="BY16:BY17"/>
    <mergeCell ref="BE16:BF16"/>
    <mergeCell ref="BW16:BW17"/>
    <mergeCell ref="BQ16:BQ17"/>
    <mergeCell ref="AO20:AQ21"/>
    <mergeCell ref="AR20:AU21"/>
    <mergeCell ref="BL20:BL21"/>
    <mergeCell ref="BH20:BH21"/>
    <mergeCell ref="BI20:BI21"/>
    <mergeCell ref="BI18:BI19"/>
    <mergeCell ref="BQ18:BQ19"/>
    <mergeCell ref="BU16:BU17"/>
    <mergeCell ref="BU18:BU19"/>
    <mergeCell ref="BU20:BU21"/>
    <mergeCell ref="BA20:BA21"/>
    <mergeCell ref="BB20:BB21"/>
    <mergeCell ref="BE20:BE21"/>
    <mergeCell ref="BL16:BL17"/>
    <mergeCell ref="F1:I3"/>
    <mergeCell ref="J1:M3"/>
    <mergeCell ref="AL1:AO3"/>
    <mergeCell ref="AP1:AS3"/>
    <mergeCell ref="AD9:AG11"/>
    <mergeCell ref="AS5:AW6"/>
    <mergeCell ref="AS7:AW7"/>
    <mergeCell ref="AS8:AW8"/>
    <mergeCell ref="J9:M11"/>
    <mergeCell ref="N9:Q11"/>
    <mergeCell ref="R9:U11"/>
    <mergeCell ref="V9:Y11"/>
    <mergeCell ref="Z9:AC11"/>
    <mergeCell ref="AH9:AK11"/>
    <mergeCell ref="AL9:AO11"/>
    <mergeCell ref="AT1:AW3"/>
    <mergeCell ref="N1:T3"/>
    <mergeCell ref="U1:AK3"/>
    <mergeCell ref="BU34:BU35"/>
    <mergeCell ref="BU36:BU37"/>
    <mergeCell ref="BP34:BP35"/>
    <mergeCell ref="BP36:BP37"/>
    <mergeCell ref="BP16:BP17"/>
    <mergeCell ref="BP18:BP19"/>
    <mergeCell ref="BP20:BP21"/>
    <mergeCell ref="BP22:BP23"/>
    <mergeCell ref="BP24:BP25"/>
    <mergeCell ref="BP26:BP27"/>
    <mergeCell ref="BP28:BP29"/>
    <mergeCell ref="BP30:BP31"/>
    <mergeCell ref="BP32:BP33"/>
    <mergeCell ref="BS36:BS37"/>
    <mergeCell ref="BR20:BR21"/>
    <mergeCell ref="BT20:BT21"/>
    <mergeCell ref="BS30:BS31"/>
    <mergeCell ref="BS32:BS33"/>
    <mergeCell ref="BS34:BS35"/>
    <mergeCell ref="BS16:BS17"/>
    <mergeCell ref="BS18:BS19"/>
    <mergeCell ref="BS20:BS21"/>
    <mergeCell ref="BS22:BS23"/>
    <mergeCell ref="BS24:BS25"/>
    <mergeCell ref="BD16:BD17"/>
    <mergeCell ref="BD18:BD19"/>
    <mergeCell ref="BD20:BD21"/>
    <mergeCell ref="BD22:BD23"/>
    <mergeCell ref="BD24:BD25"/>
    <mergeCell ref="BE24:BE25"/>
    <mergeCell ref="BF24:BF25"/>
    <mergeCell ref="BM16:BM17"/>
    <mergeCell ref="BM18:BM19"/>
    <mergeCell ref="BM20:BM21"/>
    <mergeCell ref="BM22:BM23"/>
    <mergeCell ref="BM24:BM25"/>
    <mergeCell ref="BI24:BI25"/>
    <mergeCell ref="BK16:BK17"/>
    <mergeCell ref="BJ18:BJ19"/>
    <mergeCell ref="BK18:BK19"/>
    <mergeCell ref="BJ20:BJ21"/>
    <mergeCell ref="BK20:BK21"/>
    <mergeCell ref="BJ22:BJ23"/>
    <mergeCell ref="BK22:BK23"/>
    <mergeCell ref="BJ24:BJ25"/>
    <mergeCell ref="BK24:BK25"/>
    <mergeCell ref="BJ16:BJ17"/>
  </mergeCells>
  <conditionalFormatting sqref="U18:V37 AA18:AL37">
    <cfRule type="expression" dxfId="123" priority="6">
      <formula>AND(ISBLANK($C18)=FALSE,OR(ISBLANK(U18)=TRUE,U18=""))</formula>
    </cfRule>
  </conditionalFormatting>
  <conditionalFormatting sqref="AM18:AN37">
    <cfRule type="expression" dxfId="122" priority="1">
      <formula>AM18 &lt;&gt; INDEX(STDREFRIGINC, MATCH(C18, STDREFRIGLIST,0))</formula>
    </cfRule>
  </conditionalFormatting>
  <conditionalFormatting sqref="AR18:AU37">
    <cfRule type="expression" dxfId="121" priority="1883" stopIfTrue="1">
      <formula>ISNUMBER($AR18)=FALSE</formula>
    </cfRule>
    <cfRule type="expression" dxfId="120" priority="1884">
      <formula xml:space="preserve"> $AR18 &lt;&gt; $BQ18</formula>
    </cfRule>
  </conditionalFormatting>
  <conditionalFormatting sqref="AS8:AW8">
    <cfRule type="expression" dxfId="119" priority="7">
      <formula>IF($AS$8=PROJSTATMEASURE,FALSE,TRUE)</formula>
    </cfRule>
  </conditionalFormatting>
  <dataValidations xWindow="611" yWindow="645" count="7">
    <dataValidation type="decimal" allowBlank="1" showInputMessage="1" showErrorMessage="1" prompt="This is the TOTAL Labor Cost of the measure, NOT a per unit basis." sqref="AK18:AL37" xr:uid="{C2C3F224-8A4A-4CE1-BA1A-9912953B55B4}">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80311C17-D262-4C1E-8594-E3280B9C9571}">
      <formula1>0</formula1>
    </dataValidation>
    <dataValidation type="decimal" allowBlank="1" showInputMessage="1" showErrorMessage="1" prompt="This is the TOTAL Material Cost of the measure, NOT a per unit basis." sqref="AI18:AJ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equipment installed. (e.g. Room 201, Garage, Mechanical Room)" sqref="AE18:AH37" xr:uid="{40452BE0-9E9A-44C5-BBC7-E5BC13F4932C}"/>
    <dataValidation allowBlank="1" showInputMessage="1" showErrorMessage="1" prompt="Enter the Brand and Model # as it appears in technical documents and invoices." sqref="W18:AD37" xr:uid="{5A7BBA88-ABF2-41D5-9868-06154426AFCF}"/>
    <dataValidation type="list" allowBlank="1" showInputMessage="1" showErrorMessage="1" sqref="BC18:BC37" xr:uid="{3A12323E-BA7C-4C8A-9668-81BD778CB210}">
      <formula1>ENDUSECAT</formula1>
    </dataValidation>
  </dataValidations>
  <hyperlinks>
    <hyperlink ref="B202" r:id="rId1" display="businessrebates@evergy.com" xr:uid="{8BCA6320-AA80-4C6B-AD8B-5B013DCDF9B5}"/>
    <hyperlink ref="J1:M3" location="'M01-S02'!J1" tooltip="Instructions" display="'M01-S02'!J1" xr:uid="{8D3F1620-D93E-4171-BDD7-AA5176975C01}"/>
    <hyperlink ref="AP1:AS3" location="'M05-S05'!AL1" tooltip=" " display="'M05-S05'!AL1" xr:uid="{124E0059-A986-49FA-9C67-AE8D362A8F4D}"/>
    <hyperlink ref="AL1:AO3" location="'M05-S04'!AH1" tooltip=" " display="'M05-S04'!AH1" xr:uid="{941618E9-A059-409C-9F20-92C721DA5686}"/>
    <hyperlink ref="AT1:AW3" location="'M01-S03'!AP1" tooltip="Contact" display="'M01-S03'!AP1" xr:uid="{13BD0171-CEE6-4E22-82F8-66231315E5F9}"/>
    <hyperlink ref="J9:M11" location="'M03-S02'!C18" tooltip="Lighting" display="'M03-S02'!C18" xr:uid="{3C29DDA8-F6C1-4745-959A-FB30D05F424D}"/>
    <hyperlink ref="N9:Q11" location="'M03-S03'!C18" tooltip="Lighting Controls" display="'M03-S03'!C18" xr:uid="{08D3C489-BC42-4393-AB87-D1EA62B57732}"/>
    <hyperlink ref="R9:U11" location="'M03-S04'!C18" tooltip="Refrigeration" display="'M03-S04'!C18" xr:uid="{D3112A63-6186-4DEA-A437-CFB9F23304C6}"/>
    <hyperlink ref="AD9:AG11" location="'M03-S06'!C18" tooltip="Compressed Air / Process" display="'M03-S06'!C18" xr:uid="{3C5146AE-A235-4720-A1D4-DBDE65D386E9}"/>
    <hyperlink ref="AH9:AK11" location="'M03-S07'!C18" tooltip="Water Heating / Cooking" display="'M03-S07'!C18" xr:uid="{22E3A14B-1E5E-4EAB-A06A-1A2485F5163F}"/>
    <hyperlink ref="Z9:AC11" location="'M03-S08'!C18" tooltip="Motors and Drives" display="'M03-S08'!C18" xr:uid="{97E3870C-A196-4BFC-A591-5908586A4CE1}"/>
  </hyperlinks>
  <printOptions horizontalCentered="1"/>
  <pageMargins left="0" right="0" top="0" bottom="0" header="0" footer="0"/>
  <pageSetup scale="43"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tabColor theme="1"/>
    <pageSetUpPr fitToPage="1"/>
  </sheetPr>
  <dimension ref="A1:CW204"/>
  <sheetViews>
    <sheetView showGridLines="0" showRowColHeaders="0" zoomScale="85" zoomScaleNormal="85" workbookViewId="0">
      <selection activeCell="C18" sqref="C18:I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2"/>
      <c r="G5" s="372"/>
      <c r="H5" s="372"/>
      <c r="I5" s="372"/>
      <c r="AS5" s="663">
        <f ca="1">PROGRESSSTATUS</f>
        <v>0</v>
      </c>
      <c r="AT5" s="663"/>
      <c r="AU5" s="663"/>
      <c r="AV5" s="663"/>
      <c r="AW5" s="663"/>
      <c r="AY5" s="17"/>
      <c r="AZ5" s="108" t="s">
        <v>933</v>
      </c>
      <c r="BA5" s="108" t="s">
        <v>325</v>
      </c>
    </row>
    <row r="6" spans="1:81" ht="15.95" customHeight="1">
      <c r="A6" s="692"/>
      <c r="B6" s="692"/>
      <c r="C6" s="692"/>
      <c r="D6" s="692"/>
      <c r="E6" s="692"/>
      <c r="F6" s="372"/>
      <c r="G6" s="372"/>
      <c r="H6" s="372"/>
      <c r="I6" s="372"/>
      <c r="AS6" s="663"/>
      <c r="AT6" s="663"/>
      <c r="AU6" s="663"/>
      <c r="AV6" s="663"/>
      <c r="AW6" s="663"/>
      <c r="AY6" s="107" t="s">
        <v>938</v>
      </c>
      <c r="AZ6" s="106" t="str">
        <f>CBPRESE</f>
        <v>NA</v>
      </c>
      <c r="BA6" s="106" t="str">
        <f>PAYPRESE</f>
        <v>NA</v>
      </c>
    </row>
    <row r="7" spans="1:81" ht="15.95" customHeight="1">
      <c r="A7" s="662" t="s">
        <v>83</v>
      </c>
      <c r="B7" s="662"/>
      <c r="C7" s="662"/>
      <c r="D7" s="662"/>
      <c r="E7" s="662"/>
      <c r="F7" s="75"/>
      <c r="G7" s="75"/>
      <c r="H7" s="75"/>
      <c r="I7" s="75"/>
      <c r="AS7" s="662" t="s">
        <v>299</v>
      </c>
      <c r="AT7" s="662"/>
      <c r="AU7" s="662"/>
      <c r="AV7" s="662"/>
      <c r="AW7" s="662"/>
      <c r="AY7" s="107" t="s">
        <v>135</v>
      </c>
      <c r="AZ7" s="106" t="str">
        <f>CBCUSE</f>
        <v>NA</v>
      </c>
      <c r="BA7" s="106" t="str">
        <f>PAYCUSE</f>
        <v>NA</v>
      </c>
    </row>
    <row r="8" spans="1:81" ht="15.95" customHeight="1" thickBot="1">
      <c r="A8" s="665"/>
      <c r="B8" s="665"/>
      <c r="C8" s="665"/>
      <c r="D8" s="665"/>
      <c r="E8" s="665"/>
      <c r="F8" s="373"/>
      <c r="G8" s="373"/>
      <c r="H8" s="373"/>
      <c r="I8" s="75"/>
      <c r="AS8" s="661" t="str">
        <f ca="1">PROJSTATUS</f>
        <v>Enter Measures</v>
      </c>
      <c r="AT8" s="661"/>
      <c r="AU8" s="661"/>
      <c r="AV8" s="661"/>
      <c r="AW8" s="661"/>
      <c r="AY8" s="107" t="s">
        <v>596</v>
      </c>
      <c r="AZ8" s="106" t="str">
        <f>CBALL</f>
        <v>NA</v>
      </c>
      <c r="BA8" s="106" t="str">
        <f>PAYALL</f>
        <v>NA</v>
      </c>
    </row>
    <row r="9" spans="1:81" s="78" customFormat="1" ht="15.95" customHeight="1">
      <c r="B9" s="99"/>
      <c r="C9" s="99"/>
      <c r="D9" s="99"/>
      <c r="E9" s="99"/>
      <c r="F9" s="99"/>
      <c r="G9" s="99"/>
      <c r="H9" s="100"/>
      <c r="I9" s="100"/>
      <c r="J9" s="829" t="str">
        <f>M3S2</f>
        <v>Lighting</v>
      </c>
      <c r="K9" s="830"/>
      <c r="L9" s="830"/>
      <c r="M9" s="830"/>
      <c r="N9" s="829" t="str">
        <f>M3S3</f>
        <v>Lighting Controls</v>
      </c>
      <c r="O9" s="830"/>
      <c r="P9" s="830"/>
      <c r="Q9" s="830"/>
      <c r="R9" s="829" t="str">
        <f>M3S4</f>
        <v>Refrigeration</v>
      </c>
      <c r="S9" s="830"/>
      <c r="T9" s="830"/>
      <c r="U9" s="830"/>
      <c r="V9" s="842" t="str">
        <f>M3S5</f>
        <v>HVAC</v>
      </c>
      <c r="W9" s="842"/>
      <c r="X9" s="842"/>
      <c r="Y9" s="842"/>
      <c r="Z9" s="829" t="str">
        <f>M4S8</f>
        <v>Motors and Drives</v>
      </c>
      <c r="AA9" s="830"/>
      <c r="AB9" s="830"/>
      <c r="AC9" s="830"/>
      <c r="AD9" s="829" t="str">
        <f>M3S6</f>
        <v>Compressed Air / Process</v>
      </c>
      <c r="AE9" s="830"/>
      <c r="AF9" s="830"/>
      <c r="AG9" s="830"/>
      <c r="AH9" s="829" t="str">
        <f>M3S7</f>
        <v>Water Heating / Food Services</v>
      </c>
      <c r="AI9" s="830"/>
      <c r="AJ9" s="830"/>
      <c r="AK9" s="830"/>
      <c r="AL9" s="829" t="str">
        <f>M4S9</f>
        <v>Miscellaneous</v>
      </c>
      <c r="AM9" s="830"/>
      <c r="AN9" s="830"/>
      <c r="AO9" s="830"/>
      <c r="AP9" s="99"/>
      <c r="AQ9" s="99"/>
      <c r="AR9" s="99"/>
      <c r="AS9" s="101"/>
      <c r="AU9" s="99"/>
      <c r="AV9" s="99"/>
    </row>
    <row r="10" spans="1:81" s="78" customFormat="1" ht="15.95" customHeight="1">
      <c r="B10" s="79"/>
      <c r="C10" s="79"/>
      <c r="D10" s="79"/>
      <c r="E10" s="79"/>
      <c r="F10" s="79"/>
      <c r="G10" s="79"/>
      <c r="J10" s="831"/>
      <c r="K10" s="831"/>
      <c r="L10" s="831"/>
      <c r="M10" s="831"/>
      <c r="N10" s="831"/>
      <c r="O10" s="831"/>
      <c r="P10" s="831"/>
      <c r="Q10" s="831"/>
      <c r="R10" s="831"/>
      <c r="S10" s="831"/>
      <c r="T10" s="831"/>
      <c r="U10" s="831"/>
      <c r="V10" s="843"/>
      <c r="W10" s="843"/>
      <c r="X10" s="843"/>
      <c r="Y10" s="843"/>
      <c r="Z10" s="831"/>
      <c r="AA10" s="831"/>
      <c r="AB10" s="831"/>
      <c r="AC10" s="831"/>
      <c r="AD10" s="831"/>
      <c r="AE10" s="831"/>
      <c r="AF10" s="831"/>
      <c r="AG10" s="831"/>
      <c r="AH10" s="831"/>
      <c r="AI10" s="831"/>
      <c r="AJ10" s="831"/>
      <c r="AK10" s="831"/>
      <c r="AL10" s="831"/>
      <c r="AM10" s="831"/>
      <c r="AN10" s="831"/>
      <c r="AO10" s="831"/>
      <c r="AP10" s="79"/>
      <c r="AQ10" s="79"/>
      <c r="AR10" s="79"/>
      <c r="AS10"/>
      <c r="AU10" s="79"/>
      <c r="AV10" s="79"/>
    </row>
    <row r="11" spans="1:81" ht="15.95" customHeight="1">
      <c r="B11" s="96"/>
      <c r="C11" s="96"/>
      <c r="D11" s="96"/>
      <c r="E11" s="96"/>
      <c r="F11" s="96"/>
      <c r="G11" s="96"/>
      <c r="J11" s="831"/>
      <c r="K11" s="831"/>
      <c r="L11" s="831"/>
      <c r="M11" s="831"/>
      <c r="N11" s="831"/>
      <c r="O11" s="831"/>
      <c r="P11" s="831"/>
      <c r="Q11" s="831"/>
      <c r="R11" s="831"/>
      <c r="S11" s="831"/>
      <c r="T11" s="831"/>
      <c r="U11" s="831"/>
      <c r="V11" s="843"/>
      <c r="W11" s="843"/>
      <c r="X11" s="843"/>
      <c r="Y11" s="843"/>
      <c r="Z11" s="831"/>
      <c r="AA11" s="831"/>
      <c r="AB11" s="831"/>
      <c r="AC11" s="831"/>
      <c r="AD11" s="831"/>
      <c r="AE11" s="831"/>
      <c r="AF11" s="831"/>
      <c r="AG11" s="831"/>
      <c r="AH11" s="831"/>
      <c r="AI11" s="831"/>
      <c r="AJ11" s="831"/>
      <c r="AK11" s="831"/>
      <c r="AL11" s="831"/>
      <c r="AM11" s="831"/>
      <c r="AN11" s="831"/>
      <c r="AO11" s="831"/>
      <c r="AP11" s="96"/>
      <c r="AQ11" s="96"/>
      <c r="AR11" s="96"/>
      <c r="AU11" s="96"/>
      <c r="AV11" s="96"/>
    </row>
    <row r="12" spans="1:81" ht="15.95" customHeight="1">
      <c r="A12" s="76"/>
      <c r="B12" s="76"/>
      <c r="C12" s="76"/>
      <c r="D12" s="76"/>
      <c r="E12" s="76"/>
      <c r="F12" s="76"/>
      <c r="G12" s="76"/>
      <c r="T12" s="837">
        <f>SUM(AR18:AU199)</f>
        <v>0</v>
      </c>
      <c r="U12" s="837"/>
      <c r="V12" s="837"/>
      <c r="W12" s="837"/>
      <c r="X12" s="837">
        <f>SUM(BL18:BL199)</f>
        <v>0</v>
      </c>
      <c r="Y12" s="837"/>
      <c r="Z12" s="837"/>
      <c r="AA12" s="837"/>
      <c r="AB12" s="836">
        <f ca="1">SUMIF(AR18:AU199,"&gt;0",AO18:AQ199)</f>
        <v>0</v>
      </c>
      <c r="AC12" s="836"/>
      <c r="AD12" s="836"/>
      <c r="AE12" s="836"/>
      <c r="AT12" s="320"/>
    </row>
    <row r="13" spans="1:81" ht="15.95" customHeight="1">
      <c r="A13" s="76"/>
      <c r="B13" s="76"/>
      <c r="C13" s="76"/>
      <c r="D13" s="76"/>
      <c r="E13" s="838" t="s">
        <v>1336</v>
      </c>
      <c r="F13" s="838"/>
      <c r="G13" s="838"/>
      <c r="H13" s="838"/>
      <c r="I13" s="838"/>
      <c r="J13" s="838"/>
      <c r="K13" s="838"/>
      <c r="L13" s="838"/>
      <c r="M13" s="838"/>
      <c r="N13" s="838"/>
      <c r="O13" s="838"/>
      <c r="P13" s="838"/>
      <c r="Q13" s="838"/>
      <c r="R13" s="838"/>
      <c r="T13" s="837"/>
      <c r="U13" s="837"/>
      <c r="V13" s="837"/>
      <c r="W13" s="837"/>
      <c r="X13" s="837"/>
      <c r="Y13" s="837"/>
      <c r="Z13" s="837"/>
      <c r="AA13" s="837"/>
      <c r="AB13" s="836"/>
      <c r="AC13" s="836"/>
      <c r="AD13" s="836"/>
      <c r="AE13" s="836"/>
      <c r="AM13" s="839" t="str">
        <f>IF(IFERROR(MATCH("100% Total Cost", BI:BI,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A14" s="51" t="s">
        <v>3048</v>
      </c>
      <c r="BB14" s="51" t="s">
        <v>3048</v>
      </c>
      <c r="BE14" s="51" t="s">
        <v>3048</v>
      </c>
      <c r="BL14" s="51" t="s">
        <v>3048</v>
      </c>
      <c r="BM14" s="51" t="s">
        <v>3048</v>
      </c>
      <c r="BN14" s="542" t="s">
        <v>2112</v>
      </c>
      <c r="BO14" s="542" t="s">
        <v>2112</v>
      </c>
      <c r="BV14" s="542" t="s">
        <v>2112</v>
      </c>
      <c r="BX14" s="542" t="s">
        <v>2112</v>
      </c>
    </row>
    <row r="15" spans="1:81" ht="15.95" customHeight="1"/>
    <row r="16" spans="1:81" ht="15.95" customHeight="1">
      <c r="C16" s="832" t="s">
        <v>1254</v>
      </c>
      <c r="D16" s="832"/>
      <c r="E16" s="832"/>
      <c r="F16" s="832"/>
      <c r="G16" s="832"/>
      <c r="H16" s="832"/>
      <c r="I16" s="832"/>
      <c r="J16" s="947" t="s">
        <v>2180</v>
      </c>
      <c r="K16" s="947"/>
      <c r="L16" s="947"/>
      <c r="M16" s="947"/>
      <c r="N16" s="947"/>
      <c r="O16" s="947"/>
      <c r="P16" s="947" t="s">
        <v>2181</v>
      </c>
      <c r="Q16" s="947"/>
      <c r="R16" s="947"/>
      <c r="S16" s="947"/>
      <c r="T16" s="947"/>
      <c r="U16" s="947"/>
      <c r="V16" s="832" t="s">
        <v>2169</v>
      </c>
      <c r="W16" s="832"/>
      <c r="X16" s="832" t="s">
        <v>2170</v>
      </c>
      <c r="Y16" s="832"/>
      <c r="Z16" s="832"/>
      <c r="AA16" s="783" t="s">
        <v>2171</v>
      </c>
      <c r="AB16" s="783"/>
      <c r="AC16" s="783"/>
      <c r="AD16" s="783"/>
      <c r="AE16" s="860" t="s">
        <v>864</v>
      </c>
      <c r="AF16" s="860"/>
      <c r="AG16" s="860"/>
      <c r="AH16" s="860"/>
      <c r="AI16" s="832" t="s">
        <v>1255</v>
      </c>
      <c r="AJ16" s="832"/>
      <c r="AK16" s="832"/>
      <c r="AL16" s="832"/>
      <c r="AM16" s="832" t="s">
        <v>1227</v>
      </c>
      <c r="AN16" s="832"/>
      <c r="AO16" s="832" t="s">
        <v>735</v>
      </c>
      <c r="AP16" s="832"/>
      <c r="AQ16" s="832"/>
      <c r="AR16" s="832" t="s">
        <v>83</v>
      </c>
      <c r="AS16" s="832"/>
      <c r="AT16" s="832"/>
      <c r="AU16" s="832"/>
      <c r="AX16" s="783" t="s">
        <v>743</v>
      </c>
      <c r="AY16" s="779" t="s">
        <v>1985</v>
      </c>
      <c r="AZ16" s="779" t="s">
        <v>942</v>
      </c>
      <c r="BA16" s="779" t="s">
        <v>635</v>
      </c>
      <c r="BB16" s="783" t="s">
        <v>875</v>
      </c>
      <c r="BC16" s="783" t="s">
        <v>924</v>
      </c>
      <c r="BD16" s="781" t="s">
        <v>1701</v>
      </c>
      <c r="BE16" s="828" t="s">
        <v>874</v>
      </c>
      <c r="BF16" s="828"/>
      <c r="BG16" s="779"/>
      <c r="BH16" s="828" t="s">
        <v>873</v>
      </c>
      <c r="BI16" s="828"/>
      <c r="BJ16" s="781" t="s">
        <v>88</v>
      </c>
      <c r="BK16" s="781" t="s">
        <v>1619</v>
      </c>
      <c r="BL16" s="783" t="s">
        <v>876</v>
      </c>
      <c r="BM16" s="781" t="s">
        <v>922</v>
      </c>
      <c r="BN16" s="779" t="s">
        <v>132</v>
      </c>
      <c r="BO16" s="779" t="s">
        <v>325</v>
      </c>
      <c r="BP16" s="781" t="s">
        <v>1833</v>
      </c>
      <c r="BQ16" s="783" t="s">
        <v>2107</v>
      </c>
      <c r="BR16" s="781"/>
      <c r="BS16" s="783"/>
      <c r="BT16" s="779"/>
      <c r="BU16" s="783" t="s">
        <v>925</v>
      </c>
      <c r="BV16" s="781" t="s">
        <v>691</v>
      </c>
      <c r="BW16" s="783" t="s">
        <v>85</v>
      </c>
      <c r="BX16" s="783" t="s">
        <v>840</v>
      </c>
      <c r="BY16" s="783" t="s">
        <v>309</v>
      </c>
      <c r="BZ16" s="755" t="s">
        <v>1900</v>
      </c>
      <c r="CA16" s="755" t="s">
        <v>1901</v>
      </c>
      <c r="CB16" s="755" t="s">
        <v>1902</v>
      </c>
      <c r="CC16" s="755" t="s">
        <v>1982</v>
      </c>
    </row>
    <row r="17" spans="1:81" ht="15.95" customHeight="1" thickBot="1">
      <c r="C17" s="833"/>
      <c r="D17" s="833"/>
      <c r="E17" s="833"/>
      <c r="F17" s="833"/>
      <c r="G17" s="833"/>
      <c r="H17" s="833"/>
      <c r="I17" s="833"/>
      <c r="J17" s="943" t="s">
        <v>1259</v>
      </c>
      <c r="K17" s="943"/>
      <c r="L17" s="943" t="s">
        <v>920</v>
      </c>
      <c r="M17" s="943"/>
      <c r="N17" s="944" t="s">
        <v>1258</v>
      </c>
      <c r="O17" s="944"/>
      <c r="P17" s="943" t="s">
        <v>1259</v>
      </c>
      <c r="Q17" s="943"/>
      <c r="R17" s="943" t="s">
        <v>920</v>
      </c>
      <c r="S17" s="943"/>
      <c r="T17" s="944" t="s">
        <v>1258</v>
      </c>
      <c r="U17" s="944"/>
      <c r="V17" s="833"/>
      <c r="W17" s="833"/>
      <c r="X17" s="833"/>
      <c r="Y17" s="833"/>
      <c r="Z17" s="833"/>
      <c r="AA17" s="784"/>
      <c r="AB17" s="784"/>
      <c r="AC17" s="784"/>
      <c r="AD17" s="784"/>
      <c r="AE17" s="833" t="s">
        <v>862</v>
      </c>
      <c r="AF17" s="833"/>
      <c r="AG17" s="833" t="s">
        <v>863</v>
      </c>
      <c r="AH17" s="833"/>
      <c r="AI17" s="833"/>
      <c r="AJ17" s="833"/>
      <c r="AK17" s="833"/>
      <c r="AL17" s="833"/>
      <c r="AM17" s="833"/>
      <c r="AN17" s="833"/>
      <c r="AO17" s="833"/>
      <c r="AP17" s="833"/>
      <c r="AQ17" s="833"/>
      <c r="AR17" s="833"/>
      <c r="AS17" s="833"/>
      <c r="AT17" s="833"/>
      <c r="AU17" s="833"/>
      <c r="AX17" s="784"/>
      <c r="AY17" s="780"/>
      <c r="AZ17" s="780"/>
      <c r="BA17" s="780"/>
      <c r="BB17" s="784" t="s">
        <v>875</v>
      </c>
      <c r="BC17" s="784"/>
      <c r="BD17" s="782"/>
      <c r="BE17" s="97" t="s">
        <v>871</v>
      </c>
      <c r="BF17" s="97" t="s">
        <v>1084</v>
      </c>
      <c r="BG17" s="780"/>
      <c r="BH17" s="97" t="s">
        <v>871</v>
      </c>
      <c r="BI17" s="97" t="s">
        <v>872</v>
      </c>
      <c r="BJ17" s="782"/>
      <c r="BK17" s="782"/>
      <c r="BL17" s="784"/>
      <c r="BM17" s="782"/>
      <c r="BN17" s="780"/>
      <c r="BO17" s="780"/>
      <c r="BP17" s="782"/>
      <c r="BQ17" s="784"/>
      <c r="BR17" s="782"/>
      <c r="BS17" s="784"/>
      <c r="BT17" s="780"/>
      <c r="BU17" s="784"/>
      <c r="BV17" s="782"/>
      <c r="BW17" s="784"/>
      <c r="BX17" s="784"/>
      <c r="BY17" s="784"/>
      <c r="BZ17" s="756"/>
      <c r="CA17" s="756"/>
      <c r="CB17" s="756"/>
      <c r="CC17" s="756"/>
    </row>
    <row r="18" spans="1:81" ht="15.95" customHeight="1">
      <c r="B18" s="785">
        <v>1</v>
      </c>
      <c r="C18" s="873"/>
      <c r="D18" s="874"/>
      <c r="E18" s="874"/>
      <c r="F18" s="874"/>
      <c r="G18" s="874"/>
      <c r="H18" s="874"/>
      <c r="I18" s="874"/>
      <c r="J18" s="932" t="str">
        <f>IF(C18="","",INDEX(CLHVAC[Eff Unit 1],MATCH(C18,CLHVAC[Measure Name],0)))</f>
        <v/>
      </c>
      <c r="K18" s="933"/>
      <c r="L18" s="928" t="str">
        <f>IF(C18="","",INDEX(CLHVAC[Base Efficiency 1],MATCH(C18,CLHVAC[Measure Name],0)))</f>
        <v/>
      </c>
      <c r="M18" s="929"/>
      <c r="N18" s="945"/>
      <c r="O18" s="946"/>
      <c r="P18" s="932" t="str">
        <f>IF(C18="","",INDEX(CLHVAC[Eff Unit 2],MATCH(C18,CLHVAC[Measure Name],0)))</f>
        <v/>
      </c>
      <c r="Q18" s="933"/>
      <c r="R18" s="928" t="str">
        <f>IF(C18="","",INDEX(CLHVAC[Base Efficiency 2],MATCH(C18,CLHVAC[Measure Name],0)))</f>
        <v/>
      </c>
      <c r="S18" s="929"/>
      <c r="T18" s="950" t="str">
        <f>IF(AND(ISNUMBER(SEARCH("DX",C18)),ISNUMBER(SEARCH("&lt;65 kbtu",C18)),N18&lt;&gt;""),1.12*N18-0.02*N18^2,IF(AND(ISNUMBER(SEARCH("PTAC",C18)),N18&lt;&gt;""),1,""))</f>
        <v/>
      </c>
      <c r="U18" s="951"/>
      <c r="V18" s="954"/>
      <c r="W18" s="955"/>
      <c r="X18" s="873"/>
      <c r="Y18" s="874"/>
      <c r="Z18" s="875"/>
      <c r="AA18" s="940"/>
      <c r="AB18" s="941"/>
      <c r="AC18" s="941"/>
      <c r="AD18" s="942"/>
      <c r="AE18" s="807"/>
      <c r="AF18" s="808"/>
      <c r="AG18" s="808"/>
      <c r="AH18" s="811"/>
      <c r="AI18" s="948" t="str">
        <f>IF(C18="","",INDEX(CLHVAC[Current Unit],MATCH(C18,CLHVAC[Measure Name],0)))</f>
        <v/>
      </c>
      <c r="AJ18" s="948"/>
      <c r="AK18" s="948"/>
      <c r="AL18" s="949"/>
      <c r="AM18" s="814" t="str">
        <f>IFERROR(IF(C18="","",INDEX(IF(AND(ACTIVEBONUS = TRUE,INDEX(CLHVAC[Bonus Incentive],MATCH(C18,CLHVAC[Measure Name],0))&lt;&gt; ""),CLHVAC[Bonus Incentive],CLHVAC[BESP Incentive]),MATCH(C18,CLHVAC[Measure Name],0))),"")</f>
        <v/>
      </c>
      <c r="AN18" s="814"/>
      <c r="AO18" s="817" t="str">
        <f>IFERROR(IF(OR(C18="",N18="",V18="",AA18="",T18="",AE18="",AG18=""),"",IF(BD18="Deemed",BH18,IF(BD18="Calculated",BE18,""))),"")</f>
        <v/>
      </c>
      <c r="AP18" s="817"/>
      <c r="AQ18" s="817"/>
      <c r="AR18" s="840" t="str">
        <f>IFERROR(IF(OR(C18="",N18="",V18="",AA18="",T18="",AE18="",AG18=""),"",IF(BY18&lt;&gt;"",BY18,IF(BP18&gt;0,BP18,ROUND(IF(AO18&lt;=0,0,MIN(BL18,BQ18)), 2)))), "")</f>
        <v/>
      </c>
      <c r="AS18" s="840"/>
      <c r="AT18" s="840"/>
      <c r="AU18" s="840"/>
      <c r="AV18" s="17"/>
      <c r="AX18" s="773" t="str">
        <f>IFERROR(IF(OR(C18="",N18="",V18="",AA18="",T18="",AE18="",AG18=""),"",INDEX(CLHVAC[Current Unit],MATCH(C18,CLHVAC[Measure Name],0))),"Err")</f>
        <v/>
      </c>
      <c r="AY18" s="958"/>
      <c r="AZ18" s="958"/>
      <c r="BA18" s="919" t="str">
        <f>IF(C18&lt;&gt;"", _xlfn.LET(
_xlpm.Tons_Cool, V18, _xlpm.PLC_Base, L18, _xlpm.Tons_Heat, CC18, _xlpm.Other_Base, R18,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(12/_xlpm.PLC_Base)*_xlpm.EFLH_Cool,
IF(ISNUMBER(SEARCH("Water", C18)),
_xlpm.Tons_Cool * (_xlpm.PLC_Base) * _xlpm.EFLH_Cool,
" "
)),4),
_xlpm.kWhHeat,
IF(
_xlpm.ElecHeat=1,
ROUND(
IF(OR(ISNUMBER(SEARCH("DX", C18)),ISNUMBER(SEARCH("PTAC", C18)), ISNUMBER(SEARCH("Air-Cooled Chiller", C18)), ISNUMBER(SEARCH("Water", C18)),
ISNUMBER(SEARCH("VRF", C18))),
0,
IF(
OR(ISNUMBER(SEARCH("ASHP", C18)), ISNUMBER(SEARCH("PTHP", C18))),
_xlpm.Tons_Heat * (1/_xlpm.Other_Base) * _xlpm.EFLH_Heat,
" "
)),4),
0
),
IFERROR(_xlpm.kWhCool + _xlpm.kWhHeat, "Measure Not Specified.")
), "")</f>
        <v/>
      </c>
      <c r="BB18" s="919" t="str">
        <f>IF(C18&lt;&gt;"", _xlfn.LET(
_xlpm.Tons_Cool, V18, _xlpm.PLC_Eff, N18, _xlpm.Tons_Heat, CC18, _xlpm.Other_Eff, T18,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(12/_xlpm.PLC_Eff)*_xlpm.EFLH_Cool,
IF(ISNUMBER(SEARCH("Water", C18)),
_xlpm.Tons_Cool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(1/_xlpm.Other_Eff) * _xlpm.EFLH_Heat,
" "
)),4),
0
),
IFERROR(_xlpm.kWhCool + _xlpm.kWhHeat, "Measure Not Specified.")
), "")</f>
        <v/>
      </c>
      <c r="BC18" s="773" t="str">
        <f>IFERROR(IF(OR(C18="",N18="",V18="",AA18="",T18="",AE18="",AG18=""),"",INDEX(CLHVAC[End Use],MATCH(C18,CLHVAC[Measure Name],0))),"Err")</f>
        <v/>
      </c>
      <c r="BD18" s="757" t="str">
        <f>IFERROR(IF(OR(C18="",N18="",V18="",AA18="",T18="",AE18="",AG18=""),"",INDEX(CLHVAC[Reporting Methodology],MATCH(C18,CLHVAC[Measure Name],0))),"Err")</f>
        <v/>
      </c>
      <c r="BE18" s="775" t="str">
        <f t="shared" ref="BE18:BE80" si="0">IF(AND(BA18&lt;&gt;"", BB18&lt;&gt;""), BA18-BB18, "")</f>
        <v/>
      </c>
      <c r="BF18" s="775" t="str">
        <f>IF(C18&lt;&gt;"", _xlfn.LET(
_xlpm.Tons, V18, _xlpm.PCF, 0.913,
IF(OR(ISNUMBER(SEARCH("DX", C18)), ISNUMBER(SEARCH("Air-Cooled Chiller", C18)), ISNUMBER(SEARCH("VRF", C18))),
_xlpm.Tons * (12/R18 - 12/T18) * _xlpm.PCF,
IF(ISNUMBER(SEARCH("Water", C18)),
_xlpm.Tons * (R18-T18) * _xlpm.PCF,
IF(ISNUMBER(SEARCH("ASHP", C18)),
_xlpm.Tons * (12/CA18 - 12/CB18) * _xlpm.PCF,
IF(OR(ISNUMBER(SEARCH("PTAC", C18)), ISNUMBER(SEARCH("PTHP", C18))),
_xlpm.Tons * (12/L18 - 12/N18) * _xlpm.PCF,
"Measure Not Specified."))))), "")</f>
        <v/>
      </c>
      <c r="BG18" s="761"/>
      <c r="BH18" s="775" t="str">
        <f>IF(
OR(C18="",N18="",V18="",AA18="",T18="",AE18="",AG18=""),"",
IF(OR(ISNUMBER(SEARCH("PTAC",C18)),ISNUMBER(SEARCH("PTHP",C18))),
ROUND(V18*INDEX(CLHVAC[Electric Energy Savings WBE (Annual kWh/unit)],MATCH(C18,CLHVAC[Measure Name],0)),4),
ROUND(V18*ABS(N18-L18)*INDEX(CLHVAC[Electric Energy Savings WBE (Annual kWh/unit)],MATCH(C18,CLHVAC[Measure Name],0)),4)
))</f>
        <v/>
      </c>
      <c r="BI18" s="775" t="str">
        <f>IF(
OR(C18="",N18="",V18="",AA18="",T18="",AE18="",AG18=""),"",
IF(OR(ISNUMBER(SEARCH("PTAC",C18)),ISNUMBER(SEARCH("PTHP",C18))),
ROUND(V18*INDEX(CLHVAC[Coincident Peak Demand Savings WBE (kW/unit)],MATCH(C18,CLHVAC[Measure Name],0)),4),
ROUND(V18* ABS(N18-L18)*INDEX(CLHVAC[Coincident Peak Demand Savings WBE (kW/unit)],MATCH(C18,CLHVAC[Measure Name],0)),4)
))</f>
        <v/>
      </c>
      <c r="BJ18" s="777" t="str">
        <f>IFERROR(INDEX(CLHVAC[Measure Life (Years)],MATCH(C18,CLHVAC[Measure Name],0)),"")</f>
        <v/>
      </c>
      <c r="BK18" s="767" t="str">
        <f>IFERROR(IF(OR(C18="",N18="",V18="",AA18="",T18="",AE18="",AG18=""),"",
ROUND(((1+ELOSS)*((BH18*INDEX(ELECCB[NPV AEC $/kWh],MATCH(BJ18,ELECCB[Year Number],1)))+(BI18*INDEX(ELECCB[NPV ACC $/kW],MATCH(BJ18,ELECCB[Year Number],1))))),2)),0)</f>
        <v/>
      </c>
      <c r="BL18" s="767" t="str">
        <f t="shared" ref="BL18:BL80" si="1">IF(OR(AE18="", AG18=""), "", AE18+AG18)</f>
        <v/>
      </c>
      <c r="BM18" s="767"/>
      <c r="BN18" s="763" t="str">
        <f t="shared" ref="BN18:BN80" si="2">IFERROR( BK18 / IF(BM18 &lt;&gt; "", BM18, BL18), "")</f>
        <v/>
      </c>
      <c r="BO18" s="763" t="str">
        <f>IFERROR(IF(BM18 &lt;&gt; "", BM18, BL18) / M02S04F06 / AO18, "")</f>
        <v/>
      </c>
      <c r="BP18" s="769"/>
      <c r="BQ18" s="767" t="str">
        <f>IFERROR(IF(AI18="per ton", ROUND(V18*AM18, 2),
IF(AND(ISNUMBER(SEARCH("Air-Cooled Chiller",C18)),AI18="$/ton/IPLV"), ROUND((12/L18-12/N18)*V18*AM18, 2),
ROUND(ABS(N18-L18)*V18*AM18, 2))), "")</f>
        <v/>
      </c>
      <c r="BR18" s="765"/>
      <c r="BS18" s="765"/>
      <c r="BT18" s="765"/>
      <c r="BU18" s="757" t="str">
        <f>IFERROR(IF(BP18="",IF(AR18 &lt; BQ18, "100% Total Cost", ""), ""), "")</f>
        <v/>
      </c>
      <c r="BV18" s="767" t="str">
        <f t="shared" ref="BV18:BV80" si="3">IF(OR(AO18="", AR18=""), "", AR18/AO18)</f>
        <v/>
      </c>
      <c r="BW18" s="757" t="str">
        <f>IFERROR(IF(OR(C18="",N18="",V18="",AA18="",T18="",AE18="",AG18=""),"", IF(BY18&lt;&gt;"", SPILLOVERNUMBER, INDEX(CLHVAC[Measure Number],MATCH(C18,CLHVAC[Measure Name],0)))),"Err")</f>
        <v/>
      </c>
      <c r="BX18" s="757"/>
      <c r="BY18" s="907" t="str">
        <f>IFERROR(
IF(OR(C18="",N18="",T18="",V18="",AA18="",AE18="",AG18=""),
"",
IF(BP18&gt;0,"",IF(OR(AND(ISNUMBER(SEARCH("kW/ton", J18)),OR(L18&lt;N18,R18&lt;T18)),AND(NOT(ISNUMBER(SEARCH("kW/ton", J18))),OR(L18&gt;N18,R18&gt;T18))),
"Must Improve Efficiency",
IF(EXPIRATION&lt;&gt;"",PROJSTATEXP,"")))),
"")</f>
        <v/>
      </c>
      <c r="BZ18" s="911" t="str">
        <f>IFERROR(IF(INDEX(CLHVAC[Eff Unit 3],MATCH(C18,CLHVAC[Measure Name],0))="","",INDEX(CLHVAC[Eff Unit 3],MATCH(C18,CLHVAC[Measure Name],0))),"")</f>
        <v/>
      </c>
      <c r="CA18" s="956" t="str">
        <f>IFERROR(IF(INDEX(CLHVAC[Base Efficiency 3],MATCH(C18,CLHVAC[Measure Name],0))="","",INDEX(CLHVAC[Base Efficiency 3],MATCH(C18,CLHVAC[Measure Name],0))),"")</f>
        <v/>
      </c>
      <c r="CB18" s="913" t="str">
        <f>IFERROR(IF(ISNUMBER(SEARCH("Air-Cooled Chiller",$C18)),12/N18,""),"")</f>
        <v/>
      </c>
      <c r="CC18" s="909"/>
    </row>
    <row r="19" spans="1:81" ht="15.95" customHeight="1">
      <c r="B19" s="785"/>
      <c r="C19" s="793"/>
      <c r="D19" s="795"/>
      <c r="E19" s="795"/>
      <c r="F19" s="795"/>
      <c r="G19" s="795"/>
      <c r="H19" s="795"/>
      <c r="I19" s="795"/>
      <c r="J19" s="934"/>
      <c r="K19" s="935"/>
      <c r="L19" s="930"/>
      <c r="M19" s="931"/>
      <c r="N19" s="915"/>
      <c r="O19" s="916"/>
      <c r="P19" s="934"/>
      <c r="Q19" s="935"/>
      <c r="R19" s="930"/>
      <c r="S19" s="931"/>
      <c r="T19" s="952"/>
      <c r="U19" s="953"/>
      <c r="V19" s="926"/>
      <c r="W19" s="927"/>
      <c r="X19" s="793"/>
      <c r="Y19" s="795"/>
      <c r="Z19" s="794"/>
      <c r="AA19" s="904"/>
      <c r="AB19" s="905"/>
      <c r="AC19" s="905"/>
      <c r="AD19" s="906"/>
      <c r="AE19" s="809"/>
      <c r="AF19" s="810"/>
      <c r="AG19" s="810"/>
      <c r="AH19" s="812"/>
      <c r="AI19" s="921"/>
      <c r="AJ19" s="921"/>
      <c r="AK19" s="921"/>
      <c r="AL19" s="922"/>
      <c r="AM19" s="816"/>
      <c r="AN19" s="816"/>
      <c r="AO19" s="818"/>
      <c r="AP19" s="818"/>
      <c r="AQ19" s="818"/>
      <c r="AR19" s="841"/>
      <c r="AS19" s="841"/>
      <c r="AT19" s="841"/>
      <c r="AU19" s="841"/>
      <c r="AV19" s="17"/>
      <c r="AX19" s="774"/>
      <c r="AY19" s="759"/>
      <c r="AZ19" s="759"/>
      <c r="BA19" s="920"/>
      <c r="BB19" s="920"/>
      <c r="BC19" s="774"/>
      <c r="BD19" s="758"/>
      <c r="BE19" s="776"/>
      <c r="BF19" s="776"/>
      <c r="BG19" s="762"/>
      <c r="BH19" s="776"/>
      <c r="BI19" s="776"/>
      <c r="BJ19" s="778"/>
      <c r="BK19" s="768"/>
      <c r="BL19" s="768"/>
      <c r="BM19" s="768"/>
      <c r="BN19" s="764"/>
      <c r="BO19" s="764"/>
      <c r="BP19" s="770"/>
      <c r="BQ19" s="768"/>
      <c r="BR19" s="766"/>
      <c r="BS19" s="766"/>
      <c r="BT19" s="766"/>
      <c r="BU19" s="758"/>
      <c r="BV19" s="768"/>
      <c r="BW19" s="758"/>
      <c r="BX19" s="758"/>
      <c r="BY19" s="908"/>
      <c r="BZ19" s="912"/>
      <c r="CA19" s="957"/>
      <c r="CB19" s="914"/>
      <c r="CC19" s="910"/>
    </row>
    <row r="20" spans="1:81" ht="15.95" customHeight="1">
      <c r="A20" s="75"/>
      <c r="B20" s="785">
        <v>2</v>
      </c>
      <c r="C20" s="825"/>
      <c r="D20" s="826"/>
      <c r="E20" s="826"/>
      <c r="F20" s="826"/>
      <c r="G20" s="826"/>
      <c r="H20" s="826"/>
      <c r="I20" s="826"/>
      <c r="J20" s="936" t="str">
        <f>IF(C20="","",INDEX(CLHVAC[Eff Unit 1],MATCH(C20,CLHVAC[Measure Name],0)))</f>
        <v/>
      </c>
      <c r="K20" s="937"/>
      <c r="L20" s="938" t="str">
        <f>IF(C20="","",INDEX(CLHVAC[Base Efficiency 1],MATCH(C20,CLHVAC[Measure Name],0)))</f>
        <v/>
      </c>
      <c r="M20" s="939"/>
      <c r="N20" s="915"/>
      <c r="O20" s="916"/>
      <c r="P20" s="932" t="str">
        <f>IF(C20="","",INDEX(CLHVAC[Eff Unit 2],MATCH(C20,CLHVAC[Measure Name],0)))</f>
        <v/>
      </c>
      <c r="Q20" s="933"/>
      <c r="R20" s="928" t="str">
        <f>IF(C20="","",INDEX(CLHVAC[Base Efficiency 2],MATCH(C20,CLHVAC[Measure Name],0)))</f>
        <v/>
      </c>
      <c r="S20" s="929"/>
      <c r="T20" s="950" t="str">
        <f>IF(AND(ISNUMBER(SEARCH("DX",C20)),ISNUMBER(SEARCH("&lt;65 kbtu",C20)),N20&lt;&gt;""),1.12*N20-0.02*N20^2,IF(AND(ISNUMBER(SEARCH("PTAC",C20)),N20&lt;&gt;""),1,""))</f>
        <v/>
      </c>
      <c r="U20" s="951"/>
      <c r="V20" s="926"/>
      <c r="W20" s="927"/>
      <c r="X20" s="825"/>
      <c r="Y20" s="826"/>
      <c r="Z20" s="827"/>
      <c r="AA20" s="904"/>
      <c r="AB20" s="905"/>
      <c r="AC20" s="905"/>
      <c r="AD20" s="906"/>
      <c r="AE20" s="807"/>
      <c r="AF20" s="808"/>
      <c r="AG20" s="808"/>
      <c r="AH20" s="811"/>
      <c r="AI20" s="921" t="str">
        <f>IF(C20="","",INDEX(CLHVAC[Current Unit],MATCH(C20,CLHVAC[Measure Name],0)))</f>
        <v/>
      </c>
      <c r="AJ20" s="921"/>
      <c r="AK20" s="921"/>
      <c r="AL20" s="922"/>
      <c r="AM20" s="923" t="str">
        <f>IFERROR(IF(C20="","",INDEX(IF(AND(ACTIVEBONUS = TRUE,INDEX(CLHVAC[Bonus Incentive],MATCH(C20,CLHVAC[Measure Name],0))&lt;&gt; ""),CLHVAC[Bonus Incentive],CLHVAC[BESP Incentive]),MATCH(C20,CLHVAC[Measure Name],0))),"")</f>
        <v/>
      </c>
      <c r="AN20" s="924"/>
      <c r="AO20" s="817" t="str">
        <f>IFERROR(IF(OR(C20="",N20="",V20="",AA20="",T20="",AE20="",AG20=""),"",IF(BD20="Deemed",BH20,IF(BD20="Calculated",BE20,""))),"")</f>
        <v/>
      </c>
      <c r="AP20" s="817"/>
      <c r="AQ20" s="817"/>
      <c r="AR20" s="840" t="str">
        <f>IFERROR(IF(OR(C20="",N20="",V20="",AA20="",T20="",AE20="",AG20=""),"",IF(BY20&lt;&gt;"",BY20,IF(BP20&gt;0,BP20,ROUND(IF(AO20&lt;=0,0,MIN(BL20,BQ20)), 2)))), "")</f>
        <v/>
      </c>
      <c r="AS20" s="840"/>
      <c r="AT20" s="840"/>
      <c r="AU20" s="840"/>
      <c r="AV20" s="17"/>
      <c r="AX20" s="773" t="str">
        <f>IFERROR(IF(OR(C20="",N20="",V20="",AA20="",T20="",AE20="",AG20=""),"",INDEX(CLHVAC[Current Unit],MATCH(C20,CLHVAC[Measure Name],0))),"Err")</f>
        <v/>
      </c>
      <c r="AY20" s="759"/>
      <c r="AZ20" s="759"/>
      <c r="BA20" s="919" t="str">
        <f>IF(C20&lt;&gt;"", _xlfn.LET(
_xlpm.Tons_Cool, V20, _xlpm.PLC_Base, L20, _xlpm.Tons_Heat, CC20, _xlpm.Other_Base, R20,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(12/_xlpm.PLC_Base)*_xlpm.EFLH_Cool,
IF(ISNUMBER(SEARCH("Water", C20)),
_xlpm.Tons_Cool * (_xlpm.PLC_Base) * _xlpm.EFLH_Cool,
" "
)),4),
_xlpm.kWhHeat,
IF(
_xlpm.ElecHeat=1,
ROUND(
IF(OR(ISNUMBER(SEARCH("DX", C20)),ISNUMBER(SEARCH("PTAC", C20)), ISNUMBER(SEARCH("Air-Cooled Chiller", C20)), ISNUMBER(SEARCH("Water", C20)),
ISNUMBER(SEARCH("VRF", C20))),
0,
IF(
OR(ISNUMBER(SEARCH("ASHP", C20)), ISNUMBER(SEARCH("PTHP", C20))),
_xlpm.Tons_Heat * (1/_xlpm.Other_Base) * _xlpm.EFLH_Heat,
" "
)),4),
0
),
IFERROR(_xlpm.kWhCool + _xlpm.kWhHeat, "Measure Not Specified.")
), "")</f>
        <v/>
      </c>
      <c r="BB20" s="919" t="str">
        <f>IF(C20&lt;&gt;"", _xlfn.LET(
_xlpm.Tons_Cool, V20, _xlpm.PLC_Eff, N20, _xlpm.Tons_Heat, CC20, _xlpm.Other_Eff, T20,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(12/_xlpm.PLC_Eff)*_xlpm.EFLH_Cool,
IF(ISNUMBER(SEARCH("Water", C20)),
_xlpm.Tons_Cool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(1/_xlpm.Other_Eff) * _xlpm.EFLH_Heat,
" "
)),4),
0
),
IFERROR(_xlpm.kWhCool + _xlpm.kWhHeat, "Measure Not Specified.")
), "")</f>
        <v/>
      </c>
      <c r="BC20" s="773" t="str">
        <f>IFERROR(IF(OR(C20="",N20="",V20="",AA20="",T20="",AE20="",AG20=""),"",INDEX(CLHVAC[End Use],MATCH(C20,CLHVAC[Measure Name],0))),"Err")</f>
        <v/>
      </c>
      <c r="BD20" s="757" t="str">
        <f>IFERROR(IF(OR(C20="",N20="",V20="",AA20="",T20="",AE20="",AG20=""),"",INDEX(CLHVAC[Reporting Methodology],MATCH(C20,CLHVAC[Measure Name],0))),"Err")</f>
        <v/>
      </c>
      <c r="BE20" s="775" t="str">
        <f t="shared" si="0"/>
        <v/>
      </c>
      <c r="BF20" s="775" t="str">
        <f t="shared" ref="BF20" si="4">IF(C20&lt;&gt;"", _xlfn.LET(
_xlpm.Tons, V20, _xlpm.PCF, 0.913,
IF(OR(ISNUMBER(SEARCH("DX", C20)), ISNUMBER(SEARCH("Air-Cooled Chiller", C20)), ISNUMBER(SEARCH("VRF", C20))),
_xlpm.Tons * (12/R20 - 12/T20) * _xlpm.PCF,
IF(ISNUMBER(SEARCH("Water", C20)),
_xlpm.Tons * (R20-T20) * _xlpm.PCF,
IF(ISNUMBER(SEARCH("ASHP", C20)),
_xlpm.Tons * (12/CA20 - 12/CB20) * _xlpm.PCF,
IF(OR(ISNUMBER(SEARCH("PTAC", C20)), ISNUMBER(SEARCH("PTHP", C20))),
_xlpm.Tons * (12/L20 - 12/N20) * _xlpm.PCF,
"Measure Not Specified."))))), "")</f>
        <v/>
      </c>
      <c r="BG20" s="761"/>
      <c r="BH20" s="775" t="str">
        <f>IF(
OR(C20="",N20="",V20="",AA20="",T20="",AE20="",AG20=""),"",
IF(OR(ISNUMBER(SEARCH("PTAC",C20)),ISNUMBER(SEARCH("PTHP",C20))),
ROUND(V20*INDEX(CLHVAC[Electric Energy Savings WBE (Annual kWh/unit)],MATCH(C20,CLHVAC[Measure Name],0)),4),
ROUND(V20*ABS(N20-L20)*INDEX(CLHVAC[Electric Energy Savings WBE (Annual kWh/unit)],MATCH(C20,CLHVAC[Measure Name],0)),4)
))</f>
        <v/>
      </c>
      <c r="BI20" s="775" t="str">
        <f>IF(
OR(C20="",N20="",V20="",AA20="",T20="",AE20="",AG20=""),"",
IF(OR(ISNUMBER(SEARCH("PTAC",C20)),ISNUMBER(SEARCH("PTHP",C20))),
ROUND(V20*INDEX(CLHVAC[Coincident Peak Demand Savings WBE (kW/unit)],MATCH(C20,CLHVAC[Measure Name],0)),4),
ROUND(V20* ABS(N20-L20)*INDEX(CLHVAC[Coincident Peak Demand Savings WBE (kW/unit)],MATCH(C20,CLHVAC[Measure Name],0)),4)
))</f>
        <v/>
      </c>
      <c r="BJ20" s="777" t="str">
        <f>IFERROR(INDEX(CLHVAC[Measure Life (Years)],MATCH(C20,CLHVAC[Measure Name],0)),"")</f>
        <v/>
      </c>
      <c r="BK20" s="767" t="str">
        <f>IFERROR(IF(OR(C20="",N20="",V20="",AA20="",T20="",AE20="",AG20=""),"",
ROUND(((1+ELOSS)*((BH20*INDEX(ELECCB[NPV AEC $/kWh],MATCH(BJ20,ELECCB[Year Number],1)))+(BI20*INDEX(ELECCB[NPV ACC $/kW],MATCH(BJ20,ELECCB[Year Number],1))))),2)),0)</f>
        <v/>
      </c>
      <c r="BL20" s="767" t="str">
        <f t="shared" si="1"/>
        <v/>
      </c>
      <c r="BM20" s="767"/>
      <c r="BN20" s="763" t="str">
        <f t="shared" si="2"/>
        <v/>
      </c>
      <c r="BO20" s="763" t="str">
        <f>IFERROR(IF(BM20 &lt;&gt; "", BM20, BL20) / M02S04F06 / AO20, "")</f>
        <v/>
      </c>
      <c r="BP20" s="769"/>
      <c r="BQ20" s="767" t="str">
        <f t="shared" ref="BQ20" si="5">IFERROR(IF(AI20="per ton", ROUND(V20*AM20, 2),
IF(AND(ISNUMBER(SEARCH("Air-Cooled Chiller",C20)),AI20="$/ton/IPLV"), ROUND((12/L20-12/N20)*V20*AM20, 2),
ROUND(ABS(N20-L20)*V20*AM20, 2))), "")</f>
        <v/>
      </c>
      <c r="BR20" s="765"/>
      <c r="BS20" s="765"/>
      <c r="BT20" s="765"/>
      <c r="BU20" s="757" t="str">
        <f t="shared" ref="BU20" si="6">IFERROR(IF(BP20="",IF(AR20 &lt; BQ20, "100% Total Cost", ""), ""), "")</f>
        <v/>
      </c>
      <c r="BV20" s="767" t="str">
        <f t="shared" si="3"/>
        <v/>
      </c>
      <c r="BW20" s="757" t="str">
        <f>IFERROR(IF(OR(C20="",N20="",V20="",AA20="",T20="",AE20="",AG20=""),"", IF(BY20&lt;&gt;"", SPILLOVERNUMBER, INDEX(CLHVAC[Measure Number],MATCH(C20,CLHVAC[Measure Name],0)))),"Err")</f>
        <v/>
      </c>
      <c r="BX20" s="757"/>
      <c r="BY20" s="907" t="str">
        <f>IFERROR(
IF(OR(C20="",N20="",T20="",V20="",AA20="",AE20="",AG20=""),
"",
IF(BP20&gt;0,"",IF(OR(AND(ISNUMBER(SEARCH("kW/ton", J20)),OR(L20&lt;N20,R20&lt;T20)),AND(NOT(ISNUMBER(SEARCH("kW/ton", J20))),OR(L20&gt;N20,R20&gt;T20))),
"Must Improve Efficiency",
IF(EXPIRATION&lt;&gt;"",PROJSTATEXP,"")))),
"")</f>
        <v/>
      </c>
      <c r="BZ20" s="911" t="str">
        <f>IFERROR(IF(INDEX(CLHVAC[Eff Unit 3],MATCH(C20,CLHVAC[Measure Name],0))="","",INDEX(CLHVAC[Eff Unit 3],MATCH(C20,CLHVAC[Measure Name],0))),"")</f>
        <v/>
      </c>
      <c r="CA20" s="956" t="str">
        <f>IFERROR(IF(INDEX(CLHVAC[Base Efficiency 3],MATCH(C20,CLHVAC[Measure Name],0))="","",INDEX(CLHVAC[Base Efficiency 3],MATCH(C20,CLHVAC[Measure Name],0))),"")</f>
        <v/>
      </c>
      <c r="CB20" s="913" t="str">
        <f t="shared" ref="CB20" si="7">IFERROR(IF(ISNUMBER(SEARCH("Air-Cooled Chiller",$C20)),12/N20,""),"")</f>
        <v/>
      </c>
      <c r="CC20" s="909"/>
    </row>
    <row r="21" spans="1:81" ht="15.95" customHeight="1">
      <c r="B21" s="785"/>
      <c r="C21" s="793"/>
      <c r="D21" s="795"/>
      <c r="E21" s="795"/>
      <c r="F21" s="795"/>
      <c r="G21" s="795"/>
      <c r="H21" s="795"/>
      <c r="I21" s="795"/>
      <c r="J21" s="932"/>
      <c r="K21" s="933"/>
      <c r="L21" s="928"/>
      <c r="M21" s="929"/>
      <c r="N21" s="915"/>
      <c r="O21" s="916"/>
      <c r="P21" s="934"/>
      <c r="Q21" s="935"/>
      <c r="R21" s="930"/>
      <c r="S21" s="931"/>
      <c r="T21" s="952"/>
      <c r="U21" s="953"/>
      <c r="V21" s="926"/>
      <c r="W21" s="927"/>
      <c r="X21" s="793"/>
      <c r="Y21" s="795"/>
      <c r="Z21" s="794"/>
      <c r="AA21" s="904"/>
      <c r="AB21" s="905"/>
      <c r="AC21" s="905"/>
      <c r="AD21" s="906"/>
      <c r="AE21" s="809"/>
      <c r="AF21" s="810"/>
      <c r="AG21" s="810"/>
      <c r="AH21" s="812"/>
      <c r="AI21" s="921"/>
      <c r="AJ21" s="921"/>
      <c r="AK21" s="921"/>
      <c r="AL21" s="922"/>
      <c r="AM21" s="925"/>
      <c r="AN21" s="900"/>
      <c r="AO21" s="818"/>
      <c r="AP21" s="818"/>
      <c r="AQ21" s="818"/>
      <c r="AR21" s="841"/>
      <c r="AS21" s="841"/>
      <c r="AT21" s="841"/>
      <c r="AU21" s="841"/>
      <c r="AV21" s="17"/>
      <c r="AX21" s="774"/>
      <c r="AY21" s="760"/>
      <c r="AZ21" s="760"/>
      <c r="BA21" s="920"/>
      <c r="BB21" s="920"/>
      <c r="BC21" s="774"/>
      <c r="BD21" s="758"/>
      <c r="BE21" s="776"/>
      <c r="BF21" s="776"/>
      <c r="BG21" s="762"/>
      <c r="BH21" s="776"/>
      <c r="BI21" s="776"/>
      <c r="BJ21" s="778"/>
      <c r="BK21" s="768"/>
      <c r="BL21" s="768"/>
      <c r="BM21" s="768"/>
      <c r="BN21" s="764"/>
      <c r="BO21" s="764"/>
      <c r="BP21" s="770"/>
      <c r="BQ21" s="768"/>
      <c r="BR21" s="766"/>
      <c r="BS21" s="766"/>
      <c r="BT21" s="766"/>
      <c r="BU21" s="758"/>
      <c r="BV21" s="768"/>
      <c r="BW21" s="758"/>
      <c r="BX21" s="758"/>
      <c r="BY21" s="908"/>
      <c r="BZ21" s="912"/>
      <c r="CA21" s="957"/>
      <c r="CB21" s="914"/>
      <c r="CC21" s="910"/>
    </row>
    <row r="22" spans="1:81" ht="15.95" customHeight="1">
      <c r="A22" s="75"/>
      <c r="B22" s="785">
        <v>3</v>
      </c>
      <c r="C22" s="825"/>
      <c r="D22" s="826"/>
      <c r="E22" s="826"/>
      <c r="F22" s="826"/>
      <c r="G22" s="826"/>
      <c r="H22" s="826"/>
      <c r="I22" s="826"/>
      <c r="J22" s="936" t="str">
        <f>IF(C22="","",INDEX(CLHVAC[Eff Unit 1],MATCH(C22,CLHVAC[Measure Name],0)))</f>
        <v/>
      </c>
      <c r="K22" s="937"/>
      <c r="L22" s="938" t="str">
        <f>IF(C22="","",INDEX(CLHVAC[Base Efficiency 1],MATCH(C22,CLHVAC[Measure Name],0)))</f>
        <v/>
      </c>
      <c r="M22" s="939"/>
      <c r="N22" s="915"/>
      <c r="O22" s="916"/>
      <c r="P22" s="932" t="str">
        <f>IF(C22="","",INDEX(CLHVAC[Eff Unit 2],MATCH(C22,CLHVAC[Measure Name],0)))</f>
        <v/>
      </c>
      <c r="Q22" s="933"/>
      <c r="R22" s="928" t="str">
        <f>IF(C22="","",INDEX(CLHVAC[Base Efficiency 2],MATCH(C22,CLHVAC[Measure Name],0)))</f>
        <v/>
      </c>
      <c r="S22" s="929"/>
      <c r="T22" s="950" t="str">
        <f>IF(AND(ISNUMBER(SEARCH("DX",C22)),ISNUMBER(SEARCH("&lt;65 kbtu",C22)),N22&lt;&gt;""),1.12*N22-0.02*N22^2,IF(AND(ISNUMBER(SEARCH("PTAC",C22)),N22&lt;&gt;""),1,""))</f>
        <v/>
      </c>
      <c r="U22" s="951"/>
      <c r="V22" s="926"/>
      <c r="W22" s="927"/>
      <c r="X22" s="825"/>
      <c r="Y22" s="826"/>
      <c r="Z22" s="827"/>
      <c r="AA22" s="904"/>
      <c r="AB22" s="905"/>
      <c r="AC22" s="905"/>
      <c r="AD22" s="906"/>
      <c r="AE22" s="807"/>
      <c r="AF22" s="808"/>
      <c r="AG22" s="808"/>
      <c r="AH22" s="811"/>
      <c r="AI22" s="921" t="str">
        <f>IF(C22="","",INDEX(CLHVAC[Current Unit],MATCH(C22,CLHVAC[Measure Name],0)))</f>
        <v/>
      </c>
      <c r="AJ22" s="921"/>
      <c r="AK22" s="921"/>
      <c r="AL22" s="922"/>
      <c r="AM22" s="923" t="str">
        <f>IFERROR(IF(C22="","",INDEX(IF(AND(ACTIVEBONUS = TRUE,INDEX(CLHVAC[Bonus Incentive],MATCH(C22,CLHVAC[Measure Name],0))&lt;&gt; ""),CLHVAC[Bonus Incentive],CLHVAC[BESP Incentive]),MATCH(C22,CLHVAC[Measure Name],0))),"")</f>
        <v/>
      </c>
      <c r="AN22" s="924"/>
      <c r="AO22" s="817" t="str">
        <f>IFERROR(IF(OR(C22="",N22="",V22="",AA22="",T22="",AE22="",AG22=""),"",IF(BD22="Deemed",BH22,IF(BD22="Calculated",BE22,""))),"")</f>
        <v/>
      </c>
      <c r="AP22" s="817"/>
      <c r="AQ22" s="817"/>
      <c r="AR22" s="840" t="str">
        <f>IFERROR(IF(OR(C22="",N22="",V22="",AA22="",T22="",AE22="",AG22=""),"",IF(BY22&lt;&gt;"",BY22,IF(BP22&gt;0,BP22,ROUND(IF(AO22&lt;=0,0,MIN(BL22,BQ22)), 2)))), "")</f>
        <v/>
      </c>
      <c r="AS22" s="840"/>
      <c r="AT22" s="840"/>
      <c r="AU22" s="840"/>
      <c r="AV22" s="17"/>
      <c r="AX22" s="773" t="str">
        <f>IFERROR(IF(OR(C22="",N22="",V22="",AA22="",T22="",AE22="",AG22=""),"",INDEX(CLHVAC[Current Unit],MATCH(C22,CLHVAC[Measure Name],0))),"Err")</f>
        <v/>
      </c>
      <c r="AY22" s="759"/>
      <c r="AZ22" s="759"/>
      <c r="BA22" s="919" t="str">
        <f>IF(C22&lt;&gt;"", _xlfn.LET(
_xlpm.Tons_Cool, V22, _xlpm.PLC_Base, L22, _xlpm.Tons_Heat, CC22, _xlpm.Other_Base, R22,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(12/_xlpm.PLC_Base)*_xlpm.EFLH_Cool,
IF(ISNUMBER(SEARCH("Water", C22)),
_xlpm.Tons_Cool * (_xlpm.PLC_Base) * _xlpm.EFLH_Cool,
" "
)),4),
_xlpm.kWhHeat,
IF(
_xlpm.ElecHeat=1,
ROUND(
IF(OR(ISNUMBER(SEARCH("DX", C22)),ISNUMBER(SEARCH("PTAC", C22)), ISNUMBER(SEARCH("Air-Cooled Chiller", C22)), ISNUMBER(SEARCH("Water", C22)),
ISNUMBER(SEARCH("VRF", C22))),
0,
IF(
OR(ISNUMBER(SEARCH("ASHP", C22)), ISNUMBER(SEARCH("PTHP", C22))),
_xlpm.Tons_Heat * (1/_xlpm.Other_Base) * _xlpm.EFLH_Heat,
" "
)),4),
0
),
IFERROR(_xlpm.kWhCool + _xlpm.kWhHeat, "Measure Not Specified.")
), "")</f>
        <v/>
      </c>
      <c r="BB22" s="919" t="str">
        <f>IF(C22&lt;&gt;"", _xlfn.LET(
_xlpm.Tons_Cool, V22, _xlpm.PLC_Eff, N22, _xlpm.Tons_Heat, CC22, _xlpm.Other_Eff, T22,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(12/_xlpm.PLC_Eff)*_xlpm.EFLH_Cool,
IF(ISNUMBER(SEARCH("Water", C22)),
_xlpm.Tons_Cool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(1/_xlpm.Other_Eff) * _xlpm.EFLH_Heat,
" "
)),4),
0
),
IFERROR(_xlpm.kWhCool + _xlpm.kWhHeat, "Measure Not Specified.")
), "")</f>
        <v/>
      </c>
      <c r="BC22" s="773" t="str">
        <f>IFERROR(IF(OR(C22="",N22="",V22="",AA22="",T22="",AE22="",AG22=""),"",INDEX(CLHVAC[End Use],MATCH(C22,CLHVAC[Measure Name],0))),"Err")</f>
        <v/>
      </c>
      <c r="BD22" s="757" t="str">
        <f>IFERROR(IF(OR(C22="",N22="",V22="",AA22="",T22="",AE22="",AG22=""),"",INDEX(CLHVAC[Reporting Methodology],MATCH(C22,CLHVAC[Measure Name],0))),"Err")</f>
        <v/>
      </c>
      <c r="BE22" s="775" t="str">
        <f t="shared" si="0"/>
        <v/>
      </c>
      <c r="BF22" s="775" t="str">
        <f t="shared" ref="BF22" si="8">IF(C22&lt;&gt;"", _xlfn.LET(
_xlpm.Tons, V22, _xlpm.PCF, 0.913,
IF(OR(ISNUMBER(SEARCH("DX", C22)), ISNUMBER(SEARCH("Air-Cooled Chiller", C22)), ISNUMBER(SEARCH("VRF", C22))),
_xlpm.Tons * (12/R22 - 12/T22) * _xlpm.PCF,
IF(ISNUMBER(SEARCH("Water", C22)),
_xlpm.Tons * (R22-T22) * _xlpm.PCF,
IF(ISNUMBER(SEARCH("ASHP", C22)),
_xlpm.Tons * (12/CA22 - 12/CB22) * _xlpm.PCF,
IF(OR(ISNUMBER(SEARCH("PTAC", C22)), ISNUMBER(SEARCH("PTHP", C22))),
_xlpm.Tons * (12/L22 - 12/N22) * _xlpm.PCF,
"Measure Not Specified."))))), "")</f>
        <v/>
      </c>
      <c r="BG22" s="761"/>
      <c r="BH22" s="775" t="str">
        <f>IF(
OR(C22="",N22="",V22="",AA22="",T22="",AE22="",AG22=""),"",
IF(OR(ISNUMBER(SEARCH("PTAC",C22)),ISNUMBER(SEARCH("PTHP",C22))),
ROUND(V22*INDEX(CLHVAC[Electric Energy Savings WBE (Annual kWh/unit)],MATCH(C22,CLHVAC[Measure Name],0)),4),
ROUND(V22*ABS(N22-L22)*INDEX(CLHVAC[Electric Energy Savings WBE (Annual kWh/unit)],MATCH(C22,CLHVAC[Measure Name],0)),4)
))</f>
        <v/>
      </c>
      <c r="BI22" s="775" t="str">
        <f>IF(
OR(C22="",N22="",V22="",AA22="",T22="",AE22="",AG22=""),"",
IF(OR(ISNUMBER(SEARCH("PTAC",C22)),ISNUMBER(SEARCH("PTHP",C22))),
ROUND(V22*INDEX(CLHVAC[Coincident Peak Demand Savings WBE (kW/unit)],MATCH(C22,CLHVAC[Measure Name],0)),4),
ROUND(V22* ABS(N22-L22)*INDEX(CLHVAC[Coincident Peak Demand Savings WBE (kW/unit)],MATCH(C22,CLHVAC[Measure Name],0)),4)
))</f>
        <v/>
      </c>
      <c r="BJ22" s="777" t="str">
        <f>IFERROR(INDEX(CLHVAC[Measure Life (Years)],MATCH(C22,CLHVAC[Measure Name],0)),"")</f>
        <v/>
      </c>
      <c r="BK22" s="767" t="str">
        <f>IFERROR(IF(OR(C22="",N22="",V22="",AA22="",T22="",AE22="",AG22=""),"",
ROUND(((1+ELOSS)*((BH22*INDEX(ELECCB[NPV AEC $/kWh],MATCH(BJ22,ELECCB[Year Number],1)))+(BI22*INDEX(ELECCB[NPV ACC $/kW],MATCH(BJ22,ELECCB[Year Number],1))))),2)),0)</f>
        <v/>
      </c>
      <c r="BL22" s="767" t="str">
        <f t="shared" si="1"/>
        <v/>
      </c>
      <c r="BM22" s="767"/>
      <c r="BN22" s="763" t="str">
        <f t="shared" si="2"/>
        <v/>
      </c>
      <c r="BO22" s="763" t="str">
        <f>IFERROR(IF(BM22 &lt;&gt; "", BM22, BL22) / M02S04F06 / AO22, "")</f>
        <v/>
      </c>
      <c r="BP22" s="769"/>
      <c r="BQ22" s="767" t="str">
        <f t="shared" ref="BQ22" si="9">IFERROR(IF(AI22="per ton", ROUND(V22*AM22, 2),
IF(AND(ISNUMBER(SEARCH("Air-Cooled Chiller",C22)),AI22="$/ton/IPLV"), ROUND((12/L22-12/N22)*V22*AM22, 2),
ROUND(ABS(N22-L22)*V22*AM22, 2))), "")</f>
        <v/>
      </c>
      <c r="BR22" s="765"/>
      <c r="BS22" s="765"/>
      <c r="BT22" s="765"/>
      <c r="BU22" s="757" t="str">
        <f t="shared" ref="BU22" si="10">IFERROR(IF(BP22="",IF(AR22 &lt; BQ22, "100% Total Cost", ""), ""), "")</f>
        <v/>
      </c>
      <c r="BV22" s="767" t="str">
        <f t="shared" si="3"/>
        <v/>
      </c>
      <c r="BW22" s="757" t="str">
        <f>IFERROR(IF(OR(C22="",N22="",V22="",AA22="",T22="",AE22="",AG22=""),"", IF(BY22&lt;&gt;"", SPILLOVERNUMBER, INDEX(CLHVAC[Measure Number],MATCH(C22,CLHVAC[Measure Name],0)))),"Err")</f>
        <v/>
      </c>
      <c r="BX22" s="757"/>
      <c r="BY22" s="907" t="str">
        <f>IFERROR(
IF(OR(C22="",N22="",T22="",V22="",AA22="",AE22="",AG22=""),
"",
IF(BP22&gt;0,"",IF(OR(AND(ISNUMBER(SEARCH("kW/ton", J22)),OR(L22&lt;N22,R22&lt;T22)),AND(NOT(ISNUMBER(SEARCH("kW/ton", J22))),OR(L22&gt;N22,R22&gt;T22))),
"Must Improve Efficiency",
IF(EXPIRATION&lt;&gt;"",PROJSTATEXP,"")))),
"")</f>
        <v/>
      </c>
      <c r="BZ22" s="911" t="str">
        <f>IFERROR(IF(INDEX(CLHVAC[Eff Unit 3],MATCH(C22,CLHVAC[Measure Name],0))="","",INDEX(CLHVAC[Eff Unit 3],MATCH(C22,CLHVAC[Measure Name],0))),"")</f>
        <v/>
      </c>
      <c r="CA22" s="956" t="str">
        <f>IFERROR(IF(INDEX(CLHVAC[Base Efficiency 3],MATCH(C22,CLHVAC[Measure Name],0))="","",INDEX(CLHVAC[Base Efficiency 3],MATCH(C22,CLHVAC[Measure Name],0))),"")</f>
        <v/>
      </c>
      <c r="CB22" s="913" t="str">
        <f t="shared" ref="CB22" si="11">IFERROR(IF(ISNUMBER(SEARCH("Air-Cooled Chiller",$C22)),12/N22,""),"")</f>
        <v/>
      </c>
      <c r="CC22" s="909"/>
    </row>
    <row r="23" spans="1:81" ht="15.95" customHeight="1">
      <c r="B23" s="785"/>
      <c r="C23" s="793"/>
      <c r="D23" s="795"/>
      <c r="E23" s="795"/>
      <c r="F23" s="795"/>
      <c r="G23" s="795"/>
      <c r="H23" s="795"/>
      <c r="I23" s="795"/>
      <c r="J23" s="932"/>
      <c r="K23" s="933"/>
      <c r="L23" s="928"/>
      <c r="M23" s="929"/>
      <c r="N23" s="915"/>
      <c r="O23" s="916"/>
      <c r="P23" s="934"/>
      <c r="Q23" s="935"/>
      <c r="R23" s="930"/>
      <c r="S23" s="931"/>
      <c r="T23" s="952"/>
      <c r="U23" s="953"/>
      <c r="V23" s="926"/>
      <c r="W23" s="927"/>
      <c r="X23" s="793"/>
      <c r="Y23" s="795"/>
      <c r="Z23" s="794"/>
      <c r="AA23" s="904"/>
      <c r="AB23" s="905"/>
      <c r="AC23" s="905"/>
      <c r="AD23" s="906"/>
      <c r="AE23" s="809"/>
      <c r="AF23" s="810"/>
      <c r="AG23" s="810"/>
      <c r="AH23" s="812"/>
      <c r="AI23" s="921"/>
      <c r="AJ23" s="921"/>
      <c r="AK23" s="921"/>
      <c r="AL23" s="922"/>
      <c r="AM23" s="925"/>
      <c r="AN23" s="900"/>
      <c r="AO23" s="818"/>
      <c r="AP23" s="818"/>
      <c r="AQ23" s="818"/>
      <c r="AR23" s="841"/>
      <c r="AS23" s="841"/>
      <c r="AT23" s="841"/>
      <c r="AU23" s="841"/>
      <c r="AV23" s="17"/>
      <c r="AX23" s="774"/>
      <c r="AY23" s="760"/>
      <c r="AZ23" s="760"/>
      <c r="BA23" s="920"/>
      <c r="BB23" s="920"/>
      <c r="BC23" s="774"/>
      <c r="BD23" s="758"/>
      <c r="BE23" s="776"/>
      <c r="BF23" s="776"/>
      <c r="BG23" s="762"/>
      <c r="BH23" s="776"/>
      <c r="BI23" s="776"/>
      <c r="BJ23" s="778"/>
      <c r="BK23" s="768"/>
      <c r="BL23" s="768"/>
      <c r="BM23" s="768"/>
      <c r="BN23" s="764"/>
      <c r="BO23" s="764"/>
      <c r="BP23" s="770"/>
      <c r="BQ23" s="768"/>
      <c r="BR23" s="766"/>
      <c r="BS23" s="766"/>
      <c r="BT23" s="766"/>
      <c r="BU23" s="758"/>
      <c r="BV23" s="768"/>
      <c r="BW23" s="758"/>
      <c r="BX23" s="758"/>
      <c r="BY23" s="908"/>
      <c r="BZ23" s="912"/>
      <c r="CA23" s="957"/>
      <c r="CB23" s="914"/>
      <c r="CC23" s="910"/>
    </row>
    <row r="24" spans="1:81" ht="15.95" customHeight="1">
      <c r="B24" s="785">
        <v>4</v>
      </c>
      <c r="C24" s="825"/>
      <c r="D24" s="826"/>
      <c r="E24" s="826"/>
      <c r="F24" s="826"/>
      <c r="G24" s="826"/>
      <c r="H24" s="826"/>
      <c r="I24" s="826"/>
      <c r="J24" s="936" t="str">
        <f>IF(C24="","",INDEX(CLHVAC[Eff Unit 1],MATCH(C24,CLHVAC[Measure Name],0)))</f>
        <v/>
      </c>
      <c r="K24" s="937"/>
      <c r="L24" s="938" t="str">
        <f>IF(C24="","",INDEX(CLHVAC[Base Efficiency 1],MATCH(C24,CLHVAC[Measure Name],0)))</f>
        <v/>
      </c>
      <c r="M24" s="939"/>
      <c r="N24" s="915"/>
      <c r="O24" s="916"/>
      <c r="P24" s="932" t="str">
        <f>IF(C24="","",INDEX(CLHVAC[Eff Unit 2],MATCH(C24,CLHVAC[Measure Name],0)))</f>
        <v/>
      </c>
      <c r="Q24" s="933"/>
      <c r="R24" s="928" t="str">
        <f>IF(C24="","",INDEX(CLHVAC[Base Efficiency 2],MATCH(C24,CLHVAC[Measure Name],0)))</f>
        <v/>
      </c>
      <c r="S24" s="929"/>
      <c r="T24" s="950" t="str">
        <f>IF(AND(ISNUMBER(SEARCH("DX",C24)),ISNUMBER(SEARCH("&lt;65 kbtu",C24)),N24&lt;&gt;""),1.12*N24-0.02*N24^2,IF(AND(ISNUMBER(SEARCH("PTAC",C24)),N24&lt;&gt;""),1,""))</f>
        <v/>
      </c>
      <c r="U24" s="951"/>
      <c r="V24" s="926"/>
      <c r="W24" s="927"/>
      <c r="X24" s="825"/>
      <c r="Y24" s="826"/>
      <c r="Z24" s="827"/>
      <c r="AA24" s="904"/>
      <c r="AB24" s="905"/>
      <c r="AC24" s="905"/>
      <c r="AD24" s="906"/>
      <c r="AE24" s="807"/>
      <c r="AF24" s="808"/>
      <c r="AG24" s="808"/>
      <c r="AH24" s="811"/>
      <c r="AI24" s="921" t="str">
        <f>IF(C24="","",INDEX(CLHVAC[Current Unit],MATCH(C24,CLHVAC[Measure Name],0)))</f>
        <v/>
      </c>
      <c r="AJ24" s="921"/>
      <c r="AK24" s="921"/>
      <c r="AL24" s="922"/>
      <c r="AM24" s="923" t="str">
        <f>IFERROR(IF(C24="","",INDEX(IF(AND(ACTIVEBONUS = TRUE,INDEX(CLHVAC[Bonus Incentive],MATCH(C24,CLHVAC[Measure Name],0))&lt;&gt; ""),CLHVAC[Bonus Incentive],CLHVAC[BESP Incentive]),MATCH(C24,CLHVAC[Measure Name],0))),"")</f>
        <v/>
      </c>
      <c r="AN24" s="924"/>
      <c r="AO24" s="817" t="str">
        <f>IFERROR(IF(OR(C24="",N24="",V24="",AA24="",T24="",AE24="",AG24=""),"",IF(BD24="Deemed",BH24,IF(BD24="Calculated",BE24,""))),"")</f>
        <v/>
      </c>
      <c r="AP24" s="817"/>
      <c r="AQ24" s="817"/>
      <c r="AR24" s="840" t="str">
        <f>IFERROR(IF(OR(C24="",N24="",V24="",AA24="",T24="",AE24="",AG24=""),"",IF(BY24&lt;&gt;"",BY24,IF(BP24&gt;0,BP24,ROUND(IF(AO24&lt;=0,0,MIN(BL24,BQ24)), 2)))), "")</f>
        <v/>
      </c>
      <c r="AS24" s="840"/>
      <c r="AT24" s="840"/>
      <c r="AU24" s="840"/>
      <c r="AV24" s="17"/>
      <c r="AX24" s="773" t="str">
        <f>IFERROR(IF(OR(C24="",N24="",V24="",AA24="",T24="",AE24="",AG24=""),"",INDEX(CLHVAC[Current Unit],MATCH(C24,CLHVAC[Measure Name],0))),"Err")</f>
        <v/>
      </c>
      <c r="AY24" s="759"/>
      <c r="AZ24" s="759"/>
      <c r="BA24" s="919" t="str">
        <f>IF(C24&lt;&gt;"", _xlfn.LET(
_xlpm.Tons_Cool, V24, _xlpm.PLC_Base, L24, _xlpm.Tons_Heat, CC24, _xlpm.Other_Base, R24,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(12/_xlpm.PLC_Base)*_xlpm.EFLH_Cool,
IF(ISNUMBER(SEARCH("Water", C24)),
_xlpm.Tons_Cool * (_xlpm.PLC_Base) * _xlpm.EFLH_Cool,
" "
)),4),
_xlpm.kWhHeat,
IF(
_xlpm.ElecHeat=1,
ROUND(
IF(OR(ISNUMBER(SEARCH("DX", C24)),ISNUMBER(SEARCH("PTAC", C24)), ISNUMBER(SEARCH("Air-Cooled Chiller", C24)), ISNUMBER(SEARCH("Water", C24)),
ISNUMBER(SEARCH("VRF", C24))),
0,
IF(
OR(ISNUMBER(SEARCH("ASHP", C24)), ISNUMBER(SEARCH("PTHP", C24))),
_xlpm.Tons_Heat * (1/_xlpm.Other_Base) * _xlpm.EFLH_Heat,
" "
)),4),
0
),
IFERROR(_xlpm.kWhCool + _xlpm.kWhHeat, "Measure Not Specified.")
), "")</f>
        <v/>
      </c>
      <c r="BB24" s="919" t="str">
        <f>IF(C24&lt;&gt;"", _xlfn.LET(
_xlpm.Tons_Cool, V24, _xlpm.PLC_Eff, N24, _xlpm.Tons_Heat, CC24, _xlpm.Other_Eff, T24,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(12/_xlpm.PLC_Eff)*_xlpm.EFLH_Cool,
IF(ISNUMBER(SEARCH("Water", C24)),
_xlpm.Tons_Cool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(1/_xlpm.Other_Eff) * _xlpm.EFLH_Heat,
" "
)),4),
0
),
IFERROR(_xlpm.kWhCool + _xlpm.kWhHeat, "Measure Not Specified.")
), "")</f>
        <v/>
      </c>
      <c r="BC24" s="773" t="str">
        <f>IFERROR(IF(OR(C24="",N24="",V24="",AA24="",T24="",AE24="",AG24=""),"",INDEX(CLHVAC[End Use],MATCH(C24,CLHVAC[Measure Name],0))),"Err")</f>
        <v/>
      </c>
      <c r="BD24" s="757" t="str">
        <f>IFERROR(IF(OR(C24="",N24="",V24="",AA24="",T24="",AE24="",AG24=""),"",INDEX(CLHVAC[Reporting Methodology],MATCH(C24,CLHVAC[Measure Name],0))),"Err")</f>
        <v/>
      </c>
      <c r="BE24" s="775" t="str">
        <f t="shared" si="0"/>
        <v/>
      </c>
      <c r="BF24" s="775" t="str">
        <f t="shared" ref="BF24" si="12">IF(C24&lt;&gt;"", _xlfn.LET(
_xlpm.Tons, V24, _xlpm.PCF, 0.913,
IF(OR(ISNUMBER(SEARCH("DX", C24)), ISNUMBER(SEARCH("Air-Cooled Chiller", C24)), ISNUMBER(SEARCH("VRF", C24))),
_xlpm.Tons * (12/R24 - 12/T24) * _xlpm.PCF,
IF(ISNUMBER(SEARCH("Water", C24)),
_xlpm.Tons * (R24-T24) * _xlpm.PCF,
IF(ISNUMBER(SEARCH("ASHP", C24)),
_xlpm.Tons * (12/CA24 - 12/CB24) * _xlpm.PCF,
IF(OR(ISNUMBER(SEARCH("PTAC", C24)), ISNUMBER(SEARCH("PTHP", C24))),
_xlpm.Tons * (12/L24 - 12/N24) * _xlpm.PCF,
"Measure Not Specified."))))), "")</f>
        <v/>
      </c>
      <c r="BG24" s="761"/>
      <c r="BH24" s="775" t="str">
        <f>IF(
OR(C24="",N24="",V24="",AA24="",T24="",AE24="",AG24=""),"",
IF(OR(ISNUMBER(SEARCH("PTAC",C24)),ISNUMBER(SEARCH("PTHP",C24))),
ROUND(V24*INDEX(CLHVAC[Electric Energy Savings WBE (Annual kWh/unit)],MATCH(C24,CLHVAC[Measure Name],0)),4),
ROUND(V24*ABS(N24-L24)*INDEX(CLHVAC[Electric Energy Savings WBE (Annual kWh/unit)],MATCH(C24,CLHVAC[Measure Name],0)),4)
))</f>
        <v/>
      </c>
      <c r="BI24" s="775" t="str">
        <f>IF(
OR(C24="",N24="",V24="",AA24="",T24="",AE24="",AG24=""),"",
IF(OR(ISNUMBER(SEARCH("PTAC",C24)),ISNUMBER(SEARCH("PTHP",C24))),
ROUND(V24*INDEX(CLHVAC[Coincident Peak Demand Savings WBE (kW/unit)],MATCH(C24,CLHVAC[Measure Name],0)),4),
ROUND(V24* ABS(N24-L24)*INDEX(CLHVAC[Coincident Peak Demand Savings WBE (kW/unit)],MATCH(C24,CLHVAC[Measure Name],0)),4)
))</f>
        <v/>
      </c>
      <c r="BJ24" s="777" t="str">
        <f>IFERROR(INDEX(CLHVAC[Measure Life (Years)],MATCH(C24,CLHVAC[Measure Name],0)),"")</f>
        <v/>
      </c>
      <c r="BK24" s="767" t="str">
        <f>IFERROR(IF(OR(C24="",N24="",V24="",AA24="",T24="",AE24="",AG24=""),"",
ROUND(((1+ELOSS)*((BH24*INDEX(ELECCB[NPV AEC $/kWh],MATCH(BJ24,ELECCB[Year Number],1)))+(BI24*INDEX(ELECCB[NPV ACC $/kW],MATCH(BJ24,ELECCB[Year Number],1))))),2)),0)</f>
        <v/>
      </c>
      <c r="BL24" s="767" t="str">
        <f t="shared" si="1"/>
        <v/>
      </c>
      <c r="BM24" s="767"/>
      <c r="BN24" s="763" t="str">
        <f t="shared" si="2"/>
        <v/>
      </c>
      <c r="BO24" s="763" t="str">
        <f>IFERROR(IF(BM24 &lt;&gt; "", BM24, BL24) / M02S04F06 / AO24, "")</f>
        <v/>
      </c>
      <c r="BP24" s="769"/>
      <c r="BQ24" s="767" t="str">
        <f t="shared" ref="BQ24" si="13">IFERROR(IF(AI24="per ton", ROUND(V24*AM24, 2),
IF(AND(ISNUMBER(SEARCH("Air-Cooled Chiller",C24)),AI24="$/ton/IPLV"), ROUND((12/L24-12/N24)*V24*AM24, 2),
ROUND(ABS(N24-L24)*V24*AM24, 2))), "")</f>
        <v/>
      </c>
      <c r="BR24" s="765"/>
      <c r="BS24" s="765"/>
      <c r="BT24" s="765"/>
      <c r="BU24" s="757" t="str">
        <f t="shared" ref="BU24" si="14">IFERROR(IF(BP24="",IF(AR24 &lt; BQ24, "100% Total Cost", ""), ""), "")</f>
        <v/>
      </c>
      <c r="BV24" s="767" t="str">
        <f t="shared" si="3"/>
        <v/>
      </c>
      <c r="BW24" s="757" t="str">
        <f>IFERROR(IF(OR(C24="",N24="",V24="",AA24="",T24="",AE24="",AG24=""),"", IF(BY24&lt;&gt;"", SPILLOVERNUMBER, INDEX(CLHVAC[Measure Number],MATCH(C24,CLHVAC[Measure Name],0)))),"Err")</f>
        <v/>
      </c>
      <c r="BX24" s="757"/>
      <c r="BY24" s="907" t="str">
        <f>IFERROR(
IF(OR(C24="",N24="",T24="",V24="",AA24="",AE24="",AG24=""),
"",
IF(BP24&gt;0,"",IF(OR(AND(ISNUMBER(SEARCH("kW/ton", J24)),OR(L24&lt;N24,R24&lt;T24)),AND(NOT(ISNUMBER(SEARCH("kW/ton", J24))),OR(L24&gt;N24,R24&gt;T24))),
"Must Improve Efficiency",
IF(EXPIRATION&lt;&gt;"",PROJSTATEXP,"")))),
"")</f>
        <v/>
      </c>
      <c r="BZ24" s="911" t="str">
        <f>IFERROR(IF(INDEX(CLHVAC[Eff Unit 3],MATCH(C24,CLHVAC[Measure Name],0))="","",INDEX(CLHVAC[Eff Unit 3],MATCH(C24,CLHVAC[Measure Name],0))),"")</f>
        <v/>
      </c>
      <c r="CA24" s="956" t="str">
        <f>IFERROR(IF(INDEX(CLHVAC[Base Efficiency 3],MATCH(C24,CLHVAC[Measure Name],0))="","",INDEX(CLHVAC[Base Efficiency 3],MATCH(C24,CLHVAC[Measure Name],0))),"")</f>
        <v/>
      </c>
      <c r="CB24" s="913" t="str">
        <f t="shared" ref="CB24" si="15">IFERROR(IF(ISNUMBER(SEARCH("Air-Cooled Chiller",$C24)),12/N24,""),"")</f>
        <v/>
      </c>
      <c r="CC24" s="909"/>
    </row>
    <row r="25" spans="1:81" ht="15.95" customHeight="1">
      <c r="A25" s="75"/>
      <c r="B25" s="785"/>
      <c r="C25" s="793"/>
      <c r="D25" s="795"/>
      <c r="E25" s="795"/>
      <c r="F25" s="795"/>
      <c r="G25" s="795"/>
      <c r="H25" s="795"/>
      <c r="I25" s="795"/>
      <c r="J25" s="932"/>
      <c r="K25" s="933"/>
      <c r="L25" s="928"/>
      <c r="M25" s="929"/>
      <c r="N25" s="915"/>
      <c r="O25" s="916"/>
      <c r="P25" s="934"/>
      <c r="Q25" s="935"/>
      <c r="R25" s="930"/>
      <c r="S25" s="931"/>
      <c r="T25" s="952"/>
      <c r="U25" s="953"/>
      <c r="V25" s="926"/>
      <c r="W25" s="927"/>
      <c r="X25" s="793"/>
      <c r="Y25" s="795"/>
      <c r="Z25" s="794"/>
      <c r="AA25" s="904"/>
      <c r="AB25" s="905"/>
      <c r="AC25" s="905"/>
      <c r="AD25" s="906"/>
      <c r="AE25" s="809"/>
      <c r="AF25" s="810"/>
      <c r="AG25" s="810"/>
      <c r="AH25" s="812"/>
      <c r="AI25" s="921"/>
      <c r="AJ25" s="921"/>
      <c r="AK25" s="921"/>
      <c r="AL25" s="922"/>
      <c r="AM25" s="925"/>
      <c r="AN25" s="900"/>
      <c r="AO25" s="818"/>
      <c r="AP25" s="818"/>
      <c r="AQ25" s="818"/>
      <c r="AR25" s="841"/>
      <c r="AS25" s="841"/>
      <c r="AT25" s="841"/>
      <c r="AU25" s="841"/>
      <c r="AV25" s="17"/>
      <c r="AX25" s="774"/>
      <c r="AY25" s="760"/>
      <c r="AZ25" s="760"/>
      <c r="BA25" s="920"/>
      <c r="BB25" s="920"/>
      <c r="BC25" s="774"/>
      <c r="BD25" s="758"/>
      <c r="BE25" s="776"/>
      <c r="BF25" s="776"/>
      <c r="BG25" s="762"/>
      <c r="BH25" s="776"/>
      <c r="BI25" s="776"/>
      <c r="BJ25" s="778"/>
      <c r="BK25" s="768"/>
      <c r="BL25" s="768"/>
      <c r="BM25" s="768"/>
      <c r="BN25" s="764"/>
      <c r="BO25" s="764"/>
      <c r="BP25" s="770"/>
      <c r="BQ25" s="768"/>
      <c r="BR25" s="766"/>
      <c r="BS25" s="766"/>
      <c r="BT25" s="766"/>
      <c r="BU25" s="758"/>
      <c r="BV25" s="768"/>
      <c r="BW25" s="758"/>
      <c r="BX25" s="758"/>
      <c r="BY25" s="908"/>
      <c r="BZ25" s="912"/>
      <c r="CA25" s="957"/>
      <c r="CB25" s="914"/>
      <c r="CC25" s="910"/>
    </row>
    <row r="26" spans="1:81" ht="15.95" customHeight="1">
      <c r="B26" s="785">
        <v>5</v>
      </c>
      <c r="C26" s="825"/>
      <c r="D26" s="826"/>
      <c r="E26" s="826"/>
      <c r="F26" s="826"/>
      <c r="G26" s="826"/>
      <c r="H26" s="826"/>
      <c r="I26" s="826"/>
      <c r="J26" s="936" t="str">
        <f>IF(C26="","",INDEX(CLHVAC[Eff Unit 1],MATCH(C26,CLHVAC[Measure Name],0)))</f>
        <v/>
      </c>
      <c r="K26" s="937"/>
      <c r="L26" s="938" t="str">
        <f>IF(C26="","",INDEX(CLHVAC[Base Efficiency 1],MATCH(C26,CLHVAC[Measure Name],0)))</f>
        <v/>
      </c>
      <c r="M26" s="939"/>
      <c r="N26" s="915"/>
      <c r="O26" s="916"/>
      <c r="P26" s="932" t="str">
        <f>IF(C26="","",INDEX(CLHVAC[Eff Unit 2],MATCH(C26,CLHVAC[Measure Name],0)))</f>
        <v/>
      </c>
      <c r="Q26" s="933"/>
      <c r="R26" s="928" t="str">
        <f>IF(C26="","",INDEX(CLHVAC[Base Efficiency 2],MATCH(C26,CLHVAC[Measure Name],0)))</f>
        <v/>
      </c>
      <c r="S26" s="929"/>
      <c r="T26" s="950" t="str">
        <f>IF(AND(ISNUMBER(SEARCH("DX",C26)),ISNUMBER(SEARCH("&lt;65 kbtu",C26)),N26&lt;&gt;""),1.12*N26-0.02*N26^2,IF(AND(ISNUMBER(SEARCH("PTAC",C26)),N26&lt;&gt;""),1,""))</f>
        <v/>
      </c>
      <c r="U26" s="951"/>
      <c r="V26" s="926"/>
      <c r="W26" s="927"/>
      <c r="X26" s="825"/>
      <c r="Y26" s="826"/>
      <c r="Z26" s="827"/>
      <c r="AA26" s="904"/>
      <c r="AB26" s="905"/>
      <c r="AC26" s="905"/>
      <c r="AD26" s="906"/>
      <c r="AE26" s="807"/>
      <c r="AF26" s="808"/>
      <c r="AG26" s="808"/>
      <c r="AH26" s="811"/>
      <c r="AI26" s="921" t="str">
        <f>IF(C26="","",INDEX(CLHVAC[Current Unit],MATCH(C26,CLHVAC[Measure Name],0)))</f>
        <v/>
      </c>
      <c r="AJ26" s="921"/>
      <c r="AK26" s="921"/>
      <c r="AL26" s="922"/>
      <c r="AM26" s="923" t="str">
        <f>IFERROR(IF(C26="","",INDEX(IF(AND(ACTIVEBONUS = TRUE,INDEX(CLHVAC[Bonus Incentive],MATCH(C26,CLHVAC[Measure Name],0))&lt;&gt; ""),CLHVAC[Bonus Incentive],CLHVAC[BESP Incentive]),MATCH(C26,CLHVAC[Measure Name],0))),"")</f>
        <v/>
      </c>
      <c r="AN26" s="924"/>
      <c r="AO26" s="817" t="str">
        <f>IFERROR(IF(OR(C26="",N26="",V26="",AA26="",T26="",AE26="",AG26=""),"",IF(BD26="Deemed",BH26,IF(BD26="Calculated",BE26,""))),"")</f>
        <v/>
      </c>
      <c r="AP26" s="817"/>
      <c r="AQ26" s="817"/>
      <c r="AR26" s="840" t="str">
        <f>IFERROR(IF(OR(C26="",N26="",V26="",AA26="",T26="",AE26="",AG26=""),"",IF(BY26&lt;&gt;"",BY26,IF(BP26&gt;0,BP26,ROUND(IF(AO26&lt;=0,0,MIN(BL26,BQ26)), 2)))), "")</f>
        <v/>
      </c>
      <c r="AS26" s="840"/>
      <c r="AT26" s="840"/>
      <c r="AU26" s="840"/>
      <c r="AV26" s="17"/>
      <c r="AX26" s="773" t="str">
        <f>IFERROR(IF(OR(C26="",N26="",V26="",AA26="",T26="",AE26="",AG26=""),"",INDEX(CLHVAC[Current Unit],MATCH(C26,CLHVAC[Measure Name],0))),"Err")</f>
        <v/>
      </c>
      <c r="AY26" s="759"/>
      <c r="AZ26" s="759"/>
      <c r="BA26" s="919" t="str">
        <f>IF(C26&lt;&gt;"", _xlfn.LET(
_xlpm.Tons_Cool, V26, _xlpm.PLC_Base, L26, _xlpm.Tons_Heat, CC26, _xlpm.Other_Base, R26,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(12/_xlpm.PLC_Base)*_xlpm.EFLH_Cool,
IF(ISNUMBER(SEARCH("Water", C26)),
_xlpm.Tons_Cool * (_xlpm.PLC_Base) * _xlpm.EFLH_Cool,
" "
)),4),
_xlpm.kWhHeat,
IF(
_xlpm.ElecHeat=1,
ROUND(
IF(OR(ISNUMBER(SEARCH("DX", C26)),ISNUMBER(SEARCH("PTAC", C26)), ISNUMBER(SEARCH("Air-Cooled Chiller", C26)), ISNUMBER(SEARCH("Water", C26)),
ISNUMBER(SEARCH("VRF", C26))),
0,
IF(
OR(ISNUMBER(SEARCH("ASHP", C26)), ISNUMBER(SEARCH("PTHP", C26))),
_xlpm.Tons_Heat * (1/_xlpm.Other_Base) * _xlpm.EFLH_Heat,
" "
)),4),
0
),
IFERROR(_xlpm.kWhCool + _xlpm.kWhHeat, "Measure Not Specified.")
), "")</f>
        <v/>
      </c>
      <c r="BB26" s="919" t="str">
        <f>IF(C26&lt;&gt;"", _xlfn.LET(
_xlpm.Tons_Cool, V26, _xlpm.PLC_Eff, N26, _xlpm.Tons_Heat, CC26, _xlpm.Other_Eff, T26,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(12/_xlpm.PLC_Eff)*_xlpm.EFLH_Cool,
IF(ISNUMBER(SEARCH("Water", C26)),
_xlpm.Tons_Cool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(1/_xlpm.Other_Eff) * _xlpm.EFLH_Heat,
" "
)),4),
0
),
IFERROR(_xlpm.kWhCool + _xlpm.kWhHeat, "Measure Not Specified.")
), "")</f>
        <v/>
      </c>
      <c r="BC26" s="773" t="str">
        <f>IFERROR(IF(OR(C26="",N26="",V26="",AA26="",T26="",AE26="",AG26=""),"",INDEX(CLHVAC[End Use],MATCH(C26,CLHVAC[Measure Name],0))),"Err")</f>
        <v/>
      </c>
      <c r="BD26" s="757" t="str">
        <f>IFERROR(IF(OR(C26="",N26="",V26="",AA26="",T26="",AE26="",AG26=""),"",INDEX(CLHVAC[Reporting Methodology],MATCH(C26,CLHVAC[Measure Name],0))),"Err")</f>
        <v/>
      </c>
      <c r="BE26" s="775" t="str">
        <f t="shared" si="0"/>
        <v/>
      </c>
      <c r="BF26" s="775" t="str">
        <f t="shared" ref="BF26" si="16">IF(C26&lt;&gt;"", _xlfn.LET(
_xlpm.Tons, V26, _xlpm.PCF, 0.913,
IF(OR(ISNUMBER(SEARCH("DX", C26)), ISNUMBER(SEARCH("Air-Cooled Chiller", C26)), ISNUMBER(SEARCH("VRF", C26))),
_xlpm.Tons * (12/R26 - 12/T26) * _xlpm.PCF,
IF(ISNUMBER(SEARCH("Water", C26)),
_xlpm.Tons * (R26-T26) * _xlpm.PCF,
IF(ISNUMBER(SEARCH("ASHP", C26)),
_xlpm.Tons * (12/CA26 - 12/CB26) * _xlpm.PCF,
IF(OR(ISNUMBER(SEARCH("PTAC", C26)), ISNUMBER(SEARCH("PTHP", C26))),
_xlpm.Tons * (12/L26 - 12/N26) * _xlpm.PCF,
"Measure Not Specified."))))), "")</f>
        <v/>
      </c>
      <c r="BG26" s="761"/>
      <c r="BH26" s="775" t="str">
        <f>IF(
OR(C26="",N26="",V26="",AA26="",T26="",AE26="",AG26=""),"",
IF(OR(ISNUMBER(SEARCH("PTAC",C26)),ISNUMBER(SEARCH("PTHP",C26))),
ROUND(V26*INDEX(CLHVAC[Electric Energy Savings WBE (Annual kWh/unit)],MATCH(C26,CLHVAC[Measure Name],0)),4),
ROUND(V26*ABS(N26-L26)*INDEX(CLHVAC[Electric Energy Savings WBE (Annual kWh/unit)],MATCH(C26,CLHVAC[Measure Name],0)),4)
))</f>
        <v/>
      </c>
      <c r="BI26" s="775" t="str">
        <f>IF(
OR(C26="",N26="",V26="",AA26="",T26="",AE26="",AG26=""),"",
IF(OR(ISNUMBER(SEARCH("PTAC",C26)),ISNUMBER(SEARCH("PTHP",C26))),
ROUND(V26*INDEX(CLHVAC[Coincident Peak Demand Savings WBE (kW/unit)],MATCH(C26,CLHVAC[Measure Name],0)),4),
ROUND(V26* ABS(N26-L26)*INDEX(CLHVAC[Coincident Peak Demand Savings WBE (kW/unit)],MATCH(C26,CLHVAC[Measure Name],0)),4)
))</f>
        <v/>
      </c>
      <c r="BJ26" s="777" t="str">
        <f>IFERROR(INDEX(CLHVAC[Measure Life (Years)],MATCH(C26,CLHVAC[Measure Name],0)),"")</f>
        <v/>
      </c>
      <c r="BK26" s="767" t="str">
        <f>IFERROR(IF(OR(C26="",N26="",V26="",AA26="",T26="",AE26="",AG26=""),"",
ROUND(((1+ELOSS)*((BH26*INDEX(ELECCB[NPV AEC $/kWh],MATCH(BJ26,ELECCB[Year Number],1)))+(BI26*INDEX(ELECCB[NPV ACC $/kW],MATCH(BJ26,ELECCB[Year Number],1))))),2)),0)</f>
        <v/>
      </c>
      <c r="BL26" s="767" t="str">
        <f t="shared" si="1"/>
        <v/>
      </c>
      <c r="BM26" s="767"/>
      <c r="BN26" s="763" t="str">
        <f t="shared" si="2"/>
        <v/>
      </c>
      <c r="BO26" s="763" t="str">
        <f>IFERROR(IF(BM26 &lt;&gt; "", BM26, BL26) / M02S04F06 / AO26, "")</f>
        <v/>
      </c>
      <c r="BP26" s="769"/>
      <c r="BQ26" s="767" t="str">
        <f t="shared" ref="BQ26" si="17">IFERROR(IF(AI26="per ton", ROUND(V26*AM26, 2),
IF(AND(ISNUMBER(SEARCH("Air-Cooled Chiller",C26)),AI26="$/ton/IPLV"), ROUND((12/L26-12/N26)*V26*AM26, 2),
ROUND(ABS(N26-L26)*V26*AM26, 2))), "")</f>
        <v/>
      </c>
      <c r="BR26" s="765"/>
      <c r="BS26" s="765"/>
      <c r="BT26" s="765"/>
      <c r="BU26" s="757" t="str">
        <f t="shared" ref="BU26" si="18">IFERROR(IF(BP26="",IF(AR26 &lt; BQ26, "100% Total Cost", ""), ""), "")</f>
        <v/>
      </c>
      <c r="BV26" s="767" t="str">
        <f t="shared" si="3"/>
        <v/>
      </c>
      <c r="BW26" s="757" t="str">
        <f>IFERROR(IF(OR(C26="",N26="",V26="",AA26="",T26="",AE26="",AG26=""),"", IF(BY26&lt;&gt;"", SPILLOVERNUMBER, INDEX(CLHVAC[Measure Number],MATCH(C26,CLHVAC[Measure Name],0)))),"Err")</f>
        <v/>
      </c>
      <c r="BX26" s="757"/>
      <c r="BY26" s="907" t="str">
        <f>IFERROR(
IF(OR(C26="",N26="",T26="",V26="",AA26="",AE26="",AG26=""),
"",
IF(BP26&gt;0,"",IF(OR(AND(ISNUMBER(SEARCH("kW/ton", J26)),OR(L26&lt;N26,R26&lt;T26)),AND(NOT(ISNUMBER(SEARCH("kW/ton", J26))),OR(L26&gt;N26,R26&gt;T26))),
"Must Improve Efficiency",
IF(EXPIRATION&lt;&gt;"",PROJSTATEXP,"")))),
"")</f>
        <v/>
      </c>
      <c r="BZ26" s="911" t="str">
        <f>IFERROR(IF(INDEX(CLHVAC[Eff Unit 3],MATCH(C26,CLHVAC[Measure Name],0))="","",INDEX(CLHVAC[Eff Unit 3],MATCH(C26,CLHVAC[Measure Name],0))),"")</f>
        <v/>
      </c>
      <c r="CA26" s="956" t="str">
        <f>IFERROR(IF(INDEX(CLHVAC[Base Efficiency 3],MATCH(C26,CLHVAC[Measure Name],0))="","",INDEX(CLHVAC[Base Efficiency 3],MATCH(C26,CLHVAC[Measure Name],0))),"")</f>
        <v/>
      </c>
      <c r="CB26" s="913" t="str">
        <f t="shared" ref="CB26" si="19">IFERROR(IF(ISNUMBER(SEARCH("Air-Cooled Chiller",$C26)),12/N26,""),"")</f>
        <v/>
      </c>
      <c r="CC26" s="909"/>
    </row>
    <row r="27" spans="1:81" ht="15.95" customHeight="1">
      <c r="B27" s="785"/>
      <c r="C27" s="793"/>
      <c r="D27" s="795"/>
      <c r="E27" s="795"/>
      <c r="F27" s="795"/>
      <c r="G27" s="795"/>
      <c r="H27" s="795"/>
      <c r="I27" s="795"/>
      <c r="J27" s="932"/>
      <c r="K27" s="933"/>
      <c r="L27" s="928"/>
      <c r="M27" s="929"/>
      <c r="N27" s="915"/>
      <c r="O27" s="916"/>
      <c r="P27" s="934"/>
      <c r="Q27" s="935"/>
      <c r="R27" s="930"/>
      <c r="S27" s="931"/>
      <c r="T27" s="952"/>
      <c r="U27" s="953"/>
      <c r="V27" s="926"/>
      <c r="W27" s="927"/>
      <c r="X27" s="793"/>
      <c r="Y27" s="795"/>
      <c r="Z27" s="794"/>
      <c r="AA27" s="904"/>
      <c r="AB27" s="905"/>
      <c r="AC27" s="905"/>
      <c r="AD27" s="906"/>
      <c r="AE27" s="809"/>
      <c r="AF27" s="810"/>
      <c r="AG27" s="810"/>
      <c r="AH27" s="812"/>
      <c r="AI27" s="921"/>
      <c r="AJ27" s="921"/>
      <c r="AK27" s="921"/>
      <c r="AL27" s="922"/>
      <c r="AM27" s="925"/>
      <c r="AN27" s="900"/>
      <c r="AO27" s="818"/>
      <c r="AP27" s="818"/>
      <c r="AQ27" s="818"/>
      <c r="AR27" s="841"/>
      <c r="AS27" s="841"/>
      <c r="AT27" s="841"/>
      <c r="AU27" s="841"/>
      <c r="AV27" s="17"/>
      <c r="AX27" s="774"/>
      <c r="AY27" s="760"/>
      <c r="AZ27" s="760"/>
      <c r="BA27" s="920"/>
      <c r="BB27" s="920"/>
      <c r="BC27" s="774"/>
      <c r="BD27" s="758"/>
      <c r="BE27" s="776"/>
      <c r="BF27" s="776"/>
      <c r="BG27" s="762"/>
      <c r="BH27" s="776"/>
      <c r="BI27" s="776"/>
      <c r="BJ27" s="778"/>
      <c r="BK27" s="768"/>
      <c r="BL27" s="768"/>
      <c r="BM27" s="768"/>
      <c r="BN27" s="764"/>
      <c r="BO27" s="764"/>
      <c r="BP27" s="770"/>
      <c r="BQ27" s="768"/>
      <c r="BR27" s="766"/>
      <c r="BS27" s="766"/>
      <c r="BT27" s="766"/>
      <c r="BU27" s="758"/>
      <c r="BV27" s="768"/>
      <c r="BW27" s="758"/>
      <c r="BX27" s="758"/>
      <c r="BY27" s="908"/>
      <c r="BZ27" s="912"/>
      <c r="CA27" s="957"/>
      <c r="CB27" s="914"/>
      <c r="CC27" s="910"/>
    </row>
    <row r="28" spans="1:81" ht="15.95" customHeight="1">
      <c r="B28" s="785">
        <v>6</v>
      </c>
      <c r="C28" s="825"/>
      <c r="D28" s="826"/>
      <c r="E28" s="826"/>
      <c r="F28" s="826"/>
      <c r="G28" s="826"/>
      <c r="H28" s="826"/>
      <c r="I28" s="826"/>
      <c r="J28" s="936" t="str">
        <f>IF(C28="","",INDEX(CLHVAC[Eff Unit 1],MATCH(C28,CLHVAC[Measure Name],0)))</f>
        <v/>
      </c>
      <c r="K28" s="937"/>
      <c r="L28" s="938" t="str">
        <f>IF(C28="","",INDEX(CLHVAC[Base Efficiency 1],MATCH(C28,CLHVAC[Measure Name],0)))</f>
        <v/>
      </c>
      <c r="M28" s="939"/>
      <c r="N28" s="915"/>
      <c r="O28" s="916"/>
      <c r="P28" s="932" t="str">
        <f>IF(C28="","",INDEX(CLHVAC[Eff Unit 2],MATCH(C28,CLHVAC[Measure Name],0)))</f>
        <v/>
      </c>
      <c r="Q28" s="933"/>
      <c r="R28" s="928" t="str">
        <f>IF(C28="","",INDEX(CLHVAC[Base Efficiency 2],MATCH(C28,CLHVAC[Measure Name],0)))</f>
        <v/>
      </c>
      <c r="S28" s="929"/>
      <c r="T28" s="950" t="str">
        <f>IF(AND(ISNUMBER(SEARCH("DX",C28)),ISNUMBER(SEARCH("&lt;65 kbtu",C28)),N28&lt;&gt;""),1.12*N28-0.02*N28^2,IF(AND(ISNUMBER(SEARCH("PTAC",C28)),N28&lt;&gt;""),1,""))</f>
        <v/>
      </c>
      <c r="U28" s="951"/>
      <c r="V28" s="926"/>
      <c r="W28" s="927"/>
      <c r="X28" s="825"/>
      <c r="Y28" s="826"/>
      <c r="Z28" s="827"/>
      <c r="AA28" s="904"/>
      <c r="AB28" s="905"/>
      <c r="AC28" s="905"/>
      <c r="AD28" s="906"/>
      <c r="AE28" s="807"/>
      <c r="AF28" s="808"/>
      <c r="AG28" s="808"/>
      <c r="AH28" s="811"/>
      <c r="AI28" s="921" t="str">
        <f>IF(C28="","",INDEX(CLHVAC[Current Unit],MATCH(C28,CLHVAC[Measure Name],0)))</f>
        <v/>
      </c>
      <c r="AJ28" s="921"/>
      <c r="AK28" s="921"/>
      <c r="AL28" s="922"/>
      <c r="AM28" s="923" t="str">
        <f>IFERROR(IF(C28="","",INDEX(IF(AND(ACTIVEBONUS = TRUE,INDEX(CLHVAC[Bonus Incentive],MATCH(C28,CLHVAC[Measure Name],0))&lt;&gt; ""),CLHVAC[Bonus Incentive],CLHVAC[BESP Incentive]),MATCH(C28,CLHVAC[Measure Name],0))),"")</f>
        <v/>
      </c>
      <c r="AN28" s="924"/>
      <c r="AO28" s="817" t="str">
        <f>IFERROR(IF(OR(C28="",N28="",V28="",AA28="",T28="",AE28="",AG28=""),"",IF(BD28="Deemed",BH28,IF(BD28="Calculated",BE28,""))),"")</f>
        <v/>
      </c>
      <c r="AP28" s="817"/>
      <c r="AQ28" s="817"/>
      <c r="AR28" s="840" t="str">
        <f>IFERROR(IF(OR(C28="",N28="",V28="",AA28="",T28="",AE28="",AG28=""),"",IF(BY28&lt;&gt;"",BY28,IF(BP28&gt;0,BP28,ROUND(IF(AO28&lt;=0,0,MIN(BL28,BQ28)), 2)))), "")</f>
        <v/>
      </c>
      <c r="AS28" s="840"/>
      <c r="AT28" s="840"/>
      <c r="AU28" s="840"/>
      <c r="AV28" s="17"/>
      <c r="AX28" s="773" t="str">
        <f>IFERROR(IF(OR(C28="",N28="",V28="",AA28="",T28="",AE28="",AG28=""),"",INDEX(CLHVAC[Current Unit],MATCH(C28,CLHVAC[Measure Name],0))),"Err")</f>
        <v/>
      </c>
      <c r="AY28" s="759"/>
      <c r="AZ28" s="759"/>
      <c r="BA28" s="919" t="str">
        <f>IF(C28&lt;&gt;"", _xlfn.LET(
_xlpm.Tons_Cool, V28, _xlpm.PLC_Base, L28, _xlpm.Tons_Heat, CC28, _xlpm.Other_Base, R28,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(12/_xlpm.PLC_Base)*_xlpm.EFLH_Cool,
IF(ISNUMBER(SEARCH("Water", C28)),
_xlpm.Tons_Cool * (_xlpm.PLC_Base) * _xlpm.EFLH_Cool,
" "
)),4),
_xlpm.kWhHeat,
IF(
_xlpm.ElecHeat=1,
ROUND(
IF(OR(ISNUMBER(SEARCH("DX", C28)),ISNUMBER(SEARCH("PTAC", C28)), ISNUMBER(SEARCH("Air-Cooled Chiller", C28)), ISNUMBER(SEARCH("Water", C28)),
ISNUMBER(SEARCH("VRF", C28))),
0,
IF(
OR(ISNUMBER(SEARCH("ASHP", C28)), ISNUMBER(SEARCH("PTHP", C28))),
_xlpm.Tons_Heat * (1/_xlpm.Other_Base) * _xlpm.EFLH_Heat,
" "
)),4),
0
),
IFERROR(_xlpm.kWhCool + _xlpm.kWhHeat, "Measure Not Specified.")
), "")</f>
        <v/>
      </c>
      <c r="BB28" s="919" t="str">
        <f>IF(C28&lt;&gt;"", _xlfn.LET(
_xlpm.Tons_Cool, V28, _xlpm.PLC_Eff, N28, _xlpm.Tons_Heat, CC28, _xlpm.Other_Eff, T28,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(12/_xlpm.PLC_Eff)*_xlpm.EFLH_Cool,
IF(ISNUMBER(SEARCH("Water", C28)),
_xlpm.Tons_Cool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(1/_xlpm.Other_Eff) * _xlpm.EFLH_Heat,
" "
)),4),
0
),
IFERROR(_xlpm.kWhCool + _xlpm.kWhHeat, "Measure Not Specified.")
), "")</f>
        <v/>
      </c>
      <c r="BC28" s="773" t="str">
        <f>IFERROR(IF(OR(C28="",N28="",V28="",AA28="",T28="",AE28="",AG28=""),"",INDEX(CLHVAC[End Use],MATCH(C28,CLHVAC[Measure Name],0))),"Err")</f>
        <v/>
      </c>
      <c r="BD28" s="757" t="str">
        <f>IFERROR(IF(OR(C28="",N28="",V28="",AA28="",T28="",AE28="",AG28=""),"",INDEX(CLHVAC[Reporting Methodology],MATCH(C28,CLHVAC[Measure Name],0))),"Err")</f>
        <v/>
      </c>
      <c r="BE28" s="775" t="str">
        <f t="shared" si="0"/>
        <v/>
      </c>
      <c r="BF28" s="775" t="str">
        <f t="shared" ref="BF28" si="20">IF(C28&lt;&gt;"", _xlfn.LET(
_xlpm.Tons, V28, _xlpm.PCF, 0.913,
IF(OR(ISNUMBER(SEARCH("DX", C28)), ISNUMBER(SEARCH("Air-Cooled Chiller", C28)), ISNUMBER(SEARCH("VRF", C28))),
_xlpm.Tons * (12/R28 - 12/T28) * _xlpm.PCF,
IF(ISNUMBER(SEARCH("Water", C28)),
_xlpm.Tons * (R28-T28) * _xlpm.PCF,
IF(ISNUMBER(SEARCH("ASHP", C28)),
_xlpm.Tons * (12/CA28 - 12/CB28) * _xlpm.PCF,
IF(OR(ISNUMBER(SEARCH("PTAC", C28)), ISNUMBER(SEARCH("PTHP", C28))),
_xlpm.Tons * (12/L28 - 12/N28) * _xlpm.PCF,
"Measure Not Specified."))))), "")</f>
        <v/>
      </c>
      <c r="BG28" s="761"/>
      <c r="BH28" s="775" t="str">
        <f>IF(
OR(C28="",N28="",V28="",AA28="",T28="",AE28="",AG28=""),"",
IF(OR(ISNUMBER(SEARCH("PTAC",C28)),ISNUMBER(SEARCH("PTHP",C28))),
ROUND(V28*INDEX(CLHVAC[Electric Energy Savings WBE (Annual kWh/unit)],MATCH(C28,CLHVAC[Measure Name],0)),4),
ROUND(V28*ABS(N28-L28)*INDEX(CLHVAC[Electric Energy Savings WBE (Annual kWh/unit)],MATCH(C28,CLHVAC[Measure Name],0)),4)
))</f>
        <v/>
      </c>
      <c r="BI28" s="775" t="str">
        <f>IF(
OR(C28="",N28="",V28="",AA28="",T28="",AE28="",AG28=""),"",
IF(OR(ISNUMBER(SEARCH("PTAC",C28)),ISNUMBER(SEARCH("PTHP",C28))),
ROUND(V28*INDEX(CLHVAC[Coincident Peak Demand Savings WBE (kW/unit)],MATCH(C28,CLHVAC[Measure Name],0)),4),
ROUND(V28* ABS(N28-L28)*INDEX(CLHVAC[Coincident Peak Demand Savings WBE (kW/unit)],MATCH(C28,CLHVAC[Measure Name],0)),4)
))</f>
        <v/>
      </c>
      <c r="BJ28" s="777" t="str">
        <f>IFERROR(INDEX(CLHVAC[Measure Life (Years)],MATCH(C28,CLHVAC[Measure Name],0)),"")</f>
        <v/>
      </c>
      <c r="BK28" s="767" t="str">
        <f>IFERROR(IF(OR(C28="",N28="",V28="",AA28="",T28="",AE28="",AG28=""),"",
ROUND(((1+ELOSS)*((BH28*INDEX(ELECCB[NPV AEC $/kWh],MATCH(BJ28,ELECCB[Year Number],1)))+(BI28*INDEX(ELECCB[NPV ACC $/kW],MATCH(BJ28,ELECCB[Year Number],1))))),2)),0)</f>
        <v/>
      </c>
      <c r="BL28" s="767" t="str">
        <f t="shared" si="1"/>
        <v/>
      </c>
      <c r="BM28" s="767"/>
      <c r="BN28" s="763" t="str">
        <f t="shared" si="2"/>
        <v/>
      </c>
      <c r="BO28" s="763" t="str">
        <f>IFERROR(IF(BM28 &lt;&gt; "", BM28, BL28) / M02S04F06 / AO28, "")</f>
        <v/>
      </c>
      <c r="BP28" s="769"/>
      <c r="BQ28" s="767" t="str">
        <f t="shared" ref="BQ28" si="21">IFERROR(IF(AI28="per ton", ROUND(V28*AM28, 2),
IF(AND(ISNUMBER(SEARCH("Air-Cooled Chiller",C28)),AI28="$/ton/IPLV"), ROUND((12/L28-12/N28)*V28*AM28, 2),
ROUND(ABS(N28-L28)*V28*AM28, 2))), "")</f>
        <v/>
      </c>
      <c r="BR28" s="765"/>
      <c r="BS28" s="765"/>
      <c r="BT28" s="765"/>
      <c r="BU28" s="757" t="str">
        <f t="shared" ref="BU28" si="22">IFERROR(IF(BP28="",IF(AR28 &lt; BQ28, "100% Total Cost", ""), ""), "")</f>
        <v/>
      </c>
      <c r="BV28" s="767" t="str">
        <f t="shared" si="3"/>
        <v/>
      </c>
      <c r="BW28" s="757" t="str">
        <f>IFERROR(IF(OR(C28="",N28="",V28="",AA28="",T28="",AE28="",AG28=""),"", IF(BY28&lt;&gt;"", SPILLOVERNUMBER, INDEX(CLHVAC[Measure Number],MATCH(C28,CLHVAC[Measure Name],0)))),"Err")</f>
        <v/>
      </c>
      <c r="BX28" s="757"/>
      <c r="BY28" s="907" t="str">
        <f>IFERROR(
IF(OR(C28="",N28="",T28="",V28="",AA28="",AE28="",AG28=""),
"",
IF(BP28&gt;0,"",IF(OR(AND(ISNUMBER(SEARCH("kW/ton", J28)),OR(L28&lt;N28,R28&lt;T28)),AND(NOT(ISNUMBER(SEARCH("kW/ton", J28))),OR(L28&gt;N28,R28&gt;T28))),
"Must Improve Efficiency",
IF(EXPIRATION&lt;&gt;"",PROJSTATEXP,"")))),
"")</f>
        <v/>
      </c>
      <c r="BZ28" s="911" t="str">
        <f>IFERROR(IF(INDEX(CLHVAC[Eff Unit 3],MATCH(C28,CLHVAC[Measure Name],0))="","",INDEX(CLHVAC[Eff Unit 3],MATCH(C28,CLHVAC[Measure Name],0))),"")</f>
        <v/>
      </c>
      <c r="CA28" s="956" t="str">
        <f>IFERROR(IF(INDEX(CLHVAC[Base Efficiency 3],MATCH(C28,CLHVAC[Measure Name],0))="","",INDEX(CLHVAC[Base Efficiency 3],MATCH(C28,CLHVAC[Measure Name],0))),"")</f>
        <v/>
      </c>
      <c r="CB28" s="913" t="str">
        <f t="shared" ref="CB28" si="23">IFERROR(IF(ISNUMBER(SEARCH("Air-Cooled Chiller",$C28)),12/N28,""),"")</f>
        <v/>
      </c>
      <c r="CC28" s="909"/>
    </row>
    <row r="29" spans="1:81" ht="15.95" customHeight="1">
      <c r="B29" s="785"/>
      <c r="C29" s="793"/>
      <c r="D29" s="795"/>
      <c r="E29" s="795"/>
      <c r="F29" s="795"/>
      <c r="G29" s="795"/>
      <c r="H29" s="795"/>
      <c r="I29" s="795"/>
      <c r="J29" s="932"/>
      <c r="K29" s="933"/>
      <c r="L29" s="928"/>
      <c r="M29" s="929"/>
      <c r="N29" s="915"/>
      <c r="O29" s="916"/>
      <c r="P29" s="934"/>
      <c r="Q29" s="935"/>
      <c r="R29" s="930"/>
      <c r="S29" s="931"/>
      <c r="T29" s="952"/>
      <c r="U29" s="953"/>
      <c r="V29" s="926"/>
      <c r="W29" s="927"/>
      <c r="X29" s="793"/>
      <c r="Y29" s="795"/>
      <c r="Z29" s="794"/>
      <c r="AA29" s="904"/>
      <c r="AB29" s="905"/>
      <c r="AC29" s="905"/>
      <c r="AD29" s="906"/>
      <c r="AE29" s="809"/>
      <c r="AF29" s="810"/>
      <c r="AG29" s="810"/>
      <c r="AH29" s="812"/>
      <c r="AI29" s="921"/>
      <c r="AJ29" s="921"/>
      <c r="AK29" s="921"/>
      <c r="AL29" s="922"/>
      <c r="AM29" s="925"/>
      <c r="AN29" s="900"/>
      <c r="AO29" s="818"/>
      <c r="AP29" s="818"/>
      <c r="AQ29" s="818"/>
      <c r="AR29" s="841"/>
      <c r="AS29" s="841"/>
      <c r="AT29" s="841"/>
      <c r="AU29" s="841"/>
      <c r="AV29" s="17"/>
      <c r="AX29" s="774"/>
      <c r="AY29" s="760"/>
      <c r="AZ29" s="760"/>
      <c r="BA29" s="920"/>
      <c r="BB29" s="920"/>
      <c r="BC29" s="774"/>
      <c r="BD29" s="758"/>
      <c r="BE29" s="776"/>
      <c r="BF29" s="776"/>
      <c r="BG29" s="762"/>
      <c r="BH29" s="776"/>
      <c r="BI29" s="776"/>
      <c r="BJ29" s="778"/>
      <c r="BK29" s="768"/>
      <c r="BL29" s="768"/>
      <c r="BM29" s="768"/>
      <c r="BN29" s="764"/>
      <c r="BO29" s="764"/>
      <c r="BP29" s="770"/>
      <c r="BQ29" s="768"/>
      <c r="BR29" s="766"/>
      <c r="BS29" s="766"/>
      <c r="BT29" s="766"/>
      <c r="BU29" s="758"/>
      <c r="BV29" s="768"/>
      <c r="BW29" s="758"/>
      <c r="BX29" s="758"/>
      <c r="BY29" s="908"/>
      <c r="BZ29" s="912"/>
      <c r="CA29" s="957"/>
      <c r="CB29" s="914"/>
      <c r="CC29" s="910"/>
    </row>
    <row r="30" spans="1:81" ht="15.95" customHeight="1">
      <c r="B30" s="785">
        <v>7</v>
      </c>
      <c r="C30" s="825"/>
      <c r="D30" s="826"/>
      <c r="E30" s="826"/>
      <c r="F30" s="826"/>
      <c r="G30" s="826"/>
      <c r="H30" s="826"/>
      <c r="I30" s="826"/>
      <c r="J30" s="936" t="str">
        <f>IF(C30="","",INDEX(CLHVAC[Eff Unit 1],MATCH(C30,CLHVAC[Measure Name],0)))</f>
        <v/>
      </c>
      <c r="K30" s="937"/>
      <c r="L30" s="938" t="str">
        <f>IF(C30="","",INDEX(CLHVAC[Base Efficiency 1],MATCH(C30,CLHVAC[Measure Name],0)))</f>
        <v/>
      </c>
      <c r="M30" s="939"/>
      <c r="N30" s="915"/>
      <c r="O30" s="916"/>
      <c r="P30" s="932" t="str">
        <f>IF(C30="","",INDEX(CLHVAC[Eff Unit 2],MATCH(C30,CLHVAC[Measure Name],0)))</f>
        <v/>
      </c>
      <c r="Q30" s="933"/>
      <c r="R30" s="928" t="str">
        <f>IF(C30="","",INDEX(CLHVAC[Base Efficiency 2],MATCH(C30,CLHVAC[Measure Name],0)))</f>
        <v/>
      </c>
      <c r="S30" s="929"/>
      <c r="T30" s="917" t="str">
        <f>IF(AND(ISNUMBER(SEARCH("DX",C30)),ISNUMBER(SEARCH("&lt;65 kbtu",C30)),N30&lt;&gt;""),1.12*N30-0.02*N30^2,IF(AND(ISNUMBER(SEARCH("PTAC",C30)),N30&lt;&gt;""),1,""))</f>
        <v/>
      </c>
      <c r="U30" s="918"/>
      <c r="V30" s="926"/>
      <c r="W30" s="927"/>
      <c r="X30" s="825"/>
      <c r="Y30" s="826"/>
      <c r="Z30" s="827"/>
      <c r="AA30" s="904"/>
      <c r="AB30" s="905"/>
      <c r="AC30" s="905"/>
      <c r="AD30" s="906"/>
      <c r="AE30" s="809"/>
      <c r="AF30" s="810"/>
      <c r="AG30" s="810"/>
      <c r="AH30" s="812"/>
      <c r="AI30" s="921" t="str">
        <f>IF(C30="","",INDEX(CLHVAC[Current Unit],MATCH(C30,CLHVAC[Measure Name],0)))</f>
        <v/>
      </c>
      <c r="AJ30" s="921"/>
      <c r="AK30" s="921"/>
      <c r="AL30" s="922"/>
      <c r="AM30" s="923" t="str">
        <f>IFERROR(IF(C30="","",INDEX(IF(AND(ACTIVEBONUS = TRUE,INDEX(CLHVAC[Bonus Incentive],MATCH(C30,CLHVAC[Measure Name],0))&lt;&gt; ""),CLHVAC[Bonus Incentive],CLHVAC[BESP Incentive]),MATCH(C30,CLHVAC[Measure Name],0))),"")</f>
        <v/>
      </c>
      <c r="AN30" s="924"/>
      <c r="AO30" s="817" t="str">
        <f>IFERROR(IF(OR(C30="",N30="",V30="",AA30="",T30="",AE30="",AG30=""),"",IF(BD30="Deemed",BH30,IF(BD30="Calculated",BE30,""))),"")</f>
        <v/>
      </c>
      <c r="AP30" s="817"/>
      <c r="AQ30" s="817"/>
      <c r="AR30" s="840" t="str">
        <f>IFERROR(IF(OR(C30="",N30="",V30="",AA30="",T30="",AE30="",AG30=""),"",IF(BY30&lt;&gt;"",BY30,IF(BP30&gt;0,BP30,ROUND(IF(AO30&lt;=0,0,MIN(BL30,BQ30)), 2)))), "")</f>
        <v/>
      </c>
      <c r="AS30" s="840"/>
      <c r="AT30" s="840"/>
      <c r="AU30" s="840"/>
      <c r="AV30" s="17"/>
      <c r="AX30" s="773" t="str">
        <f>IFERROR(IF(OR(C30="",N30="",V30="",AA30="",T30="",AE30="",AG30=""),"",INDEX(CLHVAC[Current Unit],MATCH(C30,CLHVAC[Measure Name],0))),"Err")</f>
        <v/>
      </c>
      <c r="AY30" s="759"/>
      <c r="AZ30" s="759"/>
      <c r="BA30" s="919" t="str">
        <f>IF(C30&lt;&gt;"", _xlfn.LET(
_xlpm.Tons_Cool, V30, _xlpm.PLC_Base, L30, _xlpm.Tons_Heat, CC30, _xlpm.Other_Base, R30,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(12/_xlpm.PLC_Base)*_xlpm.EFLH_Cool,
IF(ISNUMBER(SEARCH("Water", C30)),
_xlpm.Tons_Cool * (_xlpm.PLC_Base) * _xlpm.EFLH_Cool,
" "
)),4),
_xlpm.kWhHeat,
IF(
_xlpm.ElecHeat=1,
ROUND(
IF(OR(ISNUMBER(SEARCH("DX", C30)),ISNUMBER(SEARCH("PTAC", C30)), ISNUMBER(SEARCH("Air-Cooled Chiller", C30)), ISNUMBER(SEARCH("Water", C30)),
ISNUMBER(SEARCH("VRF", C30))),
0,
IF(
OR(ISNUMBER(SEARCH("ASHP", C30)), ISNUMBER(SEARCH("PTHP", C30))),
_xlpm.Tons_Heat * (1/_xlpm.Other_Base) * _xlpm.EFLH_Heat,
" "
)),4),
0
),
IFERROR(_xlpm.kWhCool + _xlpm.kWhHeat, "Measure Not Specified.")
), "")</f>
        <v/>
      </c>
      <c r="BB30" s="919" t="str">
        <f>IF(C30&lt;&gt;"", _xlfn.LET(
_xlpm.Tons_Cool, V30, _xlpm.PLC_Eff, N30, _xlpm.Tons_Heat, CC30, _xlpm.Other_Eff, T30,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(12/_xlpm.PLC_Eff)*_xlpm.EFLH_Cool,
IF(ISNUMBER(SEARCH("Water", C30)),
_xlpm.Tons_Cool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(1/_xlpm.Other_Eff) * _xlpm.EFLH_Heat,
" "
)),4),
0
),
IFERROR(_xlpm.kWhCool + _xlpm.kWhHeat, "Measure Not Specified.")
), "")</f>
        <v/>
      </c>
      <c r="BC30" s="773" t="str">
        <f>IFERROR(IF(OR(C30="",N30="",V30="",AA30="",T30="",AE30="",AG30=""),"",INDEX(CLHVAC[End Use],MATCH(C30,CLHVAC[Measure Name],0))),"Err")</f>
        <v/>
      </c>
      <c r="BD30" s="757" t="str">
        <f>IFERROR(IF(OR(C30="",N30="",V30="",AA30="",T30="",AE30="",AG30=""),"",INDEX(CLHVAC[Reporting Methodology],MATCH(C30,CLHVAC[Measure Name],0))),"Err")</f>
        <v/>
      </c>
      <c r="BE30" s="775" t="str">
        <f t="shared" si="0"/>
        <v/>
      </c>
      <c r="BF30" s="775" t="str">
        <f t="shared" ref="BF30" si="24">IF(C30&lt;&gt;"", _xlfn.LET(
_xlpm.Tons, V30, _xlpm.PCF, 0.913,
IF(OR(ISNUMBER(SEARCH("DX", C30)), ISNUMBER(SEARCH("Air-Cooled Chiller", C30)), ISNUMBER(SEARCH("VRF", C30))),
_xlpm.Tons * (12/R30 - 12/T30) * _xlpm.PCF,
IF(ISNUMBER(SEARCH("Water", C30)),
_xlpm.Tons * (R30-T30) * _xlpm.PCF,
IF(ISNUMBER(SEARCH("ASHP", C30)),
_xlpm.Tons * (12/CA30 - 12/CB30) * _xlpm.PCF,
IF(OR(ISNUMBER(SEARCH("PTAC", C30)), ISNUMBER(SEARCH("PTHP", C30))),
_xlpm.Tons * (12/L30 - 12/N30) * _xlpm.PCF,
"Measure Not Specified."))))), "")</f>
        <v/>
      </c>
      <c r="BG30" s="761"/>
      <c r="BH30" s="775" t="str">
        <f>IF(
OR(C30="",N30="",V30="",AA30="",T30="",AE30="",AG30=""),"",
IF(OR(ISNUMBER(SEARCH("PTAC",C30)),ISNUMBER(SEARCH("PTHP",C30))),
ROUND(V30*INDEX(CLHVAC[Electric Energy Savings WBE (Annual kWh/unit)],MATCH(C30,CLHVAC[Measure Name],0)),4),
ROUND(V30*ABS(N30-L30)*INDEX(CLHVAC[Electric Energy Savings WBE (Annual kWh/unit)],MATCH(C30,CLHVAC[Measure Name],0)),4)
))</f>
        <v/>
      </c>
      <c r="BI30" s="775" t="str">
        <f>IF(
OR(C30="",N30="",V30="",AA30="",T30="",AE30="",AG30=""),"",
IF(OR(ISNUMBER(SEARCH("PTAC",C30)),ISNUMBER(SEARCH("PTHP",C30))),
ROUND(V30*INDEX(CLHVAC[Coincident Peak Demand Savings WBE (kW/unit)],MATCH(C30,CLHVAC[Measure Name],0)),4),
ROUND(V30* ABS(N30-L30)*INDEX(CLHVAC[Coincident Peak Demand Savings WBE (kW/unit)],MATCH(C30,CLHVAC[Measure Name],0)),4)
))</f>
        <v/>
      </c>
      <c r="BJ30" s="777" t="str">
        <f>IFERROR(INDEX(CLHVAC[Measure Life (Years)],MATCH(C30,CLHVAC[Measure Name],0)),"")</f>
        <v/>
      </c>
      <c r="BK30" s="767" t="str">
        <f>IFERROR(IF(OR(C30="",N30="",V30="",AA30="",T30="",AE30="",AG30=""),"",
ROUND(((1+ELOSS)*((BH30*INDEX(ELECCB[NPV AEC $/kWh],MATCH(BJ30,ELECCB[Year Number],1)))+(BI30*INDEX(ELECCB[NPV ACC $/kW],MATCH(BJ30,ELECCB[Year Number],1))))),2)),0)</f>
        <v/>
      </c>
      <c r="BL30" s="767" t="str">
        <f t="shared" si="1"/>
        <v/>
      </c>
      <c r="BM30" s="767"/>
      <c r="BN30" s="763" t="str">
        <f t="shared" si="2"/>
        <v/>
      </c>
      <c r="BO30" s="763" t="str">
        <f>IFERROR(IF(BM30 &lt;&gt; "", BM30, BL30) / M02S04F06 / AO30, "")</f>
        <v/>
      </c>
      <c r="BP30" s="769"/>
      <c r="BQ30" s="767" t="str">
        <f t="shared" ref="BQ30" si="25">IFERROR(IF(AI30="per ton", ROUND(V30*AM30, 2),
IF(AND(ISNUMBER(SEARCH("Air-Cooled Chiller",C30)),AI30="$/ton/IPLV"), ROUND((12/L30-12/N30)*V30*AM30, 2),
ROUND(ABS(N30-L30)*V30*AM30, 2))), "")</f>
        <v/>
      </c>
      <c r="BR30" s="765"/>
      <c r="BS30" s="765"/>
      <c r="BT30" s="765"/>
      <c r="BU30" s="757" t="str">
        <f t="shared" ref="BU30" si="26">IFERROR(IF(BP30="",IF(AR30 &lt; BQ30, "100% Total Cost", ""), ""), "")</f>
        <v/>
      </c>
      <c r="BV30" s="767" t="str">
        <f t="shared" si="3"/>
        <v/>
      </c>
      <c r="BW30" s="757" t="str">
        <f>IFERROR(IF(OR(C30="",N30="",V30="",AA30="",T30="",AE30="",AG30=""),"", IF(BY30&lt;&gt;"", SPILLOVERNUMBER, INDEX(CLHVAC[Measure Number],MATCH(C30,CLHVAC[Measure Name],0)))),"Err")</f>
        <v/>
      </c>
      <c r="BX30" s="757"/>
      <c r="BY30" s="907" t="str">
        <f>IFERROR(
IF(OR(C30="",N30="",T30="",V30="",AA30="",AE30="",AG30=""),
"",
IF(BP30&gt;0,"",IF(OR(AND(ISNUMBER(SEARCH("kW/ton", J30)),OR(L30&lt;N30,R30&lt;T30)),AND(NOT(ISNUMBER(SEARCH("kW/ton", J30))),OR(L30&gt;N30,R30&gt;T30))),
"Must Improve Efficiency",
IF(EXPIRATION&lt;&gt;"",PROJSTATEXP,"")))),
"")</f>
        <v/>
      </c>
      <c r="BZ30" s="911" t="str">
        <f>IFERROR(IF(INDEX(CLHVAC[Eff Unit 3],MATCH(C30,CLHVAC[Measure Name],0))="","",INDEX(CLHVAC[Eff Unit 3],MATCH(C30,CLHVAC[Measure Name],0))),"")</f>
        <v/>
      </c>
      <c r="CA30" s="956" t="str">
        <f>IFERROR(IF(INDEX(CLHVAC[Base Efficiency 3],MATCH(C30,CLHVAC[Measure Name],0))="","",INDEX(CLHVAC[Base Efficiency 3],MATCH(C30,CLHVAC[Measure Name],0))),"")</f>
        <v/>
      </c>
      <c r="CB30" s="913" t="str">
        <f t="shared" ref="CB30" si="27">IFERROR(IF(ISNUMBER(SEARCH("Air-Cooled Chiller",$C30)),12/N30,""),"")</f>
        <v/>
      </c>
      <c r="CC30" s="909"/>
    </row>
    <row r="31" spans="1:81" ht="15.95" customHeight="1">
      <c r="B31" s="785"/>
      <c r="C31" s="793"/>
      <c r="D31" s="795"/>
      <c r="E31" s="795"/>
      <c r="F31" s="795"/>
      <c r="G31" s="795"/>
      <c r="H31" s="795"/>
      <c r="I31" s="795"/>
      <c r="J31" s="932"/>
      <c r="K31" s="933"/>
      <c r="L31" s="928"/>
      <c r="M31" s="929"/>
      <c r="N31" s="915"/>
      <c r="O31" s="916"/>
      <c r="P31" s="934"/>
      <c r="Q31" s="935"/>
      <c r="R31" s="930"/>
      <c r="S31" s="931"/>
      <c r="T31" s="917"/>
      <c r="U31" s="918"/>
      <c r="V31" s="926"/>
      <c r="W31" s="927"/>
      <c r="X31" s="793"/>
      <c r="Y31" s="795"/>
      <c r="Z31" s="794"/>
      <c r="AA31" s="904"/>
      <c r="AB31" s="905"/>
      <c r="AC31" s="905"/>
      <c r="AD31" s="906"/>
      <c r="AE31" s="809"/>
      <c r="AF31" s="810"/>
      <c r="AG31" s="810"/>
      <c r="AH31" s="812"/>
      <c r="AI31" s="921"/>
      <c r="AJ31" s="921"/>
      <c r="AK31" s="921"/>
      <c r="AL31" s="922"/>
      <c r="AM31" s="925"/>
      <c r="AN31" s="900"/>
      <c r="AO31" s="818"/>
      <c r="AP31" s="818"/>
      <c r="AQ31" s="818"/>
      <c r="AR31" s="841"/>
      <c r="AS31" s="841"/>
      <c r="AT31" s="841"/>
      <c r="AU31" s="841"/>
      <c r="AV31" s="17"/>
      <c r="AX31" s="774"/>
      <c r="AY31" s="760"/>
      <c r="AZ31" s="760"/>
      <c r="BA31" s="920"/>
      <c r="BB31" s="920"/>
      <c r="BC31" s="774"/>
      <c r="BD31" s="758"/>
      <c r="BE31" s="776"/>
      <c r="BF31" s="776"/>
      <c r="BG31" s="762"/>
      <c r="BH31" s="776"/>
      <c r="BI31" s="776"/>
      <c r="BJ31" s="778"/>
      <c r="BK31" s="768"/>
      <c r="BL31" s="768"/>
      <c r="BM31" s="768"/>
      <c r="BN31" s="764"/>
      <c r="BO31" s="764"/>
      <c r="BP31" s="770"/>
      <c r="BQ31" s="768"/>
      <c r="BR31" s="766"/>
      <c r="BS31" s="766"/>
      <c r="BT31" s="766"/>
      <c r="BU31" s="758"/>
      <c r="BV31" s="768"/>
      <c r="BW31" s="758"/>
      <c r="BX31" s="758"/>
      <c r="BY31" s="908"/>
      <c r="BZ31" s="912"/>
      <c r="CA31" s="957"/>
      <c r="CB31" s="914"/>
      <c r="CC31" s="910"/>
    </row>
    <row r="32" spans="1:81" ht="15.95" customHeight="1">
      <c r="B32" s="785">
        <v>8</v>
      </c>
      <c r="C32" s="825"/>
      <c r="D32" s="826"/>
      <c r="E32" s="826"/>
      <c r="F32" s="826"/>
      <c r="G32" s="826"/>
      <c r="H32" s="826"/>
      <c r="I32" s="826"/>
      <c r="J32" s="936" t="str">
        <f>IF(C32="","",INDEX(CLHVAC[Eff Unit 1],MATCH(C32,CLHVAC[Measure Name],0)))</f>
        <v/>
      </c>
      <c r="K32" s="937"/>
      <c r="L32" s="938" t="str">
        <f>IF(C32="","",INDEX(CLHVAC[Base Efficiency 1],MATCH(C32,CLHVAC[Measure Name],0)))</f>
        <v/>
      </c>
      <c r="M32" s="939"/>
      <c r="N32" s="915"/>
      <c r="O32" s="916"/>
      <c r="P32" s="932" t="str">
        <f>IF(C32="","",INDEX(CLHVAC[Eff Unit 2],MATCH(C32,CLHVAC[Measure Name],0)))</f>
        <v/>
      </c>
      <c r="Q32" s="933"/>
      <c r="R32" s="928" t="str">
        <f>IF(C32="","",INDEX(CLHVAC[Base Efficiency 2],MATCH(C32,CLHVAC[Measure Name],0)))</f>
        <v/>
      </c>
      <c r="S32" s="929"/>
      <c r="T32" s="917" t="str">
        <f>IF(AND(ISNUMBER(SEARCH("DX",C32)),ISNUMBER(SEARCH("&lt;65 kbtu",C32)),N32&lt;&gt;""),1.12*N32-0.02*N32^2,IF(AND(ISNUMBER(SEARCH("PTAC",C32)),N32&lt;&gt;""),1,""))</f>
        <v/>
      </c>
      <c r="U32" s="918"/>
      <c r="V32" s="926"/>
      <c r="W32" s="927"/>
      <c r="X32" s="825"/>
      <c r="Y32" s="826"/>
      <c r="Z32" s="827"/>
      <c r="AA32" s="904"/>
      <c r="AB32" s="905"/>
      <c r="AC32" s="905"/>
      <c r="AD32" s="906"/>
      <c r="AE32" s="809"/>
      <c r="AF32" s="810"/>
      <c r="AG32" s="810"/>
      <c r="AH32" s="812"/>
      <c r="AI32" s="921" t="str">
        <f>IF(C32="","",INDEX(CLHVAC[Current Unit],MATCH(C32,CLHVAC[Measure Name],0)))</f>
        <v/>
      </c>
      <c r="AJ32" s="921"/>
      <c r="AK32" s="921"/>
      <c r="AL32" s="922"/>
      <c r="AM32" s="923" t="str">
        <f>IFERROR(IF(C32="","",INDEX(IF(AND(ACTIVEBONUS = TRUE,INDEX(CLHVAC[Bonus Incentive],MATCH(C32,CLHVAC[Measure Name],0))&lt;&gt; ""),CLHVAC[Bonus Incentive],CLHVAC[BESP Incentive]),MATCH(C32,CLHVAC[Measure Name],0))),"")</f>
        <v/>
      </c>
      <c r="AN32" s="924"/>
      <c r="AO32" s="817" t="str">
        <f>IFERROR(IF(OR(C32="",N32="",V32="",AA32="",T32="",AE32="",AG32=""),"",IF(BD32="Deemed",BH32,IF(BD32="Calculated",BE32,""))),"")</f>
        <v/>
      </c>
      <c r="AP32" s="817"/>
      <c r="AQ32" s="817"/>
      <c r="AR32" s="840" t="str">
        <f>IFERROR(IF(OR(C32="",N32="",V32="",AA32="",T32="",AE32="",AG32=""),"",IF(BY32&lt;&gt;"",BY32,IF(BP32&gt;0,BP32,ROUND(IF(AO32&lt;=0,0,MIN(BL32,BQ32)), 2)))), "")</f>
        <v/>
      </c>
      <c r="AS32" s="840"/>
      <c r="AT32" s="840"/>
      <c r="AU32" s="840"/>
      <c r="AV32" s="17"/>
      <c r="AX32" s="773" t="str">
        <f>IFERROR(IF(OR(C32="",N32="",V32="",AA32="",T32="",AE32="",AG32=""),"",INDEX(CLHVAC[Current Unit],MATCH(C32,CLHVAC[Measure Name],0))),"Err")</f>
        <v/>
      </c>
      <c r="AY32" s="759"/>
      <c r="AZ32" s="759"/>
      <c r="BA32" s="919" t="str">
        <f>IF(C32&lt;&gt;"", _xlfn.LET(
_xlpm.Tons_Cool, V32, _xlpm.PLC_Base, L32, _xlpm.Tons_Heat, CC32, _xlpm.Other_Base, R32,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(12/_xlpm.PLC_Base)*_xlpm.EFLH_Cool,
IF(ISNUMBER(SEARCH("Water", C32)),
_xlpm.Tons_Cool * (_xlpm.PLC_Base) * _xlpm.EFLH_Cool,
" "
)),4),
_xlpm.kWhHeat,
IF(
_xlpm.ElecHeat=1,
ROUND(
IF(OR(ISNUMBER(SEARCH("DX", C32)),ISNUMBER(SEARCH("PTAC", C32)), ISNUMBER(SEARCH("Air-Cooled Chiller", C32)), ISNUMBER(SEARCH("Water", C32)),
ISNUMBER(SEARCH("VRF", C32))),
0,
IF(
OR(ISNUMBER(SEARCH("ASHP", C32)), ISNUMBER(SEARCH("PTHP", C32))),
_xlpm.Tons_Heat * (1/_xlpm.Other_Base) * _xlpm.EFLH_Heat,
" "
)),4),
0
),
IFERROR(_xlpm.kWhCool + _xlpm.kWhHeat, "Measure Not Specified.")
), "")</f>
        <v/>
      </c>
      <c r="BB32" s="919" t="str">
        <f>IF(C32&lt;&gt;"", _xlfn.LET(
_xlpm.Tons_Cool, V32, _xlpm.PLC_Eff, N32, _xlpm.Tons_Heat, CC32, _xlpm.Other_Eff, T32,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(12/_xlpm.PLC_Eff)*_xlpm.EFLH_Cool,
IF(ISNUMBER(SEARCH("Water", C32)),
_xlpm.Tons_Cool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(1/_xlpm.Other_Eff) * _xlpm.EFLH_Heat,
" "
)),4),
0
),
IFERROR(_xlpm.kWhCool + _xlpm.kWhHeat, "Measure Not Specified.")
), "")</f>
        <v/>
      </c>
      <c r="BC32" s="773" t="str">
        <f>IFERROR(IF(OR(C32="",N32="",V32="",AA32="",T32="",AE32="",AG32=""),"",INDEX(CLHVAC[End Use],MATCH(C32,CLHVAC[Measure Name],0))),"Err")</f>
        <v/>
      </c>
      <c r="BD32" s="757" t="str">
        <f>IFERROR(IF(OR(C32="",N32="",V32="",AA32="",T32="",AE32="",AG32=""),"",INDEX(CLHVAC[Reporting Methodology],MATCH(C32,CLHVAC[Measure Name],0))),"Err")</f>
        <v/>
      </c>
      <c r="BE32" s="775" t="str">
        <f t="shared" si="0"/>
        <v/>
      </c>
      <c r="BF32" s="775" t="str">
        <f t="shared" ref="BF32" si="28">IF(C32&lt;&gt;"", _xlfn.LET(
_xlpm.Tons, V32, _xlpm.PCF, 0.913,
IF(OR(ISNUMBER(SEARCH("DX", C32)), ISNUMBER(SEARCH("Air-Cooled Chiller", C32)), ISNUMBER(SEARCH("VRF", C32))),
_xlpm.Tons * (12/R32 - 12/T32) * _xlpm.PCF,
IF(ISNUMBER(SEARCH("Water", C32)),
_xlpm.Tons * (R32-T32) * _xlpm.PCF,
IF(ISNUMBER(SEARCH("ASHP", C32)),
_xlpm.Tons * (12/CA32 - 12/CB32) * _xlpm.PCF,
IF(OR(ISNUMBER(SEARCH("PTAC", C32)), ISNUMBER(SEARCH("PTHP", C32))),
_xlpm.Tons * (12/L32 - 12/N32) * _xlpm.PCF,
"Measure Not Specified."))))), "")</f>
        <v/>
      </c>
      <c r="BG32" s="761"/>
      <c r="BH32" s="775" t="str">
        <f>IF(
OR(C32="",N32="",V32="",AA32="",T32="",AE32="",AG32=""),"",
IF(OR(ISNUMBER(SEARCH("PTAC",C32)),ISNUMBER(SEARCH("PTHP",C32))),
ROUND(V32*INDEX(CLHVAC[Electric Energy Savings WBE (Annual kWh/unit)],MATCH(C32,CLHVAC[Measure Name],0)),4),
ROUND(V32*ABS(N32-L32)*INDEX(CLHVAC[Electric Energy Savings WBE (Annual kWh/unit)],MATCH(C32,CLHVAC[Measure Name],0)),4)
))</f>
        <v/>
      </c>
      <c r="BI32" s="775" t="str">
        <f>IF(
OR(C32="",N32="",V32="",AA32="",T32="",AE32="",AG32=""),"",
IF(OR(ISNUMBER(SEARCH("PTAC",C32)),ISNUMBER(SEARCH("PTHP",C32))),
ROUND(V32*INDEX(CLHVAC[Coincident Peak Demand Savings WBE (kW/unit)],MATCH(C32,CLHVAC[Measure Name],0)),4),
ROUND(V32* ABS(N32-L32)*INDEX(CLHVAC[Coincident Peak Demand Savings WBE (kW/unit)],MATCH(C32,CLHVAC[Measure Name],0)),4)
))</f>
        <v/>
      </c>
      <c r="BJ32" s="777" t="str">
        <f>IFERROR(INDEX(CLHVAC[Measure Life (Years)],MATCH(C32,CLHVAC[Measure Name],0)),"")</f>
        <v/>
      </c>
      <c r="BK32" s="767" t="str">
        <f>IFERROR(IF(OR(C32="",N32="",V32="",AA32="",T32="",AE32="",AG32=""),"",
ROUND(((1+ELOSS)*((BH32*INDEX(ELECCB[NPV AEC $/kWh],MATCH(BJ32,ELECCB[Year Number],1)))+(BI32*INDEX(ELECCB[NPV ACC $/kW],MATCH(BJ32,ELECCB[Year Number],1))))),2)),0)</f>
        <v/>
      </c>
      <c r="BL32" s="767" t="str">
        <f t="shared" si="1"/>
        <v/>
      </c>
      <c r="BM32" s="767"/>
      <c r="BN32" s="763" t="str">
        <f t="shared" si="2"/>
        <v/>
      </c>
      <c r="BO32" s="763" t="str">
        <f>IFERROR(IF(BM32 &lt;&gt; "", BM32, BL32) / M02S04F06 / AO32, "")</f>
        <v/>
      </c>
      <c r="BP32" s="769"/>
      <c r="BQ32" s="767" t="str">
        <f t="shared" ref="BQ32" si="29">IFERROR(IF(AI32="per ton", ROUND(V32*AM32, 2),
IF(AND(ISNUMBER(SEARCH("Air-Cooled Chiller",C32)),AI32="$/ton/IPLV"), ROUND((12/L32-12/N32)*V32*AM32, 2),
ROUND(ABS(N32-L32)*V32*AM32, 2))), "")</f>
        <v/>
      </c>
      <c r="BR32" s="765"/>
      <c r="BS32" s="765"/>
      <c r="BT32" s="765"/>
      <c r="BU32" s="757" t="str">
        <f t="shared" ref="BU32" si="30">IFERROR(IF(BP32="",IF(AR32 &lt; BQ32, "100% Total Cost", ""), ""), "")</f>
        <v/>
      </c>
      <c r="BV32" s="767" t="str">
        <f t="shared" si="3"/>
        <v/>
      </c>
      <c r="BW32" s="757" t="str">
        <f>IFERROR(IF(OR(C32="",N32="",V32="",AA32="",T32="",AE32="",AG32=""),"", IF(BY32&lt;&gt;"", SPILLOVERNUMBER, INDEX(CLHVAC[Measure Number],MATCH(C32,CLHVAC[Measure Name],0)))),"Err")</f>
        <v/>
      </c>
      <c r="BX32" s="757"/>
      <c r="BY32" s="907" t="str">
        <f>IFERROR(
IF(OR(C32="",N32="",T32="",V32="",AA32="",AE32="",AG32=""),
"",
IF(BP32&gt;0,"",IF(OR(AND(ISNUMBER(SEARCH("kW/ton", J32)),OR(L32&lt;N32,R32&lt;T32)),AND(NOT(ISNUMBER(SEARCH("kW/ton", J32))),OR(L32&gt;N32,R32&gt;T32))),
"Must Improve Efficiency",
IF(EXPIRATION&lt;&gt;"",PROJSTATEXP,"")))),
"")</f>
        <v/>
      </c>
      <c r="BZ32" s="911" t="str">
        <f>IFERROR(IF(INDEX(CLHVAC[Eff Unit 3],MATCH(C32,CLHVAC[Measure Name],0))="","",INDEX(CLHVAC[Eff Unit 3],MATCH(C32,CLHVAC[Measure Name],0))),"")</f>
        <v/>
      </c>
      <c r="CA32" s="956" t="str">
        <f>IFERROR(IF(INDEX(CLHVAC[Base Efficiency 3],MATCH(C32,CLHVAC[Measure Name],0))="","",INDEX(CLHVAC[Base Efficiency 3],MATCH(C32,CLHVAC[Measure Name],0))),"")</f>
        <v/>
      </c>
      <c r="CB32" s="913" t="str">
        <f t="shared" ref="CB32" si="31">IFERROR(IF(ISNUMBER(SEARCH("Air-Cooled Chiller",$C32)),12/N32,""),"")</f>
        <v/>
      </c>
      <c r="CC32" s="909"/>
    </row>
    <row r="33" spans="2:81" ht="15.95" customHeight="1">
      <c r="B33" s="785"/>
      <c r="C33" s="793"/>
      <c r="D33" s="795"/>
      <c r="E33" s="795"/>
      <c r="F33" s="795"/>
      <c r="G33" s="795"/>
      <c r="H33" s="795"/>
      <c r="I33" s="795"/>
      <c r="J33" s="932"/>
      <c r="K33" s="933"/>
      <c r="L33" s="928"/>
      <c r="M33" s="929"/>
      <c r="N33" s="915"/>
      <c r="O33" s="916"/>
      <c r="P33" s="934"/>
      <c r="Q33" s="935"/>
      <c r="R33" s="930"/>
      <c r="S33" s="931"/>
      <c r="T33" s="917"/>
      <c r="U33" s="918"/>
      <c r="V33" s="926"/>
      <c r="W33" s="927"/>
      <c r="X33" s="793"/>
      <c r="Y33" s="795"/>
      <c r="Z33" s="794"/>
      <c r="AA33" s="904"/>
      <c r="AB33" s="905"/>
      <c r="AC33" s="905"/>
      <c r="AD33" s="906"/>
      <c r="AE33" s="809"/>
      <c r="AF33" s="810"/>
      <c r="AG33" s="810"/>
      <c r="AH33" s="812"/>
      <c r="AI33" s="921"/>
      <c r="AJ33" s="921"/>
      <c r="AK33" s="921"/>
      <c r="AL33" s="922"/>
      <c r="AM33" s="925"/>
      <c r="AN33" s="900"/>
      <c r="AO33" s="818"/>
      <c r="AP33" s="818"/>
      <c r="AQ33" s="818"/>
      <c r="AR33" s="841"/>
      <c r="AS33" s="841"/>
      <c r="AT33" s="841"/>
      <c r="AU33" s="841"/>
      <c r="AV33" s="17"/>
      <c r="AX33" s="774"/>
      <c r="AY33" s="760"/>
      <c r="AZ33" s="760"/>
      <c r="BA33" s="920"/>
      <c r="BB33" s="920"/>
      <c r="BC33" s="774"/>
      <c r="BD33" s="758"/>
      <c r="BE33" s="776"/>
      <c r="BF33" s="776"/>
      <c r="BG33" s="762"/>
      <c r="BH33" s="776"/>
      <c r="BI33" s="776"/>
      <c r="BJ33" s="778"/>
      <c r="BK33" s="768"/>
      <c r="BL33" s="768"/>
      <c r="BM33" s="768"/>
      <c r="BN33" s="764"/>
      <c r="BO33" s="764"/>
      <c r="BP33" s="770"/>
      <c r="BQ33" s="768"/>
      <c r="BR33" s="766"/>
      <c r="BS33" s="766"/>
      <c r="BT33" s="766"/>
      <c r="BU33" s="758"/>
      <c r="BV33" s="768"/>
      <c r="BW33" s="758"/>
      <c r="BX33" s="758"/>
      <c r="BY33" s="908"/>
      <c r="BZ33" s="912"/>
      <c r="CA33" s="957"/>
      <c r="CB33" s="914"/>
      <c r="CC33" s="910"/>
    </row>
    <row r="34" spans="2:81" ht="15.95" customHeight="1">
      <c r="B34" s="785">
        <v>9</v>
      </c>
      <c r="C34" s="825"/>
      <c r="D34" s="826"/>
      <c r="E34" s="826"/>
      <c r="F34" s="826"/>
      <c r="G34" s="826"/>
      <c r="H34" s="826"/>
      <c r="I34" s="826"/>
      <c r="J34" s="936" t="str">
        <f>IF(C34="","",INDEX(CLHVAC[Eff Unit 1],MATCH(C34,CLHVAC[Measure Name],0)))</f>
        <v/>
      </c>
      <c r="K34" s="937"/>
      <c r="L34" s="938" t="str">
        <f>IF(C34="","",INDEX(CLHVAC[Base Efficiency 1],MATCH(C34,CLHVAC[Measure Name],0)))</f>
        <v/>
      </c>
      <c r="M34" s="939"/>
      <c r="N34" s="915"/>
      <c r="O34" s="916"/>
      <c r="P34" s="932" t="str">
        <f>IF(C34="","",INDEX(CLHVAC[Eff Unit 2],MATCH(C34,CLHVAC[Measure Name],0)))</f>
        <v/>
      </c>
      <c r="Q34" s="933"/>
      <c r="R34" s="928" t="str">
        <f>IF(C34="","",INDEX(CLHVAC[Base Efficiency 2],MATCH(C34,CLHVAC[Measure Name],0)))</f>
        <v/>
      </c>
      <c r="S34" s="929"/>
      <c r="T34" s="917" t="str">
        <f>IF(AND(ISNUMBER(SEARCH("DX",C34)),ISNUMBER(SEARCH("&lt;65 kbtu",C34)),N34&lt;&gt;""),1.12*N34-0.02*N34^2,IF(AND(ISNUMBER(SEARCH("PTAC",C34)),N34&lt;&gt;""),1,""))</f>
        <v/>
      </c>
      <c r="U34" s="918"/>
      <c r="V34" s="926"/>
      <c r="W34" s="927"/>
      <c r="X34" s="825"/>
      <c r="Y34" s="826"/>
      <c r="Z34" s="827"/>
      <c r="AA34" s="904"/>
      <c r="AB34" s="905"/>
      <c r="AC34" s="905"/>
      <c r="AD34" s="906"/>
      <c r="AE34" s="809"/>
      <c r="AF34" s="810"/>
      <c r="AG34" s="810"/>
      <c r="AH34" s="812"/>
      <c r="AI34" s="921" t="str">
        <f>IF(C34="","",INDEX(CLHVAC[Current Unit],MATCH(C34,CLHVAC[Measure Name],0)))</f>
        <v/>
      </c>
      <c r="AJ34" s="921"/>
      <c r="AK34" s="921"/>
      <c r="AL34" s="922"/>
      <c r="AM34" s="923" t="str">
        <f>IFERROR(IF(C34="","",INDEX(IF(AND(ACTIVEBONUS = TRUE,INDEX(CLHVAC[Bonus Incentive],MATCH(C34,CLHVAC[Measure Name],0))&lt;&gt; ""),CLHVAC[Bonus Incentive],CLHVAC[BESP Incentive]),MATCH(C34,CLHVAC[Measure Name],0))),"")</f>
        <v/>
      </c>
      <c r="AN34" s="924"/>
      <c r="AO34" s="817" t="str">
        <f>IFERROR(IF(OR(C34="",N34="",V34="",AA34="",T34="",AE34="",AG34=""),"",IF(BD34="Deemed",BH34,IF(BD34="Calculated",BE34,""))),"")</f>
        <v/>
      </c>
      <c r="AP34" s="817"/>
      <c r="AQ34" s="817"/>
      <c r="AR34" s="840" t="str">
        <f>IFERROR(IF(OR(C34="",N34="",V34="",AA34="",T34="",AE34="",AG34=""),"",IF(BY34&lt;&gt;"",BY34,IF(BP34&gt;0,BP34,ROUND(IF(AO34&lt;=0,0,MIN(BL34,BQ34)), 2)))), "")</f>
        <v/>
      </c>
      <c r="AS34" s="840"/>
      <c r="AT34" s="840"/>
      <c r="AU34" s="840"/>
      <c r="AV34" s="17"/>
      <c r="AX34" s="773" t="str">
        <f>IFERROR(IF(OR(C34="",N34="",V34="",AA34="",T34="",AE34="",AG34=""),"",INDEX(CLHVAC[Current Unit],MATCH(C34,CLHVAC[Measure Name],0))),"Err")</f>
        <v/>
      </c>
      <c r="AY34" s="759"/>
      <c r="AZ34" s="759"/>
      <c r="BA34" s="919" t="str">
        <f>IF(C34&lt;&gt;"", _xlfn.LET(
_xlpm.Tons_Cool, V34, _xlpm.PLC_Base, L34, _xlpm.Tons_Heat, CC34, _xlpm.Other_Base, R34,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(12/_xlpm.PLC_Base)*_xlpm.EFLH_Cool,
IF(ISNUMBER(SEARCH("Water", C34)),
_xlpm.Tons_Cool * (_xlpm.PLC_Base) * _xlpm.EFLH_Cool,
" "
)),4),
_xlpm.kWhHeat,
IF(
_xlpm.ElecHeat=1,
ROUND(
IF(OR(ISNUMBER(SEARCH("DX", C34)),ISNUMBER(SEARCH("PTAC", C34)), ISNUMBER(SEARCH("Air-Cooled Chiller", C34)), ISNUMBER(SEARCH("Water", C34)),
ISNUMBER(SEARCH("VRF", C34))),
0,
IF(
OR(ISNUMBER(SEARCH("ASHP", C34)), ISNUMBER(SEARCH("PTHP", C34))),
_xlpm.Tons_Heat * (1/_xlpm.Other_Base) * _xlpm.EFLH_Heat,
" "
)),4),
0
),
IFERROR(_xlpm.kWhCool + _xlpm.kWhHeat, "Measure Not Specified.")
), "")</f>
        <v/>
      </c>
      <c r="BB34" s="919" t="str">
        <f>IF(C34&lt;&gt;"", _xlfn.LET(
_xlpm.Tons_Cool, V34, _xlpm.PLC_Eff, N34, _xlpm.Tons_Heat, CC34, _xlpm.Other_Eff, T34,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(12/_xlpm.PLC_Eff)*_xlpm.EFLH_Cool,
IF(ISNUMBER(SEARCH("Water", C34)),
_xlpm.Tons_Cool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(1/_xlpm.Other_Eff) * _xlpm.EFLH_Heat,
" "
)),4),
0
),
IFERROR(_xlpm.kWhCool + _xlpm.kWhHeat, "Measure Not Specified.")
), "")</f>
        <v/>
      </c>
      <c r="BC34" s="773" t="str">
        <f>IFERROR(IF(OR(C34="",N34="",V34="",AA34="",T34="",AE34="",AG34=""),"",INDEX(CLHVAC[End Use],MATCH(C34,CLHVAC[Measure Name],0))),"Err")</f>
        <v/>
      </c>
      <c r="BD34" s="757" t="str">
        <f>IFERROR(IF(OR(C34="",N34="",V34="",AA34="",T34="",AE34="",AG34=""),"",INDEX(CLHVAC[Reporting Methodology],MATCH(C34,CLHVAC[Measure Name],0))),"Err")</f>
        <v/>
      </c>
      <c r="BE34" s="775" t="str">
        <f t="shared" si="0"/>
        <v/>
      </c>
      <c r="BF34" s="775" t="str">
        <f t="shared" ref="BF34" si="32">IF(C34&lt;&gt;"", _xlfn.LET(
_xlpm.Tons, V34, _xlpm.PCF, 0.913,
IF(OR(ISNUMBER(SEARCH("DX", C34)), ISNUMBER(SEARCH("Air-Cooled Chiller", C34)), ISNUMBER(SEARCH("VRF", C34))),
_xlpm.Tons * (12/R34 - 12/T34) * _xlpm.PCF,
IF(ISNUMBER(SEARCH("Water", C34)),
_xlpm.Tons * (R34-T34) * _xlpm.PCF,
IF(ISNUMBER(SEARCH("ASHP", C34)),
_xlpm.Tons * (12/CA34 - 12/CB34) * _xlpm.PCF,
IF(OR(ISNUMBER(SEARCH("PTAC", C34)), ISNUMBER(SEARCH("PTHP", C34))),
_xlpm.Tons * (12/L34 - 12/N34) * _xlpm.PCF,
"Measure Not Specified."))))), "")</f>
        <v/>
      </c>
      <c r="BG34" s="761"/>
      <c r="BH34" s="775" t="str">
        <f>IF(
OR(C34="",N34="",V34="",AA34="",T34="",AE34="",AG34=""),"",
IF(OR(ISNUMBER(SEARCH("PTAC",C34)),ISNUMBER(SEARCH("PTHP",C34))),
ROUND(V34*INDEX(CLHVAC[Electric Energy Savings WBE (Annual kWh/unit)],MATCH(C34,CLHVAC[Measure Name],0)),4),
ROUND(V34*ABS(N34-L34)*INDEX(CLHVAC[Electric Energy Savings WBE (Annual kWh/unit)],MATCH(C34,CLHVAC[Measure Name],0)),4)
))</f>
        <v/>
      </c>
      <c r="BI34" s="775" t="str">
        <f>IF(
OR(C34="",N34="",V34="",AA34="",T34="",AE34="",AG34=""),"",
IF(OR(ISNUMBER(SEARCH("PTAC",C34)),ISNUMBER(SEARCH("PTHP",C34))),
ROUND(V34*INDEX(CLHVAC[Coincident Peak Demand Savings WBE (kW/unit)],MATCH(C34,CLHVAC[Measure Name],0)),4),
ROUND(V34* ABS(N34-L34)*INDEX(CLHVAC[Coincident Peak Demand Savings WBE (kW/unit)],MATCH(C34,CLHVAC[Measure Name],0)),4)
))</f>
        <v/>
      </c>
      <c r="BJ34" s="777" t="str">
        <f>IFERROR(INDEX(CLHVAC[Measure Life (Years)],MATCH(C34,CLHVAC[Measure Name],0)),"")</f>
        <v/>
      </c>
      <c r="BK34" s="767" t="str">
        <f>IFERROR(IF(OR(C34="",N34="",V34="",AA34="",T34="",AE34="",AG34=""),"",
ROUND(((1+ELOSS)*((BH34*INDEX(ELECCB[NPV AEC $/kWh],MATCH(BJ34,ELECCB[Year Number],1)))+(BI34*INDEX(ELECCB[NPV ACC $/kW],MATCH(BJ34,ELECCB[Year Number],1))))),2)),0)</f>
        <v/>
      </c>
      <c r="BL34" s="767" t="str">
        <f t="shared" si="1"/>
        <v/>
      </c>
      <c r="BM34" s="767"/>
      <c r="BN34" s="763" t="str">
        <f t="shared" si="2"/>
        <v/>
      </c>
      <c r="BO34" s="763" t="str">
        <f>IFERROR(IF(BM34 &lt;&gt; "", BM34, BL34) / M02S04F06 / AO34, "")</f>
        <v/>
      </c>
      <c r="BP34" s="769"/>
      <c r="BQ34" s="767" t="str">
        <f t="shared" ref="BQ34" si="33">IFERROR(IF(AI34="per ton", ROUND(V34*AM34, 2),
IF(AND(ISNUMBER(SEARCH("Air-Cooled Chiller",C34)),AI34="$/ton/IPLV"), ROUND((12/L34-12/N34)*V34*AM34, 2),
ROUND(ABS(N34-L34)*V34*AM34, 2))), "")</f>
        <v/>
      </c>
      <c r="BR34" s="765"/>
      <c r="BS34" s="765"/>
      <c r="BT34" s="765"/>
      <c r="BU34" s="757" t="str">
        <f t="shared" ref="BU34" si="34">IFERROR(IF(BP34="",IF(AR34 &lt; BQ34, "100% Total Cost", ""), ""), "")</f>
        <v/>
      </c>
      <c r="BV34" s="767" t="str">
        <f t="shared" si="3"/>
        <v/>
      </c>
      <c r="BW34" s="757" t="str">
        <f>IFERROR(IF(OR(C34="",N34="",V34="",AA34="",T34="",AE34="",AG34=""),"", IF(BY34&lt;&gt;"", SPILLOVERNUMBER, INDEX(CLHVAC[Measure Number],MATCH(C34,CLHVAC[Measure Name],0)))),"Err")</f>
        <v/>
      </c>
      <c r="BX34" s="757"/>
      <c r="BY34" s="907" t="str">
        <f>IFERROR(
IF(OR(C34="",N34="",T34="",V34="",AA34="",AE34="",AG34=""),
"",
IF(BP34&gt;0,"",IF(OR(AND(ISNUMBER(SEARCH("kW/ton", J34)),OR(L34&lt;N34,R34&lt;T34)),AND(NOT(ISNUMBER(SEARCH("kW/ton", J34))),OR(L34&gt;N34,R34&gt;T34))),
"Must Improve Efficiency",
IF(EXPIRATION&lt;&gt;"",PROJSTATEXP,"")))),
"")</f>
        <v/>
      </c>
      <c r="BZ34" s="911" t="str">
        <f>IFERROR(IF(INDEX(CLHVAC[Eff Unit 3],MATCH(C34,CLHVAC[Measure Name],0))="","",INDEX(CLHVAC[Eff Unit 3],MATCH(C34,CLHVAC[Measure Name],0))),"")</f>
        <v/>
      </c>
      <c r="CA34" s="956" t="str">
        <f>IFERROR(IF(INDEX(CLHVAC[Base Efficiency 3],MATCH(C34,CLHVAC[Measure Name],0))="","",INDEX(CLHVAC[Base Efficiency 3],MATCH(C34,CLHVAC[Measure Name],0))),"")</f>
        <v/>
      </c>
      <c r="CB34" s="913" t="str">
        <f t="shared" ref="CB34" si="35">IFERROR(IF(ISNUMBER(SEARCH("Air-Cooled Chiller",$C34)),12/N34,""),"")</f>
        <v/>
      </c>
      <c r="CC34" s="909"/>
    </row>
    <row r="35" spans="2:81" ht="15.95" customHeight="1">
      <c r="B35" s="785"/>
      <c r="C35" s="793"/>
      <c r="D35" s="795"/>
      <c r="E35" s="795"/>
      <c r="F35" s="795"/>
      <c r="G35" s="795"/>
      <c r="H35" s="795"/>
      <c r="I35" s="795"/>
      <c r="J35" s="932"/>
      <c r="K35" s="933"/>
      <c r="L35" s="928"/>
      <c r="M35" s="929"/>
      <c r="N35" s="915"/>
      <c r="O35" s="916"/>
      <c r="P35" s="934"/>
      <c r="Q35" s="935"/>
      <c r="R35" s="930"/>
      <c r="S35" s="931"/>
      <c r="T35" s="917"/>
      <c r="U35" s="918"/>
      <c r="V35" s="926"/>
      <c r="W35" s="927"/>
      <c r="X35" s="793"/>
      <c r="Y35" s="795"/>
      <c r="Z35" s="794"/>
      <c r="AA35" s="904"/>
      <c r="AB35" s="905"/>
      <c r="AC35" s="905"/>
      <c r="AD35" s="906"/>
      <c r="AE35" s="809"/>
      <c r="AF35" s="810"/>
      <c r="AG35" s="810"/>
      <c r="AH35" s="812"/>
      <c r="AI35" s="921"/>
      <c r="AJ35" s="921"/>
      <c r="AK35" s="921"/>
      <c r="AL35" s="922"/>
      <c r="AM35" s="925"/>
      <c r="AN35" s="900"/>
      <c r="AO35" s="818"/>
      <c r="AP35" s="818"/>
      <c r="AQ35" s="818"/>
      <c r="AR35" s="841"/>
      <c r="AS35" s="841"/>
      <c r="AT35" s="841"/>
      <c r="AU35" s="841"/>
      <c r="AV35" s="17"/>
      <c r="AX35" s="774"/>
      <c r="AY35" s="760"/>
      <c r="AZ35" s="760"/>
      <c r="BA35" s="920"/>
      <c r="BB35" s="920"/>
      <c r="BC35" s="774"/>
      <c r="BD35" s="758"/>
      <c r="BE35" s="776"/>
      <c r="BF35" s="776"/>
      <c r="BG35" s="762"/>
      <c r="BH35" s="776"/>
      <c r="BI35" s="776"/>
      <c r="BJ35" s="778"/>
      <c r="BK35" s="768"/>
      <c r="BL35" s="768"/>
      <c r="BM35" s="768"/>
      <c r="BN35" s="764"/>
      <c r="BO35" s="764"/>
      <c r="BP35" s="770"/>
      <c r="BQ35" s="768"/>
      <c r="BR35" s="766"/>
      <c r="BS35" s="766"/>
      <c r="BT35" s="766"/>
      <c r="BU35" s="758"/>
      <c r="BV35" s="768"/>
      <c r="BW35" s="758"/>
      <c r="BX35" s="758"/>
      <c r="BY35" s="908"/>
      <c r="BZ35" s="912"/>
      <c r="CA35" s="957"/>
      <c r="CB35" s="914"/>
      <c r="CC35" s="910"/>
    </row>
    <row r="36" spans="2:81" ht="15.95" customHeight="1">
      <c r="B36" s="785">
        <v>10</v>
      </c>
      <c r="C36" s="825"/>
      <c r="D36" s="826"/>
      <c r="E36" s="826"/>
      <c r="F36" s="826"/>
      <c r="G36" s="826"/>
      <c r="H36" s="826"/>
      <c r="I36" s="826"/>
      <c r="J36" s="936" t="str">
        <f>IF(C36="","",INDEX(CLHVAC[Eff Unit 1],MATCH(C36,CLHVAC[Measure Name],0)))</f>
        <v/>
      </c>
      <c r="K36" s="937"/>
      <c r="L36" s="938" t="str">
        <f>IF(C36="","",INDEX(CLHVAC[Base Efficiency 1],MATCH(C36,CLHVAC[Measure Name],0)))</f>
        <v/>
      </c>
      <c r="M36" s="939"/>
      <c r="N36" s="915"/>
      <c r="O36" s="916"/>
      <c r="P36" s="932" t="str">
        <f>IF(C36="","",INDEX(CLHVAC[Eff Unit 2],MATCH(C36,CLHVAC[Measure Name],0)))</f>
        <v/>
      </c>
      <c r="Q36" s="933"/>
      <c r="R36" s="928" t="str">
        <f>IF(C36="","",INDEX(CLHVAC[Base Efficiency 2],MATCH(C36,CLHVAC[Measure Name],0)))</f>
        <v/>
      </c>
      <c r="S36" s="929"/>
      <c r="T36" s="917" t="str">
        <f>IF(AND(ISNUMBER(SEARCH("DX",C36)),ISNUMBER(SEARCH("&lt;65 kbtu",C36)),N36&lt;&gt;""),1.12*N36-0.02*N36^2,IF(AND(ISNUMBER(SEARCH("PTAC",C36)),N36&lt;&gt;""),1,""))</f>
        <v/>
      </c>
      <c r="U36" s="918"/>
      <c r="V36" s="926"/>
      <c r="W36" s="927"/>
      <c r="X36" s="825"/>
      <c r="Y36" s="826"/>
      <c r="Z36" s="827"/>
      <c r="AA36" s="904"/>
      <c r="AB36" s="905"/>
      <c r="AC36" s="905"/>
      <c r="AD36" s="906"/>
      <c r="AE36" s="809"/>
      <c r="AF36" s="810"/>
      <c r="AG36" s="810"/>
      <c r="AH36" s="812"/>
      <c r="AI36" s="921" t="str">
        <f>IF(C36="","",INDEX(CLHVAC[Current Unit],MATCH(C36,CLHVAC[Measure Name],0)))</f>
        <v/>
      </c>
      <c r="AJ36" s="921"/>
      <c r="AK36" s="921"/>
      <c r="AL36" s="922"/>
      <c r="AM36" s="923" t="str">
        <f>IFERROR(IF(C36="","",INDEX(IF(AND(ACTIVEBONUS = TRUE,INDEX(CLHVAC[Bonus Incentive],MATCH(C36,CLHVAC[Measure Name],0))&lt;&gt; ""),CLHVAC[Bonus Incentive],CLHVAC[BESP Incentive]),MATCH(C36,CLHVAC[Measure Name],0))),"")</f>
        <v/>
      </c>
      <c r="AN36" s="924"/>
      <c r="AO36" s="817" t="str">
        <f>IFERROR(IF(OR(C36="",N36="",V36="",AA36="",T36="",AE36="",AG36=""),"",IF(BD36="Deemed",BH36,IF(BD36="Calculated",BE36,""))),"")</f>
        <v/>
      </c>
      <c r="AP36" s="817"/>
      <c r="AQ36" s="817"/>
      <c r="AR36" s="840" t="str">
        <f>IFERROR(IF(OR(C36="",N36="",V36="",AA36="",T36="",AE36="",AG36=""),"",IF(BY36&lt;&gt;"",BY36,IF(BP36&gt;0,BP36,ROUND(IF(AO36&lt;=0,0,MIN(BL36,BQ36)), 2)))), "")</f>
        <v/>
      </c>
      <c r="AS36" s="840"/>
      <c r="AT36" s="840"/>
      <c r="AU36" s="840"/>
      <c r="AV36" s="17"/>
      <c r="AX36" s="773" t="str">
        <f>IFERROR(IF(OR(C36="",N36="",V36="",AA36="",T36="",AE36="",AG36=""),"",INDEX(CLHVAC[Current Unit],MATCH(C36,CLHVAC[Measure Name],0))),"Err")</f>
        <v/>
      </c>
      <c r="AY36" s="759"/>
      <c r="AZ36" s="759"/>
      <c r="BA36" s="919" t="str">
        <f>IF(C36&lt;&gt;"", _xlfn.LET(
_xlpm.Tons_Cool, V36, _xlpm.PLC_Base, L36, _xlpm.Tons_Heat, CC36, _xlpm.Other_Base, R36,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(12/_xlpm.PLC_Base)*_xlpm.EFLH_Cool,
IF(ISNUMBER(SEARCH("Water", C36)),
_xlpm.Tons_Cool * (_xlpm.PLC_Base) * _xlpm.EFLH_Cool,
" "
)),4),
_xlpm.kWhHeat,
IF(
_xlpm.ElecHeat=1,
ROUND(
IF(OR(ISNUMBER(SEARCH("DX", C36)),ISNUMBER(SEARCH("PTAC", C36)), ISNUMBER(SEARCH("Air-Cooled Chiller", C36)), ISNUMBER(SEARCH("Water", C36)),
ISNUMBER(SEARCH("VRF", C36))),
0,
IF(
OR(ISNUMBER(SEARCH("ASHP", C36)), ISNUMBER(SEARCH("PTHP", C36))),
_xlpm.Tons_Heat * (1/_xlpm.Other_Base) * _xlpm.EFLH_Heat,
" "
)),4),
0
),
IFERROR(_xlpm.kWhCool + _xlpm.kWhHeat, "Measure Not Specified.")
), "")</f>
        <v/>
      </c>
      <c r="BB36" s="919" t="str">
        <f>IF(C36&lt;&gt;"", _xlfn.LET(
_xlpm.Tons_Cool, V36, _xlpm.PLC_Eff, N36, _xlpm.Tons_Heat, CC36, _xlpm.Other_Eff, T36,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(12/_xlpm.PLC_Eff)*_xlpm.EFLH_Cool,
IF(ISNUMBER(SEARCH("Water", C36)),
_xlpm.Tons_Cool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(1/_xlpm.Other_Eff) * _xlpm.EFLH_Heat,
" "
)),4),
0
),
IFERROR(_xlpm.kWhCool + _xlpm.kWhHeat, "Measure Not Specified.")
), "")</f>
        <v/>
      </c>
      <c r="BC36" s="773" t="str">
        <f>IFERROR(IF(OR(C36="",N36="",V36="",AA36="",T36="",AE36="",AG36=""),"",INDEX(CLHVAC[End Use],MATCH(C36,CLHVAC[Measure Name],0))),"Err")</f>
        <v/>
      </c>
      <c r="BD36" s="757" t="str">
        <f>IFERROR(IF(OR(C36="",N36="",V36="",AA36="",T36="",AE36="",AG36=""),"",INDEX(CLHVAC[Reporting Methodology],MATCH(C36,CLHVAC[Measure Name],0))),"Err")</f>
        <v/>
      </c>
      <c r="BE36" s="775" t="str">
        <f t="shared" si="0"/>
        <v/>
      </c>
      <c r="BF36" s="775" t="str">
        <f t="shared" ref="BF36" si="36">IF(C36&lt;&gt;"", _xlfn.LET(
_xlpm.Tons, V36, _xlpm.PCF, 0.913,
IF(OR(ISNUMBER(SEARCH("DX", C36)), ISNUMBER(SEARCH("Air-Cooled Chiller", C36)), ISNUMBER(SEARCH("VRF", C36))),
_xlpm.Tons * (12/R36 - 12/T36) * _xlpm.PCF,
IF(ISNUMBER(SEARCH("Water", C36)),
_xlpm.Tons * (R36-T36) * _xlpm.PCF,
IF(ISNUMBER(SEARCH("ASHP", C36)),
_xlpm.Tons * (12/CA36 - 12/CB36) * _xlpm.PCF,
IF(OR(ISNUMBER(SEARCH("PTAC", C36)), ISNUMBER(SEARCH("PTHP", C36))),
_xlpm.Tons * (12/L36 - 12/N36) * _xlpm.PCF,
"Measure Not Specified."))))), "")</f>
        <v/>
      </c>
      <c r="BG36" s="761"/>
      <c r="BH36" s="775" t="str">
        <f>IF(
OR(C36="",N36="",V36="",AA36="",T36="",AE36="",AG36=""),"",
IF(OR(ISNUMBER(SEARCH("PTAC",C36)),ISNUMBER(SEARCH("PTHP",C36))),
ROUND(V36*INDEX(CLHVAC[Electric Energy Savings WBE (Annual kWh/unit)],MATCH(C36,CLHVAC[Measure Name],0)),4),
ROUND(V36*ABS(N36-L36)*INDEX(CLHVAC[Electric Energy Savings WBE (Annual kWh/unit)],MATCH(C36,CLHVAC[Measure Name],0)),4)
))</f>
        <v/>
      </c>
      <c r="BI36" s="775" t="str">
        <f>IF(
OR(C36="",N36="",V36="",AA36="",T36="",AE36="",AG36=""),"",
IF(OR(ISNUMBER(SEARCH("PTAC",C36)),ISNUMBER(SEARCH("PTHP",C36))),
ROUND(V36*INDEX(CLHVAC[Coincident Peak Demand Savings WBE (kW/unit)],MATCH(C36,CLHVAC[Measure Name],0)),4),
ROUND(V36* ABS(N36-L36)*INDEX(CLHVAC[Coincident Peak Demand Savings WBE (kW/unit)],MATCH(C36,CLHVAC[Measure Name],0)),4)
))</f>
        <v/>
      </c>
      <c r="BJ36" s="777" t="str">
        <f>IFERROR(INDEX(CLHVAC[Measure Life (Years)],MATCH(C36,CLHVAC[Measure Name],0)),"")</f>
        <v/>
      </c>
      <c r="BK36" s="767" t="str">
        <f>IFERROR(IF(OR(C36="",N36="",V36="",AA36="",T36="",AE36="",AG36=""),"",
ROUND(((1+ELOSS)*((BH36*INDEX(ELECCB[NPV AEC $/kWh],MATCH(BJ36,ELECCB[Year Number],1)))+(BI36*INDEX(ELECCB[NPV ACC $/kW],MATCH(BJ36,ELECCB[Year Number],1))))),2)),0)</f>
        <v/>
      </c>
      <c r="BL36" s="767" t="str">
        <f t="shared" si="1"/>
        <v/>
      </c>
      <c r="BM36" s="767"/>
      <c r="BN36" s="763" t="str">
        <f t="shared" si="2"/>
        <v/>
      </c>
      <c r="BO36" s="763" t="str">
        <f>IFERROR(IF(BM36 &lt;&gt; "", BM36, BL36) / M02S04F06 / AO36, "")</f>
        <v/>
      </c>
      <c r="BP36" s="769"/>
      <c r="BQ36" s="767" t="str">
        <f t="shared" ref="BQ36" si="37">IFERROR(IF(AI36="per ton", ROUND(V36*AM36, 2),
IF(AND(ISNUMBER(SEARCH("Air-Cooled Chiller",C36)),AI36="$/ton/IPLV"), ROUND((12/L36-12/N36)*V36*AM36, 2),
ROUND(ABS(N36-L36)*V36*AM36, 2))), "")</f>
        <v/>
      </c>
      <c r="BR36" s="765"/>
      <c r="BS36" s="765"/>
      <c r="BT36" s="765"/>
      <c r="BU36" s="757" t="str">
        <f t="shared" ref="BU36" si="38">IFERROR(IF(BP36="",IF(AR36 &lt; BQ36, "100% Total Cost", ""), ""), "")</f>
        <v/>
      </c>
      <c r="BV36" s="767" t="str">
        <f t="shared" si="3"/>
        <v/>
      </c>
      <c r="BW36" s="757" t="str">
        <f>IFERROR(IF(OR(C36="",N36="",V36="",AA36="",T36="",AE36="",AG36=""),"", IF(BY36&lt;&gt;"", SPILLOVERNUMBER, INDEX(CLHVAC[Measure Number],MATCH(C36,CLHVAC[Measure Name],0)))),"Err")</f>
        <v/>
      </c>
      <c r="BX36" s="757"/>
      <c r="BY36" s="907" t="str">
        <f>IFERROR(
IF(OR(C36="",N36="",T36="",V36="",AA36="",AE36="",AG36=""),
"",
IF(BP36&gt;0,"",IF(OR(AND(ISNUMBER(SEARCH("kW/ton", J36)),OR(L36&lt;N36,R36&lt;T36)),AND(NOT(ISNUMBER(SEARCH("kW/ton", J36))),OR(L36&gt;N36,R36&gt;T36))),
"Must Improve Efficiency",
IF(EXPIRATION&lt;&gt;"",PROJSTATEXP,"")))),
"")</f>
        <v/>
      </c>
      <c r="BZ36" s="911" t="str">
        <f>IFERROR(IF(INDEX(CLHVAC[Eff Unit 3],MATCH(C36,CLHVAC[Measure Name],0))="","",INDEX(CLHVAC[Eff Unit 3],MATCH(C36,CLHVAC[Measure Name],0))),"")</f>
        <v/>
      </c>
      <c r="CA36" s="956" t="str">
        <f>IFERROR(IF(INDEX(CLHVAC[Base Efficiency 3],MATCH(C36,CLHVAC[Measure Name],0))="","",INDEX(CLHVAC[Base Efficiency 3],MATCH(C36,CLHVAC[Measure Name],0))),"")</f>
        <v/>
      </c>
      <c r="CB36" s="913" t="str">
        <f t="shared" ref="CB36" si="39">IFERROR(IF(ISNUMBER(SEARCH("Air-Cooled Chiller",$C36)),12/N36,""),"")</f>
        <v/>
      </c>
      <c r="CC36" s="909"/>
    </row>
    <row r="37" spans="2:81" ht="15.95" customHeight="1">
      <c r="B37" s="785"/>
      <c r="C37" s="793"/>
      <c r="D37" s="795"/>
      <c r="E37" s="795"/>
      <c r="F37" s="795"/>
      <c r="G37" s="795"/>
      <c r="H37" s="795"/>
      <c r="I37" s="795"/>
      <c r="J37" s="932"/>
      <c r="K37" s="933"/>
      <c r="L37" s="928"/>
      <c r="M37" s="929"/>
      <c r="N37" s="915"/>
      <c r="O37" s="916"/>
      <c r="P37" s="934"/>
      <c r="Q37" s="935"/>
      <c r="R37" s="930"/>
      <c r="S37" s="931"/>
      <c r="T37" s="917"/>
      <c r="U37" s="918"/>
      <c r="V37" s="926"/>
      <c r="W37" s="927"/>
      <c r="X37" s="793"/>
      <c r="Y37" s="795"/>
      <c r="Z37" s="794"/>
      <c r="AA37" s="904"/>
      <c r="AB37" s="905"/>
      <c r="AC37" s="905"/>
      <c r="AD37" s="906"/>
      <c r="AE37" s="809"/>
      <c r="AF37" s="810"/>
      <c r="AG37" s="810"/>
      <c r="AH37" s="812"/>
      <c r="AI37" s="921"/>
      <c r="AJ37" s="921"/>
      <c r="AK37" s="921"/>
      <c r="AL37" s="922"/>
      <c r="AM37" s="925"/>
      <c r="AN37" s="900"/>
      <c r="AO37" s="818"/>
      <c r="AP37" s="818"/>
      <c r="AQ37" s="818"/>
      <c r="AR37" s="841"/>
      <c r="AS37" s="841"/>
      <c r="AT37" s="841"/>
      <c r="AU37" s="841"/>
      <c r="AV37" s="17"/>
      <c r="AX37" s="774"/>
      <c r="AY37" s="760"/>
      <c r="AZ37" s="760"/>
      <c r="BA37" s="920"/>
      <c r="BB37" s="920"/>
      <c r="BC37" s="774"/>
      <c r="BD37" s="758"/>
      <c r="BE37" s="776"/>
      <c r="BF37" s="776"/>
      <c r="BG37" s="762"/>
      <c r="BH37" s="776"/>
      <c r="BI37" s="776"/>
      <c r="BJ37" s="778"/>
      <c r="BK37" s="768"/>
      <c r="BL37" s="768"/>
      <c r="BM37" s="768"/>
      <c r="BN37" s="764"/>
      <c r="BO37" s="764"/>
      <c r="BP37" s="770"/>
      <c r="BQ37" s="768"/>
      <c r="BR37" s="766"/>
      <c r="BS37" s="766"/>
      <c r="BT37" s="766"/>
      <c r="BU37" s="758"/>
      <c r="BV37" s="768"/>
      <c r="BW37" s="758"/>
      <c r="BX37" s="758"/>
      <c r="BY37" s="908"/>
      <c r="BZ37" s="912"/>
      <c r="CA37" s="957"/>
      <c r="CB37" s="914"/>
      <c r="CC37" s="910"/>
    </row>
    <row r="38" spans="2:81" ht="15.95" customHeight="1">
      <c r="B38" s="785">
        <v>11</v>
      </c>
      <c r="C38" s="825"/>
      <c r="D38" s="826"/>
      <c r="E38" s="826"/>
      <c r="F38" s="826"/>
      <c r="G38" s="826"/>
      <c r="H38" s="826"/>
      <c r="I38" s="826"/>
      <c r="J38" s="936" t="str">
        <f>IF(C38="","",INDEX(CLHVAC[Eff Unit 1],MATCH(C38,CLHVAC[Measure Name],0)))</f>
        <v/>
      </c>
      <c r="K38" s="937"/>
      <c r="L38" s="938" t="str">
        <f>IF(C38="","",INDEX(CLHVAC[Base Efficiency 1],MATCH(C38,CLHVAC[Measure Name],0)))</f>
        <v/>
      </c>
      <c r="M38" s="939"/>
      <c r="N38" s="915"/>
      <c r="O38" s="916"/>
      <c r="P38" s="932" t="str">
        <f>IF(C38="","",INDEX(CLHVAC[Eff Unit 2],MATCH(C38,CLHVAC[Measure Name],0)))</f>
        <v/>
      </c>
      <c r="Q38" s="933"/>
      <c r="R38" s="928" t="str">
        <f>IF(C38="","",INDEX(CLHVAC[Base Efficiency 2],MATCH(C38,CLHVAC[Measure Name],0)))</f>
        <v/>
      </c>
      <c r="S38" s="929"/>
      <c r="T38" s="917" t="str">
        <f>IF(AND(ISNUMBER(SEARCH("DX",C38)),ISNUMBER(SEARCH("&lt;65 kbtu",C38)),N38&lt;&gt;""),1.12*N38-0.02*N38^2,IF(AND(ISNUMBER(SEARCH("PTAC",C38)),N38&lt;&gt;""),1,""))</f>
        <v/>
      </c>
      <c r="U38" s="918"/>
      <c r="V38" s="926"/>
      <c r="W38" s="927"/>
      <c r="X38" s="825"/>
      <c r="Y38" s="826"/>
      <c r="Z38" s="827"/>
      <c r="AA38" s="904"/>
      <c r="AB38" s="905"/>
      <c r="AC38" s="905"/>
      <c r="AD38" s="906"/>
      <c r="AE38" s="809"/>
      <c r="AF38" s="810"/>
      <c r="AG38" s="810"/>
      <c r="AH38" s="812"/>
      <c r="AI38" s="921" t="str">
        <f>IF(C38="","",INDEX(CLHVAC[Current Unit],MATCH(C38,CLHVAC[Measure Name],0)))</f>
        <v/>
      </c>
      <c r="AJ38" s="921"/>
      <c r="AK38" s="921"/>
      <c r="AL38" s="922"/>
      <c r="AM38" s="923" t="str">
        <f>IFERROR(IF(C38="","",INDEX(IF(AND(ACTIVEBONUS = TRUE,INDEX(CLHVAC[Bonus Incentive],MATCH(C38,CLHVAC[Measure Name],0))&lt;&gt; ""),CLHVAC[Bonus Incentive],CLHVAC[BESP Incentive]),MATCH(C38,CLHVAC[Measure Name],0))),"")</f>
        <v/>
      </c>
      <c r="AN38" s="924"/>
      <c r="AO38" s="817" t="str">
        <f>IFERROR(IF(OR(C38="",N38="",V38="",AA38="",T38="",AE38="",AG38=""),"",IF(BD38="Deemed",BH38,IF(BD38="Calculated",BE38,""))),"")</f>
        <v/>
      </c>
      <c r="AP38" s="817"/>
      <c r="AQ38" s="817"/>
      <c r="AR38" s="840" t="str">
        <f>IFERROR(IF(OR(C38="",N38="",V38="",AA38="",T38="",AE38="",AG38=""),"",IF(BY38&lt;&gt;"",BY38,IF(BP38&gt;0,BP38,ROUND(IF(AO38&lt;=0,0,MIN(BL38,BQ38)), 2)))), "")</f>
        <v/>
      </c>
      <c r="AS38" s="840"/>
      <c r="AT38" s="840"/>
      <c r="AU38" s="840"/>
      <c r="AV38" s="17"/>
      <c r="AX38" s="773" t="str">
        <f>IFERROR(IF(OR(C38="",N38="",V38="",AA38="",T38="",AE38="",AG38=""),"",INDEX(CLHVAC[Current Unit],MATCH(C38,CLHVAC[Measure Name],0))),"Err")</f>
        <v/>
      </c>
      <c r="AY38" s="759"/>
      <c r="AZ38" s="759"/>
      <c r="BA38" s="919" t="str">
        <f>IF(C38&lt;&gt;"", _xlfn.LET(
_xlpm.Tons_Cool, V38, _xlpm.PLC_Base, L38, _xlpm.Tons_Heat, CC38, _xlpm.Other_Base, R38,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(12/_xlpm.PLC_Base)*_xlpm.EFLH_Cool,
IF(ISNUMBER(SEARCH("Water", C38)),
_xlpm.Tons_Cool * (_xlpm.PLC_Base) * _xlpm.EFLH_Cool,
" "
)),4),
_xlpm.kWhHeat,
IF(
_xlpm.ElecHeat=1,
ROUND(
IF(OR(ISNUMBER(SEARCH("DX", C38)),ISNUMBER(SEARCH("PTAC", C38)), ISNUMBER(SEARCH("Air-Cooled Chiller", C38)), ISNUMBER(SEARCH("Water", C38)),
ISNUMBER(SEARCH("VRF", C38))),
0,
IF(
OR(ISNUMBER(SEARCH("ASHP", C38)), ISNUMBER(SEARCH("PTHP", C38))),
_xlpm.Tons_Heat * (1/_xlpm.Other_Base) * _xlpm.EFLH_Heat,
" "
)),4),
0
),
IFERROR(_xlpm.kWhCool + _xlpm.kWhHeat, "Measure Not Specified.")
), "")</f>
        <v/>
      </c>
      <c r="BB38" s="919" t="str">
        <f>IF(C38&lt;&gt;"", _xlfn.LET(
_xlpm.Tons_Cool, V38, _xlpm.PLC_Eff, N38, _xlpm.Tons_Heat, CC38, _xlpm.Other_Eff, T38,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(12/_xlpm.PLC_Eff)*_xlpm.EFLH_Cool,
IF(ISNUMBER(SEARCH("Water", C38)),
_xlpm.Tons_Cool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(1/_xlpm.Other_Eff) * _xlpm.EFLH_Heat,
" "
)),4),
0
),
IFERROR(_xlpm.kWhCool + _xlpm.kWhHeat, "Measure Not Specified.")
), "")</f>
        <v/>
      </c>
      <c r="BC38" s="773" t="str">
        <f>IFERROR(IF(OR(C38="",N38="",V38="",AA38="",T38="",AE38="",AG38=""),"",INDEX(CLHVAC[End Use],MATCH(C38,CLHVAC[Measure Name],0))),"Err")</f>
        <v/>
      </c>
      <c r="BD38" s="757" t="str">
        <f>IFERROR(IF(OR(C38="",N38="",V38="",AA38="",T38="",AE38="",AG38=""),"",INDEX(CLHVAC[Reporting Methodology],MATCH(C38,CLHVAC[Measure Name],0))),"Err")</f>
        <v/>
      </c>
      <c r="BE38" s="775" t="str">
        <f t="shared" si="0"/>
        <v/>
      </c>
      <c r="BF38" s="775" t="str">
        <f t="shared" ref="BF38" si="40">IF(C38&lt;&gt;"", _xlfn.LET(
_xlpm.Tons, V38, _xlpm.PCF, 0.913,
IF(OR(ISNUMBER(SEARCH("DX", C38)), ISNUMBER(SEARCH("Air-Cooled Chiller", C38)), ISNUMBER(SEARCH("VRF", C38))),
_xlpm.Tons * (12/R38 - 12/T38) * _xlpm.PCF,
IF(ISNUMBER(SEARCH("Water", C38)),
_xlpm.Tons * (R38-T38) * _xlpm.PCF,
IF(ISNUMBER(SEARCH("ASHP", C38)),
_xlpm.Tons * (12/CA38 - 12/CB38) * _xlpm.PCF,
IF(OR(ISNUMBER(SEARCH("PTAC", C38)), ISNUMBER(SEARCH("PTHP", C38))),
_xlpm.Tons * (12/L38 - 12/N38) * _xlpm.PCF,
"Measure Not Specified."))))), "")</f>
        <v/>
      </c>
      <c r="BG38" s="761"/>
      <c r="BH38" s="775" t="str">
        <f>IF(
OR(C38="",N38="",V38="",AA38="",T38="",AE38="",AG38=""),"",
IF(OR(ISNUMBER(SEARCH("PTAC",C38)),ISNUMBER(SEARCH("PTHP",C38))),
ROUND(V38*INDEX(CLHVAC[Electric Energy Savings WBE (Annual kWh/unit)],MATCH(C38,CLHVAC[Measure Name],0)),4),
ROUND(V38*ABS(N38-L38)*INDEX(CLHVAC[Electric Energy Savings WBE (Annual kWh/unit)],MATCH(C38,CLHVAC[Measure Name],0)),4)
))</f>
        <v/>
      </c>
      <c r="BI38" s="775" t="str">
        <f>IF(
OR(C38="",N38="",V38="",AA38="",T38="",AE38="",AG38=""),"",
IF(OR(ISNUMBER(SEARCH("PTAC",C38)),ISNUMBER(SEARCH("PTHP",C38))),
ROUND(V38*INDEX(CLHVAC[Coincident Peak Demand Savings WBE (kW/unit)],MATCH(C38,CLHVAC[Measure Name],0)),4),
ROUND(V38* ABS(N38-L38)*INDEX(CLHVAC[Coincident Peak Demand Savings WBE (kW/unit)],MATCH(C38,CLHVAC[Measure Name],0)),4)
))</f>
        <v/>
      </c>
      <c r="BJ38" s="777" t="str">
        <f>IFERROR(INDEX(CLHVAC[Measure Life (Years)],MATCH(C38,CLHVAC[Measure Name],0)),"")</f>
        <v/>
      </c>
      <c r="BK38" s="767" t="str">
        <f>IFERROR(IF(OR(C38="",N38="",V38="",AA38="",T38="",AE38="",AG38=""),"",
ROUND(((1+ELOSS)*((BH38*INDEX(ELECCB[NPV AEC $/kWh],MATCH(BJ38,ELECCB[Year Number],1)))+(BI38*INDEX(ELECCB[NPV ACC $/kW],MATCH(BJ38,ELECCB[Year Number],1))))),2)),0)</f>
        <v/>
      </c>
      <c r="BL38" s="767" t="str">
        <f t="shared" si="1"/>
        <v/>
      </c>
      <c r="BM38" s="767"/>
      <c r="BN38" s="763" t="str">
        <f t="shared" si="2"/>
        <v/>
      </c>
      <c r="BO38" s="763" t="str">
        <f>IFERROR(IF(BM38 &lt;&gt; "", BM38, BL38) / M02S04F06 / AO38, "")</f>
        <v/>
      </c>
      <c r="BP38" s="769"/>
      <c r="BQ38" s="767" t="str">
        <f t="shared" ref="BQ38" si="41">IFERROR(IF(AI38="per ton", ROUND(V38*AM38, 2),
IF(AND(ISNUMBER(SEARCH("Air-Cooled Chiller",C38)),AI38="$/ton/IPLV"), ROUND((12/L38-12/N38)*V38*AM38, 2),
ROUND(ABS(N38-L38)*V38*AM38, 2))), "")</f>
        <v/>
      </c>
      <c r="BR38" s="765"/>
      <c r="BS38" s="765"/>
      <c r="BT38" s="765"/>
      <c r="BU38" s="757" t="str">
        <f t="shared" ref="BU38" si="42">IFERROR(IF(BP38="",IF(AR38 &lt; BQ38, "100% Total Cost", ""), ""), "")</f>
        <v/>
      </c>
      <c r="BV38" s="767" t="str">
        <f t="shared" si="3"/>
        <v/>
      </c>
      <c r="BW38" s="757" t="str">
        <f>IFERROR(IF(OR(C38="",N38="",V38="",AA38="",T38="",AE38="",AG38=""),"", IF(BY38&lt;&gt;"", SPILLOVERNUMBER, INDEX(CLHVAC[Measure Number],MATCH(C38,CLHVAC[Measure Name],0)))),"Err")</f>
        <v/>
      </c>
      <c r="BX38" s="757"/>
      <c r="BY38" s="907" t="str">
        <f>IFERROR(
IF(OR(C38="",N38="",T38="",V38="",AA38="",AE38="",AG38=""),
"",
IF(BP38&gt;0,"",IF(OR(AND(ISNUMBER(SEARCH("kW/ton", J38)),OR(L38&lt;N38,R38&lt;T38)),AND(NOT(ISNUMBER(SEARCH("kW/ton", J38))),OR(L38&gt;N38,R38&gt;T38))),
"Must Improve Efficiency",
IF(EXPIRATION&lt;&gt;"",PROJSTATEXP,"")))),
"")</f>
        <v/>
      </c>
      <c r="BZ38" s="911" t="str">
        <f>IFERROR(IF(INDEX(CLHVAC[Eff Unit 3],MATCH(C38,CLHVAC[Measure Name],0))="","",INDEX(CLHVAC[Eff Unit 3],MATCH(C38,CLHVAC[Measure Name],0))),"")</f>
        <v/>
      </c>
      <c r="CA38" s="956" t="str">
        <f>IFERROR(IF(INDEX(CLHVAC[Base Efficiency 3],MATCH(C38,CLHVAC[Measure Name],0))="","",INDEX(CLHVAC[Base Efficiency 3],MATCH(C38,CLHVAC[Measure Name],0))),"")</f>
        <v/>
      </c>
      <c r="CB38" s="913" t="str">
        <f t="shared" ref="CB38" si="43">IFERROR(IF(ISNUMBER(SEARCH("Air-Cooled Chiller",$C38)),12/N38,""),"")</f>
        <v/>
      </c>
      <c r="CC38" s="909"/>
    </row>
    <row r="39" spans="2:81" ht="15.95" customHeight="1">
      <c r="B39" s="785"/>
      <c r="C39" s="793"/>
      <c r="D39" s="795"/>
      <c r="E39" s="795"/>
      <c r="F39" s="795"/>
      <c r="G39" s="795"/>
      <c r="H39" s="795"/>
      <c r="I39" s="795"/>
      <c r="J39" s="932"/>
      <c r="K39" s="933"/>
      <c r="L39" s="928"/>
      <c r="M39" s="929"/>
      <c r="N39" s="915"/>
      <c r="O39" s="916"/>
      <c r="P39" s="934"/>
      <c r="Q39" s="935"/>
      <c r="R39" s="930"/>
      <c r="S39" s="931"/>
      <c r="T39" s="917"/>
      <c r="U39" s="918"/>
      <c r="V39" s="926"/>
      <c r="W39" s="927"/>
      <c r="X39" s="793"/>
      <c r="Y39" s="795"/>
      <c r="Z39" s="794"/>
      <c r="AA39" s="904"/>
      <c r="AB39" s="905"/>
      <c r="AC39" s="905"/>
      <c r="AD39" s="906"/>
      <c r="AE39" s="809"/>
      <c r="AF39" s="810"/>
      <c r="AG39" s="810"/>
      <c r="AH39" s="812"/>
      <c r="AI39" s="921"/>
      <c r="AJ39" s="921"/>
      <c r="AK39" s="921"/>
      <c r="AL39" s="922"/>
      <c r="AM39" s="925"/>
      <c r="AN39" s="900"/>
      <c r="AO39" s="818"/>
      <c r="AP39" s="818"/>
      <c r="AQ39" s="818"/>
      <c r="AR39" s="841"/>
      <c r="AS39" s="841"/>
      <c r="AT39" s="841"/>
      <c r="AU39" s="841"/>
      <c r="AV39" s="17"/>
      <c r="AX39" s="774"/>
      <c r="AY39" s="760"/>
      <c r="AZ39" s="760"/>
      <c r="BA39" s="920"/>
      <c r="BB39" s="920"/>
      <c r="BC39" s="774"/>
      <c r="BD39" s="758"/>
      <c r="BE39" s="776"/>
      <c r="BF39" s="776"/>
      <c r="BG39" s="762"/>
      <c r="BH39" s="776"/>
      <c r="BI39" s="776"/>
      <c r="BJ39" s="778"/>
      <c r="BK39" s="768"/>
      <c r="BL39" s="768"/>
      <c r="BM39" s="768"/>
      <c r="BN39" s="764"/>
      <c r="BO39" s="764"/>
      <c r="BP39" s="770"/>
      <c r="BQ39" s="768"/>
      <c r="BR39" s="766"/>
      <c r="BS39" s="766"/>
      <c r="BT39" s="766"/>
      <c r="BU39" s="758"/>
      <c r="BV39" s="768"/>
      <c r="BW39" s="758"/>
      <c r="BX39" s="758"/>
      <c r="BY39" s="908"/>
      <c r="BZ39" s="912"/>
      <c r="CA39" s="957"/>
      <c r="CB39" s="914"/>
      <c r="CC39" s="910"/>
    </row>
    <row r="40" spans="2:81" ht="15.95" customHeight="1">
      <c r="B40" s="785">
        <v>12</v>
      </c>
      <c r="C40" s="825"/>
      <c r="D40" s="826"/>
      <c r="E40" s="826"/>
      <c r="F40" s="826"/>
      <c r="G40" s="826"/>
      <c r="H40" s="826"/>
      <c r="I40" s="826"/>
      <c r="J40" s="936" t="str">
        <f>IF(C40="","",INDEX(CLHVAC[Eff Unit 1],MATCH(C40,CLHVAC[Measure Name],0)))</f>
        <v/>
      </c>
      <c r="K40" s="937"/>
      <c r="L40" s="938" t="str">
        <f>IF(C40="","",INDEX(CLHVAC[Base Efficiency 1],MATCH(C40,CLHVAC[Measure Name],0)))</f>
        <v/>
      </c>
      <c r="M40" s="939"/>
      <c r="N40" s="915"/>
      <c r="O40" s="916"/>
      <c r="P40" s="932" t="str">
        <f>IF(C40="","",INDEX(CLHVAC[Eff Unit 2],MATCH(C40,CLHVAC[Measure Name],0)))</f>
        <v/>
      </c>
      <c r="Q40" s="933"/>
      <c r="R40" s="928" t="str">
        <f>IF(C40="","",INDEX(CLHVAC[Base Efficiency 2],MATCH(C40,CLHVAC[Measure Name],0)))</f>
        <v/>
      </c>
      <c r="S40" s="929"/>
      <c r="T40" s="917" t="str">
        <f>IF(AND(ISNUMBER(SEARCH("DX",C40)),ISNUMBER(SEARCH("&lt;65 kbtu",C40)),N40&lt;&gt;""),1.12*N40-0.02*N40^2,IF(AND(ISNUMBER(SEARCH("PTAC",C40)),N40&lt;&gt;""),1,""))</f>
        <v/>
      </c>
      <c r="U40" s="918"/>
      <c r="V40" s="926"/>
      <c r="W40" s="927"/>
      <c r="X40" s="825"/>
      <c r="Y40" s="826"/>
      <c r="Z40" s="827"/>
      <c r="AA40" s="904"/>
      <c r="AB40" s="905"/>
      <c r="AC40" s="905"/>
      <c r="AD40" s="906"/>
      <c r="AE40" s="809"/>
      <c r="AF40" s="810"/>
      <c r="AG40" s="810"/>
      <c r="AH40" s="812"/>
      <c r="AI40" s="921" t="str">
        <f>IF(C40="","",INDEX(CLHVAC[Current Unit],MATCH(C40,CLHVAC[Measure Name],0)))</f>
        <v/>
      </c>
      <c r="AJ40" s="921"/>
      <c r="AK40" s="921"/>
      <c r="AL40" s="922"/>
      <c r="AM40" s="923" t="str">
        <f>IFERROR(IF(C40="","",INDEX(IF(AND(ACTIVEBONUS = TRUE,INDEX(CLHVAC[Bonus Incentive],MATCH(C40,CLHVAC[Measure Name],0))&lt;&gt; ""),CLHVAC[Bonus Incentive],CLHVAC[BESP Incentive]),MATCH(C40,CLHVAC[Measure Name],0))),"")</f>
        <v/>
      </c>
      <c r="AN40" s="924"/>
      <c r="AO40" s="817" t="str">
        <f>IFERROR(IF(OR(C40="",N40="",V40="",AA40="",T40="",AE40="",AG40=""),"",IF(BD40="Deemed",BH40,IF(BD40="Calculated",BE40,""))),"")</f>
        <v/>
      </c>
      <c r="AP40" s="817"/>
      <c r="AQ40" s="817"/>
      <c r="AR40" s="840" t="str">
        <f>IFERROR(IF(OR(C40="",N40="",V40="",AA40="",T40="",AE40="",AG40=""),"",IF(BY40&lt;&gt;"",BY40,IF(BP40&gt;0,BP40,ROUND(IF(AO40&lt;=0,0,MIN(BL40,BQ40)), 2)))), "")</f>
        <v/>
      </c>
      <c r="AS40" s="840"/>
      <c r="AT40" s="840"/>
      <c r="AU40" s="840"/>
      <c r="AV40" s="17"/>
      <c r="AX40" s="773" t="str">
        <f>IFERROR(IF(OR(C40="",N40="",V40="",AA40="",T40="",AE40="",AG40=""),"",INDEX(CLHVAC[Current Unit],MATCH(C40,CLHVAC[Measure Name],0))),"Err")</f>
        <v/>
      </c>
      <c r="AY40" s="759"/>
      <c r="AZ40" s="759"/>
      <c r="BA40" s="919" t="str">
        <f>IF(C40&lt;&gt;"", _xlfn.LET(
_xlpm.Tons_Cool, V40, _xlpm.PLC_Base, L40, _xlpm.Tons_Heat, CC40, _xlpm.Other_Base, R40,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(12/_xlpm.PLC_Base)*_xlpm.EFLH_Cool,
IF(ISNUMBER(SEARCH("Water", C40)),
_xlpm.Tons_Cool * (_xlpm.PLC_Base) * _xlpm.EFLH_Cool,
" "
)),4),
_xlpm.kWhHeat,
IF(
_xlpm.ElecHeat=1,
ROUND(
IF(OR(ISNUMBER(SEARCH("DX", C40)),ISNUMBER(SEARCH("PTAC", C40)), ISNUMBER(SEARCH("Air-Cooled Chiller", C40)), ISNUMBER(SEARCH("Water", C40)),
ISNUMBER(SEARCH("VRF", C40))),
0,
IF(
OR(ISNUMBER(SEARCH("ASHP", C40)), ISNUMBER(SEARCH("PTHP", C40))),
_xlpm.Tons_Heat * (1/_xlpm.Other_Base) * _xlpm.EFLH_Heat,
" "
)),4),
0
),
IFERROR(_xlpm.kWhCool + _xlpm.kWhHeat, "Measure Not Specified.")
), "")</f>
        <v/>
      </c>
      <c r="BB40" s="919" t="str">
        <f>IF(C40&lt;&gt;"", _xlfn.LET(
_xlpm.Tons_Cool, V40, _xlpm.PLC_Eff, N40, _xlpm.Tons_Heat, CC40, _xlpm.Other_Eff, T40,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(12/_xlpm.PLC_Eff)*_xlpm.EFLH_Cool,
IF(ISNUMBER(SEARCH("Water", C40)),
_xlpm.Tons_Cool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(1/_xlpm.Other_Eff) * _xlpm.EFLH_Heat,
" "
)),4),
0
),
IFERROR(_xlpm.kWhCool + _xlpm.kWhHeat, "Measure Not Specified.")
), "")</f>
        <v/>
      </c>
      <c r="BC40" s="773" t="str">
        <f>IFERROR(IF(OR(C40="",N40="",V40="",AA40="",T40="",AE40="",AG40=""),"",INDEX(CLHVAC[End Use],MATCH(C40,CLHVAC[Measure Name],0))),"Err")</f>
        <v/>
      </c>
      <c r="BD40" s="757" t="str">
        <f>IFERROR(IF(OR(C40="",N40="",V40="",AA40="",T40="",AE40="",AG40=""),"",INDEX(CLHVAC[Reporting Methodology],MATCH(C40,CLHVAC[Measure Name],0))),"Err")</f>
        <v/>
      </c>
      <c r="BE40" s="775" t="str">
        <f t="shared" si="0"/>
        <v/>
      </c>
      <c r="BF40" s="775" t="str">
        <f t="shared" ref="BF40" si="44">IF(C40&lt;&gt;"", _xlfn.LET(
_xlpm.Tons, V40, _xlpm.PCF, 0.913,
IF(OR(ISNUMBER(SEARCH("DX", C40)), ISNUMBER(SEARCH("Air-Cooled Chiller", C40)), ISNUMBER(SEARCH("VRF", C40))),
_xlpm.Tons * (12/R40 - 12/T40) * _xlpm.PCF,
IF(ISNUMBER(SEARCH("Water", C40)),
_xlpm.Tons * (R40-T40) * _xlpm.PCF,
IF(ISNUMBER(SEARCH("ASHP", C40)),
_xlpm.Tons * (12/CA40 - 12/CB40) * _xlpm.PCF,
IF(OR(ISNUMBER(SEARCH("PTAC", C40)), ISNUMBER(SEARCH("PTHP", C40))),
_xlpm.Tons * (12/L40 - 12/N40) * _xlpm.PCF,
"Measure Not Specified."))))), "")</f>
        <v/>
      </c>
      <c r="BG40" s="761"/>
      <c r="BH40" s="775" t="str">
        <f>IF(
OR(C40="",N40="",V40="",AA40="",T40="",AE40="",AG40=""),"",
IF(OR(ISNUMBER(SEARCH("PTAC",C40)),ISNUMBER(SEARCH("PTHP",C40))),
ROUND(V40*INDEX(CLHVAC[Electric Energy Savings WBE (Annual kWh/unit)],MATCH(C40,CLHVAC[Measure Name],0)),4),
ROUND(V40*ABS(N40-L40)*INDEX(CLHVAC[Electric Energy Savings WBE (Annual kWh/unit)],MATCH(C40,CLHVAC[Measure Name],0)),4)
))</f>
        <v/>
      </c>
      <c r="BI40" s="775" t="str">
        <f>IF(
OR(C40="",N40="",V40="",AA40="",T40="",AE40="",AG40=""),"",
IF(OR(ISNUMBER(SEARCH("PTAC",C40)),ISNUMBER(SEARCH("PTHP",C40))),
ROUND(V40*INDEX(CLHVAC[Coincident Peak Demand Savings WBE (kW/unit)],MATCH(C40,CLHVAC[Measure Name],0)),4),
ROUND(V40* ABS(N40-L40)*INDEX(CLHVAC[Coincident Peak Demand Savings WBE (kW/unit)],MATCH(C40,CLHVAC[Measure Name],0)),4)
))</f>
        <v/>
      </c>
      <c r="BJ40" s="777" t="str">
        <f>IFERROR(INDEX(CLHVAC[Measure Life (Years)],MATCH(C40,CLHVAC[Measure Name],0)),"")</f>
        <v/>
      </c>
      <c r="BK40" s="767" t="str">
        <f>IFERROR(IF(OR(C40="",N40="",V40="",AA40="",T40="",AE40="",AG40=""),"",
ROUND(((1+ELOSS)*((BH40*INDEX(ELECCB[NPV AEC $/kWh],MATCH(BJ40,ELECCB[Year Number],1)))+(BI40*INDEX(ELECCB[NPV ACC $/kW],MATCH(BJ40,ELECCB[Year Number],1))))),2)),0)</f>
        <v/>
      </c>
      <c r="BL40" s="767" t="str">
        <f t="shared" si="1"/>
        <v/>
      </c>
      <c r="BM40" s="767"/>
      <c r="BN40" s="763" t="str">
        <f t="shared" si="2"/>
        <v/>
      </c>
      <c r="BO40" s="763" t="str">
        <f>IFERROR(IF(BM40 &lt;&gt; "", BM40, BL40) / M02S04F06 / AO40, "")</f>
        <v/>
      </c>
      <c r="BP40" s="769"/>
      <c r="BQ40" s="767" t="str">
        <f t="shared" ref="BQ40" si="45">IFERROR(IF(AI40="per ton", ROUND(V40*AM40, 2),
IF(AND(ISNUMBER(SEARCH("Air-Cooled Chiller",C40)),AI40="$/ton/IPLV"), ROUND((12/L40-12/N40)*V40*AM40, 2),
ROUND(ABS(N40-L40)*V40*AM40, 2))), "")</f>
        <v/>
      </c>
      <c r="BR40" s="765"/>
      <c r="BS40" s="765"/>
      <c r="BT40" s="765"/>
      <c r="BU40" s="757" t="str">
        <f t="shared" ref="BU40" si="46">IFERROR(IF(BP40="",IF(AR40 &lt; BQ40, "100% Total Cost", ""), ""), "")</f>
        <v/>
      </c>
      <c r="BV40" s="767" t="str">
        <f t="shared" si="3"/>
        <v/>
      </c>
      <c r="BW40" s="757" t="str">
        <f>IFERROR(IF(OR(C40="",N40="",V40="",AA40="",T40="",AE40="",AG40=""),"", IF(BY40&lt;&gt;"", SPILLOVERNUMBER, INDEX(CLHVAC[Measure Number],MATCH(C40,CLHVAC[Measure Name],0)))),"Err")</f>
        <v/>
      </c>
      <c r="BX40" s="757"/>
      <c r="BY40" s="907" t="str">
        <f>IFERROR(
IF(OR(C40="",N40="",T40="",V40="",AA40="",AE40="",AG40=""),
"",
IF(BP40&gt;0,"",IF(OR(AND(ISNUMBER(SEARCH("kW/ton", J40)),OR(L40&lt;N40,R40&lt;T40)),AND(NOT(ISNUMBER(SEARCH("kW/ton", J40))),OR(L40&gt;N40,R40&gt;T40))),
"Must Improve Efficiency",
IF(EXPIRATION&lt;&gt;"",PROJSTATEXP,"")))),
"")</f>
        <v/>
      </c>
      <c r="BZ40" s="911" t="str">
        <f>IFERROR(IF(INDEX(CLHVAC[Eff Unit 3],MATCH(C40,CLHVAC[Measure Name],0))="","",INDEX(CLHVAC[Eff Unit 3],MATCH(C40,CLHVAC[Measure Name],0))),"")</f>
        <v/>
      </c>
      <c r="CA40" s="956" t="str">
        <f>IFERROR(IF(INDEX(CLHVAC[Base Efficiency 3],MATCH(C40,CLHVAC[Measure Name],0))="","",INDEX(CLHVAC[Base Efficiency 3],MATCH(C40,CLHVAC[Measure Name],0))),"")</f>
        <v/>
      </c>
      <c r="CB40" s="913" t="str">
        <f t="shared" ref="CB40" si="47">IFERROR(IF(ISNUMBER(SEARCH("Air-Cooled Chiller",$C40)),12/N40,""),"")</f>
        <v/>
      </c>
      <c r="CC40" s="909"/>
    </row>
    <row r="41" spans="2:81" ht="15.95" customHeight="1">
      <c r="B41" s="785"/>
      <c r="C41" s="793"/>
      <c r="D41" s="795"/>
      <c r="E41" s="795"/>
      <c r="F41" s="795"/>
      <c r="G41" s="795"/>
      <c r="H41" s="795"/>
      <c r="I41" s="795"/>
      <c r="J41" s="932"/>
      <c r="K41" s="933"/>
      <c r="L41" s="928"/>
      <c r="M41" s="929"/>
      <c r="N41" s="915"/>
      <c r="O41" s="916"/>
      <c r="P41" s="934"/>
      <c r="Q41" s="935"/>
      <c r="R41" s="930"/>
      <c r="S41" s="931"/>
      <c r="T41" s="917"/>
      <c r="U41" s="918"/>
      <c r="V41" s="926"/>
      <c r="W41" s="927"/>
      <c r="X41" s="793"/>
      <c r="Y41" s="795"/>
      <c r="Z41" s="794"/>
      <c r="AA41" s="904"/>
      <c r="AB41" s="905"/>
      <c r="AC41" s="905"/>
      <c r="AD41" s="906"/>
      <c r="AE41" s="809"/>
      <c r="AF41" s="810"/>
      <c r="AG41" s="810"/>
      <c r="AH41" s="812"/>
      <c r="AI41" s="921"/>
      <c r="AJ41" s="921"/>
      <c r="AK41" s="921"/>
      <c r="AL41" s="922"/>
      <c r="AM41" s="925"/>
      <c r="AN41" s="900"/>
      <c r="AO41" s="818"/>
      <c r="AP41" s="818"/>
      <c r="AQ41" s="818"/>
      <c r="AR41" s="841"/>
      <c r="AS41" s="841"/>
      <c r="AT41" s="841"/>
      <c r="AU41" s="841"/>
      <c r="AV41" s="17"/>
      <c r="AX41" s="774"/>
      <c r="AY41" s="760"/>
      <c r="AZ41" s="760"/>
      <c r="BA41" s="920"/>
      <c r="BB41" s="920"/>
      <c r="BC41" s="774"/>
      <c r="BD41" s="758"/>
      <c r="BE41" s="776"/>
      <c r="BF41" s="776"/>
      <c r="BG41" s="762"/>
      <c r="BH41" s="776"/>
      <c r="BI41" s="776"/>
      <c r="BJ41" s="778"/>
      <c r="BK41" s="768"/>
      <c r="BL41" s="768"/>
      <c r="BM41" s="768"/>
      <c r="BN41" s="764"/>
      <c r="BO41" s="764"/>
      <c r="BP41" s="770"/>
      <c r="BQ41" s="768"/>
      <c r="BR41" s="766"/>
      <c r="BS41" s="766"/>
      <c r="BT41" s="766"/>
      <c r="BU41" s="758"/>
      <c r="BV41" s="768"/>
      <c r="BW41" s="758"/>
      <c r="BX41" s="758"/>
      <c r="BY41" s="908"/>
      <c r="BZ41" s="912"/>
      <c r="CA41" s="957"/>
      <c r="CB41" s="914"/>
      <c r="CC41" s="910"/>
    </row>
    <row r="42" spans="2:81" ht="15.95" customHeight="1">
      <c r="B42" s="785">
        <v>13</v>
      </c>
      <c r="C42" s="825"/>
      <c r="D42" s="826"/>
      <c r="E42" s="826"/>
      <c r="F42" s="826"/>
      <c r="G42" s="826"/>
      <c r="H42" s="826"/>
      <c r="I42" s="826"/>
      <c r="J42" s="936" t="str">
        <f>IF(C42="","",INDEX(CLHVAC[Eff Unit 1],MATCH(C42,CLHVAC[Measure Name],0)))</f>
        <v/>
      </c>
      <c r="K42" s="937"/>
      <c r="L42" s="938" t="str">
        <f>IF(C42="","",INDEX(CLHVAC[Base Efficiency 1],MATCH(C42,CLHVAC[Measure Name],0)))</f>
        <v/>
      </c>
      <c r="M42" s="939"/>
      <c r="N42" s="915"/>
      <c r="O42" s="916"/>
      <c r="P42" s="932" t="str">
        <f>IF(C42="","",INDEX(CLHVAC[Eff Unit 2],MATCH(C42,CLHVAC[Measure Name],0)))</f>
        <v/>
      </c>
      <c r="Q42" s="933"/>
      <c r="R42" s="928" t="str">
        <f>IF(C42="","",INDEX(CLHVAC[Base Efficiency 2],MATCH(C42,CLHVAC[Measure Name],0)))</f>
        <v/>
      </c>
      <c r="S42" s="929"/>
      <c r="T42" s="917" t="str">
        <f>IF(AND(ISNUMBER(SEARCH("DX",C42)),ISNUMBER(SEARCH("&lt;65 kbtu",C42)),N42&lt;&gt;""),1.12*N42-0.02*N42^2,IF(AND(ISNUMBER(SEARCH("PTAC",C42)),N42&lt;&gt;""),1,""))</f>
        <v/>
      </c>
      <c r="U42" s="918"/>
      <c r="V42" s="926"/>
      <c r="W42" s="927"/>
      <c r="X42" s="825"/>
      <c r="Y42" s="826"/>
      <c r="Z42" s="827"/>
      <c r="AA42" s="904"/>
      <c r="AB42" s="905"/>
      <c r="AC42" s="905"/>
      <c r="AD42" s="906"/>
      <c r="AE42" s="809"/>
      <c r="AF42" s="810"/>
      <c r="AG42" s="810"/>
      <c r="AH42" s="812"/>
      <c r="AI42" s="921" t="str">
        <f>IF(C42="","",INDEX(CLHVAC[Current Unit],MATCH(C42,CLHVAC[Measure Name],0)))</f>
        <v/>
      </c>
      <c r="AJ42" s="921"/>
      <c r="AK42" s="921"/>
      <c r="AL42" s="922"/>
      <c r="AM42" s="923" t="str">
        <f>IFERROR(IF(C42="","",INDEX(IF(AND(ACTIVEBONUS = TRUE,INDEX(CLHVAC[Bonus Incentive],MATCH(C42,CLHVAC[Measure Name],0))&lt;&gt; ""),CLHVAC[Bonus Incentive],CLHVAC[BESP Incentive]),MATCH(C42,CLHVAC[Measure Name],0))),"")</f>
        <v/>
      </c>
      <c r="AN42" s="924"/>
      <c r="AO42" s="817" t="str">
        <f>IFERROR(IF(OR(C42="",N42="",V42="",AA42="",T42="",AE42="",AG42=""),"",IF(BD42="Deemed",BH42,IF(BD42="Calculated",BE42,""))),"")</f>
        <v/>
      </c>
      <c r="AP42" s="817"/>
      <c r="AQ42" s="817"/>
      <c r="AR42" s="840" t="str">
        <f>IFERROR(IF(OR(C42="",N42="",V42="",AA42="",T42="",AE42="",AG42=""),"",IF(BY42&lt;&gt;"",BY42,IF(BP42&gt;0,BP42,ROUND(IF(AO42&lt;=0,0,MIN(BL42,BQ42)), 2)))), "")</f>
        <v/>
      </c>
      <c r="AS42" s="840"/>
      <c r="AT42" s="840"/>
      <c r="AU42" s="840"/>
      <c r="AV42" s="17"/>
      <c r="AX42" s="773" t="str">
        <f>IFERROR(IF(OR(C42="",N42="",V42="",AA42="",T42="",AE42="",AG42=""),"",INDEX(CLHVAC[Current Unit],MATCH(C42,CLHVAC[Measure Name],0))),"Err")</f>
        <v/>
      </c>
      <c r="AY42" s="759"/>
      <c r="AZ42" s="759"/>
      <c r="BA42" s="919" t="str">
        <f>IF(C42&lt;&gt;"", _xlfn.LET(
_xlpm.Tons_Cool, V42, _xlpm.PLC_Base, L42, _xlpm.Tons_Heat, CC42, _xlpm.Other_Base, R42,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(12/_xlpm.PLC_Base)*_xlpm.EFLH_Cool,
IF(ISNUMBER(SEARCH("Water", C42)),
_xlpm.Tons_Cool * (_xlpm.PLC_Base) * _xlpm.EFLH_Cool,
" "
)),4),
_xlpm.kWhHeat,
IF(
_xlpm.ElecHeat=1,
ROUND(
IF(OR(ISNUMBER(SEARCH("DX", C42)),ISNUMBER(SEARCH("PTAC", C42)), ISNUMBER(SEARCH("Air-Cooled Chiller", C42)), ISNUMBER(SEARCH("Water", C42)),
ISNUMBER(SEARCH("VRF", C42))),
0,
IF(
OR(ISNUMBER(SEARCH("ASHP", C42)), ISNUMBER(SEARCH("PTHP", C42))),
_xlpm.Tons_Heat * (1/_xlpm.Other_Base) * _xlpm.EFLH_Heat,
" "
)),4),
0
),
IFERROR(_xlpm.kWhCool + _xlpm.kWhHeat, "Measure Not Specified.")
), "")</f>
        <v/>
      </c>
      <c r="BB42" s="919" t="str">
        <f>IF(C42&lt;&gt;"", _xlfn.LET(
_xlpm.Tons_Cool, V42, _xlpm.PLC_Eff, N42, _xlpm.Tons_Heat, CC42, _xlpm.Other_Eff, T42,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(12/_xlpm.PLC_Eff)*_xlpm.EFLH_Cool,
IF(ISNUMBER(SEARCH("Water", C42)),
_xlpm.Tons_Cool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(1/_xlpm.Other_Eff) * _xlpm.EFLH_Heat,
" "
)),4),
0
),
IFERROR(_xlpm.kWhCool + _xlpm.kWhHeat, "Measure Not Specified.")
), "")</f>
        <v/>
      </c>
      <c r="BC42" s="773" t="str">
        <f>IFERROR(IF(OR(C42="",N42="",V42="",AA42="",T42="",AE42="",AG42=""),"",INDEX(CLHVAC[End Use],MATCH(C42,CLHVAC[Measure Name],0))),"Err")</f>
        <v/>
      </c>
      <c r="BD42" s="757" t="str">
        <f>IFERROR(IF(OR(C42="",N42="",V42="",AA42="",T42="",AE42="",AG42=""),"",INDEX(CLHVAC[Reporting Methodology],MATCH(C42,CLHVAC[Measure Name],0))),"Err")</f>
        <v/>
      </c>
      <c r="BE42" s="775" t="str">
        <f t="shared" si="0"/>
        <v/>
      </c>
      <c r="BF42" s="775" t="str">
        <f t="shared" ref="BF42" si="48">IF(C42&lt;&gt;"", _xlfn.LET(
_xlpm.Tons, V42, _xlpm.PCF, 0.913,
IF(OR(ISNUMBER(SEARCH("DX", C42)), ISNUMBER(SEARCH("Air-Cooled Chiller", C42)), ISNUMBER(SEARCH("VRF", C42))),
_xlpm.Tons * (12/R42 - 12/T42) * _xlpm.PCF,
IF(ISNUMBER(SEARCH("Water", C42)),
_xlpm.Tons * (R42-T42) * _xlpm.PCF,
IF(ISNUMBER(SEARCH("ASHP", C42)),
_xlpm.Tons * (12/CA42 - 12/CB42) * _xlpm.PCF,
IF(OR(ISNUMBER(SEARCH("PTAC", C42)), ISNUMBER(SEARCH("PTHP", C42))),
_xlpm.Tons * (12/L42 - 12/N42) * _xlpm.PCF,
"Measure Not Specified."))))), "")</f>
        <v/>
      </c>
      <c r="BG42" s="761"/>
      <c r="BH42" s="775" t="str">
        <f>IF(
OR(C42="",N42="",V42="",AA42="",T42="",AE42="",AG42=""),"",
IF(OR(ISNUMBER(SEARCH("PTAC",C42)),ISNUMBER(SEARCH("PTHP",C42))),
ROUND(V42*INDEX(CLHVAC[Electric Energy Savings WBE (Annual kWh/unit)],MATCH(C42,CLHVAC[Measure Name],0)),4),
ROUND(V42*ABS(N42-L42)*INDEX(CLHVAC[Electric Energy Savings WBE (Annual kWh/unit)],MATCH(C42,CLHVAC[Measure Name],0)),4)
))</f>
        <v/>
      </c>
      <c r="BI42" s="775" t="str">
        <f>IF(
OR(C42="",N42="",V42="",AA42="",T42="",AE42="",AG42=""),"",
IF(OR(ISNUMBER(SEARCH("PTAC",C42)),ISNUMBER(SEARCH("PTHP",C42))),
ROUND(V42*INDEX(CLHVAC[Coincident Peak Demand Savings WBE (kW/unit)],MATCH(C42,CLHVAC[Measure Name],0)),4),
ROUND(V42* ABS(N42-L42)*INDEX(CLHVAC[Coincident Peak Demand Savings WBE (kW/unit)],MATCH(C42,CLHVAC[Measure Name],0)),4)
))</f>
        <v/>
      </c>
      <c r="BJ42" s="777" t="str">
        <f>IFERROR(INDEX(CLHVAC[Measure Life (Years)],MATCH(C42,CLHVAC[Measure Name],0)),"")</f>
        <v/>
      </c>
      <c r="BK42" s="767" t="str">
        <f>IFERROR(IF(OR(C42="",N42="",V42="",AA42="",T42="",AE42="",AG42=""),"",
ROUND(((1+ELOSS)*((BH42*INDEX(ELECCB[NPV AEC $/kWh],MATCH(BJ42,ELECCB[Year Number],1)))+(BI42*INDEX(ELECCB[NPV ACC $/kW],MATCH(BJ42,ELECCB[Year Number],1))))),2)),0)</f>
        <v/>
      </c>
      <c r="BL42" s="767" t="str">
        <f t="shared" si="1"/>
        <v/>
      </c>
      <c r="BM42" s="767"/>
      <c r="BN42" s="763" t="str">
        <f t="shared" si="2"/>
        <v/>
      </c>
      <c r="BO42" s="763" t="str">
        <f>IFERROR(IF(BM42 &lt;&gt; "", BM42, BL42) / M02S04F06 / AO42, "")</f>
        <v/>
      </c>
      <c r="BP42" s="769"/>
      <c r="BQ42" s="767" t="str">
        <f t="shared" ref="BQ42" si="49">IFERROR(IF(AI42="per ton", ROUND(V42*AM42, 2),
IF(AND(ISNUMBER(SEARCH("Air-Cooled Chiller",C42)),AI42="$/ton/IPLV"), ROUND((12/L42-12/N42)*V42*AM42, 2),
ROUND(ABS(N42-L42)*V42*AM42, 2))), "")</f>
        <v/>
      </c>
      <c r="BR42" s="765"/>
      <c r="BS42" s="765"/>
      <c r="BT42" s="765"/>
      <c r="BU42" s="757" t="str">
        <f t="shared" ref="BU42" si="50">IFERROR(IF(BP42="",IF(AR42 &lt; BQ42, "100% Total Cost", ""), ""), "")</f>
        <v/>
      </c>
      <c r="BV42" s="767" t="str">
        <f t="shared" si="3"/>
        <v/>
      </c>
      <c r="BW42" s="757" t="str">
        <f>IFERROR(IF(OR(C42="",N42="",V42="",AA42="",T42="",AE42="",AG42=""),"", IF(BY42&lt;&gt;"", SPILLOVERNUMBER, INDEX(CLHVAC[Measure Number],MATCH(C42,CLHVAC[Measure Name],0)))),"Err")</f>
        <v/>
      </c>
      <c r="BX42" s="757"/>
      <c r="BY42" s="907" t="str">
        <f>IFERROR(
IF(OR(C42="",N42="",T42="",V42="",AA42="",AE42="",AG42=""),
"",
IF(BP42&gt;0,"",IF(OR(AND(ISNUMBER(SEARCH("kW/ton", J42)),OR(L42&lt;N42,R42&lt;T42)),AND(NOT(ISNUMBER(SEARCH("kW/ton", J42))),OR(L42&gt;N42,R42&gt;T42))),
"Must Improve Efficiency",
IF(EXPIRATION&lt;&gt;"",PROJSTATEXP,"")))),
"")</f>
        <v/>
      </c>
      <c r="BZ42" s="911" t="str">
        <f>IFERROR(IF(INDEX(CLHVAC[Eff Unit 3],MATCH(C42,CLHVAC[Measure Name],0))="","",INDEX(CLHVAC[Eff Unit 3],MATCH(C42,CLHVAC[Measure Name],0))),"")</f>
        <v/>
      </c>
      <c r="CA42" s="956" t="str">
        <f>IFERROR(IF(INDEX(CLHVAC[Base Efficiency 3],MATCH(C42,CLHVAC[Measure Name],0))="","",INDEX(CLHVAC[Base Efficiency 3],MATCH(C42,CLHVAC[Measure Name],0))),"")</f>
        <v/>
      </c>
      <c r="CB42" s="913" t="str">
        <f t="shared" ref="CB42" si="51">IFERROR(IF(ISNUMBER(SEARCH("Air-Cooled Chiller",$C42)),12/N42,""),"")</f>
        <v/>
      </c>
      <c r="CC42" s="909"/>
    </row>
    <row r="43" spans="2:81" ht="15.95" customHeight="1">
      <c r="B43" s="785"/>
      <c r="C43" s="793"/>
      <c r="D43" s="795"/>
      <c r="E43" s="795"/>
      <c r="F43" s="795"/>
      <c r="G43" s="795"/>
      <c r="H43" s="795"/>
      <c r="I43" s="795"/>
      <c r="J43" s="932"/>
      <c r="K43" s="933"/>
      <c r="L43" s="928"/>
      <c r="M43" s="929"/>
      <c r="N43" s="915"/>
      <c r="O43" s="916"/>
      <c r="P43" s="934"/>
      <c r="Q43" s="935"/>
      <c r="R43" s="930"/>
      <c r="S43" s="931"/>
      <c r="T43" s="917"/>
      <c r="U43" s="918"/>
      <c r="V43" s="926"/>
      <c r="W43" s="927"/>
      <c r="X43" s="793"/>
      <c r="Y43" s="795"/>
      <c r="Z43" s="794"/>
      <c r="AA43" s="904"/>
      <c r="AB43" s="905"/>
      <c r="AC43" s="905"/>
      <c r="AD43" s="906"/>
      <c r="AE43" s="809"/>
      <c r="AF43" s="810"/>
      <c r="AG43" s="810"/>
      <c r="AH43" s="812"/>
      <c r="AI43" s="921"/>
      <c r="AJ43" s="921"/>
      <c r="AK43" s="921"/>
      <c r="AL43" s="922"/>
      <c r="AM43" s="925"/>
      <c r="AN43" s="900"/>
      <c r="AO43" s="818"/>
      <c r="AP43" s="818"/>
      <c r="AQ43" s="818"/>
      <c r="AR43" s="841"/>
      <c r="AS43" s="841"/>
      <c r="AT43" s="841"/>
      <c r="AU43" s="841"/>
      <c r="AV43" s="17"/>
      <c r="AX43" s="774"/>
      <c r="AY43" s="760"/>
      <c r="AZ43" s="760"/>
      <c r="BA43" s="920"/>
      <c r="BB43" s="920"/>
      <c r="BC43" s="774"/>
      <c r="BD43" s="758"/>
      <c r="BE43" s="776"/>
      <c r="BF43" s="776"/>
      <c r="BG43" s="762"/>
      <c r="BH43" s="776"/>
      <c r="BI43" s="776"/>
      <c r="BJ43" s="778"/>
      <c r="BK43" s="768"/>
      <c r="BL43" s="768"/>
      <c r="BM43" s="768"/>
      <c r="BN43" s="764"/>
      <c r="BO43" s="764"/>
      <c r="BP43" s="770"/>
      <c r="BQ43" s="768"/>
      <c r="BR43" s="766"/>
      <c r="BS43" s="766"/>
      <c r="BT43" s="766"/>
      <c r="BU43" s="758"/>
      <c r="BV43" s="768"/>
      <c r="BW43" s="758"/>
      <c r="BX43" s="758"/>
      <c r="BY43" s="908"/>
      <c r="BZ43" s="912"/>
      <c r="CA43" s="957"/>
      <c r="CB43" s="914"/>
      <c r="CC43" s="910"/>
    </row>
    <row r="44" spans="2:81" ht="15.95" customHeight="1">
      <c r="B44" s="785">
        <v>14</v>
      </c>
      <c r="C44" s="825"/>
      <c r="D44" s="826"/>
      <c r="E44" s="826"/>
      <c r="F44" s="826"/>
      <c r="G44" s="826"/>
      <c r="H44" s="826"/>
      <c r="I44" s="826"/>
      <c r="J44" s="936" t="str">
        <f>IF(C44="","",INDEX(CLHVAC[Eff Unit 1],MATCH(C44,CLHVAC[Measure Name],0)))</f>
        <v/>
      </c>
      <c r="K44" s="937"/>
      <c r="L44" s="938" t="str">
        <f>IF(C44="","",INDEX(CLHVAC[Base Efficiency 1],MATCH(C44,CLHVAC[Measure Name],0)))</f>
        <v/>
      </c>
      <c r="M44" s="939"/>
      <c r="N44" s="915"/>
      <c r="O44" s="916"/>
      <c r="P44" s="932" t="str">
        <f>IF(C44="","",INDEX(CLHVAC[Eff Unit 2],MATCH(C44,CLHVAC[Measure Name],0)))</f>
        <v/>
      </c>
      <c r="Q44" s="933"/>
      <c r="R44" s="928" t="str">
        <f>IF(C44="","",INDEX(CLHVAC[Base Efficiency 2],MATCH(C44,CLHVAC[Measure Name],0)))</f>
        <v/>
      </c>
      <c r="S44" s="929"/>
      <c r="T44" s="917" t="str">
        <f>IF(AND(ISNUMBER(SEARCH("DX",C44)),ISNUMBER(SEARCH("&lt;65 kbtu",C44)),N44&lt;&gt;""),1.12*N44-0.02*N44^2,IF(AND(ISNUMBER(SEARCH("PTAC",C44)),N44&lt;&gt;""),1,""))</f>
        <v/>
      </c>
      <c r="U44" s="918"/>
      <c r="V44" s="926"/>
      <c r="W44" s="927"/>
      <c r="X44" s="825"/>
      <c r="Y44" s="826"/>
      <c r="Z44" s="827"/>
      <c r="AA44" s="904"/>
      <c r="AB44" s="905"/>
      <c r="AC44" s="905"/>
      <c r="AD44" s="906"/>
      <c r="AE44" s="809"/>
      <c r="AF44" s="810"/>
      <c r="AG44" s="810"/>
      <c r="AH44" s="812"/>
      <c r="AI44" s="921" t="str">
        <f>IF(C44="","",INDEX(CLHVAC[Current Unit],MATCH(C44,CLHVAC[Measure Name],0)))</f>
        <v/>
      </c>
      <c r="AJ44" s="921"/>
      <c r="AK44" s="921"/>
      <c r="AL44" s="922"/>
      <c r="AM44" s="923" t="str">
        <f>IFERROR(IF(C44="","",INDEX(IF(AND(ACTIVEBONUS = TRUE,INDEX(CLHVAC[Bonus Incentive],MATCH(C44,CLHVAC[Measure Name],0))&lt;&gt; ""),CLHVAC[Bonus Incentive],CLHVAC[BESP Incentive]),MATCH(C44,CLHVAC[Measure Name],0))),"")</f>
        <v/>
      </c>
      <c r="AN44" s="924"/>
      <c r="AO44" s="817" t="str">
        <f>IFERROR(IF(OR(C44="",N44="",V44="",AA44="",T44="",AE44="",AG44=""),"",IF(BD44="Deemed",BH44,IF(BD44="Calculated",BE44,""))),"")</f>
        <v/>
      </c>
      <c r="AP44" s="817"/>
      <c r="AQ44" s="817"/>
      <c r="AR44" s="840" t="str">
        <f>IFERROR(IF(OR(C44="",N44="",V44="",AA44="",T44="",AE44="",AG44=""),"",IF(BY44&lt;&gt;"",BY44,IF(BP44&gt;0,BP44,ROUND(IF(AO44&lt;=0,0,MIN(BL44,BQ44)), 2)))), "")</f>
        <v/>
      </c>
      <c r="AS44" s="840"/>
      <c r="AT44" s="840"/>
      <c r="AU44" s="840"/>
      <c r="AV44" s="17"/>
      <c r="AX44" s="773" t="str">
        <f>IFERROR(IF(OR(C44="",N44="",V44="",AA44="",T44="",AE44="",AG44=""),"",INDEX(CLHVAC[Current Unit],MATCH(C44,CLHVAC[Measure Name],0))),"Err")</f>
        <v/>
      </c>
      <c r="AY44" s="759"/>
      <c r="AZ44" s="759"/>
      <c r="BA44" s="919" t="str">
        <f>IF(C44&lt;&gt;"", _xlfn.LET(
_xlpm.Tons_Cool, V44, _xlpm.PLC_Base, L44, _xlpm.Tons_Heat, CC44, _xlpm.Other_Base, R44,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(12/_xlpm.PLC_Base)*_xlpm.EFLH_Cool,
IF(ISNUMBER(SEARCH("Water", C44)),
_xlpm.Tons_Cool * (_xlpm.PLC_Base) * _xlpm.EFLH_Cool,
" "
)),4),
_xlpm.kWhHeat,
IF(
_xlpm.ElecHeat=1,
ROUND(
IF(OR(ISNUMBER(SEARCH("DX", C44)),ISNUMBER(SEARCH("PTAC", C44)), ISNUMBER(SEARCH("Air-Cooled Chiller", C44)), ISNUMBER(SEARCH("Water", C44)),
ISNUMBER(SEARCH("VRF", C44))),
0,
IF(
OR(ISNUMBER(SEARCH("ASHP", C44)), ISNUMBER(SEARCH("PTHP", C44))),
_xlpm.Tons_Heat * (1/_xlpm.Other_Base) * _xlpm.EFLH_Heat,
" "
)),4),
0
),
IFERROR(_xlpm.kWhCool + _xlpm.kWhHeat, "Measure Not Specified.")
), "")</f>
        <v/>
      </c>
      <c r="BB44" s="919" t="str">
        <f>IF(C44&lt;&gt;"", _xlfn.LET(
_xlpm.Tons_Cool, V44, _xlpm.PLC_Eff, N44, _xlpm.Tons_Heat, CC44, _xlpm.Other_Eff, T44,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(12/_xlpm.PLC_Eff)*_xlpm.EFLH_Cool,
IF(ISNUMBER(SEARCH("Water", C44)),
_xlpm.Tons_Cool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(1/_xlpm.Other_Eff) * _xlpm.EFLH_Heat,
" "
)),4),
0
),
IFERROR(_xlpm.kWhCool + _xlpm.kWhHeat, "Measure Not Specified.")
), "")</f>
        <v/>
      </c>
      <c r="BC44" s="773" t="str">
        <f>IFERROR(IF(OR(C44="",N44="",V44="",AA44="",T44="",AE44="",AG44=""),"",INDEX(CLHVAC[End Use],MATCH(C44,CLHVAC[Measure Name],0))),"Err")</f>
        <v/>
      </c>
      <c r="BD44" s="757" t="str">
        <f>IFERROR(IF(OR(C44="",N44="",V44="",AA44="",T44="",AE44="",AG44=""),"",INDEX(CLHVAC[Reporting Methodology],MATCH(C44,CLHVAC[Measure Name],0))),"Err")</f>
        <v/>
      </c>
      <c r="BE44" s="775" t="str">
        <f t="shared" si="0"/>
        <v/>
      </c>
      <c r="BF44" s="775" t="str">
        <f t="shared" ref="BF44" si="52">IF(C44&lt;&gt;"", _xlfn.LET(
_xlpm.Tons, V44, _xlpm.PCF, 0.913,
IF(OR(ISNUMBER(SEARCH("DX", C44)), ISNUMBER(SEARCH("Air-Cooled Chiller", C44)), ISNUMBER(SEARCH("VRF", C44))),
_xlpm.Tons * (12/R44 - 12/T44) * _xlpm.PCF,
IF(ISNUMBER(SEARCH("Water", C44)),
_xlpm.Tons * (R44-T44) * _xlpm.PCF,
IF(ISNUMBER(SEARCH("ASHP", C44)),
_xlpm.Tons * (12/CA44 - 12/CB44) * _xlpm.PCF,
IF(OR(ISNUMBER(SEARCH("PTAC", C44)), ISNUMBER(SEARCH("PTHP", C44))),
_xlpm.Tons * (12/L44 - 12/N44) * _xlpm.PCF,
"Measure Not Specified."))))), "")</f>
        <v/>
      </c>
      <c r="BG44" s="761"/>
      <c r="BH44" s="775" t="str">
        <f>IF(
OR(C44="",N44="",V44="",AA44="",T44="",AE44="",AG44=""),"",
IF(OR(ISNUMBER(SEARCH("PTAC",C44)),ISNUMBER(SEARCH("PTHP",C44))),
ROUND(V44*INDEX(CLHVAC[Electric Energy Savings WBE (Annual kWh/unit)],MATCH(C44,CLHVAC[Measure Name],0)),4),
ROUND(V44*ABS(N44-L44)*INDEX(CLHVAC[Electric Energy Savings WBE (Annual kWh/unit)],MATCH(C44,CLHVAC[Measure Name],0)),4)
))</f>
        <v/>
      </c>
      <c r="BI44" s="775" t="str">
        <f>IF(
OR(C44="",N44="",V44="",AA44="",T44="",AE44="",AG44=""),"",
IF(OR(ISNUMBER(SEARCH("PTAC",C44)),ISNUMBER(SEARCH("PTHP",C44))),
ROUND(V44*INDEX(CLHVAC[Coincident Peak Demand Savings WBE (kW/unit)],MATCH(C44,CLHVAC[Measure Name],0)),4),
ROUND(V44* ABS(N44-L44)*INDEX(CLHVAC[Coincident Peak Demand Savings WBE (kW/unit)],MATCH(C44,CLHVAC[Measure Name],0)),4)
))</f>
        <v/>
      </c>
      <c r="BJ44" s="777" t="str">
        <f>IFERROR(INDEX(CLHVAC[Measure Life (Years)],MATCH(C44,CLHVAC[Measure Name],0)),"")</f>
        <v/>
      </c>
      <c r="BK44" s="767" t="str">
        <f>IFERROR(IF(OR(C44="",N44="",V44="",AA44="",T44="",AE44="",AG44=""),"",
ROUND(((1+ELOSS)*((BH44*INDEX(ELECCB[NPV AEC $/kWh],MATCH(BJ44,ELECCB[Year Number],1)))+(BI44*INDEX(ELECCB[NPV ACC $/kW],MATCH(BJ44,ELECCB[Year Number],1))))),2)),0)</f>
        <v/>
      </c>
      <c r="BL44" s="767" t="str">
        <f t="shared" si="1"/>
        <v/>
      </c>
      <c r="BM44" s="767"/>
      <c r="BN44" s="763" t="str">
        <f t="shared" si="2"/>
        <v/>
      </c>
      <c r="BO44" s="763" t="str">
        <f>IFERROR(IF(BM44 &lt;&gt; "", BM44, BL44) / M02S04F06 / AO44, "")</f>
        <v/>
      </c>
      <c r="BP44" s="769"/>
      <c r="BQ44" s="767" t="str">
        <f t="shared" ref="BQ44" si="53">IFERROR(IF(AI44="per ton", ROUND(V44*AM44, 2),
IF(AND(ISNUMBER(SEARCH("Air-Cooled Chiller",C44)),AI44="$/ton/IPLV"), ROUND((12/L44-12/N44)*V44*AM44, 2),
ROUND(ABS(N44-L44)*V44*AM44, 2))), "")</f>
        <v/>
      </c>
      <c r="BR44" s="765"/>
      <c r="BS44" s="765"/>
      <c r="BT44" s="765"/>
      <c r="BU44" s="757" t="str">
        <f t="shared" ref="BU44" si="54">IFERROR(IF(BP44="",IF(AR44 &lt; BQ44, "100% Total Cost", ""), ""), "")</f>
        <v/>
      </c>
      <c r="BV44" s="767" t="str">
        <f t="shared" si="3"/>
        <v/>
      </c>
      <c r="BW44" s="757" t="str">
        <f>IFERROR(IF(OR(C44="",N44="",V44="",AA44="",T44="",AE44="",AG44=""),"", IF(BY44&lt;&gt;"", SPILLOVERNUMBER, INDEX(CLHVAC[Measure Number],MATCH(C44,CLHVAC[Measure Name],0)))),"Err")</f>
        <v/>
      </c>
      <c r="BX44" s="757"/>
      <c r="BY44" s="907" t="str">
        <f>IFERROR(
IF(OR(C44="",N44="",T44="",V44="",AA44="",AE44="",AG44=""),
"",
IF(BP44&gt;0,"",IF(OR(AND(ISNUMBER(SEARCH("kW/ton", J44)),OR(L44&lt;N44,R44&lt;T44)),AND(NOT(ISNUMBER(SEARCH("kW/ton", J44))),OR(L44&gt;N44,R44&gt;T44))),
"Must Improve Efficiency",
IF(EXPIRATION&lt;&gt;"",PROJSTATEXP,"")))),
"")</f>
        <v/>
      </c>
      <c r="BZ44" s="911" t="str">
        <f>IFERROR(IF(INDEX(CLHVAC[Eff Unit 3],MATCH(C44,CLHVAC[Measure Name],0))="","",INDEX(CLHVAC[Eff Unit 3],MATCH(C44,CLHVAC[Measure Name],0))),"")</f>
        <v/>
      </c>
      <c r="CA44" s="956" t="str">
        <f>IFERROR(IF(INDEX(CLHVAC[Base Efficiency 3],MATCH(C44,CLHVAC[Measure Name],0))="","",INDEX(CLHVAC[Base Efficiency 3],MATCH(C44,CLHVAC[Measure Name],0))),"")</f>
        <v/>
      </c>
      <c r="CB44" s="913" t="str">
        <f t="shared" ref="CB44" si="55">IFERROR(IF(ISNUMBER(SEARCH("Air-Cooled Chiller",$C44)),12/N44,""),"")</f>
        <v/>
      </c>
      <c r="CC44" s="909"/>
    </row>
    <row r="45" spans="2:81" ht="15.95" customHeight="1">
      <c r="B45" s="785"/>
      <c r="C45" s="793"/>
      <c r="D45" s="795"/>
      <c r="E45" s="795"/>
      <c r="F45" s="795"/>
      <c r="G45" s="795"/>
      <c r="H45" s="795"/>
      <c r="I45" s="795"/>
      <c r="J45" s="932"/>
      <c r="K45" s="933"/>
      <c r="L45" s="928"/>
      <c r="M45" s="929"/>
      <c r="N45" s="915"/>
      <c r="O45" s="916"/>
      <c r="P45" s="934"/>
      <c r="Q45" s="935"/>
      <c r="R45" s="930"/>
      <c r="S45" s="931"/>
      <c r="T45" s="917"/>
      <c r="U45" s="918"/>
      <c r="V45" s="926"/>
      <c r="W45" s="927"/>
      <c r="X45" s="793"/>
      <c r="Y45" s="795"/>
      <c r="Z45" s="794"/>
      <c r="AA45" s="904"/>
      <c r="AB45" s="905"/>
      <c r="AC45" s="905"/>
      <c r="AD45" s="906"/>
      <c r="AE45" s="809"/>
      <c r="AF45" s="810"/>
      <c r="AG45" s="810"/>
      <c r="AH45" s="812"/>
      <c r="AI45" s="921"/>
      <c r="AJ45" s="921"/>
      <c r="AK45" s="921"/>
      <c r="AL45" s="922"/>
      <c r="AM45" s="925"/>
      <c r="AN45" s="900"/>
      <c r="AO45" s="818"/>
      <c r="AP45" s="818"/>
      <c r="AQ45" s="818"/>
      <c r="AR45" s="841"/>
      <c r="AS45" s="841"/>
      <c r="AT45" s="841"/>
      <c r="AU45" s="841"/>
      <c r="AV45" s="17"/>
      <c r="AX45" s="774"/>
      <c r="AY45" s="760"/>
      <c r="AZ45" s="760"/>
      <c r="BA45" s="920"/>
      <c r="BB45" s="920"/>
      <c r="BC45" s="774"/>
      <c r="BD45" s="758"/>
      <c r="BE45" s="776"/>
      <c r="BF45" s="776"/>
      <c r="BG45" s="762"/>
      <c r="BH45" s="776"/>
      <c r="BI45" s="776"/>
      <c r="BJ45" s="778"/>
      <c r="BK45" s="768"/>
      <c r="BL45" s="768"/>
      <c r="BM45" s="768"/>
      <c r="BN45" s="764"/>
      <c r="BO45" s="764"/>
      <c r="BP45" s="770"/>
      <c r="BQ45" s="768"/>
      <c r="BR45" s="766"/>
      <c r="BS45" s="766"/>
      <c r="BT45" s="766"/>
      <c r="BU45" s="758"/>
      <c r="BV45" s="768"/>
      <c r="BW45" s="758"/>
      <c r="BX45" s="758"/>
      <c r="BY45" s="908"/>
      <c r="BZ45" s="912"/>
      <c r="CA45" s="957"/>
      <c r="CB45" s="914"/>
      <c r="CC45" s="910"/>
    </row>
    <row r="46" spans="2:81" ht="15.95" customHeight="1">
      <c r="B46" s="785">
        <v>15</v>
      </c>
      <c r="C46" s="825"/>
      <c r="D46" s="826"/>
      <c r="E46" s="826"/>
      <c r="F46" s="826"/>
      <c r="G46" s="826"/>
      <c r="H46" s="826"/>
      <c r="I46" s="826"/>
      <c r="J46" s="936" t="str">
        <f>IF(C46="","",INDEX(CLHVAC[Eff Unit 1],MATCH(C46,CLHVAC[Measure Name],0)))</f>
        <v/>
      </c>
      <c r="K46" s="937"/>
      <c r="L46" s="938" t="str">
        <f>IF(C46="","",INDEX(CLHVAC[Base Efficiency 1],MATCH(C46,CLHVAC[Measure Name],0)))</f>
        <v/>
      </c>
      <c r="M46" s="939"/>
      <c r="N46" s="915"/>
      <c r="O46" s="916"/>
      <c r="P46" s="932" t="str">
        <f>IF(C46="","",INDEX(CLHVAC[Eff Unit 2],MATCH(C46,CLHVAC[Measure Name],0)))</f>
        <v/>
      </c>
      <c r="Q46" s="933"/>
      <c r="R46" s="928" t="str">
        <f>IF(C46="","",INDEX(CLHVAC[Base Efficiency 2],MATCH(C46,CLHVAC[Measure Name],0)))</f>
        <v/>
      </c>
      <c r="S46" s="929"/>
      <c r="T46" s="917" t="str">
        <f>IF(AND(ISNUMBER(SEARCH("DX",C46)),ISNUMBER(SEARCH("&lt;65 kbtu",C46)),N46&lt;&gt;""),1.12*N46-0.02*N46^2,IF(AND(ISNUMBER(SEARCH("PTAC",C46)),N46&lt;&gt;""),1,""))</f>
        <v/>
      </c>
      <c r="U46" s="918"/>
      <c r="V46" s="926"/>
      <c r="W46" s="927"/>
      <c r="X46" s="825"/>
      <c r="Y46" s="826"/>
      <c r="Z46" s="827"/>
      <c r="AA46" s="904"/>
      <c r="AB46" s="905"/>
      <c r="AC46" s="905"/>
      <c r="AD46" s="906"/>
      <c r="AE46" s="809"/>
      <c r="AF46" s="810"/>
      <c r="AG46" s="810"/>
      <c r="AH46" s="812"/>
      <c r="AI46" s="921" t="str">
        <f>IF(C46="","",INDEX(CLHVAC[Current Unit],MATCH(C46,CLHVAC[Measure Name],0)))</f>
        <v/>
      </c>
      <c r="AJ46" s="921"/>
      <c r="AK46" s="921"/>
      <c r="AL46" s="922"/>
      <c r="AM46" s="923" t="str">
        <f>IFERROR(IF(C46="","",INDEX(IF(AND(ACTIVEBONUS = TRUE,INDEX(CLHVAC[Bonus Incentive],MATCH(C46,CLHVAC[Measure Name],0))&lt;&gt; ""),CLHVAC[Bonus Incentive],CLHVAC[BESP Incentive]),MATCH(C46,CLHVAC[Measure Name],0))),"")</f>
        <v/>
      </c>
      <c r="AN46" s="924"/>
      <c r="AO46" s="817" t="str">
        <f>IFERROR(IF(OR(C46="",N46="",V46="",AA46="",T46="",AE46="",AG46=""),"",IF(BD46="Deemed",BH46,IF(BD46="Calculated",BE46,""))),"")</f>
        <v/>
      </c>
      <c r="AP46" s="817"/>
      <c r="AQ46" s="817"/>
      <c r="AR46" s="840" t="str">
        <f>IFERROR(IF(OR(C46="",N46="",V46="",AA46="",T46="",AE46="",AG46=""),"",IF(BY46&lt;&gt;"",BY46,IF(BP46&gt;0,BP46,ROUND(IF(AO46&lt;=0,0,MIN(BL46,BQ46)), 2)))), "")</f>
        <v/>
      </c>
      <c r="AS46" s="840"/>
      <c r="AT46" s="840"/>
      <c r="AU46" s="840"/>
      <c r="AV46" s="17"/>
      <c r="AX46" s="773" t="str">
        <f>IFERROR(IF(OR(C46="",N46="",V46="",AA46="",T46="",AE46="",AG46=""),"",INDEX(CLHVAC[Current Unit],MATCH(C46,CLHVAC[Measure Name],0))),"Err")</f>
        <v/>
      </c>
      <c r="AY46" s="759"/>
      <c r="AZ46" s="759"/>
      <c r="BA46" s="919" t="str">
        <f>IF(C46&lt;&gt;"", _xlfn.LET(
_xlpm.Tons_Cool, V46, _xlpm.PLC_Base, L46, _xlpm.Tons_Heat, CC46, _xlpm.Other_Base, R46,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(12/_xlpm.PLC_Base)*_xlpm.EFLH_Cool,
IF(ISNUMBER(SEARCH("Water", C46)),
_xlpm.Tons_Cool * (_xlpm.PLC_Base) * _xlpm.EFLH_Cool,
" "
)),4),
_xlpm.kWhHeat,
IF(
_xlpm.ElecHeat=1,
ROUND(
IF(OR(ISNUMBER(SEARCH("DX", C46)),ISNUMBER(SEARCH("PTAC", C46)), ISNUMBER(SEARCH("Air-Cooled Chiller", C46)), ISNUMBER(SEARCH("Water", C46)),
ISNUMBER(SEARCH("VRF", C46))),
0,
IF(
OR(ISNUMBER(SEARCH("ASHP", C46)), ISNUMBER(SEARCH("PTHP", C46))),
_xlpm.Tons_Heat * (1/_xlpm.Other_Base) * _xlpm.EFLH_Heat,
" "
)),4),
0
),
IFERROR(_xlpm.kWhCool + _xlpm.kWhHeat, "Measure Not Specified.")
), "")</f>
        <v/>
      </c>
      <c r="BB46" s="919" t="str">
        <f>IF(C46&lt;&gt;"", _xlfn.LET(
_xlpm.Tons_Cool, V46, _xlpm.PLC_Eff, N46, _xlpm.Tons_Heat, CC46, _xlpm.Other_Eff, T46,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(12/_xlpm.PLC_Eff)*_xlpm.EFLH_Cool,
IF(ISNUMBER(SEARCH("Water", C46)),
_xlpm.Tons_Cool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(1/_xlpm.Other_Eff) * _xlpm.EFLH_Heat,
" "
)),4),
0
),
IFERROR(_xlpm.kWhCool + _xlpm.kWhHeat, "Measure Not Specified.")
), "")</f>
        <v/>
      </c>
      <c r="BC46" s="773" t="str">
        <f>IFERROR(IF(OR(C46="",N46="",V46="",AA46="",T46="",AE46="",AG46=""),"",INDEX(CLHVAC[End Use],MATCH(C46,CLHVAC[Measure Name],0))),"Err")</f>
        <v/>
      </c>
      <c r="BD46" s="757" t="str">
        <f>IFERROR(IF(OR(C46="",N46="",V46="",AA46="",T46="",AE46="",AG46=""),"",INDEX(CLHVAC[Reporting Methodology],MATCH(C46,CLHVAC[Measure Name],0))),"Err")</f>
        <v/>
      </c>
      <c r="BE46" s="775" t="str">
        <f t="shared" si="0"/>
        <v/>
      </c>
      <c r="BF46" s="775" t="str">
        <f t="shared" ref="BF46" si="56">IF(C46&lt;&gt;"", _xlfn.LET(
_xlpm.Tons, V46, _xlpm.PCF, 0.913,
IF(OR(ISNUMBER(SEARCH("DX", C46)), ISNUMBER(SEARCH("Air-Cooled Chiller", C46)), ISNUMBER(SEARCH("VRF", C46))),
_xlpm.Tons * (12/R46 - 12/T46) * _xlpm.PCF,
IF(ISNUMBER(SEARCH("Water", C46)),
_xlpm.Tons * (R46-T46) * _xlpm.PCF,
IF(ISNUMBER(SEARCH("ASHP", C46)),
_xlpm.Tons * (12/CA46 - 12/CB46) * _xlpm.PCF,
IF(OR(ISNUMBER(SEARCH("PTAC", C46)), ISNUMBER(SEARCH("PTHP", C46))),
_xlpm.Tons * (12/L46 - 12/N46) * _xlpm.PCF,
"Measure Not Specified."))))), "")</f>
        <v/>
      </c>
      <c r="BG46" s="761"/>
      <c r="BH46" s="775" t="str">
        <f>IF(
OR(C46="",N46="",V46="",AA46="",T46="",AE46="",AG46=""),"",
IF(OR(ISNUMBER(SEARCH("PTAC",C46)),ISNUMBER(SEARCH("PTHP",C46))),
ROUND(V46*INDEX(CLHVAC[Electric Energy Savings WBE (Annual kWh/unit)],MATCH(C46,CLHVAC[Measure Name],0)),4),
ROUND(V46*ABS(N46-L46)*INDEX(CLHVAC[Electric Energy Savings WBE (Annual kWh/unit)],MATCH(C46,CLHVAC[Measure Name],0)),4)
))</f>
        <v/>
      </c>
      <c r="BI46" s="775" t="str">
        <f>IF(
OR(C46="",N46="",V46="",AA46="",T46="",AE46="",AG46=""),"",
IF(OR(ISNUMBER(SEARCH("PTAC",C46)),ISNUMBER(SEARCH("PTHP",C46))),
ROUND(V46*INDEX(CLHVAC[Coincident Peak Demand Savings WBE (kW/unit)],MATCH(C46,CLHVAC[Measure Name],0)),4),
ROUND(V46* ABS(N46-L46)*INDEX(CLHVAC[Coincident Peak Demand Savings WBE (kW/unit)],MATCH(C46,CLHVAC[Measure Name],0)),4)
))</f>
        <v/>
      </c>
      <c r="BJ46" s="777" t="str">
        <f>IFERROR(INDEX(CLHVAC[Measure Life (Years)],MATCH(C46,CLHVAC[Measure Name],0)),"")</f>
        <v/>
      </c>
      <c r="BK46" s="767" t="str">
        <f>IFERROR(IF(OR(C46="",N46="",V46="",AA46="",T46="",AE46="",AG46=""),"",
ROUND(((1+ELOSS)*((BH46*INDEX(ELECCB[NPV AEC $/kWh],MATCH(BJ46,ELECCB[Year Number],1)))+(BI46*INDEX(ELECCB[NPV ACC $/kW],MATCH(BJ46,ELECCB[Year Number],1))))),2)),0)</f>
        <v/>
      </c>
      <c r="BL46" s="767" t="str">
        <f t="shared" si="1"/>
        <v/>
      </c>
      <c r="BM46" s="767"/>
      <c r="BN46" s="763" t="str">
        <f t="shared" si="2"/>
        <v/>
      </c>
      <c r="BO46" s="763" t="str">
        <f>IFERROR(IF(BM46 &lt;&gt; "", BM46, BL46) / M02S04F06 / AO46, "")</f>
        <v/>
      </c>
      <c r="BP46" s="769"/>
      <c r="BQ46" s="767" t="str">
        <f t="shared" ref="BQ46" si="57">IFERROR(IF(AI46="per ton", ROUND(V46*AM46, 2),
IF(AND(ISNUMBER(SEARCH("Air-Cooled Chiller",C46)),AI46="$/ton/IPLV"), ROUND((12/L46-12/N46)*V46*AM46, 2),
ROUND(ABS(N46-L46)*V46*AM46, 2))), "")</f>
        <v/>
      </c>
      <c r="BR46" s="765"/>
      <c r="BS46" s="765"/>
      <c r="BT46" s="765"/>
      <c r="BU46" s="757" t="str">
        <f t="shared" ref="BU46" si="58">IFERROR(IF(BP46="",IF(AR46 &lt; BQ46, "100% Total Cost", ""), ""), "")</f>
        <v/>
      </c>
      <c r="BV46" s="767" t="str">
        <f t="shared" si="3"/>
        <v/>
      </c>
      <c r="BW46" s="757" t="str">
        <f>IFERROR(IF(OR(C46="",N46="",V46="",AA46="",T46="",AE46="",AG46=""),"", IF(BY46&lt;&gt;"", SPILLOVERNUMBER, INDEX(CLHVAC[Measure Number],MATCH(C46,CLHVAC[Measure Name],0)))),"Err")</f>
        <v/>
      </c>
      <c r="BX46" s="757"/>
      <c r="BY46" s="907" t="str">
        <f>IFERROR(
IF(OR(C46="",N46="",T46="",V46="",AA46="",AE46="",AG46=""),
"",
IF(BP46&gt;0,"",IF(OR(AND(ISNUMBER(SEARCH("kW/ton", J46)),OR(L46&lt;N46,R46&lt;T46)),AND(NOT(ISNUMBER(SEARCH("kW/ton", J46))),OR(L46&gt;N46,R46&gt;T46))),
"Must Improve Efficiency",
IF(EXPIRATION&lt;&gt;"",PROJSTATEXP,"")))),
"")</f>
        <v/>
      </c>
      <c r="BZ46" s="911" t="str">
        <f>IFERROR(IF(INDEX(CLHVAC[Eff Unit 3],MATCH(C46,CLHVAC[Measure Name],0))="","",INDEX(CLHVAC[Eff Unit 3],MATCH(C46,CLHVAC[Measure Name],0))),"")</f>
        <v/>
      </c>
      <c r="CA46" s="956" t="str">
        <f>IFERROR(IF(INDEX(CLHVAC[Base Efficiency 3],MATCH(C46,CLHVAC[Measure Name],0))="","",INDEX(CLHVAC[Base Efficiency 3],MATCH(C46,CLHVAC[Measure Name],0))),"")</f>
        <v/>
      </c>
      <c r="CB46" s="913" t="str">
        <f t="shared" ref="CB46" si="59">IFERROR(IF(ISNUMBER(SEARCH("Air-Cooled Chiller",$C46)),12/N46,""),"")</f>
        <v/>
      </c>
      <c r="CC46" s="909"/>
    </row>
    <row r="47" spans="2:81" ht="15.95" customHeight="1">
      <c r="B47" s="785"/>
      <c r="C47" s="793"/>
      <c r="D47" s="795"/>
      <c r="E47" s="795"/>
      <c r="F47" s="795"/>
      <c r="G47" s="795"/>
      <c r="H47" s="795"/>
      <c r="I47" s="795"/>
      <c r="J47" s="932"/>
      <c r="K47" s="933"/>
      <c r="L47" s="928"/>
      <c r="M47" s="929"/>
      <c r="N47" s="915"/>
      <c r="O47" s="916"/>
      <c r="P47" s="934"/>
      <c r="Q47" s="935"/>
      <c r="R47" s="930"/>
      <c r="S47" s="931"/>
      <c r="T47" s="917"/>
      <c r="U47" s="918"/>
      <c r="V47" s="926"/>
      <c r="W47" s="927"/>
      <c r="X47" s="793"/>
      <c r="Y47" s="795"/>
      <c r="Z47" s="794"/>
      <c r="AA47" s="904"/>
      <c r="AB47" s="905"/>
      <c r="AC47" s="905"/>
      <c r="AD47" s="906"/>
      <c r="AE47" s="809"/>
      <c r="AF47" s="810"/>
      <c r="AG47" s="810"/>
      <c r="AH47" s="812"/>
      <c r="AI47" s="921"/>
      <c r="AJ47" s="921"/>
      <c r="AK47" s="921"/>
      <c r="AL47" s="922"/>
      <c r="AM47" s="925"/>
      <c r="AN47" s="900"/>
      <c r="AO47" s="818"/>
      <c r="AP47" s="818"/>
      <c r="AQ47" s="818"/>
      <c r="AR47" s="841"/>
      <c r="AS47" s="841"/>
      <c r="AT47" s="841"/>
      <c r="AU47" s="841"/>
      <c r="AV47" s="17"/>
      <c r="AX47" s="774"/>
      <c r="AY47" s="760"/>
      <c r="AZ47" s="760"/>
      <c r="BA47" s="920"/>
      <c r="BB47" s="920"/>
      <c r="BC47" s="774"/>
      <c r="BD47" s="758"/>
      <c r="BE47" s="776"/>
      <c r="BF47" s="776"/>
      <c r="BG47" s="762"/>
      <c r="BH47" s="776"/>
      <c r="BI47" s="776"/>
      <c r="BJ47" s="778"/>
      <c r="BK47" s="768"/>
      <c r="BL47" s="768"/>
      <c r="BM47" s="768"/>
      <c r="BN47" s="764"/>
      <c r="BO47" s="764"/>
      <c r="BP47" s="770"/>
      <c r="BQ47" s="768"/>
      <c r="BR47" s="766"/>
      <c r="BS47" s="766"/>
      <c r="BT47" s="766"/>
      <c r="BU47" s="758"/>
      <c r="BV47" s="768"/>
      <c r="BW47" s="758"/>
      <c r="BX47" s="758"/>
      <c r="BY47" s="908"/>
      <c r="BZ47" s="912"/>
      <c r="CA47" s="957"/>
      <c r="CB47" s="914"/>
      <c r="CC47" s="910"/>
    </row>
    <row r="48" spans="2:81" ht="15.95" customHeight="1">
      <c r="B48" s="785">
        <v>16</v>
      </c>
      <c r="C48" s="825"/>
      <c r="D48" s="826"/>
      <c r="E48" s="826"/>
      <c r="F48" s="826"/>
      <c r="G48" s="826"/>
      <c r="H48" s="826"/>
      <c r="I48" s="826"/>
      <c r="J48" s="936" t="str">
        <f>IF(C48="","",INDEX(CLHVAC[Eff Unit 1],MATCH(C48,CLHVAC[Measure Name],0)))</f>
        <v/>
      </c>
      <c r="K48" s="937"/>
      <c r="L48" s="938" t="str">
        <f>IF(C48="","",INDEX(CLHVAC[Base Efficiency 1],MATCH(C48,CLHVAC[Measure Name],0)))</f>
        <v/>
      </c>
      <c r="M48" s="939"/>
      <c r="N48" s="915"/>
      <c r="O48" s="916"/>
      <c r="P48" s="932" t="str">
        <f>IF(C48="","",INDEX(CLHVAC[Eff Unit 2],MATCH(C48,CLHVAC[Measure Name],0)))</f>
        <v/>
      </c>
      <c r="Q48" s="933"/>
      <c r="R48" s="928" t="str">
        <f>IF(C48="","",INDEX(CLHVAC[Base Efficiency 2],MATCH(C48,CLHVAC[Measure Name],0)))</f>
        <v/>
      </c>
      <c r="S48" s="929"/>
      <c r="T48" s="917" t="str">
        <f>IF(AND(ISNUMBER(SEARCH("DX",C48)),ISNUMBER(SEARCH("&lt;65 kbtu",C48)),N48&lt;&gt;""),1.12*N48-0.02*N48^2,IF(AND(ISNUMBER(SEARCH("PTAC",C48)),N48&lt;&gt;""),1,""))</f>
        <v/>
      </c>
      <c r="U48" s="918"/>
      <c r="V48" s="926"/>
      <c r="W48" s="927"/>
      <c r="X48" s="825"/>
      <c r="Y48" s="826"/>
      <c r="Z48" s="827"/>
      <c r="AA48" s="904"/>
      <c r="AB48" s="905"/>
      <c r="AC48" s="905"/>
      <c r="AD48" s="906"/>
      <c r="AE48" s="809"/>
      <c r="AF48" s="810"/>
      <c r="AG48" s="810"/>
      <c r="AH48" s="812"/>
      <c r="AI48" s="921" t="str">
        <f>IF(C48="","",INDEX(CLHVAC[Current Unit],MATCH(C48,CLHVAC[Measure Name],0)))</f>
        <v/>
      </c>
      <c r="AJ48" s="921"/>
      <c r="AK48" s="921"/>
      <c r="AL48" s="922"/>
      <c r="AM48" s="923" t="str">
        <f>IFERROR(IF(C48="","",INDEX(IF(AND(ACTIVEBONUS = TRUE,INDEX(CLHVAC[Bonus Incentive],MATCH(C48,CLHVAC[Measure Name],0))&lt;&gt; ""),CLHVAC[Bonus Incentive],CLHVAC[BESP Incentive]),MATCH(C48,CLHVAC[Measure Name],0))),"")</f>
        <v/>
      </c>
      <c r="AN48" s="924"/>
      <c r="AO48" s="817" t="str">
        <f>IFERROR(IF(OR(C48="",N48="",V48="",AA48="",T48="",AE48="",AG48=""),"",IF(BD48="Deemed",BH48,IF(BD48="Calculated",BE48,""))),"")</f>
        <v/>
      </c>
      <c r="AP48" s="817"/>
      <c r="AQ48" s="817"/>
      <c r="AR48" s="840" t="str">
        <f>IFERROR(IF(OR(C48="",N48="",V48="",AA48="",T48="",AE48="",AG48=""),"",IF(BY48&lt;&gt;"",BY48,IF(BP48&gt;0,BP48,ROUND(IF(AO48&lt;=0,0,MIN(BL48,BQ48)), 2)))), "")</f>
        <v/>
      </c>
      <c r="AS48" s="840"/>
      <c r="AT48" s="840"/>
      <c r="AU48" s="840"/>
      <c r="AV48" s="17"/>
      <c r="AX48" s="773" t="str">
        <f>IFERROR(IF(OR(C48="",N48="",V48="",AA48="",T48="",AE48="",AG48=""),"",INDEX(CLHVAC[Current Unit],MATCH(C48,CLHVAC[Measure Name],0))),"Err")</f>
        <v/>
      </c>
      <c r="AY48" s="759"/>
      <c r="AZ48" s="759"/>
      <c r="BA48" s="919" t="str">
        <f>IF(C48&lt;&gt;"", _xlfn.LET(
_xlpm.Tons_Cool, V48, _xlpm.PLC_Base, L48, _xlpm.Tons_Heat, CC48, _xlpm.Other_Base, R48,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(12/_xlpm.PLC_Base)*_xlpm.EFLH_Cool,
IF(ISNUMBER(SEARCH("Water", C48)),
_xlpm.Tons_Cool * (_xlpm.PLC_Base) * _xlpm.EFLH_Cool,
" "
)),4),
_xlpm.kWhHeat,
IF(
_xlpm.ElecHeat=1,
ROUND(
IF(OR(ISNUMBER(SEARCH("DX", C48)),ISNUMBER(SEARCH("PTAC", C48)), ISNUMBER(SEARCH("Air-Cooled Chiller", C48)), ISNUMBER(SEARCH("Water", C48)),
ISNUMBER(SEARCH("VRF", C48))),
0,
IF(
OR(ISNUMBER(SEARCH("ASHP", C48)), ISNUMBER(SEARCH("PTHP", C48))),
_xlpm.Tons_Heat * (1/_xlpm.Other_Base) * _xlpm.EFLH_Heat,
" "
)),4),
0
),
IFERROR(_xlpm.kWhCool + _xlpm.kWhHeat, "Measure Not Specified.")
), "")</f>
        <v/>
      </c>
      <c r="BB48" s="919" t="str">
        <f>IF(C48&lt;&gt;"", _xlfn.LET(
_xlpm.Tons_Cool, V48, _xlpm.PLC_Eff, N48, _xlpm.Tons_Heat, CC48, _xlpm.Other_Eff, T48,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(12/_xlpm.PLC_Eff)*_xlpm.EFLH_Cool,
IF(ISNUMBER(SEARCH("Water", C48)),
_xlpm.Tons_Cool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(1/_xlpm.Other_Eff) * _xlpm.EFLH_Heat,
" "
)),4),
0
),
IFERROR(_xlpm.kWhCool + _xlpm.kWhHeat, "Measure Not Specified.")
), "")</f>
        <v/>
      </c>
      <c r="BC48" s="773" t="str">
        <f>IFERROR(IF(OR(C48="",N48="",V48="",AA48="",T48="",AE48="",AG48=""),"",INDEX(CLHVAC[End Use],MATCH(C48,CLHVAC[Measure Name],0))),"Err")</f>
        <v/>
      </c>
      <c r="BD48" s="757" t="str">
        <f>IFERROR(IF(OR(C48="",N48="",V48="",AA48="",T48="",AE48="",AG48=""),"",INDEX(CLHVAC[Reporting Methodology],MATCH(C48,CLHVAC[Measure Name],0))),"Err")</f>
        <v/>
      </c>
      <c r="BE48" s="775" t="str">
        <f t="shared" si="0"/>
        <v/>
      </c>
      <c r="BF48" s="775" t="str">
        <f t="shared" ref="BF48" si="60">IF(C48&lt;&gt;"", _xlfn.LET(
_xlpm.Tons, V48, _xlpm.PCF, 0.913,
IF(OR(ISNUMBER(SEARCH("DX", C48)), ISNUMBER(SEARCH("Air-Cooled Chiller", C48)), ISNUMBER(SEARCH("VRF", C48))),
_xlpm.Tons * (12/R48 - 12/T48) * _xlpm.PCF,
IF(ISNUMBER(SEARCH("Water", C48)),
_xlpm.Tons * (R48-T48) * _xlpm.PCF,
IF(ISNUMBER(SEARCH("ASHP", C48)),
_xlpm.Tons * (12/CA48 - 12/CB48) * _xlpm.PCF,
IF(OR(ISNUMBER(SEARCH("PTAC", C48)), ISNUMBER(SEARCH("PTHP", C48))),
_xlpm.Tons * (12/L48 - 12/N48) * _xlpm.PCF,
"Measure Not Specified."))))), "")</f>
        <v/>
      </c>
      <c r="BG48" s="761"/>
      <c r="BH48" s="775" t="str">
        <f>IF(
OR(C48="",N48="",V48="",AA48="",T48="",AE48="",AG48=""),"",
IF(OR(ISNUMBER(SEARCH("PTAC",C48)),ISNUMBER(SEARCH("PTHP",C48))),
ROUND(V48*INDEX(CLHVAC[Electric Energy Savings WBE (Annual kWh/unit)],MATCH(C48,CLHVAC[Measure Name],0)),4),
ROUND(V48*ABS(N48-L48)*INDEX(CLHVAC[Electric Energy Savings WBE (Annual kWh/unit)],MATCH(C48,CLHVAC[Measure Name],0)),4)
))</f>
        <v/>
      </c>
      <c r="BI48" s="775" t="str">
        <f>IF(
OR(C48="",N48="",V48="",AA48="",T48="",AE48="",AG48=""),"",
IF(OR(ISNUMBER(SEARCH("PTAC",C48)),ISNUMBER(SEARCH("PTHP",C48))),
ROUND(V48*INDEX(CLHVAC[Coincident Peak Demand Savings WBE (kW/unit)],MATCH(C48,CLHVAC[Measure Name],0)),4),
ROUND(V48* ABS(N48-L48)*INDEX(CLHVAC[Coincident Peak Demand Savings WBE (kW/unit)],MATCH(C48,CLHVAC[Measure Name],0)),4)
))</f>
        <v/>
      </c>
      <c r="BJ48" s="777" t="str">
        <f>IFERROR(INDEX(CLHVAC[Measure Life (Years)],MATCH(C48,CLHVAC[Measure Name],0)),"")</f>
        <v/>
      </c>
      <c r="BK48" s="767" t="str">
        <f>IFERROR(IF(OR(C48="",N48="",V48="",AA48="",T48="",AE48="",AG48=""),"",
ROUND(((1+ELOSS)*((BH48*INDEX(ELECCB[NPV AEC $/kWh],MATCH(BJ48,ELECCB[Year Number],1)))+(BI48*INDEX(ELECCB[NPV ACC $/kW],MATCH(BJ48,ELECCB[Year Number],1))))),2)),0)</f>
        <v/>
      </c>
      <c r="BL48" s="767" t="str">
        <f t="shared" si="1"/>
        <v/>
      </c>
      <c r="BM48" s="767"/>
      <c r="BN48" s="763" t="str">
        <f t="shared" si="2"/>
        <v/>
      </c>
      <c r="BO48" s="763" t="str">
        <f>IFERROR(IF(BM48 &lt;&gt; "", BM48, BL48) / M02S04F06 / AO48, "")</f>
        <v/>
      </c>
      <c r="BP48" s="769"/>
      <c r="BQ48" s="767" t="str">
        <f t="shared" ref="BQ48" si="61">IFERROR(IF(AI48="per ton", ROUND(V48*AM48, 2),
IF(AND(ISNUMBER(SEARCH("Air-Cooled Chiller",C48)),AI48="$/ton/IPLV"), ROUND((12/L48-12/N48)*V48*AM48, 2),
ROUND(ABS(N48-L48)*V48*AM48, 2))), "")</f>
        <v/>
      </c>
      <c r="BR48" s="765"/>
      <c r="BS48" s="765"/>
      <c r="BT48" s="765"/>
      <c r="BU48" s="757" t="str">
        <f t="shared" ref="BU48" si="62">IFERROR(IF(BP48="",IF(AR48 &lt; BQ48, "100% Total Cost", ""), ""), "")</f>
        <v/>
      </c>
      <c r="BV48" s="767" t="str">
        <f t="shared" si="3"/>
        <v/>
      </c>
      <c r="BW48" s="757" t="str">
        <f>IFERROR(IF(OR(C48="",N48="",V48="",AA48="",T48="",AE48="",AG48=""),"", IF(BY48&lt;&gt;"", SPILLOVERNUMBER, INDEX(CLHVAC[Measure Number],MATCH(C48,CLHVAC[Measure Name],0)))),"Err")</f>
        <v/>
      </c>
      <c r="BX48" s="757"/>
      <c r="BY48" s="907" t="str">
        <f>IFERROR(
IF(OR(C48="",N48="",T48="",V48="",AA48="",AE48="",AG48=""),
"",
IF(BP48&gt;0,"",IF(OR(AND(ISNUMBER(SEARCH("kW/ton", J48)),OR(L48&lt;N48,R48&lt;T48)),AND(NOT(ISNUMBER(SEARCH("kW/ton", J48))),OR(L48&gt;N48,R48&gt;T48))),
"Must Improve Efficiency",
IF(EXPIRATION&lt;&gt;"",PROJSTATEXP,"")))),
"")</f>
        <v/>
      </c>
      <c r="BZ48" s="911" t="str">
        <f>IFERROR(IF(INDEX(CLHVAC[Eff Unit 3],MATCH(C48,CLHVAC[Measure Name],0))="","",INDEX(CLHVAC[Eff Unit 3],MATCH(C48,CLHVAC[Measure Name],0))),"")</f>
        <v/>
      </c>
      <c r="CA48" s="956" t="str">
        <f>IFERROR(IF(INDEX(CLHVAC[Base Efficiency 3],MATCH(C48,CLHVAC[Measure Name],0))="","",INDEX(CLHVAC[Base Efficiency 3],MATCH(C48,CLHVAC[Measure Name],0))),"")</f>
        <v/>
      </c>
      <c r="CB48" s="913" t="str">
        <f t="shared" ref="CB48" si="63">IFERROR(IF(ISNUMBER(SEARCH("Air-Cooled Chiller",$C48)),12/N48,""),"")</f>
        <v/>
      </c>
      <c r="CC48" s="909"/>
    </row>
    <row r="49" spans="2:81" ht="15.95" customHeight="1">
      <c r="B49" s="785"/>
      <c r="C49" s="793"/>
      <c r="D49" s="795"/>
      <c r="E49" s="795"/>
      <c r="F49" s="795"/>
      <c r="G49" s="795"/>
      <c r="H49" s="795"/>
      <c r="I49" s="795"/>
      <c r="J49" s="932"/>
      <c r="K49" s="933"/>
      <c r="L49" s="928"/>
      <c r="M49" s="929"/>
      <c r="N49" s="915"/>
      <c r="O49" s="916"/>
      <c r="P49" s="934"/>
      <c r="Q49" s="935"/>
      <c r="R49" s="930"/>
      <c r="S49" s="931"/>
      <c r="T49" s="917"/>
      <c r="U49" s="918"/>
      <c r="V49" s="926"/>
      <c r="W49" s="927"/>
      <c r="X49" s="793"/>
      <c r="Y49" s="795"/>
      <c r="Z49" s="794"/>
      <c r="AA49" s="904"/>
      <c r="AB49" s="905"/>
      <c r="AC49" s="905"/>
      <c r="AD49" s="906"/>
      <c r="AE49" s="809"/>
      <c r="AF49" s="810"/>
      <c r="AG49" s="810"/>
      <c r="AH49" s="812"/>
      <c r="AI49" s="921"/>
      <c r="AJ49" s="921"/>
      <c r="AK49" s="921"/>
      <c r="AL49" s="922"/>
      <c r="AM49" s="925"/>
      <c r="AN49" s="900"/>
      <c r="AO49" s="818"/>
      <c r="AP49" s="818"/>
      <c r="AQ49" s="818"/>
      <c r="AR49" s="841"/>
      <c r="AS49" s="841"/>
      <c r="AT49" s="841"/>
      <c r="AU49" s="841"/>
      <c r="AV49" s="17"/>
      <c r="AX49" s="774"/>
      <c r="AY49" s="760"/>
      <c r="AZ49" s="760"/>
      <c r="BA49" s="920"/>
      <c r="BB49" s="920"/>
      <c r="BC49" s="774"/>
      <c r="BD49" s="758"/>
      <c r="BE49" s="776"/>
      <c r="BF49" s="776"/>
      <c r="BG49" s="762"/>
      <c r="BH49" s="776"/>
      <c r="BI49" s="776"/>
      <c r="BJ49" s="778"/>
      <c r="BK49" s="768"/>
      <c r="BL49" s="768"/>
      <c r="BM49" s="768"/>
      <c r="BN49" s="764"/>
      <c r="BO49" s="764"/>
      <c r="BP49" s="770"/>
      <c r="BQ49" s="768"/>
      <c r="BR49" s="766"/>
      <c r="BS49" s="766"/>
      <c r="BT49" s="766"/>
      <c r="BU49" s="758"/>
      <c r="BV49" s="768"/>
      <c r="BW49" s="758"/>
      <c r="BX49" s="758"/>
      <c r="BY49" s="908"/>
      <c r="BZ49" s="912"/>
      <c r="CA49" s="957"/>
      <c r="CB49" s="914"/>
      <c r="CC49" s="910"/>
    </row>
    <row r="50" spans="2:81" ht="15.95" customHeight="1">
      <c r="B50" s="785">
        <v>17</v>
      </c>
      <c r="C50" s="825"/>
      <c r="D50" s="826"/>
      <c r="E50" s="826"/>
      <c r="F50" s="826"/>
      <c r="G50" s="826"/>
      <c r="H50" s="826"/>
      <c r="I50" s="826"/>
      <c r="J50" s="936" t="str">
        <f>IF(C50="","",INDEX(CLHVAC[Eff Unit 1],MATCH(C50,CLHVAC[Measure Name],0)))</f>
        <v/>
      </c>
      <c r="K50" s="937"/>
      <c r="L50" s="938" t="str">
        <f>IF(C50="","",INDEX(CLHVAC[Base Efficiency 1],MATCH(C50,CLHVAC[Measure Name],0)))</f>
        <v/>
      </c>
      <c r="M50" s="939"/>
      <c r="N50" s="915"/>
      <c r="O50" s="916"/>
      <c r="P50" s="932" t="str">
        <f>IF(C50="","",INDEX(CLHVAC[Eff Unit 2],MATCH(C50,CLHVAC[Measure Name],0)))</f>
        <v/>
      </c>
      <c r="Q50" s="933"/>
      <c r="R50" s="928" t="str">
        <f>IF(C50="","",INDEX(CLHVAC[Base Efficiency 2],MATCH(C50,CLHVAC[Measure Name],0)))</f>
        <v/>
      </c>
      <c r="S50" s="929"/>
      <c r="T50" s="917" t="str">
        <f>IF(AND(ISNUMBER(SEARCH("DX",C50)),ISNUMBER(SEARCH("&lt;65 kbtu",C50)),N50&lt;&gt;""),1.12*N50-0.02*N50^2,IF(AND(ISNUMBER(SEARCH("PTAC",C50)),N50&lt;&gt;""),1,""))</f>
        <v/>
      </c>
      <c r="U50" s="918"/>
      <c r="V50" s="926"/>
      <c r="W50" s="927"/>
      <c r="X50" s="825"/>
      <c r="Y50" s="826"/>
      <c r="Z50" s="827"/>
      <c r="AA50" s="904"/>
      <c r="AB50" s="905"/>
      <c r="AC50" s="905"/>
      <c r="AD50" s="906"/>
      <c r="AE50" s="809"/>
      <c r="AF50" s="810"/>
      <c r="AG50" s="810"/>
      <c r="AH50" s="812"/>
      <c r="AI50" s="921" t="str">
        <f>IF(C50="","",INDEX(CLHVAC[Current Unit],MATCH(C50,CLHVAC[Measure Name],0)))</f>
        <v/>
      </c>
      <c r="AJ50" s="921"/>
      <c r="AK50" s="921"/>
      <c r="AL50" s="922"/>
      <c r="AM50" s="923" t="str">
        <f>IFERROR(IF(C50="","",INDEX(IF(AND(ACTIVEBONUS = TRUE,INDEX(CLHVAC[Bonus Incentive],MATCH(C50,CLHVAC[Measure Name],0))&lt;&gt; ""),CLHVAC[Bonus Incentive],CLHVAC[BESP Incentive]),MATCH(C50,CLHVAC[Measure Name],0))),"")</f>
        <v/>
      </c>
      <c r="AN50" s="924"/>
      <c r="AO50" s="817" t="str">
        <f>IFERROR(IF(OR(C50="",N50="",V50="",AA50="",T50="",AE50="",AG50=""),"",IF(BD50="Deemed",BH50,IF(BD50="Calculated",BE50,""))),"")</f>
        <v/>
      </c>
      <c r="AP50" s="817"/>
      <c r="AQ50" s="817"/>
      <c r="AR50" s="840" t="str">
        <f>IFERROR(IF(OR(C50="",N50="",V50="",AA50="",T50="",AE50="",AG50=""),"",IF(BY50&lt;&gt;"",BY50,IF(BP50&gt;0,BP50,ROUND(IF(AO50&lt;=0,0,MIN(BL50,BQ50)), 2)))), "")</f>
        <v/>
      </c>
      <c r="AS50" s="840"/>
      <c r="AT50" s="840"/>
      <c r="AU50" s="840"/>
      <c r="AV50" s="17"/>
      <c r="AX50" s="773" t="str">
        <f>IFERROR(IF(OR(C50="",N50="",V50="",AA50="",T50="",AE50="",AG50=""),"",INDEX(CLHVAC[Current Unit],MATCH(C50,CLHVAC[Measure Name],0))),"Err")</f>
        <v/>
      </c>
      <c r="AY50" s="759"/>
      <c r="AZ50" s="759"/>
      <c r="BA50" s="919" t="str">
        <f>IF(C50&lt;&gt;"", _xlfn.LET(
_xlpm.Tons_Cool, V50, _xlpm.PLC_Base, L50, _xlpm.Tons_Heat, CC50, _xlpm.Other_Base, R50,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(12/_xlpm.PLC_Base)*_xlpm.EFLH_Cool,
IF(ISNUMBER(SEARCH("Water", C50)),
_xlpm.Tons_Cool * (_xlpm.PLC_Base) * _xlpm.EFLH_Cool,
" "
)),4),
_xlpm.kWhHeat,
IF(
_xlpm.ElecHeat=1,
ROUND(
IF(OR(ISNUMBER(SEARCH("DX", C50)),ISNUMBER(SEARCH("PTAC", C50)), ISNUMBER(SEARCH("Air-Cooled Chiller", C50)), ISNUMBER(SEARCH("Water", C50)),
ISNUMBER(SEARCH("VRF", C50))),
0,
IF(
OR(ISNUMBER(SEARCH("ASHP", C50)), ISNUMBER(SEARCH("PTHP", C50))),
_xlpm.Tons_Heat * (1/_xlpm.Other_Base) * _xlpm.EFLH_Heat,
" "
)),4),
0
),
IFERROR(_xlpm.kWhCool + _xlpm.kWhHeat, "Measure Not Specified.")
), "")</f>
        <v/>
      </c>
      <c r="BB50" s="919" t="str">
        <f>IF(C50&lt;&gt;"", _xlfn.LET(
_xlpm.Tons_Cool, V50, _xlpm.PLC_Eff, N50, _xlpm.Tons_Heat, CC50, _xlpm.Other_Eff, T50,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(12/_xlpm.PLC_Eff)*_xlpm.EFLH_Cool,
IF(ISNUMBER(SEARCH("Water", C50)),
_xlpm.Tons_Cool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(1/_xlpm.Other_Eff) * _xlpm.EFLH_Heat,
" "
)),4),
0
),
IFERROR(_xlpm.kWhCool + _xlpm.kWhHeat, "Measure Not Specified.")
), "")</f>
        <v/>
      </c>
      <c r="BC50" s="773" t="str">
        <f>IFERROR(IF(OR(C50="",N50="",V50="",AA50="",T50="",AE50="",AG50=""),"",INDEX(CLHVAC[End Use],MATCH(C50,CLHVAC[Measure Name],0))),"Err")</f>
        <v/>
      </c>
      <c r="BD50" s="757" t="str">
        <f>IFERROR(IF(OR(C50="",N50="",V50="",AA50="",T50="",AE50="",AG50=""),"",INDEX(CLHVAC[Reporting Methodology],MATCH(C50,CLHVAC[Measure Name],0))),"Err")</f>
        <v/>
      </c>
      <c r="BE50" s="775" t="str">
        <f t="shared" si="0"/>
        <v/>
      </c>
      <c r="BF50" s="775" t="str">
        <f t="shared" ref="BF50" si="64">IF(C50&lt;&gt;"", _xlfn.LET(
_xlpm.Tons, V50, _xlpm.PCF, 0.913,
IF(OR(ISNUMBER(SEARCH("DX", C50)), ISNUMBER(SEARCH("Air-Cooled Chiller", C50)), ISNUMBER(SEARCH("VRF", C50))),
_xlpm.Tons * (12/R50 - 12/T50) * _xlpm.PCF,
IF(ISNUMBER(SEARCH("Water", C50)),
_xlpm.Tons * (R50-T50) * _xlpm.PCF,
IF(ISNUMBER(SEARCH("ASHP", C50)),
_xlpm.Tons * (12/CA50 - 12/CB50) * _xlpm.PCF,
IF(OR(ISNUMBER(SEARCH("PTAC", C50)), ISNUMBER(SEARCH("PTHP", C50))),
_xlpm.Tons * (12/L50 - 12/N50) * _xlpm.PCF,
"Measure Not Specified."))))), "")</f>
        <v/>
      </c>
      <c r="BG50" s="761"/>
      <c r="BH50" s="775" t="str">
        <f>IF(
OR(C50="",N50="",V50="",AA50="",T50="",AE50="",AG50=""),"",
IF(OR(ISNUMBER(SEARCH("PTAC",C50)),ISNUMBER(SEARCH("PTHP",C50))),
ROUND(V50*INDEX(CLHVAC[Electric Energy Savings WBE (Annual kWh/unit)],MATCH(C50,CLHVAC[Measure Name],0)),4),
ROUND(V50*ABS(N50-L50)*INDEX(CLHVAC[Electric Energy Savings WBE (Annual kWh/unit)],MATCH(C50,CLHVAC[Measure Name],0)),4)
))</f>
        <v/>
      </c>
      <c r="BI50" s="775" t="str">
        <f>IF(
OR(C50="",N50="",V50="",AA50="",T50="",AE50="",AG50=""),"",
IF(OR(ISNUMBER(SEARCH("PTAC",C50)),ISNUMBER(SEARCH("PTHP",C50))),
ROUND(V50*INDEX(CLHVAC[Coincident Peak Demand Savings WBE (kW/unit)],MATCH(C50,CLHVAC[Measure Name],0)),4),
ROUND(V50* ABS(N50-L50)*INDEX(CLHVAC[Coincident Peak Demand Savings WBE (kW/unit)],MATCH(C50,CLHVAC[Measure Name],0)),4)
))</f>
        <v/>
      </c>
      <c r="BJ50" s="777" t="str">
        <f>IFERROR(INDEX(CLHVAC[Measure Life (Years)],MATCH(C50,CLHVAC[Measure Name],0)),"")</f>
        <v/>
      </c>
      <c r="BK50" s="767" t="str">
        <f>IFERROR(IF(OR(C50="",N50="",V50="",AA50="",T50="",AE50="",AG50=""),"",
ROUND(((1+ELOSS)*((BH50*INDEX(ELECCB[NPV AEC $/kWh],MATCH(BJ50,ELECCB[Year Number],1)))+(BI50*INDEX(ELECCB[NPV ACC $/kW],MATCH(BJ50,ELECCB[Year Number],1))))),2)),0)</f>
        <v/>
      </c>
      <c r="BL50" s="767" t="str">
        <f t="shared" si="1"/>
        <v/>
      </c>
      <c r="BM50" s="767"/>
      <c r="BN50" s="763" t="str">
        <f t="shared" si="2"/>
        <v/>
      </c>
      <c r="BO50" s="763" t="str">
        <f>IFERROR(IF(BM50 &lt;&gt; "", BM50, BL50) / M02S04F06 / AO50, "")</f>
        <v/>
      </c>
      <c r="BP50" s="769"/>
      <c r="BQ50" s="767" t="str">
        <f t="shared" ref="BQ50" si="65">IFERROR(IF(AI50="per ton", ROUND(V50*AM50, 2),
IF(AND(ISNUMBER(SEARCH("Air-Cooled Chiller",C50)),AI50="$/ton/IPLV"), ROUND((12/L50-12/N50)*V50*AM50, 2),
ROUND(ABS(N50-L50)*V50*AM50, 2))), "")</f>
        <v/>
      </c>
      <c r="BR50" s="765"/>
      <c r="BS50" s="765"/>
      <c r="BT50" s="765"/>
      <c r="BU50" s="757" t="str">
        <f t="shared" ref="BU50" si="66">IFERROR(IF(BP50="",IF(AR50 &lt; BQ50, "100% Total Cost", ""), ""), "")</f>
        <v/>
      </c>
      <c r="BV50" s="767" t="str">
        <f t="shared" si="3"/>
        <v/>
      </c>
      <c r="BW50" s="757" t="str">
        <f>IFERROR(IF(OR(C50="",N50="",V50="",AA50="",T50="",AE50="",AG50=""),"", IF(BY50&lt;&gt;"", SPILLOVERNUMBER, INDEX(CLHVAC[Measure Number],MATCH(C50,CLHVAC[Measure Name],0)))),"Err")</f>
        <v/>
      </c>
      <c r="BX50" s="757"/>
      <c r="BY50" s="907" t="str">
        <f>IFERROR(
IF(OR(C50="",N50="",T50="",V50="",AA50="",AE50="",AG50=""),
"",
IF(BP50&gt;0,"",IF(OR(AND(ISNUMBER(SEARCH("kW/ton", J50)),OR(L50&lt;N50,R50&lt;T50)),AND(NOT(ISNUMBER(SEARCH("kW/ton", J50))),OR(L50&gt;N50,R50&gt;T50))),
"Must Improve Efficiency",
IF(EXPIRATION&lt;&gt;"",PROJSTATEXP,"")))),
"")</f>
        <v/>
      </c>
      <c r="BZ50" s="911" t="str">
        <f>IFERROR(IF(INDEX(CLHVAC[Eff Unit 3],MATCH(C50,CLHVAC[Measure Name],0))="","",INDEX(CLHVAC[Eff Unit 3],MATCH(C50,CLHVAC[Measure Name],0))),"")</f>
        <v/>
      </c>
      <c r="CA50" s="956" t="str">
        <f>IFERROR(IF(INDEX(CLHVAC[Base Efficiency 3],MATCH(C50,CLHVAC[Measure Name],0))="","",INDEX(CLHVAC[Base Efficiency 3],MATCH(C50,CLHVAC[Measure Name],0))),"")</f>
        <v/>
      </c>
      <c r="CB50" s="913" t="str">
        <f t="shared" ref="CB50" si="67">IFERROR(IF(ISNUMBER(SEARCH("Air-Cooled Chiller",$C50)),12/N50,""),"")</f>
        <v/>
      </c>
      <c r="CC50" s="909"/>
    </row>
    <row r="51" spans="2:81" ht="15.95" customHeight="1">
      <c r="B51" s="785"/>
      <c r="C51" s="793"/>
      <c r="D51" s="795"/>
      <c r="E51" s="795"/>
      <c r="F51" s="795"/>
      <c r="G51" s="795"/>
      <c r="H51" s="795"/>
      <c r="I51" s="795"/>
      <c r="J51" s="932"/>
      <c r="K51" s="933"/>
      <c r="L51" s="928"/>
      <c r="M51" s="929"/>
      <c r="N51" s="915"/>
      <c r="O51" s="916"/>
      <c r="P51" s="934"/>
      <c r="Q51" s="935"/>
      <c r="R51" s="930"/>
      <c r="S51" s="931"/>
      <c r="T51" s="917"/>
      <c r="U51" s="918"/>
      <c r="V51" s="926"/>
      <c r="W51" s="927"/>
      <c r="X51" s="793"/>
      <c r="Y51" s="795"/>
      <c r="Z51" s="794"/>
      <c r="AA51" s="904"/>
      <c r="AB51" s="905"/>
      <c r="AC51" s="905"/>
      <c r="AD51" s="906"/>
      <c r="AE51" s="809"/>
      <c r="AF51" s="810"/>
      <c r="AG51" s="810"/>
      <c r="AH51" s="812"/>
      <c r="AI51" s="921"/>
      <c r="AJ51" s="921"/>
      <c r="AK51" s="921"/>
      <c r="AL51" s="922"/>
      <c r="AM51" s="925"/>
      <c r="AN51" s="900"/>
      <c r="AO51" s="818"/>
      <c r="AP51" s="818"/>
      <c r="AQ51" s="818"/>
      <c r="AR51" s="841"/>
      <c r="AS51" s="841"/>
      <c r="AT51" s="841"/>
      <c r="AU51" s="841"/>
      <c r="AV51" s="17"/>
      <c r="AX51" s="774"/>
      <c r="AY51" s="760"/>
      <c r="AZ51" s="760"/>
      <c r="BA51" s="920"/>
      <c r="BB51" s="920"/>
      <c r="BC51" s="774"/>
      <c r="BD51" s="758"/>
      <c r="BE51" s="776"/>
      <c r="BF51" s="776"/>
      <c r="BG51" s="762"/>
      <c r="BH51" s="776"/>
      <c r="BI51" s="776"/>
      <c r="BJ51" s="778"/>
      <c r="BK51" s="768"/>
      <c r="BL51" s="768"/>
      <c r="BM51" s="768"/>
      <c r="BN51" s="764"/>
      <c r="BO51" s="764"/>
      <c r="BP51" s="770"/>
      <c r="BQ51" s="768"/>
      <c r="BR51" s="766"/>
      <c r="BS51" s="766"/>
      <c r="BT51" s="766"/>
      <c r="BU51" s="758"/>
      <c r="BV51" s="768"/>
      <c r="BW51" s="758"/>
      <c r="BX51" s="758"/>
      <c r="BY51" s="908"/>
      <c r="BZ51" s="912"/>
      <c r="CA51" s="957"/>
      <c r="CB51" s="914"/>
      <c r="CC51" s="910"/>
    </row>
    <row r="52" spans="2:81" ht="15.95" customHeight="1">
      <c r="B52" s="785">
        <v>18</v>
      </c>
      <c r="C52" s="825"/>
      <c r="D52" s="826"/>
      <c r="E52" s="826"/>
      <c r="F52" s="826"/>
      <c r="G52" s="826"/>
      <c r="H52" s="826"/>
      <c r="I52" s="826"/>
      <c r="J52" s="936" t="str">
        <f>IF(C52="","",INDEX(CLHVAC[Eff Unit 1],MATCH(C52,CLHVAC[Measure Name],0)))</f>
        <v/>
      </c>
      <c r="K52" s="937"/>
      <c r="L52" s="938" t="str">
        <f>IF(C52="","",INDEX(CLHVAC[Base Efficiency 1],MATCH(C52,CLHVAC[Measure Name],0)))</f>
        <v/>
      </c>
      <c r="M52" s="939"/>
      <c r="N52" s="915"/>
      <c r="O52" s="916"/>
      <c r="P52" s="932" t="str">
        <f>IF(C52="","",INDEX(CLHVAC[Eff Unit 2],MATCH(C52,CLHVAC[Measure Name],0)))</f>
        <v/>
      </c>
      <c r="Q52" s="933"/>
      <c r="R52" s="928" t="str">
        <f>IF(C52="","",INDEX(CLHVAC[Base Efficiency 2],MATCH(C52,CLHVAC[Measure Name],0)))</f>
        <v/>
      </c>
      <c r="S52" s="929"/>
      <c r="T52" s="917" t="str">
        <f>IF(AND(ISNUMBER(SEARCH("DX",C52)),ISNUMBER(SEARCH("&lt;65 kbtu",C52)),N52&lt;&gt;""),1.12*N52-0.02*N52^2,IF(AND(ISNUMBER(SEARCH("PTAC",C52)),N52&lt;&gt;""),1,""))</f>
        <v/>
      </c>
      <c r="U52" s="918"/>
      <c r="V52" s="926"/>
      <c r="W52" s="927"/>
      <c r="X52" s="825"/>
      <c r="Y52" s="826"/>
      <c r="Z52" s="827"/>
      <c r="AA52" s="904"/>
      <c r="AB52" s="905"/>
      <c r="AC52" s="905"/>
      <c r="AD52" s="906"/>
      <c r="AE52" s="809"/>
      <c r="AF52" s="810"/>
      <c r="AG52" s="810"/>
      <c r="AH52" s="812"/>
      <c r="AI52" s="921" t="str">
        <f>IF(C52="","",INDEX(CLHVAC[Current Unit],MATCH(C52,CLHVAC[Measure Name],0)))</f>
        <v/>
      </c>
      <c r="AJ52" s="921"/>
      <c r="AK52" s="921"/>
      <c r="AL52" s="922"/>
      <c r="AM52" s="923" t="str">
        <f>IFERROR(IF(C52="","",INDEX(IF(AND(ACTIVEBONUS = TRUE,INDEX(CLHVAC[Bonus Incentive],MATCH(C52,CLHVAC[Measure Name],0))&lt;&gt; ""),CLHVAC[Bonus Incentive],CLHVAC[BESP Incentive]),MATCH(C52,CLHVAC[Measure Name],0))),"")</f>
        <v/>
      </c>
      <c r="AN52" s="924"/>
      <c r="AO52" s="817" t="str">
        <f>IFERROR(IF(OR(C52="",N52="",V52="",AA52="",T52="",AE52="",AG52=""),"",IF(BD52="Deemed",BH52,IF(BD52="Calculated",BE52,""))),"")</f>
        <v/>
      </c>
      <c r="AP52" s="817"/>
      <c r="AQ52" s="817"/>
      <c r="AR52" s="840" t="str">
        <f>IFERROR(IF(OR(C52="",N52="",V52="",AA52="",T52="",AE52="",AG52=""),"",IF(BY52&lt;&gt;"",BY52,IF(BP52&gt;0,BP52,ROUND(IF(AO52&lt;=0,0,MIN(BL52,BQ52)), 2)))), "")</f>
        <v/>
      </c>
      <c r="AS52" s="840"/>
      <c r="AT52" s="840"/>
      <c r="AU52" s="840"/>
      <c r="AV52" s="17"/>
      <c r="AX52" s="773" t="str">
        <f>IFERROR(IF(OR(C52="",N52="",V52="",AA52="",T52="",AE52="",AG52=""),"",INDEX(CLHVAC[Current Unit],MATCH(C52,CLHVAC[Measure Name],0))),"Err")</f>
        <v/>
      </c>
      <c r="AY52" s="759"/>
      <c r="AZ52" s="759"/>
      <c r="BA52" s="919" t="str">
        <f>IF(C52&lt;&gt;"", _xlfn.LET(
_xlpm.Tons_Cool, V52, _xlpm.PLC_Base, L52, _xlpm.Tons_Heat, CC52, _xlpm.Other_Base, R52,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(12/_xlpm.PLC_Base)*_xlpm.EFLH_Cool,
IF(ISNUMBER(SEARCH("Water", C52)),
_xlpm.Tons_Cool * (_xlpm.PLC_Base) * _xlpm.EFLH_Cool,
" "
)),4),
_xlpm.kWhHeat,
IF(
_xlpm.ElecHeat=1,
ROUND(
IF(OR(ISNUMBER(SEARCH("DX", C52)),ISNUMBER(SEARCH("PTAC", C52)), ISNUMBER(SEARCH("Air-Cooled Chiller", C52)), ISNUMBER(SEARCH("Water", C52)),
ISNUMBER(SEARCH("VRF", C52))),
0,
IF(
OR(ISNUMBER(SEARCH("ASHP", C52)), ISNUMBER(SEARCH("PTHP", C52))),
_xlpm.Tons_Heat * (1/_xlpm.Other_Base) * _xlpm.EFLH_Heat,
" "
)),4),
0
),
IFERROR(_xlpm.kWhCool + _xlpm.kWhHeat, "Measure Not Specified.")
), "")</f>
        <v/>
      </c>
      <c r="BB52" s="919" t="str">
        <f>IF(C52&lt;&gt;"", _xlfn.LET(
_xlpm.Tons_Cool, V52, _xlpm.PLC_Eff, N52, _xlpm.Tons_Heat, CC52, _xlpm.Other_Eff, T52,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(12/_xlpm.PLC_Eff)*_xlpm.EFLH_Cool,
IF(ISNUMBER(SEARCH("Water", C52)),
_xlpm.Tons_Cool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(1/_xlpm.Other_Eff) * _xlpm.EFLH_Heat,
" "
)),4),
0
),
IFERROR(_xlpm.kWhCool + _xlpm.kWhHeat, "Measure Not Specified.")
), "")</f>
        <v/>
      </c>
      <c r="BC52" s="773" t="str">
        <f>IFERROR(IF(OR(C52="",N52="",V52="",AA52="",T52="",AE52="",AG52=""),"",INDEX(CLHVAC[End Use],MATCH(C52,CLHVAC[Measure Name],0))),"Err")</f>
        <v/>
      </c>
      <c r="BD52" s="757" t="str">
        <f>IFERROR(IF(OR(C52="",N52="",V52="",AA52="",T52="",AE52="",AG52=""),"",INDEX(CLHVAC[Reporting Methodology],MATCH(C52,CLHVAC[Measure Name],0))),"Err")</f>
        <v/>
      </c>
      <c r="BE52" s="775" t="str">
        <f t="shared" si="0"/>
        <v/>
      </c>
      <c r="BF52" s="775" t="str">
        <f t="shared" ref="BF52" si="68">IF(C52&lt;&gt;"", _xlfn.LET(
_xlpm.Tons, V52, _xlpm.PCF, 0.913,
IF(OR(ISNUMBER(SEARCH("DX", C52)), ISNUMBER(SEARCH("Air-Cooled Chiller", C52)), ISNUMBER(SEARCH("VRF", C52))),
_xlpm.Tons * (12/R52 - 12/T52) * _xlpm.PCF,
IF(ISNUMBER(SEARCH("Water", C52)),
_xlpm.Tons * (R52-T52) * _xlpm.PCF,
IF(ISNUMBER(SEARCH("ASHP", C52)),
_xlpm.Tons * (12/CA52 - 12/CB52) * _xlpm.PCF,
IF(OR(ISNUMBER(SEARCH("PTAC", C52)), ISNUMBER(SEARCH("PTHP", C52))),
_xlpm.Tons * (12/L52 - 12/N52) * _xlpm.PCF,
"Measure Not Specified."))))), "")</f>
        <v/>
      </c>
      <c r="BG52" s="761"/>
      <c r="BH52" s="775" t="str">
        <f>IF(
OR(C52="",N52="",V52="",AA52="",T52="",AE52="",AG52=""),"",
IF(OR(ISNUMBER(SEARCH("PTAC",C52)),ISNUMBER(SEARCH("PTHP",C52))),
ROUND(V52*INDEX(CLHVAC[Electric Energy Savings WBE (Annual kWh/unit)],MATCH(C52,CLHVAC[Measure Name],0)),4),
ROUND(V52*ABS(N52-L52)*INDEX(CLHVAC[Electric Energy Savings WBE (Annual kWh/unit)],MATCH(C52,CLHVAC[Measure Name],0)),4)
))</f>
        <v/>
      </c>
      <c r="BI52" s="775" t="str">
        <f>IF(
OR(C52="",N52="",V52="",AA52="",T52="",AE52="",AG52=""),"",
IF(OR(ISNUMBER(SEARCH("PTAC",C52)),ISNUMBER(SEARCH("PTHP",C52))),
ROUND(V52*INDEX(CLHVAC[Coincident Peak Demand Savings WBE (kW/unit)],MATCH(C52,CLHVAC[Measure Name],0)),4),
ROUND(V52* ABS(N52-L52)*INDEX(CLHVAC[Coincident Peak Demand Savings WBE (kW/unit)],MATCH(C52,CLHVAC[Measure Name],0)),4)
))</f>
        <v/>
      </c>
      <c r="BJ52" s="777" t="str">
        <f>IFERROR(INDEX(CLHVAC[Measure Life (Years)],MATCH(C52,CLHVAC[Measure Name],0)),"")</f>
        <v/>
      </c>
      <c r="BK52" s="767" t="str">
        <f>IFERROR(IF(OR(C52="",N52="",V52="",AA52="",T52="",AE52="",AG52=""),"",
ROUND(((1+ELOSS)*((BH52*INDEX(ELECCB[NPV AEC $/kWh],MATCH(BJ52,ELECCB[Year Number],1)))+(BI52*INDEX(ELECCB[NPV ACC $/kW],MATCH(BJ52,ELECCB[Year Number],1))))),2)),0)</f>
        <v/>
      </c>
      <c r="BL52" s="767" t="str">
        <f t="shared" si="1"/>
        <v/>
      </c>
      <c r="BM52" s="767"/>
      <c r="BN52" s="763" t="str">
        <f t="shared" si="2"/>
        <v/>
      </c>
      <c r="BO52" s="763" t="str">
        <f>IFERROR(IF(BM52 &lt;&gt; "", BM52, BL52) / M02S04F06 / AO52, "")</f>
        <v/>
      </c>
      <c r="BP52" s="769"/>
      <c r="BQ52" s="767" t="str">
        <f t="shared" ref="BQ52" si="69">IFERROR(IF(AI52="per ton", ROUND(V52*AM52, 2),
IF(AND(ISNUMBER(SEARCH("Air-Cooled Chiller",C52)),AI52="$/ton/IPLV"), ROUND((12/L52-12/N52)*V52*AM52, 2),
ROUND(ABS(N52-L52)*V52*AM52, 2))), "")</f>
        <v/>
      </c>
      <c r="BR52" s="765"/>
      <c r="BS52" s="765"/>
      <c r="BT52" s="765"/>
      <c r="BU52" s="757" t="str">
        <f t="shared" ref="BU52" si="70">IFERROR(IF(BP52="",IF(AR52 &lt; BQ52, "100% Total Cost", ""), ""), "")</f>
        <v/>
      </c>
      <c r="BV52" s="767" t="str">
        <f t="shared" si="3"/>
        <v/>
      </c>
      <c r="BW52" s="757" t="str">
        <f>IFERROR(IF(OR(C52="",N52="",V52="",AA52="",T52="",AE52="",AG52=""),"", IF(BY52&lt;&gt;"", SPILLOVERNUMBER, INDEX(CLHVAC[Measure Number],MATCH(C52,CLHVAC[Measure Name],0)))),"Err")</f>
        <v/>
      </c>
      <c r="BX52" s="757"/>
      <c r="BY52" s="907" t="str">
        <f>IFERROR(
IF(OR(C52="",N52="",T52="",V52="",AA52="",AE52="",AG52=""),
"",
IF(BP52&gt;0,"",IF(OR(AND(ISNUMBER(SEARCH("kW/ton", J52)),OR(L52&lt;N52,R52&lt;T52)),AND(NOT(ISNUMBER(SEARCH("kW/ton", J52))),OR(L52&gt;N52,R52&gt;T52))),
"Must Improve Efficiency",
IF(EXPIRATION&lt;&gt;"",PROJSTATEXP,"")))),
"")</f>
        <v/>
      </c>
      <c r="BZ52" s="911" t="str">
        <f>IFERROR(IF(INDEX(CLHVAC[Eff Unit 3],MATCH(C52,CLHVAC[Measure Name],0))="","",INDEX(CLHVAC[Eff Unit 3],MATCH(C52,CLHVAC[Measure Name],0))),"")</f>
        <v/>
      </c>
      <c r="CA52" s="956" t="str">
        <f>IFERROR(IF(INDEX(CLHVAC[Base Efficiency 3],MATCH(C52,CLHVAC[Measure Name],0))="","",INDEX(CLHVAC[Base Efficiency 3],MATCH(C52,CLHVAC[Measure Name],0))),"")</f>
        <v/>
      </c>
      <c r="CB52" s="913" t="str">
        <f t="shared" ref="CB52" si="71">IFERROR(IF(ISNUMBER(SEARCH("Air-Cooled Chiller",$C52)),12/N52,""),"")</f>
        <v/>
      </c>
      <c r="CC52" s="909"/>
    </row>
    <row r="53" spans="2:81" ht="15.95" customHeight="1">
      <c r="B53" s="785"/>
      <c r="C53" s="793"/>
      <c r="D53" s="795"/>
      <c r="E53" s="795"/>
      <c r="F53" s="795"/>
      <c r="G53" s="795"/>
      <c r="H53" s="795"/>
      <c r="I53" s="795"/>
      <c r="J53" s="932"/>
      <c r="K53" s="933"/>
      <c r="L53" s="928"/>
      <c r="M53" s="929"/>
      <c r="N53" s="915"/>
      <c r="O53" s="916"/>
      <c r="P53" s="934"/>
      <c r="Q53" s="935"/>
      <c r="R53" s="930"/>
      <c r="S53" s="931"/>
      <c r="T53" s="917"/>
      <c r="U53" s="918"/>
      <c r="V53" s="926"/>
      <c r="W53" s="927"/>
      <c r="X53" s="793"/>
      <c r="Y53" s="795"/>
      <c r="Z53" s="794"/>
      <c r="AA53" s="904"/>
      <c r="AB53" s="905"/>
      <c r="AC53" s="905"/>
      <c r="AD53" s="906"/>
      <c r="AE53" s="809"/>
      <c r="AF53" s="810"/>
      <c r="AG53" s="810"/>
      <c r="AH53" s="812"/>
      <c r="AI53" s="921"/>
      <c r="AJ53" s="921"/>
      <c r="AK53" s="921"/>
      <c r="AL53" s="922"/>
      <c r="AM53" s="925"/>
      <c r="AN53" s="900"/>
      <c r="AO53" s="818"/>
      <c r="AP53" s="818"/>
      <c r="AQ53" s="818"/>
      <c r="AR53" s="841"/>
      <c r="AS53" s="841"/>
      <c r="AT53" s="841"/>
      <c r="AU53" s="841"/>
      <c r="AV53" s="17"/>
      <c r="AX53" s="774"/>
      <c r="AY53" s="760"/>
      <c r="AZ53" s="760"/>
      <c r="BA53" s="920"/>
      <c r="BB53" s="920"/>
      <c r="BC53" s="774"/>
      <c r="BD53" s="758"/>
      <c r="BE53" s="776"/>
      <c r="BF53" s="776"/>
      <c r="BG53" s="762"/>
      <c r="BH53" s="776"/>
      <c r="BI53" s="776"/>
      <c r="BJ53" s="778"/>
      <c r="BK53" s="768"/>
      <c r="BL53" s="768"/>
      <c r="BM53" s="768"/>
      <c r="BN53" s="764"/>
      <c r="BO53" s="764"/>
      <c r="BP53" s="770"/>
      <c r="BQ53" s="768"/>
      <c r="BR53" s="766"/>
      <c r="BS53" s="766"/>
      <c r="BT53" s="766"/>
      <c r="BU53" s="758"/>
      <c r="BV53" s="768"/>
      <c r="BW53" s="758"/>
      <c r="BX53" s="758"/>
      <c r="BY53" s="908"/>
      <c r="BZ53" s="912"/>
      <c r="CA53" s="957"/>
      <c r="CB53" s="914"/>
      <c r="CC53" s="910"/>
    </row>
    <row r="54" spans="2:81" ht="15.95" customHeight="1">
      <c r="B54" s="785">
        <v>19</v>
      </c>
      <c r="C54" s="825"/>
      <c r="D54" s="826"/>
      <c r="E54" s="826"/>
      <c r="F54" s="826"/>
      <c r="G54" s="826"/>
      <c r="H54" s="826"/>
      <c r="I54" s="826"/>
      <c r="J54" s="936" t="str">
        <f>IF(C54="","",INDEX(CLHVAC[Eff Unit 1],MATCH(C54,CLHVAC[Measure Name],0)))</f>
        <v/>
      </c>
      <c r="K54" s="937"/>
      <c r="L54" s="938" t="str">
        <f>IF(C54="","",INDEX(CLHVAC[Base Efficiency 1],MATCH(C54,CLHVAC[Measure Name],0)))</f>
        <v/>
      </c>
      <c r="M54" s="939"/>
      <c r="N54" s="915"/>
      <c r="O54" s="916"/>
      <c r="P54" s="932" t="str">
        <f>IF(C54="","",INDEX(CLHVAC[Eff Unit 2],MATCH(C54,CLHVAC[Measure Name],0)))</f>
        <v/>
      </c>
      <c r="Q54" s="933"/>
      <c r="R54" s="928" t="str">
        <f>IF(C54="","",INDEX(CLHVAC[Base Efficiency 2],MATCH(C54,CLHVAC[Measure Name],0)))</f>
        <v/>
      </c>
      <c r="S54" s="929"/>
      <c r="T54" s="917" t="str">
        <f>IF(AND(ISNUMBER(SEARCH("DX",C54)),ISNUMBER(SEARCH("&lt;65 kbtu",C54)),N54&lt;&gt;""),1.12*N54-0.02*N54^2,IF(AND(ISNUMBER(SEARCH("PTAC",C54)),N54&lt;&gt;""),1,""))</f>
        <v/>
      </c>
      <c r="U54" s="918"/>
      <c r="V54" s="926"/>
      <c r="W54" s="927"/>
      <c r="X54" s="825"/>
      <c r="Y54" s="826"/>
      <c r="Z54" s="827"/>
      <c r="AA54" s="904"/>
      <c r="AB54" s="905"/>
      <c r="AC54" s="905"/>
      <c r="AD54" s="906"/>
      <c r="AE54" s="809"/>
      <c r="AF54" s="810"/>
      <c r="AG54" s="810"/>
      <c r="AH54" s="812"/>
      <c r="AI54" s="921" t="str">
        <f>IF(C54="","",INDEX(CLHVAC[Current Unit],MATCH(C54,CLHVAC[Measure Name],0)))</f>
        <v/>
      </c>
      <c r="AJ54" s="921"/>
      <c r="AK54" s="921"/>
      <c r="AL54" s="922"/>
      <c r="AM54" s="923" t="str">
        <f>IFERROR(IF(C54="","",INDEX(IF(AND(ACTIVEBONUS = TRUE,INDEX(CLHVAC[Bonus Incentive],MATCH(C54,CLHVAC[Measure Name],0))&lt;&gt; ""),CLHVAC[Bonus Incentive],CLHVAC[BESP Incentive]),MATCH(C54,CLHVAC[Measure Name],0))),"")</f>
        <v/>
      </c>
      <c r="AN54" s="924"/>
      <c r="AO54" s="817" t="str">
        <f>IFERROR(IF(OR(C54="",N54="",V54="",AA54="",T54="",AE54="",AG54=""),"",IF(BD54="Deemed",BH54,IF(BD54="Calculated",BE54,""))),"")</f>
        <v/>
      </c>
      <c r="AP54" s="817"/>
      <c r="AQ54" s="817"/>
      <c r="AR54" s="840" t="str">
        <f>IFERROR(IF(OR(C54="",N54="",V54="",AA54="",T54="",AE54="",AG54=""),"",IF(BY54&lt;&gt;"",BY54,IF(BP54&gt;0,BP54,ROUND(IF(AO54&lt;=0,0,MIN(BL54,BQ54)), 2)))), "")</f>
        <v/>
      </c>
      <c r="AS54" s="840"/>
      <c r="AT54" s="840"/>
      <c r="AU54" s="840"/>
      <c r="AV54" s="17"/>
      <c r="AX54" s="773" t="str">
        <f>IFERROR(IF(OR(C54="",N54="",V54="",AA54="",T54="",AE54="",AG54=""),"",INDEX(CLHVAC[Current Unit],MATCH(C54,CLHVAC[Measure Name],0))),"Err")</f>
        <v/>
      </c>
      <c r="AY54" s="759"/>
      <c r="AZ54" s="759"/>
      <c r="BA54" s="919" t="str">
        <f>IF(C54&lt;&gt;"", _xlfn.LET(
_xlpm.Tons_Cool, V54, _xlpm.PLC_Base, L54, _xlpm.Tons_Heat, CC54, _xlpm.Other_Base, R54,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(12/_xlpm.PLC_Base)*_xlpm.EFLH_Cool,
IF(ISNUMBER(SEARCH("Water", C54)),
_xlpm.Tons_Cool * (_xlpm.PLC_Base) * _xlpm.EFLH_Cool,
" "
)),4),
_xlpm.kWhHeat,
IF(
_xlpm.ElecHeat=1,
ROUND(
IF(OR(ISNUMBER(SEARCH("DX", C54)),ISNUMBER(SEARCH("PTAC", C54)), ISNUMBER(SEARCH("Air-Cooled Chiller", C54)), ISNUMBER(SEARCH("Water", C54)),
ISNUMBER(SEARCH("VRF", C54))),
0,
IF(
OR(ISNUMBER(SEARCH("ASHP", C54)), ISNUMBER(SEARCH("PTHP", C54))),
_xlpm.Tons_Heat * (1/_xlpm.Other_Base) * _xlpm.EFLH_Heat,
" "
)),4),
0
),
IFERROR(_xlpm.kWhCool + _xlpm.kWhHeat, "Measure Not Specified.")
), "")</f>
        <v/>
      </c>
      <c r="BB54" s="919" t="str">
        <f>IF(C54&lt;&gt;"", _xlfn.LET(
_xlpm.Tons_Cool, V54, _xlpm.PLC_Eff, N54, _xlpm.Tons_Heat, CC54, _xlpm.Other_Eff, T54,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(12/_xlpm.PLC_Eff)*_xlpm.EFLH_Cool,
IF(ISNUMBER(SEARCH("Water", C54)),
_xlpm.Tons_Cool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(1/_xlpm.Other_Eff) * _xlpm.EFLH_Heat,
" "
)),4),
0
),
IFERROR(_xlpm.kWhCool + _xlpm.kWhHeat, "Measure Not Specified.")
), "")</f>
        <v/>
      </c>
      <c r="BC54" s="773" t="str">
        <f>IFERROR(IF(OR(C54="",N54="",V54="",AA54="",T54="",AE54="",AG54=""),"",INDEX(CLHVAC[End Use],MATCH(C54,CLHVAC[Measure Name],0))),"Err")</f>
        <v/>
      </c>
      <c r="BD54" s="757" t="str">
        <f>IFERROR(IF(OR(C54="",N54="",V54="",AA54="",T54="",AE54="",AG54=""),"",INDEX(CLHVAC[Reporting Methodology],MATCH(C54,CLHVAC[Measure Name],0))),"Err")</f>
        <v/>
      </c>
      <c r="BE54" s="775" t="str">
        <f t="shared" si="0"/>
        <v/>
      </c>
      <c r="BF54" s="775" t="str">
        <f t="shared" ref="BF54" si="72">IF(C54&lt;&gt;"", _xlfn.LET(
_xlpm.Tons, V54, _xlpm.PCF, 0.913,
IF(OR(ISNUMBER(SEARCH("DX", C54)), ISNUMBER(SEARCH("Air-Cooled Chiller", C54)), ISNUMBER(SEARCH("VRF", C54))),
_xlpm.Tons * (12/R54 - 12/T54) * _xlpm.PCF,
IF(ISNUMBER(SEARCH("Water", C54)),
_xlpm.Tons * (R54-T54) * _xlpm.PCF,
IF(ISNUMBER(SEARCH("ASHP", C54)),
_xlpm.Tons * (12/CA54 - 12/CB54) * _xlpm.PCF,
IF(OR(ISNUMBER(SEARCH("PTAC", C54)), ISNUMBER(SEARCH("PTHP", C54))),
_xlpm.Tons * (12/L54 - 12/N54) * _xlpm.PCF,
"Measure Not Specified."))))), "")</f>
        <v/>
      </c>
      <c r="BG54" s="761"/>
      <c r="BH54" s="775" t="str">
        <f>IF(
OR(C54="",N54="",V54="",AA54="",T54="",AE54="",AG54=""),"",
IF(OR(ISNUMBER(SEARCH("PTAC",C54)),ISNUMBER(SEARCH("PTHP",C54))),
ROUND(V54*INDEX(CLHVAC[Electric Energy Savings WBE (Annual kWh/unit)],MATCH(C54,CLHVAC[Measure Name],0)),4),
ROUND(V54*ABS(N54-L54)*INDEX(CLHVAC[Electric Energy Savings WBE (Annual kWh/unit)],MATCH(C54,CLHVAC[Measure Name],0)),4)
))</f>
        <v/>
      </c>
      <c r="BI54" s="775" t="str">
        <f>IF(
OR(C54="",N54="",V54="",AA54="",T54="",AE54="",AG54=""),"",
IF(OR(ISNUMBER(SEARCH("PTAC",C54)),ISNUMBER(SEARCH("PTHP",C54))),
ROUND(V54*INDEX(CLHVAC[Coincident Peak Demand Savings WBE (kW/unit)],MATCH(C54,CLHVAC[Measure Name],0)),4),
ROUND(V54* ABS(N54-L54)*INDEX(CLHVAC[Coincident Peak Demand Savings WBE (kW/unit)],MATCH(C54,CLHVAC[Measure Name],0)),4)
))</f>
        <v/>
      </c>
      <c r="BJ54" s="777" t="str">
        <f>IFERROR(INDEX(CLHVAC[Measure Life (Years)],MATCH(C54,CLHVAC[Measure Name],0)),"")</f>
        <v/>
      </c>
      <c r="BK54" s="767" t="str">
        <f>IFERROR(IF(OR(C54="",N54="",V54="",AA54="",T54="",AE54="",AG54=""),"",
ROUND(((1+ELOSS)*((BH54*INDEX(ELECCB[NPV AEC $/kWh],MATCH(BJ54,ELECCB[Year Number],1)))+(BI54*INDEX(ELECCB[NPV ACC $/kW],MATCH(BJ54,ELECCB[Year Number],1))))),2)),0)</f>
        <v/>
      </c>
      <c r="BL54" s="767" t="str">
        <f t="shared" si="1"/>
        <v/>
      </c>
      <c r="BM54" s="767"/>
      <c r="BN54" s="763" t="str">
        <f t="shared" si="2"/>
        <v/>
      </c>
      <c r="BO54" s="763" t="str">
        <f>IFERROR(IF(BM54 &lt;&gt; "", BM54, BL54) / M02S04F06 / AO54, "")</f>
        <v/>
      </c>
      <c r="BP54" s="769"/>
      <c r="BQ54" s="767" t="str">
        <f t="shared" ref="BQ54" si="73">IFERROR(IF(AI54="per ton", ROUND(V54*AM54, 2),
IF(AND(ISNUMBER(SEARCH("Air-Cooled Chiller",C54)),AI54="$/ton/IPLV"), ROUND((12/L54-12/N54)*V54*AM54, 2),
ROUND(ABS(N54-L54)*V54*AM54, 2))), "")</f>
        <v/>
      </c>
      <c r="BR54" s="765"/>
      <c r="BS54" s="765"/>
      <c r="BT54" s="765"/>
      <c r="BU54" s="757" t="str">
        <f t="shared" ref="BU54" si="74">IFERROR(IF(BP54="",IF(AR54 &lt; BQ54, "100% Total Cost", ""), ""), "")</f>
        <v/>
      </c>
      <c r="BV54" s="767" t="str">
        <f t="shared" si="3"/>
        <v/>
      </c>
      <c r="BW54" s="757" t="str">
        <f>IFERROR(IF(OR(C54="",N54="",V54="",AA54="",T54="",AE54="",AG54=""),"", IF(BY54&lt;&gt;"", SPILLOVERNUMBER, INDEX(CLHVAC[Measure Number],MATCH(C54,CLHVAC[Measure Name],0)))),"Err")</f>
        <v/>
      </c>
      <c r="BX54" s="757"/>
      <c r="BY54" s="907" t="str">
        <f>IFERROR(
IF(OR(C54="",N54="",T54="",V54="",AA54="",AE54="",AG54=""),
"",
IF(BP54&gt;0,"",IF(OR(AND(ISNUMBER(SEARCH("kW/ton", J54)),OR(L54&lt;N54,R54&lt;T54)),AND(NOT(ISNUMBER(SEARCH("kW/ton", J54))),OR(L54&gt;N54,R54&gt;T54))),
"Must Improve Efficiency",
IF(EXPIRATION&lt;&gt;"",PROJSTATEXP,"")))),
"")</f>
        <v/>
      </c>
      <c r="BZ54" s="911" t="str">
        <f>IFERROR(IF(INDEX(CLHVAC[Eff Unit 3],MATCH(C54,CLHVAC[Measure Name],0))="","",INDEX(CLHVAC[Eff Unit 3],MATCH(C54,CLHVAC[Measure Name],0))),"")</f>
        <v/>
      </c>
      <c r="CA54" s="956" t="str">
        <f>IFERROR(IF(INDEX(CLHVAC[Base Efficiency 3],MATCH(C54,CLHVAC[Measure Name],0))="","",INDEX(CLHVAC[Base Efficiency 3],MATCH(C54,CLHVAC[Measure Name],0))),"")</f>
        <v/>
      </c>
      <c r="CB54" s="913" t="str">
        <f t="shared" ref="CB54" si="75">IFERROR(IF(ISNUMBER(SEARCH("Air-Cooled Chiller",$C54)),12/N54,""),"")</f>
        <v/>
      </c>
      <c r="CC54" s="909"/>
    </row>
    <row r="55" spans="2:81" ht="15.95" customHeight="1">
      <c r="B55" s="785"/>
      <c r="C55" s="793"/>
      <c r="D55" s="795"/>
      <c r="E55" s="795"/>
      <c r="F55" s="795"/>
      <c r="G55" s="795"/>
      <c r="H55" s="795"/>
      <c r="I55" s="795"/>
      <c r="J55" s="932"/>
      <c r="K55" s="933"/>
      <c r="L55" s="928"/>
      <c r="M55" s="929"/>
      <c r="N55" s="915"/>
      <c r="O55" s="916"/>
      <c r="P55" s="934"/>
      <c r="Q55" s="935"/>
      <c r="R55" s="930"/>
      <c r="S55" s="931"/>
      <c r="T55" s="917"/>
      <c r="U55" s="918"/>
      <c r="V55" s="926"/>
      <c r="W55" s="927"/>
      <c r="X55" s="793"/>
      <c r="Y55" s="795"/>
      <c r="Z55" s="794"/>
      <c r="AA55" s="904"/>
      <c r="AB55" s="905"/>
      <c r="AC55" s="905"/>
      <c r="AD55" s="906"/>
      <c r="AE55" s="809"/>
      <c r="AF55" s="810"/>
      <c r="AG55" s="810"/>
      <c r="AH55" s="812"/>
      <c r="AI55" s="921"/>
      <c r="AJ55" s="921"/>
      <c r="AK55" s="921"/>
      <c r="AL55" s="922"/>
      <c r="AM55" s="925"/>
      <c r="AN55" s="900"/>
      <c r="AO55" s="818"/>
      <c r="AP55" s="818"/>
      <c r="AQ55" s="818"/>
      <c r="AR55" s="841"/>
      <c r="AS55" s="841"/>
      <c r="AT55" s="841"/>
      <c r="AU55" s="841"/>
      <c r="AV55" s="17"/>
      <c r="AX55" s="774"/>
      <c r="AY55" s="760"/>
      <c r="AZ55" s="760"/>
      <c r="BA55" s="920"/>
      <c r="BB55" s="920"/>
      <c r="BC55" s="774"/>
      <c r="BD55" s="758"/>
      <c r="BE55" s="776"/>
      <c r="BF55" s="776"/>
      <c r="BG55" s="762"/>
      <c r="BH55" s="776"/>
      <c r="BI55" s="776"/>
      <c r="BJ55" s="778"/>
      <c r="BK55" s="768"/>
      <c r="BL55" s="768"/>
      <c r="BM55" s="768"/>
      <c r="BN55" s="764"/>
      <c r="BO55" s="764"/>
      <c r="BP55" s="770"/>
      <c r="BQ55" s="768"/>
      <c r="BR55" s="766"/>
      <c r="BS55" s="766"/>
      <c r="BT55" s="766"/>
      <c r="BU55" s="758"/>
      <c r="BV55" s="768"/>
      <c r="BW55" s="758"/>
      <c r="BX55" s="758"/>
      <c r="BY55" s="908"/>
      <c r="BZ55" s="912"/>
      <c r="CA55" s="957"/>
      <c r="CB55" s="914"/>
      <c r="CC55" s="910"/>
    </row>
    <row r="56" spans="2:81" ht="15.95" customHeight="1">
      <c r="B56" s="785">
        <v>20</v>
      </c>
      <c r="C56" s="825"/>
      <c r="D56" s="826"/>
      <c r="E56" s="826"/>
      <c r="F56" s="826"/>
      <c r="G56" s="826"/>
      <c r="H56" s="826"/>
      <c r="I56" s="826"/>
      <c r="J56" s="936" t="str">
        <f>IF(C56="","",INDEX(CLHVAC[Eff Unit 1],MATCH(C56,CLHVAC[Measure Name],0)))</f>
        <v/>
      </c>
      <c r="K56" s="937"/>
      <c r="L56" s="938" t="str">
        <f>IF(C56="","",INDEX(CLHVAC[Base Efficiency 1],MATCH(C56,CLHVAC[Measure Name],0)))</f>
        <v/>
      </c>
      <c r="M56" s="939"/>
      <c r="N56" s="915"/>
      <c r="O56" s="916"/>
      <c r="P56" s="932" t="str">
        <f>IF(C56="","",INDEX(CLHVAC[Eff Unit 2],MATCH(C56,CLHVAC[Measure Name],0)))</f>
        <v/>
      </c>
      <c r="Q56" s="933"/>
      <c r="R56" s="928" t="str">
        <f>IF(C56="","",INDEX(CLHVAC[Base Efficiency 2],MATCH(C56,CLHVAC[Measure Name],0)))</f>
        <v/>
      </c>
      <c r="S56" s="929"/>
      <c r="T56" s="917" t="str">
        <f>IF(AND(ISNUMBER(SEARCH("DX",C56)),ISNUMBER(SEARCH("&lt;65 kbtu",C56)),N56&lt;&gt;""),1.12*N56-0.02*N56^2,IF(AND(ISNUMBER(SEARCH("PTAC",C56)),N56&lt;&gt;""),1,""))</f>
        <v/>
      </c>
      <c r="U56" s="918"/>
      <c r="V56" s="926"/>
      <c r="W56" s="927"/>
      <c r="X56" s="825"/>
      <c r="Y56" s="826"/>
      <c r="Z56" s="827"/>
      <c r="AA56" s="904"/>
      <c r="AB56" s="905"/>
      <c r="AC56" s="905"/>
      <c r="AD56" s="906"/>
      <c r="AE56" s="809"/>
      <c r="AF56" s="810"/>
      <c r="AG56" s="810"/>
      <c r="AH56" s="812"/>
      <c r="AI56" s="921" t="str">
        <f>IF(C56="","",INDEX(CLHVAC[Current Unit],MATCH(C56,CLHVAC[Measure Name],0)))</f>
        <v/>
      </c>
      <c r="AJ56" s="921"/>
      <c r="AK56" s="921"/>
      <c r="AL56" s="922"/>
      <c r="AM56" s="923" t="str">
        <f>IFERROR(IF(C56="","",INDEX(IF(AND(ACTIVEBONUS = TRUE,INDEX(CLHVAC[Bonus Incentive],MATCH(C56,CLHVAC[Measure Name],0))&lt;&gt; ""),CLHVAC[Bonus Incentive],CLHVAC[BESP Incentive]),MATCH(C56,CLHVAC[Measure Name],0))),"")</f>
        <v/>
      </c>
      <c r="AN56" s="924"/>
      <c r="AO56" s="817" t="str">
        <f>IFERROR(IF(OR(C56="",N56="",V56="",AA56="",T56="",AE56="",AG56=""),"",IF(BD56="Deemed",BH56,IF(BD56="Calculated",BE56,""))),"")</f>
        <v/>
      </c>
      <c r="AP56" s="817"/>
      <c r="AQ56" s="817"/>
      <c r="AR56" s="840" t="str">
        <f>IFERROR(IF(OR(C56="",N56="",V56="",AA56="",T56="",AE56="",AG56=""),"",IF(BY56&lt;&gt;"",BY56,IF(BP56&gt;0,BP56,ROUND(IF(AO56&lt;=0,0,MIN(BL56,BQ56)), 2)))), "")</f>
        <v/>
      </c>
      <c r="AS56" s="840"/>
      <c r="AT56" s="840"/>
      <c r="AU56" s="840"/>
      <c r="AV56" s="17"/>
      <c r="AX56" s="773" t="str">
        <f>IFERROR(IF(OR(C56="",N56="",V56="",AA56="",T56="",AE56="",AG56=""),"",INDEX(CLHVAC[Current Unit],MATCH(C56,CLHVAC[Measure Name],0))),"Err")</f>
        <v/>
      </c>
      <c r="AY56" s="759"/>
      <c r="AZ56" s="759"/>
      <c r="BA56" s="919" t="str">
        <f>IF(C56&lt;&gt;"", _xlfn.LET(
_xlpm.Tons_Cool, V56, _xlpm.PLC_Base, L56, _xlpm.Tons_Heat, CC56, _xlpm.Other_Base, R56,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(12/_xlpm.PLC_Base)*_xlpm.EFLH_Cool,
IF(ISNUMBER(SEARCH("Water", C56)),
_xlpm.Tons_Cool * (_xlpm.PLC_Base) * _xlpm.EFLH_Cool,
" "
)),4),
_xlpm.kWhHeat,
IF(
_xlpm.ElecHeat=1,
ROUND(
IF(OR(ISNUMBER(SEARCH("DX", C56)),ISNUMBER(SEARCH("PTAC", C56)), ISNUMBER(SEARCH("Air-Cooled Chiller", C56)), ISNUMBER(SEARCH("Water", C56)),
ISNUMBER(SEARCH("VRF", C56))),
0,
IF(
OR(ISNUMBER(SEARCH("ASHP", C56)), ISNUMBER(SEARCH("PTHP", C56))),
_xlpm.Tons_Heat * (1/_xlpm.Other_Base) * _xlpm.EFLH_Heat,
" "
)),4),
0
),
IFERROR(_xlpm.kWhCool + _xlpm.kWhHeat, "Measure Not Specified.")
), "")</f>
        <v/>
      </c>
      <c r="BB56" s="919" t="str">
        <f>IF(C56&lt;&gt;"", _xlfn.LET(
_xlpm.Tons_Cool, V56, _xlpm.PLC_Eff, N56, _xlpm.Tons_Heat, CC56, _xlpm.Other_Eff, T56,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(12/_xlpm.PLC_Eff)*_xlpm.EFLH_Cool,
IF(ISNUMBER(SEARCH("Water", C56)),
_xlpm.Tons_Cool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(1/_xlpm.Other_Eff) * _xlpm.EFLH_Heat,
" "
)),4),
0
),
IFERROR(_xlpm.kWhCool + _xlpm.kWhHeat, "Measure Not Specified.")
), "")</f>
        <v/>
      </c>
      <c r="BC56" s="773" t="str">
        <f>IFERROR(IF(OR(C56="",N56="",V56="",AA56="",T56="",AE56="",AG56=""),"",INDEX(CLHVAC[End Use],MATCH(C56,CLHVAC[Measure Name],0))),"Err")</f>
        <v/>
      </c>
      <c r="BD56" s="757" t="str">
        <f>IFERROR(IF(OR(C56="",N56="",V56="",AA56="",T56="",AE56="",AG56=""),"",INDEX(CLHVAC[Reporting Methodology],MATCH(C56,CLHVAC[Measure Name],0))),"Err")</f>
        <v/>
      </c>
      <c r="BE56" s="775" t="str">
        <f t="shared" si="0"/>
        <v/>
      </c>
      <c r="BF56" s="775" t="str">
        <f t="shared" ref="BF56" si="76">IF(C56&lt;&gt;"", _xlfn.LET(
_xlpm.Tons, V56, _xlpm.PCF, 0.913,
IF(OR(ISNUMBER(SEARCH("DX", C56)), ISNUMBER(SEARCH("Air-Cooled Chiller", C56)), ISNUMBER(SEARCH("VRF", C56))),
_xlpm.Tons * (12/R56 - 12/T56) * _xlpm.PCF,
IF(ISNUMBER(SEARCH("Water", C56)),
_xlpm.Tons * (R56-T56) * _xlpm.PCF,
IF(ISNUMBER(SEARCH("ASHP", C56)),
_xlpm.Tons * (12/CA56 - 12/CB56) * _xlpm.PCF,
IF(OR(ISNUMBER(SEARCH("PTAC", C56)), ISNUMBER(SEARCH("PTHP", C56))),
_xlpm.Tons * (12/L56 - 12/N56) * _xlpm.PCF,
"Measure Not Specified."))))), "")</f>
        <v/>
      </c>
      <c r="BG56" s="761"/>
      <c r="BH56" s="775" t="str">
        <f>IF(
OR(C56="",N56="",V56="",AA56="",T56="",AE56="",AG56=""),"",
IF(OR(ISNUMBER(SEARCH("PTAC",C56)),ISNUMBER(SEARCH("PTHP",C56))),
ROUND(V56*INDEX(CLHVAC[Electric Energy Savings WBE (Annual kWh/unit)],MATCH(C56,CLHVAC[Measure Name],0)),4),
ROUND(V56*ABS(N56-L56)*INDEX(CLHVAC[Electric Energy Savings WBE (Annual kWh/unit)],MATCH(C56,CLHVAC[Measure Name],0)),4)
))</f>
        <v/>
      </c>
      <c r="BI56" s="775" t="str">
        <f>IF(
OR(C56="",N56="",V56="",AA56="",T56="",AE56="",AG56=""),"",
IF(OR(ISNUMBER(SEARCH("PTAC",C56)),ISNUMBER(SEARCH("PTHP",C56))),
ROUND(V56*INDEX(CLHVAC[Coincident Peak Demand Savings WBE (kW/unit)],MATCH(C56,CLHVAC[Measure Name],0)),4),
ROUND(V56* ABS(N56-L56)*INDEX(CLHVAC[Coincident Peak Demand Savings WBE (kW/unit)],MATCH(C56,CLHVAC[Measure Name],0)),4)
))</f>
        <v/>
      </c>
      <c r="BJ56" s="777" t="str">
        <f>IFERROR(INDEX(CLHVAC[Measure Life (Years)],MATCH(C56,CLHVAC[Measure Name],0)),"")</f>
        <v/>
      </c>
      <c r="BK56" s="767" t="str">
        <f>IFERROR(IF(OR(C56="",N56="",V56="",AA56="",T56="",AE56="",AG56=""),"",
ROUND(((1+ELOSS)*((BH56*INDEX(ELECCB[NPV AEC $/kWh],MATCH(BJ56,ELECCB[Year Number],1)))+(BI56*INDEX(ELECCB[NPV ACC $/kW],MATCH(BJ56,ELECCB[Year Number],1))))),2)),0)</f>
        <v/>
      </c>
      <c r="BL56" s="767" t="str">
        <f t="shared" si="1"/>
        <v/>
      </c>
      <c r="BM56" s="767"/>
      <c r="BN56" s="763" t="str">
        <f t="shared" si="2"/>
        <v/>
      </c>
      <c r="BO56" s="763" t="str">
        <f>IFERROR(IF(BM56 &lt;&gt; "", BM56, BL56) / M02S04F06 / AO56, "")</f>
        <v/>
      </c>
      <c r="BP56" s="769"/>
      <c r="BQ56" s="767" t="str">
        <f t="shared" ref="BQ56" si="77">IFERROR(IF(AI56="per ton", ROUND(V56*AM56, 2),
IF(AND(ISNUMBER(SEARCH("Air-Cooled Chiller",C56)),AI56="$/ton/IPLV"), ROUND((12/L56-12/N56)*V56*AM56, 2),
ROUND(ABS(N56-L56)*V56*AM56, 2))), "")</f>
        <v/>
      </c>
      <c r="BR56" s="765"/>
      <c r="BS56" s="765"/>
      <c r="BT56" s="765"/>
      <c r="BU56" s="757" t="str">
        <f t="shared" ref="BU56" si="78">IFERROR(IF(BP56="",IF(AR56 &lt; BQ56, "100% Total Cost", ""), ""), "")</f>
        <v/>
      </c>
      <c r="BV56" s="767" t="str">
        <f t="shared" si="3"/>
        <v/>
      </c>
      <c r="BW56" s="757" t="str">
        <f>IFERROR(IF(OR(C56="",N56="",V56="",AA56="",T56="",AE56="",AG56=""),"", IF(BY56&lt;&gt;"", SPILLOVERNUMBER, INDEX(CLHVAC[Measure Number],MATCH(C56,CLHVAC[Measure Name],0)))),"Err")</f>
        <v/>
      </c>
      <c r="BX56" s="757"/>
      <c r="BY56" s="907" t="str">
        <f>IFERROR(
IF(OR(C56="",N56="",T56="",V56="",AA56="",AE56="",AG56=""),
"",
IF(BP56&gt;0,"",IF(OR(AND(ISNUMBER(SEARCH("kW/ton", J56)),OR(L56&lt;N56,R56&lt;T56)),AND(NOT(ISNUMBER(SEARCH("kW/ton", J56))),OR(L56&gt;N56,R56&gt;T56))),
"Must Improve Efficiency",
IF(EXPIRATION&lt;&gt;"",PROJSTATEXP,"")))),
"")</f>
        <v/>
      </c>
      <c r="BZ56" s="911" t="str">
        <f>IFERROR(IF(INDEX(CLHVAC[Eff Unit 3],MATCH(C56,CLHVAC[Measure Name],0))="","",INDEX(CLHVAC[Eff Unit 3],MATCH(C56,CLHVAC[Measure Name],0))),"")</f>
        <v/>
      </c>
      <c r="CA56" s="956" t="str">
        <f>IFERROR(IF(INDEX(CLHVAC[Base Efficiency 3],MATCH(C56,CLHVAC[Measure Name],0))="","",INDEX(CLHVAC[Base Efficiency 3],MATCH(C56,CLHVAC[Measure Name],0))),"")</f>
        <v/>
      </c>
      <c r="CB56" s="913" t="str">
        <f t="shared" ref="CB56" si="79">IFERROR(IF(ISNUMBER(SEARCH("Air-Cooled Chiller",$C56)),12/N56,""),"")</f>
        <v/>
      </c>
      <c r="CC56" s="909"/>
    </row>
    <row r="57" spans="2:81" ht="15.95" customHeight="1">
      <c r="B57" s="785"/>
      <c r="C57" s="793"/>
      <c r="D57" s="795"/>
      <c r="E57" s="795"/>
      <c r="F57" s="795"/>
      <c r="G57" s="795"/>
      <c r="H57" s="795"/>
      <c r="I57" s="795"/>
      <c r="J57" s="932"/>
      <c r="K57" s="933"/>
      <c r="L57" s="928"/>
      <c r="M57" s="929"/>
      <c r="N57" s="915"/>
      <c r="O57" s="916"/>
      <c r="P57" s="934"/>
      <c r="Q57" s="935"/>
      <c r="R57" s="930"/>
      <c r="S57" s="931"/>
      <c r="T57" s="917"/>
      <c r="U57" s="918"/>
      <c r="V57" s="926"/>
      <c r="W57" s="927"/>
      <c r="X57" s="793"/>
      <c r="Y57" s="795"/>
      <c r="Z57" s="794"/>
      <c r="AA57" s="904"/>
      <c r="AB57" s="905"/>
      <c r="AC57" s="905"/>
      <c r="AD57" s="906"/>
      <c r="AE57" s="809"/>
      <c r="AF57" s="810"/>
      <c r="AG57" s="810"/>
      <c r="AH57" s="812"/>
      <c r="AI57" s="921"/>
      <c r="AJ57" s="921"/>
      <c r="AK57" s="921"/>
      <c r="AL57" s="922"/>
      <c r="AM57" s="925"/>
      <c r="AN57" s="900"/>
      <c r="AO57" s="818"/>
      <c r="AP57" s="818"/>
      <c r="AQ57" s="818"/>
      <c r="AR57" s="841"/>
      <c r="AS57" s="841"/>
      <c r="AT57" s="841"/>
      <c r="AU57" s="841"/>
      <c r="AV57" s="17"/>
      <c r="AX57" s="774"/>
      <c r="AY57" s="760"/>
      <c r="AZ57" s="760"/>
      <c r="BA57" s="920"/>
      <c r="BB57" s="920"/>
      <c r="BC57" s="774"/>
      <c r="BD57" s="758"/>
      <c r="BE57" s="776"/>
      <c r="BF57" s="776"/>
      <c r="BG57" s="762"/>
      <c r="BH57" s="776"/>
      <c r="BI57" s="776"/>
      <c r="BJ57" s="778"/>
      <c r="BK57" s="768"/>
      <c r="BL57" s="768"/>
      <c r="BM57" s="768"/>
      <c r="BN57" s="764"/>
      <c r="BO57" s="764"/>
      <c r="BP57" s="770"/>
      <c r="BQ57" s="768"/>
      <c r="BR57" s="766"/>
      <c r="BS57" s="766"/>
      <c r="BT57" s="766"/>
      <c r="BU57" s="758"/>
      <c r="BV57" s="768"/>
      <c r="BW57" s="758"/>
      <c r="BX57" s="758"/>
      <c r="BY57" s="908"/>
      <c r="BZ57" s="912"/>
      <c r="CA57" s="957"/>
      <c r="CB57" s="914"/>
      <c r="CC57" s="910"/>
    </row>
    <row r="58" spans="2:81" ht="15.95" customHeight="1">
      <c r="B58" s="785">
        <v>21</v>
      </c>
      <c r="C58" s="825"/>
      <c r="D58" s="826"/>
      <c r="E58" s="826"/>
      <c r="F58" s="826"/>
      <c r="G58" s="826"/>
      <c r="H58" s="826"/>
      <c r="I58" s="826"/>
      <c r="J58" s="936" t="str">
        <f>IF(C58="","",INDEX(CLHVAC[Eff Unit 1],MATCH(C58,CLHVAC[Measure Name],0)))</f>
        <v/>
      </c>
      <c r="K58" s="937"/>
      <c r="L58" s="938" t="str">
        <f>IF(C58="","",INDEX(CLHVAC[Base Efficiency 1],MATCH(C58,CLHVAC[Measure Name],0)))</f>
        <v/>
      </c>
      <c r="M58" s="939"/>
      <c r="N58" s="915"/>
      <c r="O58" s="916"/>
      <c r="P58" s="932" t="str">
        <f>IF(C58="","",INDEX(CLHVAC[Eff Unit 2],MATCH(C58,CLHVAC[Measure Name],0)))</f>
        <v/>
      </c>
      <c r="Q58" s="933"/>
      <c r="R58" s="928" t="str">
        <f>IF(C58="","",INDEX(CLHVAC[Base Efficiency 2],MATCH(C58,CLHVAC[Measure Name],0)))</f>
        <v/>
      </c>
      <c r="S58" s="929"/>
      <c r="T58" s="917" t="str">
        <f>IF(AND(ISNUMBER(SEARCH("DX",C58)),ISNUMBER(SEARCH("&lt;65 kbtu",C58)),N58&lt;&gt;""),1.12*N58-0.02*N58^2,IF(AND(ISNUMBER(SEARCH("PTAC",C58)),N58&lt;&gt;""),1,""))</f>
        <v/>
      </c>
      <c r="U58" s="918"/>
      <c r="V58" s="926"/>
      <c r="W58" s="927"/>
      <c r="X58" s="825"/>
      <c r="Y58" s="826"/>
      <c r="Z58" s="827"/>
      <c r="AA58" s="904"/>
      <c r="AB58" s="905"/>
      <c r="AC58" s="905"/>
      <c r="AD58" s="906"/>
      <c r="AE58" s="809"/>
      <c r="AF58" s="810"/>
      <c r="AG58" s="810"/>
      <c r="AH58" s="812"/>
      <c r="AI58" s="921" t="str">
        <f>IF(C58="","",INDEX(CLHVAC[Current Unit],MATCH(C58,CLHVAC[Measure Name],0)))</f>
        <v/>
      </c>
      <c r="AJ58" s="921"/>
      <c r="AK58" s="921"/>
      <c r="AL58" s="922"/>
      <c r="AM58" s="923" t="str">
        <f>IFERROR(IF(C58="","",INDEX(IF(AND(ACTIVEBONUS = TRUE,INDEX(CLHVAC[Bonus Incentive],MATCH(C58,CLHVAC[Measure Name],0))&lt;&gt; ""),CLHVAC[Bonus Incentive],CLHVAC[BESP Incentive]),MATCH(C58,CLHVAC[Measure Name],0))),"")</f>
        <v/>
      </c>
      <c r="AN58" s="924"/>
      <c r="AO58" s="817" t="str">
        <f>IFERROR(IF(OR(C58="",N58="",V58="",AA58="",T58="",AE58="",AG58=""),"",IF(BD58="Deemed",BH58,IF(BD58="Calculated",BE58,""))),"")</f>
        <v/>
      </c>
      <c r="AP58" s="817"/>
      <c r="AQ58" s="817"/>
      <c r="AR58" s="840" t="str">
        <f>IFERROR(IF(OR(C58="",N58="",V58="",AA58="",T58="",AE58="",AG58=""),"",IF(BY58&lt;&gt;"",BY58,IF(BP58&gt;0,BP58,ROUND(IF(AO58&lt;=0,0,MIN(BL58,BQ58)), 2)))), "")</f>
        <v/>
      </c>
      <c r="AS58" s="840"/>
      <c r="AT58" s="840"/>
      <c r="AU58" s="840"/>
      <c r="AV58" s="17"/>
      <c r="AX58" s="773" t="str">
        <f>IFERROR(IF(OR(C58="",N58="",V58="",AA58="",T58="",AE58="",AG58=""),"",INDEX(CLHVAC[Current Unit],MATCH(C58,CLHVAC[Measure Name],0))),"Err")</f>
        <v/>
      </c>
      <c r="AY58" s="759"/>
      <c r="AZ58" s="759"/>
      <c r="BA58" s="919" t="str">
        <f>IF(C58&lt;&gt;"", _xlfn.LET(
_xlpm.Tons_Cool, V58, _xlpm.PLC_Base, L58, _xlpm.Tons_Heat, CC58, _xlpm.Other_Base, R58,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(12/_xlpm.PLC_Base)*_xlpm.EFLH_Cool,
IF(ISNUMBER(SEARCH("Water", C58)),
_xlpm.Tons_Cool * (_xlpm.PLC_Base) * _xlpm.EFLH_Cool,
" "
)),4),
_xlpm.kWhHeat,
IF(
_xlpm.ElecHeat=1,
ROUND(
IF(OR(ISNUMBER(SEARCH("DX", C58)),ISNUMBER(SEARCH("PTAC", C58)), ISNUMBER(SEARCH("Air-Cooled Chiller", C58)), ISNUMBER(SEARCH("Water", C58)),
ISNUMBER(SEARCH("VRF", C58))),
0,
IF(
OR(ISNUMBER(SEARCH("ASHP", C58)), ISNUMBER(SEARCH("PTHP", C58))),
_xlpm.Tons_Heat * (1/_xlpm.Other_Base) * _xlpm.EFLH_Heat,
" "
)),4),
0
),
IFERROR(_xlpm.kWhCool + _xlpm.kWhHeat, "Measure Not Specified.")
), "")</f>
        <v/>
      </c>
      <c r="BB58" s="919" t="str">
        <f>IF(C58&lt;&gt;"", _xlfn.LET(
_xlpm.Tons_Cool, V58, _xlpm.PLC_Eff, N58, _xlpm.Tons_Heat, CC58, _xlpm.Other_Eff, T58,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(12/_xlpm.PLC_Eff)*_xlpm.EFLH_Cool,
IF(ISNUMBER(SEARCH("Water", C58)),
_xlpm.Tons_Cool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(1/_xlpm.Other_Eff) * _xlpm.EFLH_Heat,
" "
)),4),
0
),
IFERROR(_xlpm.kWhCool + _xlpm.kWhHeat, "Measure Not Specified.")
), "")</f>
        <v/>
      </c>
      <c r="BC58" s="773" t="str">
        <f>IFERROR(IF(OR(C58="",N58="",V58="",AA58="",T58="",AE58="",AG58=""),"",INDEX(CLHVAC[End Use],MATCH(C58,CLHVAC[Measure Name],0))),"Err")</f>
        <v/>
      </c>
      <c r="BD58" s="757" t="str">
        <f>IFERROR(IF(OR(C58="",N58="",V58="",AA58="",T58="",AE58="",AG58=""),"",INDEX(CLHVAC[Reporting Methodology],MATCH(C58,CLHVAC[Measure Name],0))),"Err")</f>
        <v/>
      </c>
      <c r="BE58" s="775" t="str">
        <f t="shared" si="0"/>
        <v/>
      </c>
      <c r="BF58" s="775" t="str">
        <f t="shared" ref="BF58" si="80">IF(C58&lt;&gt;"", _xlfn.LET(
_xlpm.Tons, V58, _xlpm.PCF, 0.913,
IF(OR(ISNUMBER(SEARCH("DX", C58)), ISNUMBER(SEARCH("Air-Cooled Chiller", C58)), ISNUMBER(SEARCH("VRF", C58))),
_xlpm.Tons * (12/R58 - 12/T58) * _xlpm.PCF,
IF(ISNUMBER(SEARCH("Water", C58)),
_xlpm.Tons * (R58-T58) * _xlpm.PCF,
IF(ISNUMBER(SEARCH("ASHP", C58)),
_xlpm.Tons * (12/CA58 - 12/CB58) * _xlpm.PCF,
IF(OR(ISNUMBER(SEARCH("PTAC", C58)), ISNUMBER(SEARCH("PTHP", C58))),
_xlpm.Tons * (12/L58 - 12/N58) * _xlpm.PCF,
"Measure Not Specified."))))), "")</f>
        <v/>
      </c>
      <c r="BG58" s="761"/>
      <c r="BH58" s="775" t="str">
        <f>IF(
OR(C58="",N58="",V58="",AA58="",T58="",AE58="",AG58=""),"",
IF(OR(ISNUMBER(SEARCH("PTAC",C58)),ISNUMBER(SEARCH("PTHP",C58))),
ROUND(V58*INDEX(CLHVAC[Electric Energy Savings WBE (Annual kWh/unit)],MATCH(C58,CLHVAC[Measure Name],0)),4),
ROUND(V58*ABS(N58-L58)*INDEX(CLHVAC[Electric Energy Savings WBE (Annual kWh/unit)],MATCH(C58,CLHVAC[Measure Name],0)),4)
))</f>
        <v/>
      </c>
      <c r="BI58" s="775" t="str">
        <f>IF(
OR(C58="",N58="",V58="",AA58="",T58="",AE58="",AG58=""),"",
IF(OR(ISNUMBER(SEARCH("PTAC",C58)),ISNUMBER(SEARCH("PTHP",C58))),
ROUND(V58*INDEX(CLHVAC[Coincident Peak Demand Savings WBE (kW/unit)],MATCH(C58,CLHVAC[Measure Name],0)),4),
ROUND(V58* ABS(N58-L58)*INDEX(CLHVAC[Coincident Peak Demand Savings WBE (kW/unit)],MATCH(C58,CLHVAC[Measure Name],0)),4)
))</f>
        <v/>
      </c>
      <c r="BJ58" s="777" t="str">
        <f>IFERROR(INDEX(CLHVAC[Measure Life (Years)],MATCH(C58,CLHVAC[Measure Name],0)),"")</f>
        <v/>
      </c>
      <c r="BK58" s="767" t="str">
        <f>IFERROR(IF(OR(C58="",N58="",V58="",AA58="",T58="",AE58="",AG58=""),"",
ROUND(((1+ELOSS)*((BH58*INDEX(ELECCB[NPV AEC $/kWh],MATCH(BJ58,ELECCB[Year Number],1)))+(BI58*INDEX(ELECCB[NPV ACC $/kW],MATCH(BJ58,ELECCB[Year Number],1))))),2)),0)</f>
        <v/>
      </c>
      <c r="BL58" s="767" t="str">
        <f t="shared" si="1"/>
        <v/>
      </c>
      <c r="BM58" s="767"/>
      <c r="BN58" s="763" t="str">
        <f t="shared" si="2"/>
        <v/>
      </c>
      <c r="BO58" s="763" t="str">
        <f>IFERROR(IF(BM58 &lt;&gt; "", BM58, BL58) / M02S04F06 / AO58, "")</f>
        <v/>
      </c>
      <c r="BP58" s="769"/>
      <c r="BQ58" s="767" t="str">
        <f t="shared" ref="BQ58" si="81">IFERROR(IF(AI58="per ton", ROUND(V58*AM58, 2),
IF(AND(ISNUMBER(SEARCH("Air-Cooled Chiller",C58)),AI58="$/ton/IPLV"), ROUND((12/L58-12/N58)*V58*AM58, 2),
ROUND(ABS(N58-L58)*V58*AM58, 2))), "")</f>
        <v/>
      </c>
      <c r="BR58" s="765"/>
      <c r="BS58" s="765"/>
      <c r="BT58" s="765"/>
      <c r="BU58" s="757" t="str">
        <f t="shared" ref="BU58" si="82">IFERROR(IF(BP58="",IF(AR58 &lt; BQ58, "100% Total Cost", ""), ""), "")</f>
        <v/>
      </c>
      <c r="BV58" s="767" t="str">
        <f t="shared" si="3"/>
        <v/>
      </c>
      <c r="BW58" s="757" t="str">
        <f>IFERROR(IF(OR(C58="",N58="",V58="",AA58="",T58="",AE58="",AG58=""),"", IF(BY58&lt;&gt;"", SPILLOVERNUMBER, INDEX(CLHVAC[Measure Number],MATCH(C58,CLHVAC[Measure Name],0)))),"Err")</f>
        <v/>
      </c>
      <c r="BX58" s="757"/>
      <c r="BY58" s="907" t="str">
        <f>IFERROR(
IF(OR(C58="",N58="",T58="",V58="",AA58="",AE58="",AG58=""),
"",
IF(BP58&gt;0,"",IF(OR(AND(ISNUMBER(SEARCH("kW/ton", J58)),OR(L58&lt;N58,R58&lt;T58)),AND(NOT(ISNUMBER(SEARCH("kW/ton", J58))),OR(L58&gt;N58,R58&gt;T58))),
"Must Improve Efficiency",
IF(EXPIRATION&lt;&gt;"",PROJSTATEXP,"")))),
"")</f>
        <v/>
      </c>
      <c r="BZ58" s="911" t="str">
        <f>IFERROR(IF(INDEX(CLHVAC[Eff Unit 3],MATCH(C58,CLHVAC[Measure Name],0))="","",INDEX(CLHVAC[Eff Unit 3],MATCH(C58,CLHVAC[Measure Name],0))),"")</f>
        <v/>
      </c>
      <c r="CA58" s="956" t="str">
        <f>IFERROR(IF(INDEX(CLHVAC[Base Efficiency 3],MATCH(C58,CLHVAC[Measure Name],0))="","",INDEX(CLHVAC[Base Efficiency 3],MATCH(C58,CLHVAC[Measure Name],0))),"")</f>
        <v/>
      </c>
      <c r="CB58" s="913" t="str">
        <f t="shared" ref="CB58" si="83">IFERROR(IF(ISNUMBER(SEARCH("Air-Cooled Chiller",$C58)),12/N58,""),"")</f>
        <v/>
      </c>
      <c r="CC58" s="909"/>
    </row>
    <row r="59" spans="2:81" ht="15.95" customHeight="1">
      <c r="B59" s="785"/>
      <c r="C59" s="793"/>
      <c r="D59" s="795"/>
      <c r="E59" s="795"/>
      <c r="F59" s="795"/>
      <c r="G59" s="795"/>
      <c r="H59" s="795"/>
      <c r="I59" s="795"/>
      <c r="J59" s="932"/>
      <c r="K59" s="933"/>
      <c r="L59" s="928"/>
      <c r="M59" s="929"/>
      <c r="N59" s="915"/>
      <c r="O59" s="916"/>
      <c r="P59" s="934"/>
      <c r="Q59" s="935"/>
      <c r="R59" s="930"/>
      <c r="S59" s="931"/>
      <c r="T59" s="917"/>
      <c r="U59" s="918"/>
      <c r="V59" s="926"/>
      <c r="W59" s="927"/>
      <c r="X59" s="793"/>
      <c r="Y59" s="795"/>
      <c r="Z59" s="794"/>
      <c r="AA59" s="904"/>
      <c r="AB59" s="905"/>
      <c r="AC59" s="905"/>
      <c r="AD59" s="906"/>
      <c r="AE59" s="809"/>
      <c r="AF59" s="810"/>
      <c r="AG59" s="810"/>
      <c r="AH59" s="812"/>
      <c r="AI59" s="921"/>
      <c r="AJ59" s="921"/>
      <c r="AK59" s="921"/>
      <c r="AL59" s="922"/>
      <c r="AM59" s="925"/>
      <c r="AN59" s="900"/>
      <c r="AO59" s="818"/>
      <c r="AP59" s="818"/>
      <c r="AQ59" s="818"/>
      <c r="AR59" s="841"/>
      <c r="AS59" s="841"/>
      <c r="AT59" s="841"/>
      <c r="AU59" s="841"/>
      <c r="AV59" s="17"/>
      <c r="AX59" s="774"/>
      <c r="AY59" s="760"/>
      <c r="AZ59" s="760"/>
      <c r="BA59" s="920"/>
      <c r="BB59" s="920"/>
      <c r="BC59" s="774"/>
      <c r="BD59" s="758"/>
      <c r="BE59" s="776"/>
      <c r="BF59" s="776"/>
      <c r="BG59" s="762"/>
      <c r="BH59" s="776"/>
      <c r="BI59" s="776"/>
      <c r="BJ59" s="778"/>
      <c r="BK59" s="768"/>
      <c r="BL59" s="768"/>
      <c r="BM59" s="768"/>
      <c r="BN59" s="764"/>
      <c r="BO59" s="764"/>
      <c r="BP59" s="770"/>
      <c r="BQ59" s="768"/>
      <c r="BR59" s="766"/>
      <c r="BS59" s="766"/>
      <c r="BT59" s="766"/>
      <c r="BU59" s="758"/>
      <c r="BV59" s="768"/>
      <c r="BW59" s="758"/>
      <c r="BX59" s="758"/>
      <c r="BY59" s="908"/>
      <c r="BZ59" s="912"/>
      <c r="CA59" s="957"/>
      <c r="CB59" s="914"/>
      <c r="CC59" s="910"/>
    </row>
    <row r="60" spans="2:81" ht="15.95" customHeight="1">
      <c r="B60" s="785">
        <v>22</v>
      </c>
      <c r="C60" s="825"/>
      <c r="D60" s="826"/>
      <c r="E60" s="826"/>
      <c r="F60" s="826"/>
      <c r="G60" s="826"/>
      <c r="H60" s="826"/>
      <c r="I60" s="826"/>
      <c r="J60" s="936" t="str">
        <f>IF(C60="","",INDEX(CLHVAC[Eff Unit 1],MATCH(C60,CLHVAC[Measure Name],0)))</f>
        <v/>
      </c>
      <c r="K60" s="937"/>
      <c r="L60" s="938" t="str">
        <f>IF(C60="","",INDEX(CLHVAC[Base Efficiency 1],MATCH(C60,CLHVAC[Measure Name],0)))</f>
        <v/>
      </c>
      <c r="M60" s="939"/>
      <c r="N60" s="915"/>
      <c r="O60" s="916"/>
      <c r="P60" s="932" t="str">
        <f>IF(C60="","",INDEX(CLHVAC[Eff Unit 2],MATCH(C60,CLHVAC[Measure Name],0)))</f>
        <v/>
      </c>
      <c r="Q60" s="933"/>
      <c r="R60" s="928" t="str">
        <f>IF(C60="","",INDEX(CLHVAC[Base Efficiency 2],MATCH(C60,CLHVAC[Measure Name],0)))</f>
        <v/>
      </c>
      <c r="S60" s="929"/>
      <c r="T60" s="917" t="str">
        <f>IF(AND(ISNUMBER(SEARCH("DX",C60)),ISNUMBER(SEARCH("&lt;65 kbtu",C60)),N60&lt;&gt;""),1.12*N60-0.02*N60^2,IF(AND(ISNUMBER(SEARCH("PTAC",C60)),N60&lt;&gt;""),1,""))</f>
        <v/>
      </c>
      <c r="U60" s="918"/>
      <c r="V60" s="926"/>
      <c r="W60" s="927"/>
      <c r="X60" s="825"/>
      <c r="Y60" s="826"/>
      <c r="Z60" s="827"/>
      <c r="AA60" s="904"/>
      <c r="AB60" s="905"/>
      <c r="AC60" s="905"/>
      <c r="AD60" s="906"/>
      <c r="AE60" s="809"/>
      <c r="AF60" s="810"/>
      <c r="AG60" s="810"/>
      <c r="AH60" s="812"/>
      <c r="AI60" s="921" t="str">
        <f>IF(C60="","",INDEX(CLHVAC[Current Unit],MATCH(C60,CLHVAC[Measure Name],0)))</f>
        <v/>
      </c>
      <c r="AJ60" s="921"/>
      <c r="AK60" s="921"/>
      <c r="AL60" s="922"/>
      <c r="AM60" s="923" t="str">
        <f>IFERROR(IF(C60="","",INDEX(IF(AND(ACTIVEBONUS = TRUE,INDEX(CLHVAC[Bonus Incentive],MATCH(C60,CLHVAC[Measure Name],0))&lt;&gt; ""),CLHVAC[Bonus Incentive],CLHVAC[BESP Incentive]),MATCH(C60,CLHVAC[Measure Name],0))),"")</f>
        <v/>
      </c>
      <c r="AN60" s="924"/>
      <c r="AO60" s="817" t="str">
        <f>IFERROR(IF(OR(C60="",N60="",V60="",AA60="",T60="",AE60="",AG60=""),"",IF(BD60="Deemed",BH60,IF(BD60="Calculated",BE60,""))),"")</f>
        <v/>
      </c>
      <c r="AP60" s="817"/>
      <c r="AQ60" s="817"/>
      <c r="AR60" s="840" t="str">
        <f>IFERROR(IF(OR(C60="",N60="",V60="",AA60="",T60="",AE60="",AG60=""),"",IF(BY60&lt;&gt;"",BY60,IF(BP60&gt;0,BP60,ROUND(IF(AO60&lt;=0,0,MIN(BL60,BQ60)), 2)))), "")</f>
        <v/>
      </c>
      <c r="AS60" s="840"/>
      <c r="AT60" s="840"/>
      <c r="AU60" s="840"/>
      <c r="AV60" s="17"/>
      <c r="AX60" s="773" t="str">
        <f>IFERROR(IF(OR(C60="",N60="",V60="",AA60="",T60="",AE60="",AG60=""),"",INDEX(CLHVAC[Current Unit],MATCH(C60,CLHVAC[Measure Name],0))),"Err")</f>
        <v/>
      </c>
      <c r="AY60" s="759"/>
      <c r="AZ60" s="759"/>
      <c r="BA60" s="919" t="str">
        <f>IF(C60&lt;&gt;"", _xlfn.LET(
_xlpm.Tons_Cool, V60, _xlpm.PLC_Base, L60, _xlpm.Tons_Heat, CC60, _xlpm.Other_Base, R60,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(12/_xlpm.PLC_Base)*_xlpm.EFLH_Cool,
IF(ISNUMBER(SEARCH("Water", C60)),
_xlpm.Tons_Cool * (_xlpm.PLC_Base) * _xlpm.EFLH_Cool,
" "
)),4),
_xlpm.kWhHeat,
IF(
_xlpm.ElecHeat=1,
ROUND(
IF(OR(ISNUMBER(SEARCH("DX", C60)),ISNUMBER(SEARCH("PTAC", C60)), ISNUMBER(SEARCH("Air-Cooled Chiller", C60)), ISNUMBER(SEARCH("Water", C60)),
ISNUMBER(SEARCH("VRF", C60))),
0,
IF(
OR(ISNUMBER(SEARCH("ASHP", C60)), ISNUMBER(SEARCH("PTHP", C60))),
_xlpm.Tons_Heat * (1/_xlpm.Other_Base) * _xlpm.EFLH_Heat,
" "
)),4),
0
),
IFERROR(_xlpm.kWhCool + _xlpm.kWhHeat, "Measure Not Specified.")
), "")</f>
        <v/>
      </c>
      <c r="BB60" s="919" t="str">
        <f>IF(C60&lt;&gt;"", _xlfn.LET(
_xlpm.Tons_Cool, V60, _xlpm.PLC_Eff, N60, _xlpm.Tons_Heat, CC60, _xlpm.Other_Eff, T60,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(12/_xlpm.PLC_Eff)*_xlpm.EFLH_Cool,
IF(ISNUMBER(SEARCH("Water", C60)),
_xlpm.Tons_Cool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(1/_xlpm.Other_Eff) * _xlpm.EFLH_Heat,
" "
)),4),
0
),
IFERROR(_xlpm.kWhCool + _xlpm.kWhHeat, "Measure Not Specified.")
), "")</f>
        <v/>
      </c>
      <c r="BC60" s="773" t="str">
        <f>IFERROR(IF(OR(C60="",N60="",V60="",AA60="",T60="",AE60="",AG60=""),"",INDEX(CLHVAC[End Use],MATCH(C60,CLHVAC[Measure Name],0))),"Err")</f>
        <v/>
      </c>
      <c r="BD60" s="757" t="str">
        <f>IFERROR(IF(OR(C60="",N60="",V60="",AA60="",T60="",AE60="",AG60=""),"",INDEX(CLHVAC[Reporting Methodology],MATCH(C60,CLHVAC[Measure Name],0))),"Err")</f>
        <v/>
      </c>
      <c r="BE60" s="775" t="str">
        <f t="shared" si="0"/>
        <v/>
      </c>
      <c r="BF60" s="775" t="str">
        <f t="shared" ref="BF60" si="84">IF(C60&lt;&gt;"", _xlfn.LET(
_xlpm.Tons, V60, _xlpm.PCF, 0.913,
IF(OR(ISNUMBER(SEARCH("DX", C60)), ISNUMBER(SEARCH("Air-Cooled Chiller", C60)), ISNUMBER(SEARCH("VRF", C60))),
_xlpm.Tons * (12/R60 - 12/T60) * _xlpm.PCF,
IF(ISNUMBER(SEARCH("Water", C60)),
_xlpm.Tons * (R60-T60) * _xlpm.PCF,
IF(ISNUMBER(SEARCH("ASHP", C60)),
_xlpm.Tons * (12/CA60 - 12/CB60) * _xlpm.PCF,
IF(OR(ISNUMBER(SEARCH("PTAC", C60)), ISNUMBER(SEARCH("PTHP", C60))),
_xlpm.Tons * (12/L60 - 12/N60) * _xlpm.PCF,
"Measure Not Specified."))))), "")</f>
        <v/>
      </c>
      <c r="BG60" s="761"/>
      <c r="BH60" s="775" t="str">
        <f>IF(
OR(C60="",N60="",V60="",AA60="",T60="",AE60="",AG60=""),"",
IF(OR(ISNUMBER(SEARCH("PTAC",C60)),ISNUMBER(SEARCH("PTHP",C60))),
ROUND(V60*INDEX(CLHVAC[Electric Energy Savings WBE (Annual kWh/unit)],MATCH(C60,CLHVAC[Measure Name],0)),4),
ROUND(V60*ABS(N60-L60)*INDEX(CLHVAC[Electric Energy Savings WBE (Annual kWh/unit)],MATCH(C60,CLHVAC[Measure Name],0)),4)
))</f>
        <v/>
      </c>
      <c r="BI60" s="775" t="str">
        <f>IF(
OR(C60="",N60="",V60="",AA60="",T60="",AE60="",AG60=""),"",
IF(OR(ISNUMBER(SEARCH("PTAC",C60)),ISNUMBER(SEARCH("PTHP",C60))),
ROUND(V60*INDEX(CLHVAC[Coincident Peak Demand Savings WBE (kW/unit)],MATCH(C60,CLHVAC[Measure Name],0)),4),
ROUND(V60* ABS(N60-L60)*INDEX(CLHVAC[Coincident Peak Demand Savings WBE (kW/unit)],MATCH(C60,CLHVAC[Measure Name],0)),4)
))</f>
        <v/>
      </c>
      <c r="BJ60" s="777" t="str">
        <f>IFERROR(INDEX(CLHVAC[Measure Life (Years)],MATCH(C60,CLHVAC[Measure Name],0)),"")</f>
        <v/>
      </c>
      <c r="BK60" s="767" t="str">
        <f>IFERROR(IF(OR(C60="",N60="",V60="",AA60="",T60="",AE60="",AG60=""),"",
ROUND(((1+ELOSS)*((BH60*INDEX(ELECCB[NPV AEC $/kWh],MATCH(BJ60,ELECCB[Year Number],1)))+(BI60*INDEX(ELECCB[NPV ACC $/kW],MATCH(BJ60,ELECCB[Year Number],1))))),2)),0)</f>
        <v/>
      </c>
      <c r="BL60" s="767" t="str">
        <f t="shared" si="1"/>
        <v/>
      </c>
      <c r="BM60" s="767"/>
      <c r="BN60" s="763" t="str">
        <f t="shared" si="2"/>
        <v/>
      </c>
      <c r="BO60" s="763" t="str">
        <f>IFERROR(IF(BM60 &lt;&gt; "", BM60, BL60) / M02S04F06 / AO60, "")</f>
        <v/>
      </c>
      <c r="BP60" s="769"/>
      <c r="BQ60" s="767" t="str">
        <f t="shared" ref="BQ60" si="85">IFERROR(IF(AI60="per ton", ROUND(V60*AM60, 2),
IF(AND(ISNUMBER(SEARCH("Air-Cooled Chiller",C60)),AI60="$/ton/IPLV"), ROUND((12/L60-12/N60)*V60*AM60, 2),
ROUND(ABS(N60-L60)*V60*AM60, 2))), "")</f>
        <v/>
      </c>
      <c r="BR60" s="765"/>
      <c r="BS60" s="765"/>
      <c r="BT60" s="765"/>
      <c r="BU60" s="757" t="str">
        <f t="shared" ref="BU60" si="86">IFERROR(IF(BP60="",IF(AR60 &lt; BQ60, "100% Total Cost", ""), ""), "")</f>
        <v/>
      </c>
      <c r="BV60" s="767" t="str">
        <f t="shared" si="3"/>
        <v/>
      </c>
      <c r="BW60" s="757" t="str">
        <f>IFERROR(IF(OR(C60="",N60="",V60="",AA60="",T60="",AE60="",AG60=""),"", IF(BY60&lt;&gt;"", SPILLOVERNUMBER, INDEX(CLHVAC[Measure Number],MATCH(C60,CLHVAC[Measure Name],0)))),"Err")</f>
        <v/>
      </c>
      <c r="BX60" s="757"/>
      <c r="BY60" s="907" t="str">
        <f>IFERROR(
IF(OR(C60="",N60="",T60="",V60="",AA60="",AE60="",AG60=""),
"",
IF(BP60&gt;0,"",IF(OR(AND(ISNUMBER(SEARCH("kW/ton", J60)),OR(L60&lt;N60,R60&lt;T60)),AND(NOT(ISNUMBER(SEARCH("kW/ton", J60))),OR(L60&gt;N60,R60&gt;T60))),
"Must Improve Efficiency",
IF(EXPIRATION&lt;&gt;"",PROJSTATEXP,"")))),
"")</f>
        <v/>
      </c>
      <c r="BZ60" s="911" t="str">
        <f>IFERROR(IF(INDEX(CLHVAC[Eff Unit 3],MATCH(C60,CLHVAC[Measure Name],0))="","",INDEX(CLHVAC[Eff Unit 3],MATCH(C60,CLHVAC[Measure Name],0))),"")</f>
        <v/>
      </c>
      <c r="CA60" s="956" t="str">
        <f>IFERROR(IF(INDEX(CLHVAC[Base Efficiency 3],MATCH(C60,CLHVAC[Measure Name],0))="","",INDEX(CLHVAC[Base Efficiency 3],MATCH(C60,CLHVAC[Measure Name],0))),"")</f>
        <v/>
      </c>
      <c r="CB60" s="913" t="str">
        <f t="shared" ref="CB60" si="87">IFERROR(IF(ISNUMBER(SEARCH("Air-Cooled Chiller",$C60)),12/N60,""),"")</f>
        <v/>
      </c>
      <c r="CC60" s="909"/>
    </row>
    <row r="61" spans="2:81" ht="15.95" customHeight="1">
      <c r="B61" s="785"/>
      <c r="C61" s="793"/>
      <c r="D61" s="795"/>
      <c r="E61" s="795"/>
      <c r="F61" s="795"/>
      <c r="G61" s="795"/>
      <c r="H61" s="795"/>
      <c r="I61" s="795"/>
      <c r="J61" s="932"/>
      <c r="K61" s="933"/>
      <c r="L61" s="928"/>
      <c r="M61" s="929"/>
      <c r="N61" s="915"/>
      <c r="O61" s="916"/>
      <c r="P61" s="934"/>
      <c r="Q61" s="935"/>
      <c r="R61" s="930"/>
      <c r="S61" s="931"/>
      <c r="T61" s="917"/>
      <c r="U61" s="918"/>
      <c r="V61" s="926"/>
      <c r="W61" s="927"/>
      <c r="X61" s="793"/>
      <c r="Y61" s="795"/>
      <c r="Z61" s="794"/>
      <c r="AA61" s="904"/>
      <c r="AB61" s="905"/>
      <c r="AC61" s="905"/>
      <c r="AD61" s="906"/>
      <c r="AE61" s="809"/>
      <c r="AF61" s="810"/>
      <c r="AG61" s="810"/>
      <c r="AH61" s="812"/>
      <c r="AI61" s="921"/>
      <c r="AJ61" s="921"/>
      <c r="AK61" s="921"/>
      <c r="AL61" s="922"/>
      <c r="AM61" s="925"/>
      <c r="AN61" s="900"/>
      <c r="AO61" s="818"/>
      <c r="AP61" s="818"/>
      <c r="AQ61" s="818"/>
      <c r="AR61" s="841"/>
      <c r="AS61" s="841"/>
      <c r="AT61" s="841"/>
      <c r="AU61" s="841"/>
      <c r="AV61" s="17"/>
      <c r="AX61" s="774"/>
      <c r="AY61" s="760"/>
      <c r="AZ61" s="760"/>
      <c r="BA61" s="920"/>
      <c r="BB61" s="920"/>
      <c r="BC61" s="774"/>
      <c r="BD61" s="758"/>
      <c r="BE61" s="776"/>
      <c r="BF61" s="776"/>
      <c r="BG61" s="762"/>
      <c r="BH61" s="776"/>
      <c r="BI61" s="776"/>
      <c r="BJ61" s="778"/>
      <c r="BK61" s="768"/>
      <c r="BL61" s="768"/>
      <c r="BM61" s="768"/>
      <c r="BN61" s="764"/>
      <c r="BO61" s="764"/>
      <c r="BP61" s="770"/>
      <c r="BQ61" s="768"/>
      <c r="BR61" s="766"/>
      <c r="BS61" s="766"/>
      <c r="BT61" s="766"/>
      <c r="BU61" s="758"/>
      <c r="BV61" s="768"/>
      <c r="BW61" s="758"/>
      <c r="BX61" s="758"/>
      <c r="BY61" s="908"/>
      <c r="BZ61" s="912"/>
      <c r="CA61" s="957"/>
      <c r="CB61" s="914"/>
      <c r="CC61" s="910"/>
    </row>
    <row r="62" spans="2:81" ht="15.95" customHeight="1">
      <c r="B62" s="785">
        <v>23</v>
      </c>
      <c r="C62" s="825"/>
      <c r="D62" s="826"/>
      <c r="E62" s="826"/>
      <c r="F62" s="826"/>
      <c r="G62" s="826"/>
      <c r="H62" s="826"/>
      <c r="I62" s="826"/>
      <c r="J62" s="936" t="str">
        <f>IF(C62="","",INDEX(CLHVAC[Eff Unit 1],MATCH(C62,CLHVAC[Measure Name],0)))</f>
        <v/>
      </c>
      <c r="K62" s="937"/>
      <c r="L62" s="938" t="str">
        <f>IF(C62="","",INDEX(CLHVAC[Base Efficiency 1],MATCH(C62,CLHVAC[Measure Name],0)))</f>
        <v/>
      </c>
      <c r="M62" s="939"/>
      <c r="N62" s="915"/>
      <c r="O62" s="916"/>
      <c r="P62" s="932" t="str">
        <f>IF(C62="","",INDEX(CLHVAC[Eff Unit 2],MATCH(C62,CLHVAC[Measure Name],0)))</f>
        <v/>
      </c>
      <c r="Q62" s="933"/>
      <c r="R62" s="928" t="str">
        <f>IF(C62="","",INDEX(CLHVAC[Base Efficiency 2],MATCH(C62,CLHVAC[Measure Name],0)))</f>
        <v/>
      </c>
      <c r="S62" s="929"/>
      <c r="T62" s="917" t="str">
        <f>IF(AND(ISNUMBER(SEARCH("DX",C62)),ISNUMBER(SEARCH("&lt;65 kbtu",C62)),N62&lt;&gt;""),1.12*N62-0.02*N62^2,IF(AND(ISNUMBER(SEARCH("PTAC",C62)),N62&lt;&gt;""),1,""))</f>
        <v/>
      </c>
      <c r="U62" s="918"/>
      <c r="V62" s="926"/>
      <c r="W62" s="927"/>
      <c r="X62" s="825"/>
      <c r="Y62" s="826"/>
      <c r="Z62" s="827"/>
      <c r="AA62" s="904"/>
      <c r="AB62" s="905"/>
      <c r="AC62" s="905"/>
      <c r="AD62" s="906"/>
      <c r="AE62" s="809"/>
      <c r="AF62" s="810"/>
      <c r="AG62" s="810"/>
      <c r="AH62" s="812"/>
      <c r="AI62" s="921" t="str">
        <f>IF(C62="","",INDEX(CLHVAC[Current Unit],MATCH(C62,CLHVAC[Measure Name],0)))</f>
        <v/>
      </c>
      <c r="AJ62" s="921"/>
      <c r="AK62" s="921"/>
      <c r="AL62" s="922"/>
      <c r="AM62" s="923" t="str">
        <f>IFERROR(IF(C62="","",INDEX(IF(AND(ACTIVEBONUS = TRUE,INDEX(CLHVAC[Bonus Incentive],MATCH(C62,CLHVAC[Measure Name],0))&lt;&gt; ""),CLHVAC[Bonus Incentive],CLHVAC[BESP Incentive]),MATCH(C62,CLHVAC[Measure Name],0))),"")</f>
        <v/>
      </c>
      <c r="AN62" s="924"/>
      <c r="AO62" s="817" t="str">
        <f>IFERROR(IF(OR(C62="",N62="",V62="",AA62="",T62="",AE62="",AG62=""),"",IF(BD62="Deemed",BH62,IF(BD62="Calculated",BE62,""))),"")</f>
        <v/>
      </c>
      <c r="AP62" s="817"/>
      <c r="AQ62" s="817"/>
      <c r="AR62" s="840" t="str">
        <f>IFERROR(IF(OR(C62="",N62="",V62="",AA62="",T62="",AE62="",AG62=""),"",IF(BY62&lt;&gt;"",BY62,IF(BP62&gt;0,BP62,ROUND(IF(AO62&lt;=0,0,MIN(BL62,BQ62)), 2)))), "")</f>
        <v/>
      </c>
      <c r="AS62" s="840"/>
      <c r="AT62" s="840"/>
      <c r="AU62" s="840"/>
      <c r="AV62" s="17"/>
      <c r="AX62" s="773" t="str">
        <f>IFERROR(IF(OR(C62="",N62="",V62="",AA62="",T62="",AE62="",AG62=""),"",INDEX(CLHVAC[Current Unit],MATCH(C62,CLHVAC[Measure Name],0))),"Err")</f>
        <v/>
      </c>
      <c r="AY62" s="759"/>
      <c r="AZ62" s="759"/>
      <c r="BA62" s="919" t="str">
        <f>IF(C62&lt;&gt;"", _xlfn.LET(
_xlpm.Tons_Cool, V62, _xlpm.PLC_Base, L62, _xlpm.Tons_Heat, CC62, _xlpm.Other_Base, R62,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(12/_xlpm.PLC_Base)*_xlpm.EFLH_Cool,
IF(ISNUMBER(SEARCH("Water", C62)),
_xlpm.Tons_Cool * (_xlpm.PLC_Base) * _xlpm.EFLH_Cool,
" "
)),4),
_xlpm.kWhHeat,
IF(
_xlpm.ElecHeat=1,
ROUND(
IF(OR(ISNUMBER(SEARCH("DX", C62)),ISNUMBER(SEARCH("PTAC", C62)), ISNUMBER(SEARCH("Air-Cooled Chiller", C62)), ISNUMBER(SEARCH("Water", C62)),
ISNUMBER(SEARCH("VRF", C62))),
0,
IF(
OR(ISNUMBER(SEARCH("ASHP", C62)), ISNUMBER(SEARCH("PTHP", C62))),
_xlpm.Tons_Heat * (1/_xlpm.Other_Base) * _xlpm.EFLH_Heat,
" "
)),4),
0
),
IFERROR(_xlpm.kWhCool + _xlpm.kWhHeat, "Measure Not Specified.")
), "")</f>
        <v/>
      </c>
      <c r="BB62" s="919" t="str">
        <f>IF(C62&lt;&gt;"", _xlfn.LET(
_xlpm.Tons_Cool, V62, _xlpm.PLC_Eff, N62, _xlpm.Tons_Heat, CC62, _xlpm.Other_Eff, T62,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(12/_xlpm.PLC_Eff)*_xlpm.EFLH_Cool,
IF(ISNUMBER(SEARCH("Water", C62)),
_xlpm.Tons_Cool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(1/_xlpm.Other_Eff) * _xlpm.EFLH_Heat,
" "
)),4),
0
),
IFERROR(_xlpm.kWhCool + _xlpm.kWhHeat, "Measure Not Specified.")
), "")</f>
        <v/>
      </c>
      <c r="BC62" s="773" t="str">
        <f>IFERROR(IF(OR(C62="",N62="",V62="",AA62="",T62="",AE62="",AG62=""),"",INDEX(CLHVAC[End Use],MATCH(C62,CLHVAC[Measure Name],0))),"Err")</f>
        <v/>
      </c>
      <c r="BD62" s="757" t="str">
        <f>IFERROR(IF(OR(C62="",N62="",V62="",AA62="",T62="",AE62="",AG62=""),"",INDEX(CLHVAC[Reporting Methodology],MATCH(C62,CLHVAC[Measure Name],0))),"Err")</f>
        <v/>
      </c>
      <c r="BE62" s="775" t="str">
        <f t="shared" si="0"/>
        <v/>
      </c>
      <c r="BF62" s="775" t="str">
        <f t="shared" ref="BF62" si="88">IF(C62&lt;&gt;"", _xlfn.LET(
_xlpm.Tons, V62, _xlpm.PCF, 0.913,
IF(OR(ISNUMBER(SEARCH("DX", C62)), ISNUMBER(SEARCH("Air-Cooled Chiller", C62)), ISNUMBER(SEARCH("VRF", C62))),
_xlpm.Tons * (12/R62 - 12/T62) * _xlpm.PCF,
IF(ISNUMBER(SEARCH("Water", C62)),
_xlpm.Tons * (R62-T62) * _xlpm.PCF,
IF(ISNUMBER(SEARCH("ASHP", C62)),
_xlpm.Tons * (12/CA62 - 12/CB62) * _xlpm.PCF,
IF(OR(ISNUMBER(SEARCH("PTAC", C62)), ISNUMBER(SEARCH("PTHP", C62))),
_xlpm.Tons * (12/L62 - 12/N62) * _xlpm.PCF,
"Measure Not Specified."))))), "")</f>
        <v/>
      </c>
      <c r="BG62" s="761"/>
      <c r="BH62" s="775" t="str">
        <f>IF(
OR(C62="",N62="",V62="",AA62="",T62="",AE62="",AG62=""),"",
IF(OR(ISNUMBER(SEARCH("PTAC",C62)),ISNUMBER(SEARCH("PTHP",C62))),
ROUND(V62*INDEX(CLHVAC[Electric Energy Savings WBE (Annual kWh/unit)],MATCH(C62,CLHVAC[Measure Name],0)),4),
ROUND(V62*ABS(N62-L62)*INDEX(CLHVAC[Electric Energy Savings WBE (Annual kWh/unit)],MATCH(C62,CLHVAC[Measure Name],0)),4)
))</f>
        <v/>
      </c>
      <c r="BI62" s="775" t="str">
        <f>IF(
OR(C62="",N62="",V62="",AA62="",T62="",AE62="",AG62=""),"",
IF(OR(ISNUMBER(SEARCH("PTAC",C62)),ISNUMBER(SEARCH("PTHP",C62))),
ROUND(V62*INDEX(CLHVAC[Coincident Peak Demand Savings WBE (kW/unit)],MATCH(C62,CLHVAC[Measure Name],0)),4),
ROUND(V62* ABS(N62-L62)*INDEX(CLHVAC[Coincident Peak Demand Savings WBE (kW/unit)],MATCH(C62,CLHVAC[Measure Name],0)),4)
))</f>
        <v/>
      </c>
      <c r="BJ62" s="777" t="str">
        <f>IFERROR(INDEX(CLHVAC[Measure Life (Years)],MATCH(C62,CLHVAC[Measure Name],0)),"")</f>
        <v/>
      </c>
      <c r="BK62" s="767" t="str">
        <f>IFERROR(IF(OR(C62="",N62="",V62="",AA62="",T62="",AE62="",AG62=""),"",
ROUND(((1+ELOSS)*((BH62*INDEX(ELECCB[NPV AEC $/kWh],MATCH(BJ62,ELECCB[Year Number],1)))+(BI62*INDEX(ELECCB[NPV ACC $/kW],MATCH(BJ62,ELECCB[Year Number],1))))),2)),0)</f>
        <v/>
      </c>
      <c r="BL62" s="767" t="str">
        <f t="shared" si="1"/>
        <v/>
      </c>
      <c r="BM62" s="767"/>
      <c r="BN62" s="763" t="str">
        <f t="shared" si="2"/>
        <v/>
      </c>
      <c r="BO62" s="763" t="str">
        <f>IFERROR(IF(BM62 &lt;&gt; "", BM62, BL62) / M02S04F06 / AO62, "")</f>
        <v/>
      </c>
      <c r="BP62" s="769"/>
      <c r="BQ62" s="767" t="str">
        <f t="shared" ref="BQ62" si="89">IFERROR(IF(AI62="per ton", ROUND(V62*AM62, 2),
IF(AND(ISNUMBER(SEARCH("Air-Cooled Chiller",C62)),AI62="$/ton/IPLV"), ROUND((12/L62-12/N62)*V62*AM62, 2),
ROUND(ABS(N62-L62)*V62*AM62, 2))), "")</f>
        <v/>
      </c>
      <c r="BR62" s="765"/>
      <c r="BS62" s="765"/>
      <c r="BT62" s="765"/>
      <c r="BU62" s="757" t="str">
        <f t="shared" ref="BU62" si="90">IFERROR(IF(BP62="",IF(AR62 &lt; BQ62, "100% Total Cost", ""), ""), "")</f>
        <v/>
      </c>
      <c r="BV62" s="767" t="str">
        <f t="shared" si="3"/>
        <v/>
      </c>
      <c r="BW62" s="757" t="str">
        <f>IFERROR(IF(OR(C62="",N62="",V62="",AA62="",T62="",AE62="",AG62=""),"", IF(BY62&lt;&gt;"", SPILLOVERNUMBER, INDEX(CLHVAC[Measure Number],MATCH(C62,CLHVAC[Measure Name],0)))),"Err")</f>
        <v/>
      </c>
      <c r="BX62" s="757"/>
      <c r="BY62" s="907" t="str">
        <f>IFERROR(
IF(OR(C62="",N62="",T62="",V62="",AA62="",AE62="",AG62=""),
"",
IF(BP62&gt;0,"",IF(OR(AND(ISNUMBER(SEARCH("kW/ton", J62)),OR(L62&lt;N62,R62&lt;T62)),AND(NOT(ISNUMBER(SEARCH("kW/ton", J62))),OR(L62&gt;N62,R62&gt;T62))),
"Must Improve Efficiency",
IF(EXPIRATION&lt;&gt;"",PROJSTATEXP,"")))),
"")</f>
        <v/>
      </c>
      <c r="BZ62" s="911" t="str">
        <f>IFERROR(IF(INDEX(CLHVAC[Eff Unit 3],MATCH(C62,CLHVAC[Measure Name],0))="","",INDEX(CLHVAC[Eff Unit 3],MATCH(C62,CLHVAC[Measure Name],0))),"")</f>
        <v/>
      </c>
      <c r="CA62" s="956" t="str">
        <f>IFERROR(IF(INDEX(CLHVAC[Base Efficiency 3],MATCH(C62,CLHVAC[Measure Name],0))="","",INDEX(CLHVAC[Base Efficiency 3],MATCH(C62,CLHVAC[Measure Name],0))),"")</f>
        <v/>
      </c>
      <c r="CB62" s="913" t="str">
        <f t="shared" ref="CB62" si="91">IFERROR(IF(ISNUMBER(SEARCH("Air-Cooled Chiller",$C62)),12/N62,""),"")</f>
        <v/>
      </c>
      <c r="CC62" s="909"/>
    </row>
    <row r="63" spans="2:81" ht="15.95" customHeight="1">
      <c r="B63" s="785"/>
      <c r="C63" s="793"/>
      <c r="D63" s="795"/>
      <c r="E63" s="795"/>
      <c r="F63" s="795"/>
      <c r="G63" s="795"/>
      <c r="H63" s="795"/>
      <c r="I63" s="795"/>
      <c r="J63" s="932"/>
      <c r="K63" s="933"/>
      <c r="L63" s="928"/>
      <c r="M63" s="929"/>
      <c r="N63" s="915"/>
      <c r="O63" s="916"/>
      <c r="P63" s="934"/>
      <c r="Q63" s="935"/>
      <c r="R63" s="930"/>
      <c r="S63" s="931"/>
      <c r="T63" s="917"/>
      <c r="U63" s="918"/>
      <c r="V63" s="926"/>
      <c r="W63" s="927"/>
      <c r="X63" s="793"/>
      <c r="Y63" s="795"/>
      <c r="Z63" s="794"/>
      <c r="AA63" s="904"/>
      <c r="AB63" s="905"/>
      <c r="AC63" s="905"/>
      <c r="AD63" s="906"/>
      <c r="AE63" s="809"/>
      <c r="AF63" s="810"/>
      <c r="AG63" s="810"/>
      <c r="AH63" s="812"/>
      <c r="AI63" s="921"/>
      <c r="AJ63" s="921"/>
      <c r="AK63" s="921"/>
      <c r="AL63" s="922"/>
      <c r="AM63" s="925"/>
      <c r="AN63" s="900"/>
      <c r="AO63" s="818"/>
      <c r="AP63" s="818"/>
      <c r="AQ63" s="818"/>
      <c r="AR63" s="841"/>
      <c r="AS63" s="841"/>
      <c r="AT63" s="841"/>
      <c r="AU63" s="841"/>
      <c r="AV63" s="17"/>
      <c r="AX63" s="774"/>
      <c r="AY63" s="760"/>
      <c r="AZ63" s="760"/>
      <c r="BA63" s="920"/>
      <c r="BB63" s="920"/>
      <c r="BC63" s="774"/>
      <c r="BD63" s="758"/>
      <c r="BE63" s="776"/>
      <c r="BF63" s="776"/>
      <c r="BG63" s="762"/>
      <c r="BH63" s="776"/>
      <c r="BI63" s="776"/>
      <c r="BJ63" s="778"/>
      <c r="BK63" s="768"/>
      <c r="BL63" s="768"/>
      <c r="BM63" s="768"/>
      <c r="BN63" s="764"/>
      <c r="BO63" s="764"/>
      <c r="BP63" s="770"/>
      <c r="BQ63" s="768"/>
      <c r="BR63" s="766"/>
      <c r="BS63" s="766"/>
      <c r="BT63" s="766"/>
      <c r="BU63" s="758"/>
      <c r="BV63" s="768"/>
      <c r="BW63" s="758"/>
      <c r="BX63" s="758"/>
      <c r="BY63" s="908"/>
      <c r="BZ63" s="912"/>
      <c r="CA63" s="957"/>
      <c r="CB63" s="914"/>
      <c r="CC63" s="910"/>
    </row>
    <row r="64" spans="2:81" ht="15.95" customHeight="1">
      <c r="B64" s="785">
        <v>24</v>
      </c>
      <c r="C64" s="825"/>
      <c r="D64" s="826"/>
      <c r="E64" s="826"/>
      <c r="F64" s="826"/>
      <c r="G64" s="826"/>
      <c r="H64" s="826"/>
      <c r="I64" s="826"/>
      <c r="J64" s="936" t="str">
        <f>IF(C64="","",INDEX(CLHVAC[Eff Unit 1],MATCH(C64,CLHVAC[Measure Name],0)))</f>
        <v/>
      </c>
      <c r="K64" s="937"/>
      <c r="L64" s="938" t="str">
        <f>IF(C64="","",INDEX(CLHVAC[Base Efficiency 1],MATCH(C64,CLHVAC[Measure Name],0)))</f>
        <v/>
      </c>
      <c r="M64" s="939"/>
      <c r="N64" s="915"/>
      <c r="O64" s="916"/>
      <c r="P64" s="932" t="str">
        <f>IF(C64="","",INDEX(CLHVAC[Eff Unit 2],MATCH(C64,CLHVAC[Measure Name],0)))</f>
        <v/>
      </c>
      <c r="Q64" s="933"/>
      <c r="R64" s="928" t="str">
        <f>IF(C64="","",INDEX(CLHVAC[Base Efficiency 2],MATCH(C64,CLHVAC[Measure Name],0)))</f>
        <v/>
      </c>
      <c r="S64" s="929"/>
      <c r="T64" s="917" t="str">
        <f>IF(AND(ISNUMBER(SEARCH("DX",C64)),ISNUMBER(SEARCH("&lt;65 kbtu",C64)),N64&lt;&gt;""),1.12*N64-0.02*N64^2,IF(AND(ISNUMBER(SEARCH("PTAC",C64)),N64&lt;&gt;""),1,""))</f>
        <v/>
      </c>
      <c r="U64" s="918"/>
      <c r="V64" s="926"/>
      <c r="W64" s="927"/>
      <c r="X64" s="825"/>
      <c r="Y64" s="826"/>
      <c r="Z64" s="827"/>
      <c r="AA64" s="904"/>
      <c r="AB64" s="905"/>
      <c r="AC64" s="905"/>
      <c r="AD64" s="906"/>
      <c r="AE64" s="809"/>
      <c r="AF64" s="810"/>
      <c r="AG64" s="810"/>
      <c r="AH64" s="812"/>
      <c r="AI64" s="921" t="str">
        <f>IF(C64="","",INDEX(CLHVAC[Current Unit],MATCH(C64,CLHVAC[Measure Name],0)))</f>
        <v/>
      </c>
      <c r="AJ64" s="921"/>
      <c r="AK64" s="921"/>
      <c r="AL64" s="922"/>
      <c r="AM64" s="923" t="str">
        <f>IFERROR(IF(C64="","",INDEX(IF(AND(ACTIVEBONUS = TRUE,INDEX(CLHVAC[Bonus Incentive],MATCH(C64,CLHVAC[Measure Name],0))&lt;&gt; ""),CLHVAC[Bonus Incentive],CLHVAC[BESP Incentive]),MATCH(C64,CLHVAC[Measure Name],0))),"")</f>
        <v/>
      </c>
      <c r="AN64" s="924"/>
      <c r="AO64" s="817" t="str">
        <f>IFERROR(IF(OR(C64="",N64="",V64="",AA64="",T64="",AE64="",AG64=""),"",IF(BD64="Deemed",BH64,IF(BD64="Calculated",BE64,""))),"")</f>
        <v/>
      </c>
      <c r="AP64" s="817"/>
      <c r="AQ64" s="817"/>
      <c r="AR64" s="840" t="str">
        <f>IFERROR(IF(OR(C64="",N64="",V64="",AA64="",T64="",AE64="",AG64=""),"",IF(BY64&lt;&gt;"",BY64,IF(BP64&gt;0,BP64,ROUND(IF(AO64&lt;=0,0,MIN(BL64,BQ64)), 2)))), "")</f>
        <v/>
      </c>
      <c r="AS64" s="840"/>
      <c r="AT64" s="840"/>
      <c r="AU64" s="840"/>
      <c r="AV64" s="17"/>
      <c r="AX64" s="773" t="str">
        <f>IFERROR(IF(OR(C64="",N64="",V64="",AA64="",T64="",AE64="",AG64=""),"",INDEX(CLHVAC[Current Unit],MATCH(C64,CLHVAC[Measure Name],0))),"Err")</f>
        <v/>
      </c>
      <c r="AY64" s="759"/>
      <c r="AZ64" s="759"/>
      <c r="BA64" s="919" t="str">
        <f>IF(C64&lt;&gt;"", _xlfn.LET(
_xlpm.Tons_Cool, V64, _xlpm.PLC_Base, L64, _xlpm.Tons_Heat, CC64, _xlpm.Other_Base, R64,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(12/_xlpm.PLC_Base)*_xlpm.EFLH_Cool,
IF(ISNUMBER(SEARCH("Water", C64)),
_xlpm.Tons_Cool * (_xlpm.PLC_Base) * _xlpm.EFLH_Cool,
" "
)),4),
_xlpm.kWhHeat,
IF(
_xlpm.ElecHeat=1,
ROUND(
IF(OR(ISNUMBER(SEARCH("DX", C64)),ISNUMBER(SEARCH("PTAC", C64)), ISNUMBER(SEARCH("Air-Cooled Chiller", C64)), ISNUMBER(SEARCH("Water", C64)),
ISNUMBER(SEARCH("VRF", C64))),
0,
IF(
OR(ISNUMBER(SEARCH("ASHP", C64)), ISNUMBER(SEARCH("PTHP", C64))),
_xlpm.Tons_Heat * (1/_xlpm.Other_Base) * _xlpm.EFLH_Heat,
" "
)),4),
0
),
IFERROR(_xlpm.kWhCool + _xlpm.kWhHeat, "Measure Not Specified.")
), "")</f>
        <v/>
      </c>
      <c r="BB64" s="919" t="str">
        <f>IF(C64&lt;&gt;"", _xlfn.LET(
_xlpm.Tons_Cool, V64, _xlpm.PLC_Eff, N64, _xlpm.Tons_Heat, CC64, _xlpm.Other_Eff, T64,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(12/_xlpm.PLC_Eff)*_xlpm.EFLH_Cool,
IF(ISNUMBER(SEARCH("Water", C64)),
_xlpm.Tons_Cool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(1/_xlpm.Other_Eff) * _xlpm.EFLH_Heat,
" "
)),4),
0
),
IFERROR(_xlpm.kWhCool + _xlpm.kWhHeat, "Measure Not Specified.")
), "")</f>
        <v/>
      </c>
      <c r="BC64" s="773" t="str">
        <f>IFERROR(IF(OR(C64="",N64="",V64="",AA64="",T64="",AE64="",AG64=""),"",INDEX(CLHVAC[End Use],MATCH(C64,CLHVAC[Measure Name],0))),"Err")</f>
        <v/>
      </c>
      <c r="BD64" s="757" t="str">
        <f>IFERROR(IF(OR(C64="",N64="",V64="",AA64="",T64="",AE64="",AG64=""),"",INDEX(CLHVAC[Reporting Methodology],MATCH(C64,CLHVAC[Measure Name],0))),"Err")</f>
        <v/>
      </c>
      <c r="BE64" s="775" t="str">
        <f t="shared" si="0"/>
        <v/>
      </c>
      <c r="BF64" s="775" t="str">
        <f t="shared" ref="BF64" si="92">IF(C64&lt;&gt;"", _xlfn.LET(
_xlpm.Tons, V64, _xlpm.PCF, 0.913,
IF(OR(ISNUMBER(SEARCH("DX", C64)), ISNUMBER(SEARCH("Air-Cooled Chiller", C64)), ISNUMBER(SEARCH("VRF", C64))),
_xlpm.Tons * (12/R64 - 12/T64) * _xlpm.PCF,
IF(ISNUMBER(SEARCH("Water", C64)),
_xlpm.Tons * (R64-T64) * _xlpm.PCF,
IF(ISNUMBER(SEARCH("ASHP", C64)),
_xlpm.Tons * (12/CA64 - 12/CB64) * _xlpm.PCF,
IF(OR(ISNUMBER(SEARCH("PTAC", C64)), ISNUMBER(SEARCH("PTHP", C64))),
_xlpm.Tons * (12/L64 - 12/N64) * _xlpm.PCF,
"Measure Not Specified."))))), "")</f>
        <v/>
      </c>
      <c r="BG64" s="761"/>
      <c r="BH64" s="775" t="str">
        <f>IF(
OR(C64="",N64="",V64="",AA64="",T64="",AE64="",AG64=""),"",
IF(OR(ISNUMBER(SEARCH("PTAC",C64)),ISNUMBER(SEARCH("PTHP",C64))),
ROUND(V64*INDEX(CLHVAC[Electric Energy Savings WBE (Annual kWh/unit)],MATCH(C64,CLHVAC[Measure Name],0)),4),
ROUND(V64*ABS(N64-L64)*INDEX(CLHVAC[Electric Energy Savings WBE (Annual kWh/unit)],MATCH(C64,CLHVAC[Measure Name],0)),4)
))</f>
        <v/>
      </c>
      <c r="BI64" s="775" t="str">
        <f>IF(
OR(C64="",N64="",V64="",AA64="",T64="",AE64="",AG64=""),"",
IF(OR(ISNUMBER(SEARCH("PTAC",C64)),ISNUMBER(SEARCH("PTHP",C64))),
ROUND(V64*INDEX(CLHVAC[Coincident Peak Demand Savings WBE (kW/unit)],MATCH(C64,CLHVAC[Measure Name],0)),4),
ROUND(V64* ABS(N64-L64)*INDEX(CLHVAC[Coincident Peak Demand Savings WBE (kW/unit)],MATCH(C64,CLHVAC[Measure Name],0)),4)
))</f>
        <v/>
      </c>
      <c r="BJ64" s="777" t="str">
        <f>IFERROR(INDEX(CLHVAC[Measure Life (Years)],MATCH(C64,CLHVAC[Measure Name],0)),"")</f>
        <v/>
      </c>
      <c r="BK64" s="767" t="str">
        <f>IFERROR(IF(OR(C64="",N64="",V64="",AA64="",T64="",AE64="",AG64=""),"",
ROUND(((1+ELOSS)*((BH64*INDEX(ELECCB[NPV AEC $/kWh],MATCH(BJ64,ELECCB[Year Number],1)))+(BI64*INDEX(ELECCB[NPV ACC $/kW],MATCH(BJ64,ELECCB[Year Number],1))))),2)),0)</f>
        <v/>
      </c>
      <c r="BL64" s="767" t="str">
        <f t="shared" si="1"/>
        <v/>
      </c>
      <c r="BM64" s="767"/>
      <c r="BN64" s="763" t="str">
        <f t="shared" si="2"/>
        <v/>
      </c>
      <c r="BO64" s="763" t="str">
        <f>IFERROR(IF(BM64 &lt;&gt; "", BM64, BL64) / M02S04F06 / AO64, "")</f>
        <v/>
      </c>
      <c r="BP64" s="769"/>
      <c r="BQ64" s="767" t="str">
        <f t="shared" ref="BQ64" si="93">IFERROR(IF(AI64="per ton", ROUND(V64*AM64, 2),
IF(AND(ISNUMBER(SEARCH("Air-Cooled Chiller",C64)),AI64="$/ton/IPLV"), ROUND((12/L64-12/N64)*V64*AM64, 2),
ROUND(ABS(N64-L64)*V64*AM64, 2))), "")</f>
        <v/>
      </c>
      <c r="BR64" s="765"/>
      <c r="BS64" s="765"/>
      <c r="BT64" s="765"/>
      <c r="BU64" s="757" t="str">
        <f t="shared" ref="BU64" si="94">IFERROR(IF(BP64="",IF(AR64 &lt; BQ64, "100% Total Cost", ""), ""), "")</f>
        <v/>
      </c>
      <c r="BV64" s="767" t="str">
        <f t="shared" si="3"/>
        <v/>
      </c>
      <c r="BW64" s="757" t="str">
        <f>IFERROR(IF(OR(C64="",N64="",V64="",AA64="",T64="",AE64="",AG64=""),"", IF(BY64&lt;&gt;"", SPILLOVERNUMBER, INDEX(CLHVAC[Measure Number],MATCH(C64,CLHVAC[Measure Name],0)))),"Err")</f>
        <v/>
      </c>
      <c r="BX64" s="757"/>
      <c r="BY64" s="907" t="str">
        <f>IFERROR(
IF(OR(C64="",N64="",T64="",V64="",AA64="",AE64="",AG64=""),
"",
IF(BP64&gt;0,"",IF(OR(AND(ISNUMBER(SEARCH("kW/ton", J64)),OR(L64&lt;N64,R64&lt;T64)),AND(NOT(ISNUMBER(SEARCH("kW/ton", J64))),OR(L64&gt;N64,R64&gt;T64))),
"Must Improve Efficiency",
IF(EXPIRATION&lt;&gt;"",PROJSTATEXP,"")))),
"")</f>
        <v/>
      </c>
      <c r="BZ64" s="911" t="str">
        <f>IFERROR(IF(INDEX(CLHVAC[Eff Unit 3],MATCH(C64,CLHVAC[Measure Name],0))="","",INDEX(CLHVAC[Eff Unit 3],MATCH(C64,CLHVAC[Measure Name],0))),"")</f>
        <v/>
      </c>
      <c r="CA64" s="956" t="str">
        <f>IFERROR(IF(INDEX(CLHVAC[Base Efficiency 3],MATCH(C64,CLHVAC[Measure Name],0))="","",INDEX(CLHVAC[Base Efficiency 3],MATCH(C64,CLHVAC[Measure Name],0))),"")</f>
        <v/>
      </c>
      <c r="CB64" s="913" t="str">
        <f t="shared" ref="CB64" si="95">IFERROR(IF(ISNUMBER(SEARCH("Air-Cooled Chiller",$C64)),12/N64,""),"")</f>
        <v/>
      </c>
      <c r="CC64" s="909"/>
    </row>
    <row r="65" spans="2:81" ht="15.95" customHeight="1">
      <c r="B65" s="785"/>
      <c r="C65" s="793"/>
      <c r="D65" s="795"/>
      <c r="E65" s="795"/>
      <c r="F65" s="795"/>
      <c r="G65" s="795"/>
      <c r="H65" s="795"/>
      <c r="I65" s="795"/>
      <c r="J65" s="932"/>
      <c r="K65" s="933"/>
      <c r="L65" s="928"/>
      <c r="M65" s="929"/>
      <c r="N65" s="915"/>
      <c r="O65" s="916"/>
      <c r="P65" s="934"/>
      <c r="Q65" s="935"/>
      <c r="R65" s="930"/>
      <c r="S65" s="931"/>
      <c r="T65" s="917"/>
      <c r="U65" s="918"/>
      <c r="V65" s="926"/>
      <c r="W65" s="927"/>
      <c r="X65" s="793"/>
      <c r="Y65" s="795"/>
      <c r="Z65" s="794"/>
      <c r="AA65" s="904"/>
      <c r="AB65" s="905"/>
      <c r="AC65" s="905"/>
      <c r="AD65" s="906"/>
      <c r="AE65" s="809"/>
      <c r="AF65" s="810"/>
      <c r="AG65" s="810"/>
      <c r="AH65" s="812"/>
      <c r="AI65" s="921"/>
      <c r="AJ65" s="921"/>
      <c r="AK65" s="921"/>
      <c r="AL65" s="922"/>
      <c r="AM65" s="925"/>
      <c r="AN65" s="900"/>
      <c r="AO65" s="818"/>
      <c r="AP65" s="818"/>
      <c r="AQ65" s="818"/>
      <c r="AR65" s="841"/>
      <c r="AS65" s="841"/>
      <c r="AT65" s="841"/>
      <c r="AU65" s="841"/>
      <c r="AV65" s="17"/>
      <c r="AX65" s="774"/>
      <c r="AY65" s="760"/>
      <c r="AZ65" s="760"/>
      <c r="BA65" s="920"/>
      <c r="BB65" s="920"/>
      <c r="BC65" s="774"/>
      <c r="BD65" s="758"/>
      <c r="BE65" s="776"/>
      <c r="BF65" s="776"/>
      <c r="BG65" s="762"/>
      <c r="BH65" s="776"/>
      <c r="BI65" s="776"/>
      <c r="BJ65" s="778"/>
      <c r="BK65" s="768"/>
      <c r="BL65" s="768"/>
      <c r="BM65" s="768"/>
      <c r="BN65" s="764"/>
      <c r="BO65" s="764"/>
      <c r="BP65" s="770"/>
      <c r="BQ65" s="768"/>
      <c r="BR65" s="766"/>
      <c r="BS65" s="766"/>
      <c r="BT65" s="766"/>
      <c r="BU65" s="758"/>
      <c r="BV65" s="768"/>
      <c r="BW65" s="758"/>
      <c r="BX65" s="758"/>
      <c r="BY65" s="908"/>
      <c r="BZ65" s="912"/>
      <c r="CA65" s="957"/>
      <c r="CB65" s="914"/>
      <c r="CC65" s="910"/>
    </row>
    <row r="66" spans="2:81" ht="15.95" customHeight="1">
      <c r="B66" s="785">
        <v>25</v>
      </c>
      <c r="C66" s="825"/>
      <c r="D66" s="826"/>
      <c r="E66" s="826"/>
      <c r="F66" s="826"/>
      <c r="G66" s="826"/>
      <c r="H66" s="826"/>
      <c r="I66" s="826"/>
      <c r="J66" s="936" t="str">
        <f>IF(C66="","",INDEX(CLHVAC[Eff Unit 1],MATCH(C66,CLHVAC[Measure Name],0)))</f>
        <v/>
      </c>
      <c r="K66" s="937"/>
      <c r="L66" s="938" t="str">
        <f>IF(C66="","",INDEX(CLHVAC[Base Efficiency 1],MATCH(C66,CLHVAC[Measure Name],0)))</f>
        <v/>
      </c>
      <c r="M66" s="939"/>
      <c r="N66" s="915"/>
      <c r="O66" s="916"/>
      <c r="P66" s="932" t="str">
        <f>IF(C66="","",INDEX(CLHVAC[Eff Unit 2],MATCH(C66,CLHVAC[Measure Name],0)))</f>
        <v/>
      </c>
      <c r="Q66" s="933"/>
      <c r="R66" s="928" t="str">
        <f>IF(C66="","",INDEX(CLHVAC[Base Efficiency 2],MATCH(C66,CLHVAC[Measure Name],0)))</f>
        <v/>
      </c>
      <c r="S66" s="929"/>
      <c r="T66" s="917" t="str">
        <f>IF(AND(ISNUMBER(SEARCH("DX",C66)),ISNUMBER(SEARCH("&lt;65 kbtu",C66)),N66&lt;&gt;""),1.12*N66-0.02*N66^2,IF(AND(ISNUMBER(SEARCH("PTAC",C66)),N66&lt;&gt;""),1,""))</f>
        <v/>
      </c>
      <c r="U66" s="918"/>
      <c r="V66" s="926"/>
      <c r="W66" s="927"/>
      <c r="X66" s="825"/>
      <c r="Y66" s="826"/>
      <c r="Z66" s="827"/>
      <c r="AA66" s="904"/>
      <c r="AB66" s="905"/>
      <c r="AC66" s="905"/>
      <c r="AD66" s="906"/>
      <c r="AE66" s="809"/>
      <c r="AF66" s="810"/>
      <c r="AG66" s="810"/>
      <c r="AH66" s="812"/>
      <c r="AI66" s="921" t="str">
        <f>IF(C66="","",INDEX(CLHVAC[Current Unit],MATCH(C66,CLHVAC[Measure Name],0)))</f>
        <v/>
      </c>
      <c r="AJ66" s="921"/>
      <c r="AK66" s="921"/>
      <c r="AL66" s="922"/>
      <c r="AM66" s="923" t="str">
        <f>IFERROR(IF(C66="","",INDEX(IF(AND(ACTIVEBONUS = TRUE,INDEX(CLHVAC[Bonus Incentive],MATCH(C66,CLHVAC[Measure Name],0))&lt;&gt; ""),CLHVAC[Bonus Incentive],CLHVAC[BESP Incentive]),MATCH(C66,CLHVAC[Measure Name],0))),"")</f>
        <v/>
      </c>
      <c r="AN66" s="924"/>
      <c r="AO66" s="817" t="str">
        <f>IFERROR(IF(OR(C66="",N66="",V66="",AA66="",T66="",AE66="",AG66=""),"",IF(BD66="Deemed",BH66,IF(BD66="Calculated",BE66,""))),"")</f>
        <v/>
      </c>
      <c r="AP66" s="817"/>
      <c r="AQ66" s="817"/>
      <c r="AR66" s="840" t="str">
        <f>IFERROR(IF(OR(C66="",N66="",V66="",AA66="",T66="",AE66="",AG66=""),"",IF(BY66&lt;&gt;"",BY66,IF(BP66&gt;0,BP66,ROUND(IF(AO66&lt;=0,0,MIN(BL66,BQ66)), 2)))), "")</f>
        <v/>
      </c>
      <c r="AS66" s="840"/>
      <c r="AT66" s="840"/>
      <c r="AU66" s="840"/>
      <c r="AV66" s="17"/>
      <c r="AX66" s="773" t="str">
        <f>IFERROR(IF(OR(C66="",N66="",V66="",AA66="",T66="",AE66="",AG66=""),"",INDEX(CLHVAC[Current Unit],MATCH(C66,CLHVAC[Measure Name],0))),"Err")</f>
        <v/>
      </c>
      <c r="AY66" s="759"/>
      <c r="AZ66" s="759"/>
      <c r="BA66" s="919" t="str">
        <f>IF(C66&lt;&gt;"", _xlfn.LET(
_xlpm.Tons_Cool, V66, _xlpm.PLC_Base, L66, _xlpm.Tons_Heat, CC66, _xlpm.Other_Base, R66,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(12/_xlpm.PLC_Base)*_xlpm.EFLH_Cool,
IF(ISNUMBER(SEARCH("Water", C66)),
_xlpm.Tons_Cool * (_xlpm.PLC_Base) * _xlpm.EFLH_Cool,
" "
)),4),
_xlpm.kWhHeat,
IF(
_xlpm.ElecHeat=1,
ROUND(
IF(OR(ISNUMBER(SEARCH("DX", C66)),ISNUMBER(SEARCH("PTAC", C66)), ISNUMBER(SEARCH("Air-Cooled Chiller", C66)), ISNUMBER(SEARCH("Water", C66)),
ISNUMBER(SEARCH("VRF", C66))),
0,
IF(
OR(ISNUMBER(SEARCH("ASHP", C66)), ISNUMBER(SEARCH("PTHP", C66))),
_xlpm.Tons_Heat * (1/_xlpm.Other_Base) * _xlpm.EFLH_Heat,
" "
)),4),
0
),
IFERROR(_xlpm.kWhCool + _xlpm.kWhHeat, "Measure Not Specified.")
), "")</f>
        <v/>
      </c>
      <c r="BB66" s="919" t="str">
        <f>IF(C66&lt;&gt;"", _xlfn.LET(
_xlpm.Tons_Cool, V66, _xlpm.PLC_Eff, N66, _xlpm.Tons_Heat, CC66, _xlpm.Other_Eff, T66,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(12/_xlpm.PLC_Eff)*_xlpm.EFLH_Cool,
IF(ISNUMBER(SEARCH("Water", C66)),
_xlpm.Tons_Cool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(1/_xlpm.Other_Eff) * _xlpm.EFLH_Heat,
" "
)),4),
0
),
IFERROR(_xlpm.kWhCool + _xlpm.kWhHeat, "Measure Not Specified.")
), "")</f>
        <v/>
      </c>
      <c r="BC66" s="773" t="str">
        <f>IFERROR(IF(OR(C66="",N66="",V66="",AA66="",T66="",AE66="",AG66=""),"",INDEX(CLHVAC[End Use],MATCH(C66,CLHVAC[Measure Name],0))),"Err")</f>
        <v/>
      </c>
      <c r="BD66" s="757" t="str">
        <f>IFERROR(IF(OR(C66="",N66="",V66="",AA66="",T66="",AE66="",AG66=""),"",INDEX(CLHVAC[Reporting Methodology],MATCH(C66,CLHVAC[Measure Name],0))),"Err")</f>
        <v/>
      </c>
      <c r="BE66" s="775" t="str">
        <f t="shared" si="0"/>
        <v/>
      </c>
      <c r="BF66" s="775" t="str">
        <f t="shared" ref="BF66" si="96">IF(C66&lt;&gt;"", _xlfn.LET(
_xlpm.Tons, V66, _xlpm.PCF, 0.913,
IF(OR(ISNUMBER(SEARCH("DX", C66)), ISNUMBER(SEARCH("Air-Cooled Chiller", C66)), ISNUMBER(SEARCH("VRF", C66))),
_xlpm.Tons * (12/R66 - 12/T66) * _xlpm.PCF,
IF(ISNUMBER(SEARCH("Water", C66)),
_xlpm.Tons * (R66-T66) * _xlpm.PCF,
IF(ISNUMBER(SEARCH("ASHP", C66)),
_xlpm.Tons * (12/CA66 - 12/CB66) * _xlpm.PCF,
IF(OR(ISNUMBER(SEARCH("PTAC", C66)), ISNUMBER(SEARCH("PTHP", C66))),
_xlpm.Tons * (12/L66 - 12/N66) * _xlpm.PCF,
"Measure Not Specified."))))), "")</f>
        <v/>
      </c>
      <c r="BG66" s="761"/>
      <c r="BH66" s="775" t="str">
        <f>IF(
OR(C66="",N66="",V66="",AA66="",T66="",AE66="",AG66=""),"",
IF(OR(ISNUMBER(SEARCH("PTAC",C66)),ISNUMBER(SEARCH("PTHP",C66))),
ROUND(V66*INDEX(CLHVAC[Electric Energy Savings WBE (Annual kWh/unit)],MATCH(C66,CLHVAC[Measure Name],0)),4),
ROUND(V66*ABS(N66-L66)*INDEX(CLHVAC[Electric Energy Savings WBE (Annual kWh/unit)],MATCH(C66,CLHVAC[Measure Name],0)),4)
))</f>
        <v/>
      </c>
      <c r="BI66" s="775" t="str">
        <f>IF(
OR(C66="",N66="",V66="",AA66="",T66="",AE66="",AG66=""),"",
IF(OR(ISNUMBER(SEARCH("PTAC",C66)),ISNUMBER(SEARCH("PTHP",C66))),
ROUND(V66*INDEX(CLHVAC[Coincident Peak Demand Savings WBE (kW/unit)],MATCH(C66,CLHVAC[Measure Name],0)),4),
ROUND(V66* ABS(N66-L66)*INDEX(CLHVAC[Coincident Peak Demand Savings WBE (kW/unit)],MATCH(C66,CLHVAC[Measure Name],0)),4)
))</f>
        <v/>
      </c>
      <c r="BJ66" s="777" t="str">
        <f>IFERROR(INDEX(CLHVAC[Measure Life (Years)],MATCH(C66,CLHVAC[Measure Name],0)),"")</f>
        <v/>
      </c>
      <c r="BK66" s="767" t="str">
        <f>IFERROR(IF(OR(C66="",N66="",V66="",AA66="",T66="",AE66="",AG66=""),"",
ROUND(((1+ELOSS)*((BH66*INDEX(ELECCB[NPV AEC $/kWh],MATCH(BJ66,ELECCB[Year Number],1)))+(BI66*INDEX(ELECCB[NPV ACC $/kW],MATCH(BJ66,ELECCB[Year Number],1))))),2)),0)</f>
        <v/>
      </c>
      <c r="BL66" s="767" t="str">
        <f t="shared" si="1"/>
        <v/>
      </c>
      <c r="BM66" s="767"/>
      <c r="BN66" s="763" t="str">
        <f t="shared" si="2"/>
        <v/>
      </c>
      <c r="BO66" s="763" t="str">
        <f>IFERROR(IF(BM66 &lt;&gt; "", BM66, BL66) / M02S04F06 / AO66, "")</f>
        <v/>
      </c>
      <c r="BP66" s="769"/>
      <c r="BQ66" s="767" t="str">
        <f t="shared" ref="BQ66" si="97">IFERROR(IF(AI66="per ton", ROUND(V66*AM66, 2),
IF(AND(ISNUMBER(SEARCH("Air-Cooled Chiller",C66)),AI66="$/ton/IPLV"), ROUND((12/L66-12/N66)*V66*AM66, 2),
ROUND(ABS(N66-L66)*V66*AM66, 2))), "")</f>
        <v/>
      </c>
      <c r="BR66" s="765"/>
      <c r="BS66" s="765"/>
      <c r="BT66" s="765"/>
      <c r="BU66" s="757" t="str">
        <f t="shared" ref="BU66" si="98">IFERROR(IF(BP66="",IF(AR66 &lt; BQ66, "100% Total Cost", ""), ""), "")</f>
        <v/>
      </c>
      <c r="BV66" s="767" t="str">
        <f t="shared" si="3"/>
        <v/>
      </c>
      <c r="BW66" s="757" t="str">
        <f>IFERROR(IF(OR(C66="",N66="",V66="",AA66="",T66="",AE66="",AG66=""),"", IF(BY66&lt;&gt;"", SPILLOVERNUMBER, INDEX(CLHVAC[Measure Number],MATCH(C66,CLHVAC[Measure Name],0)))),"Err")</f>
        <v/>
      </c>
      <c r="BX66" s="757"/>
      <c r="BY66" s="907" t="str">
        <f>IFERROR(
IF(OR(C66="",N66="",T66="",V66="",AA66="",AE66="",AG66=""),
"",
IF(BP66&gt;0,"",IF(OR(AND(ISNUMBER(SEARCH("kW/ton", J66)),OR(L66&lt;N66,R66&lt;T66)),AND(NOT(ISNUMBER(SEARCH("kW/ton", J66))),OR(L66&gt;N66,R66&gt;T66))),
"Must Improve Efficiency",
IF(EXPIRATION&lt;&gt;"",PROJSTATEXP,"")))),
"")</f>
        <v/>
      </c>
      <c r="BZ66" s="911" t="str">
        <f>IFERROR(IF(INDEX(CLHVAC[Eff Unit 3],MATCH(C66,CLHVAC[Measure Name],0))="","",INDEX(CLHVAC[Eff Unit 3],MATCH(C66,CLHVAC[Measure Name],0))),"")</f>
        <v/>
      </c>
      <c r="CA66" s="956" t="str">
        <f>IFERROR(IF(INDEX(CLHVAC[Base Efficiency 3],MATCH(C66,CLHVAC[Measure Name],0))="","",INDEX(CLHVAC[Base Efficiency 3],MATCH(C66,CLHVAC[Measure Name],0))),"")</f>
        <v/>
      </c>
      <c r="CB66" s="913" t="str">
        <f t="shared" ref="CB66" si="99">IFERROR(IF(ISNUMBER(SEARCH("Air-Cooled Chiller",$C66)),12/N66,""),"")</f>
        <v/>
      </c>
      <c r="CC66" s="909"/>
    </row>
    <row r="67" spans="2:81" ht="15.95" customHeight="1">
      <c r="B67" s="785"/>
      <c r="C67" s="793"/>
      <c r="D67" s="795"/>
      <c r="E67" s="795"/>
      <c r="F67" s="795"/>
      <c r="G67" s="795"/>
      <c r="H67" s="795"/>
      <c r="I67" s="795"/>
      <c r="J67" s="932"/>
      <c r="K67" s="933"/>
      <c r="L67" s="928"/>
      <c r="M67" s="929"/>
      <c r="N67" s="915"/>
      <c r="O67" s="916"/>
      <c r="P67" s="934"/>
      <c r="Q67" s="935"/>
      <c r="R67" s="930"/>
      <c r="S67" s="931"/>
      <c r="T67" s="917"/>
      <c r="U67" s="918"/>
      <c r="V67" s="926"/>
      <c r="W67" s="927"/>
      <c r="X67" s="793"/>
      <c r="Y67" s="795"/>
      <c r="Z67" s="794"/>
      <c r="AA67" s="904"/>
      <c r="AB67" s="905"/>
      <c r="AC67" s="905"/>
      <c r="AD67" s="906"/>
      <c r="AE67" s="809"/>
      <c r="AF67" s="810"/>
      <c r="AG67" s="810"/>
      <c r="AH67" s="812"/>
      <c r="AI67" s="921"/>
      <c r="AJ67" s="921"/>
      <c r="AK67" s="921"/>
      <c r="AL67" s="922"/>
      <c r="AM67" s="925"/>
      <c r="AN67" s="900"/>
      <c r="AO67" s="818"/>
      <c r="AP67" s="818"/>
      <c r="AQ67" s="818"/>
      <c r="AR67" s="841"/>
      <c r="AS67" s="841"/>
      <c r="AT67" s="841"/>
      <c r="AU67" s="841"/>
      <c r="AV67" s="17"/>
      <c r="AX67" s="774"/>
      <c r="AY67" s="760"/>
      <c r="AZ67" s="760"/>
      <c r="BA67" s="920"/>
      <c r="BB67" s="920"/>
      <c r="BC67" s="774"/>
      <c r="BD67" s="758"/>
      <c r="BE67" s="776"/>
      <c r="BF67" s="776"/>
      <c r="BG67" s="762"/>
      <c r="BH67" s="776"/>
      <c r="BI67" s="776"/>
      <c r="BJ67" s="778"/>
      <c r="BK67" s="768"/>
      <c r="BL67" s="768"/>
      <c r="BM67" s="768"/>
      <c r="BN67" s="764"/>
      <c r="BO67" s="764"/>
      <c r="BP67" s="770"/>
      <c r="BQ67" s="768"/>
      <c r="BR67" s="766"/>
      <c r="BS67" s="766"/>
      <c r="BT67" s="766"/>
      <c r="BU67" s="758"/>
      <c r="BV67" s="768"/>
      <c r="BW67" s="758"/>
      <c r="BX67" s="758"/>
      <c r="BY67" s="908"/>
      <c r="BZ67" s="912"/>
      <c r="CA67" s="957"/>
      <c r="CB67" s="914"/>
      <c r="CC67" s="910"/>
    </row>
    <row r="68" spans="2:81" ht="15.95" customHeight="1">
      <c r="B68" s="785">
        <v>26</v>
      </c>
      <c r="C68" s="825"/>
      <c r="D68" s="826"/>
      <c r="E68" s="826"/>
      <c r="F68" s="826"/>
      <c r="G68" s="826"/>
      <c r="H68" s="826"/>
      <c r="I68" s="826"/>
      <c r="J68" s="936" t="str">
        <f>IF(C68="","",INDEX(CLHVAC[Eff Unit 1],MATCH(C68,CLHVAC[Measure Name],0)))</f>
        <v/>
      </c>
      <c r="K68" s="937"/>
      <c r="L68" s="938" t="str">
        <f>IF(C68="","",INDEX(CLHVAC[Base Efficiency 1],MATCH(C68,CLHVAC[Measure Name],0)))</f>
        <v/>
      </c>
      <c r="M68" s="939"/>
      <c r="N68" s="915"/>
      <c r="O68" s="916"/>
      <c r="P68" s="932" t="str">
        <f>IF(C68="","",INDEX(CLHVAC[Eff Unit 2],MATCH(C68,CLHVAC[Measure Name],0)))</f>
        <v/>
      </c>
      <c r="Q68" s="933"/>
      <c r="R68" s="928" t="str">
        <f>IF(C68="","",INDEX(CLHVAC[Base Efficiency 2],MATCH(C68,CLHVAC[Measure Name],0)))</f>
        <v/>
      </c>
      <c r="S68" s="929"/>
      <c r="T68" s="917" t="str">
        <f>IF(AND(ISNUMBER(SEARCH("DX",C68)),ISNUMBER(SEARCH("&lt;65 kbtu",C68)),N68&lt;&gt;""),1.12*N68-0.02*N68^2,IF(AND(ISNUMBER(SEARCH("PTAC",C68)),N68&lt;&gt;""),1,""))</f>
        <v/>
      </c>
      <c r="U68" s="918"/>
      <c r="V68" s="926"/>
      <c r="W68" s="927"/>
      <c r="X68" s="825"/>
      <c r="Y68" s="826"/>
      <c r="Z68" s="827"/>
      <c r="AA68" s="904"/>
      <c r="AB68" s="905"/>
      <c r="AC68" s="905"/>
      <c r="AD68" s="906"/>
      <c r="AE68" s="809"/>
      <c r="AF68" s="810"/>
      <c r="AG68" s="810"/>
      <c r="AH68" s="812"/>
      <c r="AI68" s="921" t="str">
        <f>IF(C68="","",INDEX(CLHVAC[Current Unit],MATCH(C68,CLHVAC[Measure Name],0)))</f>
        <v/>
      </c>
      <c r="AJ68" s="921"/>
      <c r="AK68" s="921"/>
      <c r="AL68" s="922"/>
      <c r="AM68" s="923" t="str">
        <f>IFERROR(IF(C68="","",INDEX(IF(AND(ACTIVEBONUS = TRUE,INDEX(CLHVAC[Bonus Incentive],MATCH(C68,CLHVAC[Measure Name],0))&lt;&gt; ""),CLHVAC[Bonus Incentive],CLHVAC[BESP Incentive]),MATCH(C68,CLHVAC[Measure Name],0))),"")</f>
        <v/>
      </c>
      <c r="AN68" s="924"/>
      <c r="AO68" s="817" t="str">
        <f>IFERROR(IF(OR(C68="",N68="",V68="",AA68="",T68="",AE68="",AG68=""),"",IF(BD68="Deemed",BH68,IF(BD68="Calculated",BE68,""))),"")</f>
        <v/>
      </c>
      <c r="AP68" s="817"/>
      <c r="AQ68" s="817"/>
      <c r="AR68" s="840" t="str">
        <f>IFERROR(IF(OR(C68="",N68="",V68="",AA68="",T68="",AE68="",AG68=""),"",IF(BY68&lt;&gt;"",BY68,IF(BP68&gt;0,BP68,ROUND(IF(AO68&lt;=0,0,MIN(BL68,BQ68)), 2)))), "")</f>
        <v/>
      </c>
      <c r="AS68" s="840"/>
      <c r="AT68" s="840"/>
      <c r="AU68" s="840"/>
      <c r="AV68" s="17"/>
      <c r="AX68" s="773" t="str">
        <f>IFERROR(IF(OR(C68="",N68="",V68="",AA68="",T68="",AE68="",AG68=""),"",INDEX(CLHVAC[Current Unit],MATCH(C68,CLHVAC[Measure Name],0))),"Err")</f>
        <v/>
      </c>
      <c r="AY68" s="759"/>
      <c r="AZ68" s="759"/>
      <c r="BA68" s="919" t="str">
        <f>IF(C68&lt;&gt;"", _xlfn.LET(
_xlpm.Tons_Cool, V68, _xlpm.PLC_Base, L68, _xlpm.Tons_Heat, CC68, _xlpm.Other_Base, R68,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(12/_xlpm.PLC_Base)*_xlpm.EFLH_Cool,
IF(ISNUMBER(SEARCH("Water", C68)),
_xlpm.Tons_Cool * (_xlpm.PLC_Base) * _xlpm.EFLH_Cool,
" "
)),4),
_xlpm.kWhHeat,
IF(
_xlpm.ElecHeat=1,
ROUND(
IF(OR(ISNUMBER(SEARCH("DX", C68)),ISNUMBER(SEARCH("PTAC", C68)), ISNUMBER(SEARCH("Air-Cooled Chiller", C68)), ISNUMBER(SEARCH("Water", C68)),
ISNUMBER(SEARCH("VRF", C68))),
0,
IF(
OR(ISNUMBER(SEARCH("ASHP", C68)), ISNUMBER(SEARCH("PTHP", C68))),
_xlpm.Tons_Heat * (1/_xlpm.Other_Base) * _xlpm.EFLH_Heat,
" "
)),4),
0
),
IFERROR(_xlpm.kWhCool + _xlpm.kWhHeat, "Measure Not Specified.")
), "")</f>
        <v/>
      </c>
      <c r="BB68" s="919" t="str">
        <f>IF(C68&lt;&gt;"", _xlfn.LET(
_xlpm.Tons_Cool, V68, _xlpm.PLC_Eff, N68, _xlpm.Tons_Heat, CC68, _xlpm.Other_Eff, T68,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(12/_xlpm.PLC_Eff)*_xlpm.EFLH_Cool,
IF(ISNUMBER(SEARCH("Water", C68)),
_xlpm.Tons_Cool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(1/_xlpm.Other_Eff) * _xlpm.EFLH_Heat,
" "
)),4),
0
),
IFERROR(_xlpm.kWhCool + _xlpm.kWhHeat, "Measure Not Specified.")
), "")</f>
        <v/>
      </c>
      <c r="BC68" s="773" t="str">
        <f>IFERROR(IF(OR(C68="",N68="",V68="",AA68="",T68="",AE68="",AG68=""),"",INDEX(CLHVAC[End Use],MATCH(C68,CLHVAC[Measure Name],0))),"Err")</f>
        <v/>
      </c>
      <c r="BD68" s="757" t="str">
        <f>IFERROR(IF(OR(C68="",N68="",V68="",AA68="",T68="",AE68="",AG68=""),"",INDEX(CLHVAC[Reporting Methodology],MATCH(C68,CLHVAC[Measure Name],0))),"Err")</f>
        <v/>
      </c>
      <c r="BE68" s="775" t="str">
        <f t="shared" si="0"/>
        <v/>
      </c>
      <c r="BF68" s="775" t="str">
        <f t="shared" ref="BF68" si="100">IF(C68&lt;&gt;"", _xlfn.LET(
_xlpm.Tons, V68, _xlpm.PCF, 0.913,
IF(OR(ISNUMBER(SEARCH("DX", C68)), ISNUMBER(SEARCH("Air-Cooled Chiller", C68)), ISNUMBER(SEARCH("VRF", C68))),
_xlpm.Tons * (12/R68 - 12/T68) * _xlpm.PCF,
IF(ISNUMBER(SEARCH("Water", C68)),
_xlpm.Tons * (R68-T68) * _xlpm.PCF,
IF(ISNUMBER(SEARCH("ASHP", C68)),
_xlpm.Tons * (12/CA68 - 12/CB68) * _xlpm.PCF,
IF(OR(ISNUMBER(SEARCH("PTAC", C68)), ISNUMBER(SEARCH("PTHP", C68))),
_xlpm.Tons * (12/L68 - 12/N68) * _xlpm.PCF,
"Measure Not Specified."))))), "")</f>
        <v/>
      </c>
      <c r="BG68" s="761"/>
      <c r="BH68" s="775" t="str">
        <f>IF(
OR(C68="",N68="",V68="",AA68="",T68="",AE68="",AG68=""),"",
IF(OR(ISNUMBER(SEARCH("PTAC",C68)),ISNUMBER(SEARCH("PTHP",C68))),
ROUND(V68*INDEX(CLHVAC[Electric Energy Savings WBE (Annual kWh/unit)],MATCH(C68,CLHVAC[Measure Name],0)),4),
ROUND(V68*ABS(N68-L68)*INDEX(CLHVAC[Electric Energy Savings WBE (Annual kWh/unit)],MATCH(C68,CLHVAC[Measure Name],0)),4)
))</f>
        <v/>
      </c>
      <c r="BI68" s="775" t="str">
        <f>IF(
OR(C68="",N68="",V68="",AA68="",T68="",AE68="",AG68=""),"",
IF(OR(ISNUMBER(SEARCH("PTAC",C68)),ISNUMBER(SEARCH("PTHP",C68))),
ROUND(V68*INDEX(CLHVAC[Coincident Peak Demand Savings WBE (kW/unit)],MATCH(C68,CLHVAC[Measure Name],0)),4),
ROUND(V68* ABS(N68-L68)*INDEX(CLHVAC[Coincident Peak Demand Savings WBE (kW/unit)],MATCH(C68,CLHVAC[Measure Name],0)),4)
))</f>
        <v/>
      </c>
      <c r="BJ68" s="777" t="str">
        <f>IFERROR(INDEX(CLHVAC[Measure Life (Years)],MATCH(C68,CLHVAC[Measure Name],0)),"")</f>
        <v/>
      </c>
      <c r="BK68" s="767" t="str">
        <f>IFERROR(IF(OR(C68="",N68="",V68="",AA68="",T68="",AE68="",AG68=""),"",
ROUND(((1+ELOSS)*((BH68*INDEX(ELECCB[NPV AEC $/kWh],MATCH(BJ68,ELECCB[Year Number],1)))+(BI68*INDEX(ELECCB[NPV ACC $/kW],MATCH(BJ68,ELECCB[Year Number],1))))),2)),0)</f>
        <v/>
      </c>
      <c r="BL68" s="767" t="str">
        <f t="shared" si="1"/>
        <v/>
      </c>
      <c r="BM68" s="767"/>
      <c r="BN68" s="763" t="str">
        <f t="shared" si="2"/>
        <v/>
      </c>
      <c r="BO68" s="763" t="str">
        <f>IFERROR(IF(BM68 &lt;&gt; "", BM68, BL68) / M02S04F06 / AO68, "")</f>
        <v/>
      </c>
      <c r="BP68" s="769"/>
      <c r="BQ68" s="767" t="str">
        <f t="shared" ref="BQ68" si="101">IFERROR(IF(AI68="per ton", ROUND(V68*AM68, 2),
IF(AND(ISNUMBER(SEARCH("Air-Cooled Chiller",C68)),AI68="$/ton/IPLV"), ROUND((12/L68-12/N68)*V68*AM68, 2),
ROUND(ABS(N68-L68)*V68*AM68, 2))), "")</f>
        <v/>
      </c>
      <c r="BR68" s="765"/>
      <c r="BS68" s="765"/>
      <c r="BT68" s="765"/>
      <c r="BU68" s="757" t="str">
        <f t="shared" ref="BU68" si="102">IFERROR(IF(BP68="",IF(AR68 &lt; BQ68, "100% Total Cost", ""), ""), "")</f>
        <v/>
      </c>
      <c r="BV68" s="767" t="str">
        <f t="shared" si="3"/>
        <v/>
      </c>
      <c r="BW68" s="757" t="str">
        <f>IFERROR(IF(OR(C68="",N68="",V68="",AA68="",T68="",AE68="",AG68=""),"", IF(BY68&lt;&gt;"", SPILLOVERNUMBER, INDEX(CLHVAC[Measure Number],MATCH(C68,CLHVAC[Measure Name],0)))),"Err")</f>
        <v/>
      </c>
      <c r="BX68" s="757"/>
      <c r="BY68" s="907" t="str">
        <f>IFERROR(
IF(OR(C68="",N68="",T68="",V68="",AA68="",AE68="",AG68=""),
"",
IF(BP68&gt;0,"",IF(OR(AND(ISNUMBER(SEARCH("kW/ton", J68)),OR(L68&lt;N68,R68&lt;T68)),AND(NOT(ISNUMBER(SEARCH("kW/ton", J68))),OR(L68&gt;N68,R68&gt;T68))),
"Must Improve Efficiency",
IF(EXPIRATION&lt;&gt;"",PROJSTATEXP,"")))),
"")</f>
        <v/>
      </c>
      <c r="BZ68" s="911" t="str">
        <f>IFERROR(IF(INDEX(CLHVAC[Eff Unit 3],MATCH(C68,CLHVAC[Measure Name],0))="","",INDEX(CLHVAC[Eff Unit 3],MATCH(C68,CLHVAC[Measure Name],0))),"")</f>
        <v/>
      </c>
      <c r="CA68" s="956" t="str">
        <f>IFERROR(IF(INDEX(CLHVAC[Base Efficiency 3],MATCH(C68,CLHVAC[Measure Name],0))="","",INDEX(CLHVAC[Base Efficiency 3],MATCH(C68,CLHVAC[Measure Name],0))),"")</f>
        <v/>
      </c>
      <c r="CB68" s="913" t="str">
        <f t="shared" ref="CB68" si="103">IFERROR(IF(ISNUMBER(SEARCH("Air-Cooled Chiller",$C68)),12/N68,""),"")</f>
        <v/>
      </c>
      <c r="CC68" s="909"/>
    </row>
    <row r="69" spans="2:81" ht="15.95" customHeight="1">
      <c r="B69" s="785"/>
      <c r="C69" s="793"/>
      <c r="D69" s="795"/>
      <c r="E69" s="795"/>
      <c r="F69" s="795"/>
      <c r="G69" s="795"/>
      <c r="H69" s="795"/>
      <c r="I69" s="795"/>
      <c r="J69" s="932"/>
      <c r="K69" s="933"/>
      <c r="L69" s="928"/>
      <c r="M69" s="929"/>
      <c r="N69" s="915"/>
      <c r="O69" s="916"/>
      <c r="P69" s="934"/>
      <c r="Q69" s="935"/>
      <c r="R69" s="930"/>
      <c r="S69" s="931"/>
      <c r="T69" s="917"/>
      <c r="U69" s="918"/>
      <c r="V69" s="926"/>
      <c r="W69" s="927"/>
      <c r="X69" s="793"/>
      <c r="Y69" s="795"/>
      <c r="Z69" s="794"/>
      <c r="AA69" s="904"/>
      <c r="AB69" s="905"/>
      <c r="AC69" s="905"/>
      <c r="AD69" s="906"/>
      <c r="AE69" s="809"/>
      <c r="AF69" s="810"/>
      <c r="AG69" s="810"/>
      <c r="AH69" s="812"/>
      <c r="AI69" s="921"/>
      <c r="AJ69" s="921"/>
      <c r="AK69" s="921"/>
      <c r="AL69" s="922"/>
      <c r="AM69" s="925"/>
      <c r="AN69" s="900"/>
      <c r="AO69" s="818"/>
      <c r="AP69" s="818"/>
      <c r="AQ69" s="818"/>
      <c r="AR69" s="841"/>
      <c r="AS69" s="841"/>
      <c r="AT69" s="841"/>
      <c r="AU69" s="841"/>
      <c r="AV69" s="17"/>
      <c r="AX69" s="774"/>
      <c r="AY69" s="760"/>
      <c r="AZ69" s="760"/>
      <c r="BA69" s="920"/>
      <c r="BB69" s="920"/>
      <c r="BC69" s="774"/>
      <c r="BD69" s="758"/>
      <c r="BE69" s="776"/>
      <c r="BF69" s="776"/>
      <c r="BG69" s="762"/>
      <c r="BH69" s="776"/>
      <c r="BI69" s="776"/>
      <c r="BJ69" s="778"/>
      <c r="BK69" s="768"/>
      <c r="BL69" s="768"/>
      <c r="BM69" s="768"/>
      <c r="BN69" s="764"/>
      <c r="BO69" s="764"/>
      <c r="BP69" s="770"/>
      <c r="BQ69" s="768"/>
      <c r="BR69" s="766"/>
      <c r="BS69" s="766"/>
      <c r="BT69" s="766"/>
      <c r="BU69" s="758"/>
      <c r="BV69" s="768"/>
      <c r="BW69" s="758"/>
      <c r="BX69" s="758"/>
      <c r="BY69" s="908"/>
      <c r="BZ69" s="912"/>
      <c r="CA69" s="957"/>
      <c r="CB69" s="914"/>
      <c r="CC69" s="910"/>
    </row>
    <row r="70" spans="2:81" ht="15.95" customHeight="1">
      <c r="B70" s="785">
        <v>27</v>
      </c>
      <c r="C70" s="825"/>
      <c r="D70" s="826"/>
      <c r="E70" s="826"/>
      <c r="F70" s="826"/>
      <c r="G70" s="826"/>
      <c r="H70" s="826"/>
      <c r="I70" s="826"/>
      <c r="J70" s="936" t="str">
        <f>IF(C70="","",INDEX(CLHVAC[Eff Unit 1],MATCH(C70,CLHVAC[Measure Name],0)))</f>
        <v/>
      </c>
      <c r="K70" s="937"/>
      <c r="L70" s="938" t="str">
        <f>IF(C70="","",INDEX(CLHVAC[Base Efficiency 1],MATCH(C70,CLHVAC[Measure Name],0)))</f>
        <v/>
      </c>
      <c r="M70" s="939"/>
      <c r="N70" s="915"/>
      <c r="O70" s="916"/>
      <c r="P70" s="932" t="str">
        <f>IF(C70="","",INDEX(CLHVAC[Eff Unit 2],MATCH(C70,CLHVAC[Measure Name],0)))</f>
        <v/>
      </c>
      <c r="Q70" s="933"/>
      <c r="R70" s="928" t="str">
        <f>IF(C70="","",INDEX(CLHVAC[Base Efficiency 2],MATCH(C70,CLHVAC[Measure Name],0)))</f>
        <v/>
      </c>
      <c r="S70" s="929"/>
      <c r="T70" s="917" t="str">
        <f>IF(AND(ISNUMBER(SEARCH("DX",C70)),ISNUMBER(SEARCH("&lt;65 kbtu",C70)),N70&lt;&gt;""),1.12*N70-0.02*N70^2,IF(AND(ISNUMBER(SEARCH("PTAC",C70)),N70&lt;&gt;""),1,""))</f>
        <v/>
      </c>
      <c r="U70" s="918"/>
      <c r="V70" s="926"/>
      <c r="W70" s="927"/>
      <c r="X70" s="825"/>
      <c r="Y70" s="826"/>
      <c r="Z70" s="827"/>
      <c r="AA70" s="904"/>
      <c r="AB70" s="905"/>
      <c r="AC70" s="905"/>
      <c r="AD70" s="906"/>
      <c r="AE70" s="809"/>
      <c r="AF70" s="810"/>
      <c r="AG70" s="810"/>
      <c r="AH70" s="812"/>
      <c r="AI70" s="921" t="str">
        <f>IF(C70="","",INDEX(CLHVAC[Current Unit],MATCH(C70,CLHVAC[Measure Name],0)))</f>
        <v/>
      </c>
      <c r="AJ70" s="921"/>
      <c r="AK70" s="921"/>
      <c r="AL70" s="922"/>
      <c r="AM70" s="923" t="str">
        <f>IFERROR(IF(C70="","",INDEX(IF(AND(ACTIVEBONUS = TRUE,INDEX(CLHVAC[Bonus Incentive],MATCH(C70,CLHVAC[Measure Name],0))&lt;&gt; ""),CLHVAC[Bonus Incentive],CLHVAC[BESP Incentive]),MATCH(C70,CLHVAC[Measure Name],0))),"")</f>
        <v/>
      </c>
      <c r="AN70" s="924"/>
      <c r="AO70" s="817" t="str">
        <f>IFERROR(IF(OR(C70="",N70="",V70="",AA70="",T70="",AE70="",AG70=""),"",IF(BD70="Deemed",BH70,IF(BD70="Calculated",BE70,""))),"")</f>
        <v/>
      </c>
      <c r="AP70" s="817"/>
      <c r="AQ70" s="817"/>
      <c r="AR70" s="840" t="str">
        <f>IFERROR(IF(OR(C70="",N70="",V70="",AA70="",T70="",AE70="",AG70=""),"",IF(BY70&lt;&gt;"",BY70,IF(BP70&gt;0,BP70,ROUND(IF(AO70&lt;=0,0,MIN(BL70,BQ70)), 2)))), "")</f>
        <v/>
      </c>
      <c r="AS70" s="840"/>
      <c r="AT70" s="840"/>
      <c r="AU70" s="840"/>
      <c r="AV70" s="17"/>
      <c r="AX70" s="773" t="str">
        <f>IFERROR(IF(OR(C70="",N70="",V70="",AA70="",T70="",AE70="",AG70=""),"",INDEX(CLHVAC[Current Unit],MATCH(C70,CLHVAC[Measure Name],0))),"Err")</f>
        <v/>
      </c>
      <c r="AY70" s="759"/>
      <c r="AZ70" s="759"/>
      <c r="BA70" s="919" t="str">
        <f>IF(C70&lt;&gt;"", _xlfn.LET(
_xlpm.Tons_Cool, V70, _xlpm.PLC_Base, L70, _xlpm.Tons_Heat, CC70, _xlpm.Other_Base, R70,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(12/_xlpm.PLC_Base)*_xlpm.EFLH_Cool,
IF(ISNUMBER(SEARCH("Water", C70)),
_xlpm.Tons_Cool * (_xlpm.PLC_Base) * _xlpm.EFLH_Cool,
" "
)),4),
_xlpm.kWhHeat,
IF(
_xlpm.ElecHeat=1,
ROUND(
IF(OR(ISNUMBER(SEARCH("DX", C70)),ISNUMBER(SEARCH("PTAC", C70)), ISNUMBER(SEARCH("Air-Cooled Chiller", C70)), ISNUMBER(SEARCH("Water", C70)),
ISNUMBER(SEARCH("VRF", C70))),
0,
IF(
OR(ISNUMBER(SEARCH("ASHP", C70)), ISNUMBER(SEARCH("PTHP", C70))),
_xlpm.Tons_Heat * (1/_xlpm.Other_Base) * _xlpm.EFLH_Heat,
" "
)),4),
0
),
IFERROR(_xlpm.kWhCool + _xlpm.kWhHeat, "Measure Not Specified.")
), "")</f>
        <v/>
      </c>
      <c r="BB70" s="919" t="str">
        <f>IF(C70&lt;&gt;"", _xlfn.LET(
_xlpm.Tons_Cool, V70, _xlpm.PLC_Eff, N70, _xlpm.Tons_Heat, CC70, _xlpm.Other_Eff, T70,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(12/_xlpm.PLC_Eff)*_xlpm.EFLH_Cool,
IF(ISNUMBER(SEARCH("Water", C70)),
_xlpm.Tons_Cool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(1/_xlpm.Other_Eff) * _xlpm.EFLH_Heat,
" "
)),4),
0
),
IFERROR(_xlpm.kWhCool + _xlpm.kWhHeat, "Measure Not Specified.")
), "")</f>
        <v/>
      </c>
      <c r="BC70" s="773" t="str">
        <f>IFERROR(IF(OR(C70="",N70="",V70="",AA70="",T70="",AE70="",AG70=""),"",INDEX(CLHVAC[End Use],MATCH(C70,CLHVAC[Measure Name],0))),"Err")</f>
        <v/>
      </c>
      <c r="BD70" s="757" t="str">
        <f>IFERROR(IF(OR(C70="",N70="",V70="",AA70="",T70="",AE70="",AG70=""),"",INDEX(CLHVAC[Reporting Methodology],MATCH(C70,CLHVAC[Measure Name],0))),"Err")</f>
        <v/>
      </c>
      <c r="BE70" s="775" t="str">
        <f t="shared" si="0"/>
        <v/>
      </c>
      <c r="BF70" s="775" t="str">
        <f t="shared" ref="BF70" si="104">IF(C70&lt;&gt;"", _xlfn.LET(
_xlpm.Tons, V70, _xlpm.PCF, 0.913,
IF(OR(ISNUMBER(SEARCH("DX", C70)), ISNUMBER(SEARCH("Air-Cooled Chiller", C70)), ISNUMBER(SEARCH("VRF", C70))),
_xlpm.Tons * (12/R70 - 12/T70) * _xlpm.PCF,
IF(ISNUMBER(SEARCH("Water", C70)),
_xlpm.Tons * (R70-T70) * _xlpm.PCF,
IF(ISNUMBER(SEARCH("ASHP", C70)),
_xlpm.Tons * (12/CA70 - 12/CB70) * _xlpm.PCF,
IF(OR(ISNUMBER(SEARCH("PTAC", C70)), ISNUMBER(SEARCH("PTHP", C70))),
_xlpm.Tons * (12/L70 - 12/N70) * _xlpm.PCF,
"Measure Not Specified."))))), "")</f>
        <v/>
      </c>
      <c r="BG70" s="761"/>
      <c r="BH70" s="775" t="str">
        <f>IF(
OR(C70="",N70="",V70="",AA70="",T70="",AE70="",AG70=""),"",
IF(OR(ISNUMBER(SEARCH("PTAC",C70)),ISNUMBER(SEARCH("PTHP",C70))),
ROUND(V70*INDEX(CLHVAC[Electric Energy Savings WBE (Annual kWh/unit)],MATCH(C70,CLHVAC[Measure Name],0)),4),
ROUND(V70*ABS(N70-L70)*INDEX(CLHVAC[Electric Energy Savings WBE (Annual kWh/unit)],MATCH(C70,CLHVAC[Measure Name],0)),4)
))</f>
        <v/>
      </c>
      <c r="BI70" s="775" t="str">
        <f>IF(
OR(C70="",N70="",V70="",AA70="",T70="",AE70="",AG70=""),"",
IF(OR(ISNUMBER(SEARCH("PTAC",C70)),ISNUMBER(SEARCH("PTHP",C70))),
ROUND(V70*INDEX(CLHVAC[Coincident Peak Demand Savings WBE (kW/unit)],MATCH(C70,CLHVAC[Measure Name],0)),4),
ROUND(V70* ABS(N70-L70)*INDEX(CLHVAC[Coincident Peak Demand Savings WBE (kW/unit)],MATCH(C70,CLHVAC[Measure Name],0)),4)
))</f>
        <v/>
      </c>
      <c r="BJ70" s="777" t="str">
        <f>IFERROR(INDEX(CLHVAC[Measure Life (Years)],MATCH(C70,CLHVAC[Measure Name],0)),"")</f>
        <v/>
      </c>
      <c r="BK70" s="767" t="str">
        <f>IFERROR(IF(OR(C70="",N70="",V70="",AA70="",T70="",AE70="",AG70=""),"",
ROUND(((1+ELOSS)*((BH70*INDEX(ELECCB[NPV AEC $/kWh],MATCH(BJ70,ELECCB[Year Number],1)))+(BI70*INDEX(ELECCB[NPV ACC $/kW],MATCH(BJ70,ELECCB[Year Number],1))))),2)),0)</f>
        <v/>
      </c>
      <c r="BL70" s="767" t="str">
        <f t="shared" si="1"/>
        <v/>
      </c>
      <c r="BM70" s="767"/>
      <c r="BN70" s="763" t="str">
        <f t="shared" si="2"/>
        <v/>
      </c>
      <c r="BO70" s="763" t="str">
        <f>IFERROR(IF(BM70 &lt;&gt; "", BM70, BL70) / M02S04F06 / AO70, "")</f>
        <v/>
      </c>
      <c r="BP70" s="769"/>
      <c r="BQ70" s="767" t="str">
        <f t="shared" ref="BQ70" si="105">IFERROR(IF(AI70="per ton", ROUND(V70*AM70, 2),
IF(AND(ISNUMBER(SEARCH("Air-Cooled Chiller",C70)),AI70="$/ton/IPLV"), ROUND((12/L70-12/N70)*V70*AM70, 2),
ROUND(ABS(N70-L70)*V70*AM70, 2))), "")</f>
        <v/>
      </c>
      <c r="BR70" s="765"/>
      <c r="BS70" s="765"/>
      <c r="BT70" s="765"/>
      <c r="BU70" s="757" t="str">
        <f t="shared" ref="BU70" si="106">IFERROR(IF(BP70="",IF(AR70 &lt; BQ70, "100% Total Cost", ""), ""), "")</f>
        <v/>
      </c>
      <c r="BV70" s="767" t="str">
        <f t="shared" si="3"/>
        <v/>
      </c>
      <c r="BW70" s="757" t="str">
        <f>IFERROR(IF(OR(C70="",N70="",V70="",AA70="",T70="",AE70="",AG70=""),"", IF(BY70&lt;&gt;"", SPILLOVERNUMBER, INDEX(CLHVAC[Measure Number],MATCH(C70,CLHVAC[Measure Name],0)))),"Err")</f>
        <v/>
      </c>
      <c r="BX70" s="757"/>
      <c r="BY70" s="907" t="str">
        <f>IFERROR(
IF(OR(C70="",N70="",T70="",V70="",AA70="",AE70="",AG70=""),
"",
IF(BP70&gt;0,"",IF(OR(AND(ISNUMBER(SEARCH("kW/ton", J70)),OR(L70&lt;N70,R70&lt;T70)),AND(NOT(ISNUMBER(SEARCH("kW/ton", J70))),OR(L70&gt;N70,R70&gt;T70))),
"Must Improve Efficiency",
IF(EXPIRATION&lt;&gt;"",PROJSTATEXP,"")))),
"")</f>
        <v/>
      </c>
      <c r="BZ70" s="911" t="str">
        <f>IFERROR(IF(INDEX(CLHVAC[Eff Unit 3],MATCH(C70,CLHVAC[Measure Name],0))="","",INDEX(CLHVAC[Eff Unit 3],MATCH(C70,CLHVAC[Measure Name],0))),"")</f>
        <v/>
      </c>
      <c r="CA70" s="956" t="str">
        <f>IFERROR(IF(INDEX(CLHVAC[Base Efficiency 3],MATCH(C70,CLHVAC[Measure Name],0))="","",INDEX(CLHVAC[Base Efficiency 3],MATCH(C70,CLHVAC[Measure Name],0))),"")</f>
        <v/>
      </c>
      <c r="CB70" s="913" t="str">
        <f t="shared" ref="CB70" si="107">IFERROR(IF(ISNUMBER(SEARCH("Air-Cooled Chiller",$C70)),12/N70,""),"")</f>
        <v/>
      </c>
      <c r="CC70" s="909"/>
    </row>
    <row r="71" spans="2:81" ht="15.95" customHeight="1">
      <c r="B71" s="785"/>
      <c r="C71" s="793"/>
      <c r="D71" s="795"/>
      <c r="E71" s="795"/>
      <c r="F71" s="795"/>
      <c r="G71" s="795"/>
      <c r="H71" s="795"/>
      <c r="I71" s="795"/>
      <c r="J71" s="932"/>
      <c r="K71" s="933"/>
      <c r="L71" s="928"/>
      <c r="M71" s="929"/>
      <c r="N71" s="915"/>
      <c r="O71" s="916"/>
      <c r="P71" s="934"/>
      <c r="Q71" s="935"/>
      <c r="R71" s="930"/>
      <c r="S71" s="931"/>
      <c r="T71" s="917"/>
      <c r="U71" s="918"/>
      <c r="V71" s="926"/>
      <c r="W71" s="927"/>
      <c r="X71" s="793"/>
      <c r="Y71" s="795"/>
      <c r="Z71" s="794"/>
      <c r="AA71" s="904"/>
      <c r="AB71" s="905"/>
      <c r="AC71" s="905"/>
      <c r="AD71" s="906"/>
      <c r="AE71" s="809"/>
      <c r="AF71" s="810"/>
      <c r="AG71" s="810"/>
      <c r="AH71" s="812"/>
      <c r="AI71" s="921"/>
      <c r="AJ71" s="921"/>
      <c r="AK71" s="921"/>
      <c r="AL71" s="922"/>
      <c r="AM71" s="925"/>
      <c r="AN71" s="900"/>
      <c r="AO71" s="818"/>
      <c r="AP71" s="818"/>
      <c r="AQ71" s="818"/>
      <c r="AR71" s="841"/>
      <c r="AS71" s="841"/>
      <c r="AT71" s="841"/>
      <c r="AU71" s="841"/>
      <c r="AV71" s="17"/>
      <c r="AX71" s="774"/>
      <c r="AY71" s="760"/>
      <c r="AZ71" s="760"/>
      <c r="BA71" s="920"/>
      <c r="BB71" s="920"/>
      <c r="BC71" s="774"/>
      <c r="BD71" s="758"/>
      <c r="BE71" s="776"/>
      <c r="BF71" s="776"/>
      <c r="BG71" s="762"/>
      <c r="BH71" s="776"/>
      <c r="BI71" s="776"/>
      <c r="BJ71" s="778"/>
      <c r="BK71" s="768"/>
      <c r="BL71" s="768"/>
      <c r="BM71" s="768"/>
      <c r="BN71" s="764"/>
      <c r="BO71" s="764"/>
      <c r="BP71" s="770"/>
      <c r="BQ71" s="768"/>
      <c r="BR71" s="766"/>
      <c r="BS71" s="766"/>
      <c r="BT71" s="766"/>
      <c r="BU71" s="758"/>
      <c r="BV71" s="768"/>
      <c r="BW71" s="758"/>
      <c r="BX71" s="758"/>
      <c r="BY71" s="908"/>
      <c r="BZ71" s="912"/>
      <c r="CA71" s="957"/>
      <c r="CB71" s="914"/>
      <c r="CC71" s="910"/>
    </row>
    <row r="72" spans="2:81" ht="15.95" customHeight="1">
      <c r="B72" s="785">
        <v>28</v>
      </c>
      <c r="C72" s="825"/>
      <c r="D72" s="826"/>
      <c r="E72" s="826"/>
      <c r="F72" s="826"/>
      <c r="G72" s="826"/>
      <c r="H72" s="826"/>
      <c r="I72" s="826"/>
      <c r="J72" s="936" t="str">
        <f>IF(C72="","",INDEX(CLHVAC[Eff Unit 1],MATCH(C72,CLHVAC[Measure Name],0)))</f>
        <v/>
      </c>
      <c r="K72" s="937"/>
      <c r="L72" s="938" t="str">
        <f>IF(C72="","",INDEX(CLHVAC[Base Efficiency 1],MATCH(C72,CLHVAC[Measure Name],0)))</f>
        <v/>
      </c>
      <c r="M72" s="939"/>
      <c r="N72" s="915"/>
      <c r="O72" s="916"/>
      <c r="P72" s="932" t="str">
        <f>IF(C72="","",INDEX(CLHVAC[Eff Unit 2],MATCH(C72,CLHVAC[Measure Name],0)))</f>
        <v/>
      </c>
      <c r="Q72" s="933"/>
      <c r="R72" s="928" t="str">
        <f>IF(C72="","",INDEX(CLHVAC[Base Efficiency 2],MATCH(C72,CLHVAC[Measure Name],0)))</f>
        <v/>
      </c>
      <c r="S72" s="929"/>
      <c r="T72" s="917" t="str">
        <f>IF(AND(ISNUMBER(SEARCH("DX",C72)),ISNUMBER(SEARCH("&lt;65 kbtu",C72)),N72&lt;&gt;""),1.12*N72-0.02*N72^2,IF(AND(ISNUMBER(SEARCH("PTAC",C72)),N72&lt;&gt;""),1,""))</f>
        <v/>
      </c>
      <c r="U72" s="918"/>
      <c r="V72" s="926"/>
      <c r="W72" s="927"/>
      <c r="X72" s="825"/>
      <c r="Y72" s="826"/>
      <c r="Z72" s="827"/>
      <c r="AA72" s="904"/>
      <c r="AB72" s="905"/>
      <c r="AC72" s="905"/>
      <c r="AD72" s="906"/>
      <c r="AE72" s="809"/>
      <c r="AF72" s="810"/>
      <c r="AG72" s="810"/>
      <c r="AH72" s="812"/>
      <c r="AI72" s="921" t="str">
        <f>IF(C72="","",INDEX(CLHVAC[Current Unit],MATCH(C72,CLHVAC[Measure Name],0)))</f>
        <v/>
      </c>
      <c r="AJ72" s="921"/>
      <c r="AK72" s="921"/>
      <c r="AL72" s="922"/>
      <c r="AM72" s="923" t="str">
        <f>IFERROR(IF(C72="","",INDEX(IF(AND(ACTIVEBONUS = TRUE,INDEX(CLHVAC[Bonus Incentive],MATCH(C72,CLHVAC[Measure Name],0))&lt;&gt; ""),CLHVAC[Bonus Incentive],CLHVAC[BESP Incentive]),MATCH(C72,CLHVAC[Measure Name],0))),"")</f>
        <v/>
      </c>
      <c r="AN72" s="924"/>
      <c r="AO72" s="817" t="str">
        <f>IFERROR(IF(OR(C72="",N72="",V72="",AA72="",T72="",AE72="",AG72=""),"",IF(BD72="Deemed",BH72,IF(BD72="Calculated",BE72,""))),"")</f>
        <v/>
      </c>
      <c r="AP72" s="817"/>
      <c r="AQ72" s="817"/>
      <c r="AR72" s="840" t="str">
        <f>IFERROR(IF(OR(C72="",N72="",V72="",AA72="",T72="",AE72="",AG72=""),"",IF(BY72&lt;&gt;"",BY72,IF(BP72&gt;0,BP72,ROUND(IF(AO72&lt;=0,0,MIN(BL72,BQ72)), 2)))), "")</f>
        <v/>
      </c>
      <c r="AS72" s="840"/>
      <c r="AT72" s="840"/>
      <c r="AU72" s="840"/>
      <c r="AV72" s="17"/>
      <c r="AX72" s="773" t="str">
        <f>IFERROR(IF(OR(C72="",N72="",V72="",AA72="",T72="",AE72="",AG72=""),"",INDEX(CLHVAC[Current Unit],MATCH(C72,CLHVAC[Measure Name],0))),"Err")</f>
        <v/>
      </c>
      <c r="AY72" s="759"/>
      <c r="AZ72" s="759"/>
      <c r="BA72" s="919" t="str">
        <f>IF(C72&lt;&gt;"", _xlfn.LET(
_xlpm.Tons_Cool, V72, _xlpm.PLC_Base, L72, _xlpm.Tons_Heat, CC72, _xlpm.Other_Base, R72,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(12/_xlpm.PLC_Base)*_xlpm.EFLH_Cool,
IF(ISNUMBER(SEARCH("Water", C72)),
_xlpm.Tons_Cool * (_xlpm.PLC_Base) * _xlpm.EFLH_Cool,
" "
)),4),
_xlpm.kWhHeat,
IF(
_xlpm.ElecHeat=1,
ROUND(
IF(OR(ISNUMBER(SEARCH("DX", C72)),ISNUMBER(SEARCH("PTAC", C72)), ISNUMBER(SEARCH("Air-Cooled Chiller", C72)), ISNUMBER(SEARCH("Water", C72)),
ISNUMBER(SEARCH("VRF", C72))),
0,
IF(
OR(ISNUMBER(SEARCH("ASHP", C72)), ISNUMBER(SEARCH("PTHP", C72))),
_xlpm.Tons_Heat * (1/_xlpm.Other_Base) * _xlpm.EFLH_Heat,
" "
)),4),
0
),
IFERROR(_xlpm.kWhCool + _xlpm.kWhHeat, "Measure Not Specified.")
), "")</f>
        <v/>
      </c>
      <c r="BB72" s="919" t="str">
        <f>IF(C72&lt;&gt;"", _xlfn.LET(
_xlpm.Tons_Cool, V72, _xlpm.PLC_Eff, N72, _xlpm.Tons_Heat, CC72, _xlpm.Other_Eff, T72,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(12/_xlpm.PLC_Eff)*_xlpm.EFLH_Cool,
IF(ISNUMBER(SEARCH("Water", C72)),
_xlpm.Tons_Cool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(1/_xlpm.Other_Eff) * _xlpm.EFLH_Heat,
" "
)),4),
0
),
IFERROR(_xlpm.kWhCool + _xlpm.kWhHeat, "Measure Not Specified.")
), "")</f>
        <v/>
      </c>
      <c r="BC72" s="773" t="str">
        <f>IFERROR(IF(OR(C72="",N72="",V72="",AA72="",T72="",AE72="",AG72=""),"",INDEX(CLHVAC[End Use],MATCH(C72,CLHVAC[Measure Name],0))),"Err")</f>
        <v/>
      </c>
      <c r="BD72" s="757" t="str">
        <f>IFERROR(IF(OR(C72="",N72="",V72="",AA72="",T72="",AE72="",AG72=""),"",INDEX(CLHVAC[Reporting Methodology],MATCH(C72,CLHVAC[Measure Name],0))),"Err")</f>
        <v/>
      </c>
      <c r="BE72" s="775" t="str">
        <f t="shared" si="0"/>
        <v/>
      </c>
      <c r="BF72" s="775" t="str">
        <f t="shared" ref="BF72" si="108">IF(C72&lt;&gt;"", _xlfn.LET(
_xlpm.Tons, V72, _xlpm.PCF, 0.913,
IF(OR(ISNUMBER(SEARCH("DX", C72)), ISNUMBER(SEARCH("Air-Cooled Chiller", C72)), ISNUMBER(SEARCH("VRF", C72))),
_xlpm.Tons * (12/R72 - 12/T72) * _xlpm.PCF,
IF(ISNUMBER(SEARCH("Water", C72)),
_xlpm.Tons * (R72-T72) * _xlpm.PCF,
IF(ISNUMBER(SEARCH("ASHP", C72)),
_xlpm.Tons * (12/CA72 - 12/CB72) * _xlpm.PCF,
IF(OR(ISNUMBER(SEARCH("PTAC", C72)), ISNUMBER(SEARCH("PTHP", C72))),
_xlpm.Tons * (12/L72 - 12/N72) * _xlpm.PCF,
"Measure Not Specified."))))), "")</f>
        <v/>
      </c>
      <c r="BG72" s="761"/>
      <c r="BH72" s="775" t="str">
        <f>IF(
OR(C72="",N72="",V72="",AA72="",T72="",AE72="",AG72=""),"",
IF(OR(ISNUMBER(SEARCH("PTAC",C72)),ISNUMBER(SEARCH("PTHP",C72))),
ROUND(V72*INDEX(CLHVAC[Electric Energy Savings WBE (Annual kWh/unit)],MATCH(C72,CLHVAC[Measure Name],0)),4),
ROUND(V72*ABS(N72-L72)*INDEX(CLHVAC[Electric Energy Savings WBE (Annual kWh/unit)],MATCH(C72,CLHVAC[Measure Name],0)),4)
))</f>
        <v/>
      </c>
      <c r="BI72" s="775" t="str">
        <f>IF(
OR(C72="",N72="",V72="",AA72="",T72="",AE72="",AG72=""),"",
IF(OR(ISNUMBER(SEARCH("PTAC",C72)),ISNUMBER(SEARCH("PTHP",C72))),
ROUND(V72*INDEX(CLHVAC[Coincident Peak Demand Savings WBE (kW/unit)],MATCH(C72,CLHVAC[Measure Name],0)),4),
ROUND(V72* ABS(N72-L72)*INDEX(CLHVAC[Coincident Peak Demand Savings WBE (kW/unit)],MATCH(C72,CLHVAC[Measure Name],0)),4)
))</f>
        <v/>
      </c>
      <c r="BJ72" s="777" t="str">
        <f>IFERROR(INDEX(CLHVAC[Measure Life (Years)],MATCH(C72,CLHVAC[Measure Name],0)),"")</f>
        <v/>
      </c>
      <c r="BK72" s="767" t="str">
        <f>IFERROR(IF(OR(C72="",N72="",V72="",AA72="",T72="",AE72="",AG72=""),"",
ROUND(((1+ELOSS)*((BH72*INDEX(ELECCB[NPV AEC $/kWh],MATCH(BJ72,ELECCB[Year Number],1)))+(BI72*INDEX(ELECCB[NPV ACC $/kW],MATCH(BJ72,ELECCB[Year Number],1))))),2)),0)</f>
        <v/>
      </c>
      <c r="BL72" s="767" t="str">
        <f t="shared" si="1"/>
        <v/>
      </c>
      <c r="BM72" s="767"/>
      <c r="BN72" s="763" t="str">
        <f t="shared" si="2"/>
        <v/>
      </c>
      <c r="BO72" s="763" t="str">
        <f>IFERROR(IF(BM72 &lt;&gt; "", BM72, BL72) / M02S04F06 / AO72, "")</f>
        <v/>
      </c>
      <c r="BP72" s="769"/>
      <c r="BQ72" s="767" t="str">
        <f t="shared" ref="BQ72" si="109">IFERROR(IF(AI72="per ton", ROUND(V72*AM72, 2),
IF(AND(ISNUMBER(SEARCH("Air-Cooled Chiller",C72)),AI72="$/ton/IPLV"), ROUND((12/L72-12/N72)*V72*AM72, 2),
ROUND(ABS(N72-L72)*V72*AM72, 2))), "")</f>
        <v/>
      </c>
      <c r="BR72" s="765"/>
      <c r="BS72" s="765"/>
      <c r="BT72" s="765"/>
      <c r="BU72" s="757" t="str">
        <f t="shared" ref="BU72" si="110">IFERROR(IF(BP72="",IF(AR72 &lt; BQ72, "100% Total Cost", ""), ""), "")</f>
        <v/>
      </c>
      <c r="BV72" s="767" t="str">
        <f t="shared" si="3"/>
        <v/>
      </c>
      <c r="BW72" s="757" t="str">
        <f>IFERROR(IF(OR(C72="",N72="",V72="",AA72="",T72="",AE72="",AG72=""),"", IF(BY72&lt;&gt;"", SPILLOVERNUMBER, INDEX(CLHVAC[Measure Number],MATCH(C72,CLHVAC[Measure Name],0)))),"Err")</f>
        <v/>
      </c>
      <c r="BX72" s="757"/>
      <c r="BY72" s="907" t="str">
        <f>IFERROR(
IF(OR(C72="",N72="",T72="",V72="",AA72="",AE72="",AG72=""),
"",
IF(BP72&gt;0,"",IF(OR(AND(ISNUMBER(SEARCH("kW/ton", J72)),OR(L72&lt;N72,R72&lt;T72)),AND(NOT(ISNUMBER(SEARCH("kW/ton", J72))),OR(L72&gt;N72,R72&gt;T72))),
"Must Improve Efficiency",
IF(EXPIRATION&lt;&gt;"",PROJSTATEXP,"")))),
"")</f>
        <v/>
      </c>
      <c r="BZ72" s="911" t="str">
        <f>IFERROR(IF(INDEX(CLHVAC[Eff Unit 3],MATCH(C72,CLHVAC[Measure Name],0))="","",INDEX(CLHVAC[Eff Unit 3],MATCH(C72,CLHVAC[Measure Name],0))),"")</f>
        <v/>
      </c>
      <c r="CA72" s="956" t="str">
        <f>IFERROR(IF(INDEX(CLHVAC[Base Efficiency 3],MATCH(C72,CLHVAC[Measure Name],0))="","",INDEX(CLHVAC[Base Efficiency 3],MATCH(C72,CLHVAC[Measure Name],0))),"")</f>
        <v/>
      </c>
      <c r="CB72" s="913" t="str">
        <f t="shared" ref="CB72" si="111">IFERROR(IF(ISNUMBER(SEARCH("Air-Cooled Chiller",$C72)),12/N72,""),"")</f>
        <v/>
      </c>
      <c r="CC72" s="909"/>
    </row>
    <row r="73" spans="2:81" ht="15.95" customHeight="1">
      <c r="B73" s="785"/>
      <c r="C73" s="793"/>
      <c r="D73" s="795"/>
      <c r="E73" s="795"/>
      <c r="F73" s="795"/>
      <c r="G73" s="795"/>
      <c r="H73" s="795"/>
      <c r="I73" s="795"/>
      <c r="J73" s="932"/>
      <c r="K73" s="933"/>
      <c r="L73" s="928"/>
      <c r="M73" s="929"/>
      <c r="N73" s="915"/>
      <c r="O73" s="916"/>
      <c r="P73" s="934"/>
      <c r="Q73" s="935"/>
      <c r="R73" s="930"/>
      <c r="S73" s="931"/>
      <c r="T73" s="917"/>
      <c r="U73" s="918"/>
      <c r="V73" s="926"/>
      <c r="W73" s="927"/>
      <c r="X73" s="793"/>
      <c r="Y73" s="795"/>
      <c r="Z73" s="794"/>
      <c r="AA73" s="904"/>
      <c r="AB73" s="905"/>
      <c r="AC73" s="905"/>
      <c r="AD73" s="906"/>
      <c r="AE73" s="809"/>
      <c r="AF73" s="810"/>
      <c r="AG73" s="810"/>
      <c r="AH73" s="812"/>
      <c r="AI73" s="921"/>
      <c r="AJ73" s="921"/>
      <c r="AK73" s="921"/>
      <c r="AL73" s="922"/>
      <c r="AM73" s="925"/>
      <c r="AN73" s="900"/>
      <c r="AO73" s="818"/>
      <c r="AP73" s="818"/>
      <c r="AQ73" s="818"/>
      <c r="AR73" s="841"/>
      <c r="AS73" s="841"/>
      <c r="AT73" s="841"/>
      <c r="AU73" s="841"/>
      <c r="AV73" s="17"/>
      <c r="AX73" s="774"/>
      <c r="AY73" s="760"/>
      <c r="AZ73" s="760"/>
      <c r="BA73" s="920"/>
      <c r="BB73" s="920"/>
      <c r="BC73" s="774"/>
      <c r="BD73" s="758"/>
      <c r="BE73" s="776"/>
      <c r="BF73" s="776"/>
      <c r="BG73" s="762"/>
      <c r="BH73" s="776"/>
      <c r="BI73" s="776"/>
      <c r="BJ73" s="778"/>
      <c r="BK73" s="768"/>
      <c r="BL73" s="768"/>
      <c r="BM73" s="768"/>
      <c r="BN73" s="764"/>
      <c r="BO73" s="764"/>
      <c r="BP73" s="770"/>
      <c r="BQ73" s="768"/>
      <c r="BR73" s="766"/>
      <c r="BS73" s="766"/>
      <c r="BT73" s="766"/>
      <c r="BU73" s="758"/>
      <c r="BV73" s="768"/>
      <c r="BW73" s="758"/>
      <c r="BX73" s="758"/>
      <c r="BY73" s="908"/>
      <c r="BZ73" s="912"/>
      <c r="CA73" s="957"/>
      <c r="CB73" s="914"/>
      <c r="CC73" s="910"/>
    </row>
    <row r="74" spans="2:81" ht="15.95" customHeight="1">
      <c r="B74" s="785">
        <v>29</v>
      </c>
      <c r="C74" s="825"/>
      <c r="D74" s="826"/>
      <c r="E74" s="826"/>
      <c r="F74" s="826"/>
      <c r="G74" s="826"/>
      <c r="H74" s="826"/>
      <c r="I74" s="826"/>
      <c r="J74" s="936" t="str">
        <f>IF(C74="","",INDEX(CLHVAC[Eff Unit 1],MATCH(C74,CLHVAC[Measure Name],0)))</f>
        <v/>
      </c>
      <c r="K74" s="937"/>
      <c r="L74" s="938" t="str">
        <f>IF(C74="","",INDEX(CLHVAC[Base Efficiency 1],MATCH(C74,CLHVAC[Measure Name],0)))</f>
        <v/>
      </c>
      <c r="M74" s="939"/>
      <c r="N74" s="915"/>
      <c r="O74" s="916"/>
      <c r="P74" s="932" t="str">
        <f>IF(C74="","",INDEX(CLHVAC[Eff Unit 2],MATCH(C74,CLHVAC[Measure Name],0)))</f>
        <v/>
      </c>
      <c r="Q74" s="933"/>
      <c r="R74" s="928" t="str">
        <f>IF(C74="","",INDEX(CLHVAC[Base Efficiency 2],MATCH(C74,CLHVAC[Measure Name],0)))</f>
        <v/>
      </c>
      <c r="S74" s="929"/>
      <c r="T74" s="917" t="str">
        <f>IF(AND(ISNUMBER(SEARCH("DX",C74)),ISNUMBER(SEARCH("&lt;65 kbtu",C74)),N74&lt;&gt;""),1.12*N74-0.02*N74^2,IF(AND(ISNUMBER(SEARCH("PTAC",C74)),N74&lt;&gt;""),1,""))</f>
        <v/>
      </c>
      <c r="U74" s="918"/>
      <c r="V74" s="926"/>
      <c r="W74" s="927"/>
      <c r="X74" s="825"/>
      <c r="Y74" s="826"/>
      <c r="Z74" s="827"/>
      <c r="AA74" s="904"/>
      <c r="AB74" s="905"/>
      <c r="AC74" s="905"/>
      <c r="AD74" s="906"/>
      <c r="AE74" s="809"/>
      <c r="AF74" s="810"/>
      <c r="AG74" s="810"/>
      <c r="AH74" s="812"/>
      <c r="AI74" s="921" t="str">
        <f>IF(C74="","",INDEX(CLHVAC[Current Unit],MATCH(C74,CLHVAC[Measure Name],0)))</f>
        <v/>
      </c>
      <c r="AJ74" s="921"/>
      <c r="AK74" s="921"/>
      <c r="AL74" s="922"/>
      <c r="AM74" s="923" t="str">
        <f>IFERROR(IF(C74="","",INDEX(IF(AND(ACTIVEBONUS = TRUE,INDEX(CLHVAC[Bonus Incentive],MATCH(C74,CLHVAC[Measure Name],0))&lt;&gt; ""),CLHVAC[Bonus Incentive],CLHVAC[BESP Incentive]),MATCH(C74,CLHVAC[Measure Name],0))),"")</f>
        <v/>
      </c>
      <c r="AN74" s="924"/>
      <c r="AO74" s="817" t="str">
        <f>IFERROR(IF(OR(C74="",N74="",V74="",AA74="",T74="",AE74="",AG74=""),"",IF(BD74="Deemed",BH74,IF(BD74="Calculated",BE74,""))),"")</f>
        <v/>
      </c>
      <c r="AP74" s="817"/>
      <c r="AQ74" s="817"/>
      <c r="AR74" s="840" t="str">
        <f>IFERROR(IF(OR(C74="",N74="",V74="",AA74="",T74="",AE74="",AG74=""),"",IF(BY74&lt;&gt;"",BY74,IF(BP74&gt;0,BP74,ROUND(IF(AO74&lt;=0,0,MIN(BL74,BQ74)), 2)))), "")</f>
        <v/>
      </c>
      <c r="AS74" s="840"/>
      <c r="AT74" s="840"/>
      <c r="AU74" s="840"/>
      <c r="AV74" s="17"/>
      <c r="AX74" s="773" t="str">
        <f>IFERROR(IF(OR(C74="",N74="",V74="",AA74="",T74="",AE74="",AG74=""),"",INDEX(CLHVAC[Current Unit],MATCH(C74,CLHVAC[Measure Name],0))),"Err")</f>
        <v/>
      </c>
      <c r="AY74" s="759"/>
      <c r="AZ74" s="759"/>
      <c r="BA74" s="919" t="str">
        <f>IF(C74&lt;&gt;"", _xlfn.LET(
_xlpm.Tons_Cool, V74, _xlpm.PLC_Base, L74, _xlpm.Tons_Heat, CC74, _xlpm.Other_Base, R74,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(12/_xlpm.PLC_Base)*_xlpm.EFLH_Cool,
IF(ISNUMBER(SEARCH("Water", C74)),
_xlpm.Tons_Cool * (_xlpm.PLC_Base) * _xlpm.EFLH_Cool,
" "
)),4),
_xlpm.kWhHeat,
IF(
_xlpm.ElecHeat=1,
ROUND(
IF(OR(ISNUMBER(SEARCH("DX", C74)),ISNUMBER(SEARCH("PTAC", C74)), ISNUMBER(SEARCH("Air-Cooled Chiller", C74)), ISNUMBER(SEARCH("Water", C74)),
ISNUMBER(SEARCH("VRF", C74))),
0,
IF(
OR(ISNUMBER(SEARCH("ASHP", C74)), ISNUMBER(SEARCH("PTHP", C74))),
_xlpm.Tons_Heat * (1/_xlpm.Other_Base) * _xlpm.EFLH_Heat,
" "
)),4),
0
),
IFERROR(_xlpm.kWhCool + _xlpm.kWhHeat, "Measure Not Specified.")
), "")</f>
        <v/>
      </c>
      <c r="BB74" s="919" t="str">
        <f>IF(C74&lt;&gt;"", _xlfn.LET(
_xlpm.Tons_Cool, V74, _xlpm.PLC_Eff, N74, _xlpm.Tons_Heat, CC74, _xlpm.Other_Eff, T74,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(12/_xlpm.PLC_Eff)*_xlpm.EFLH_Cool,
IF(ISNUMBER(SEARCH("Water", C74)),
_xlpm.Tons_Cool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(1/_xlpm.Other_Eff) * _xlpm.EFLH_Heat,
" "
)),4),
0
),
IFERROR(_xlpm.kWhCool + _xlpm.kWhHeat, "Measure Not Specified.")
), "")</f>
        <v/>
      </c>
      <c r="BC74" s="773" t="str">
        <f>IFERROR(IF(OR(C74="",N74="",V74="",AA74="",T74="",AE74="",AG74=""),"",INDEX(CLHVAC[End Use],MATCH(C74,CLHVAC[Measure Name],0))),"Err")</f>
        <v/>
      </c>
      <c r="BD74" s="757" t="str">
        <f>IFERROR(IF(OR(C74="",N74="",V74="",AA74="",T74="",AE74="",AG74=""),"",INDEX(CLHVAC[Reporting Methodology],MATCH(C74,CLHVAC[Measure Name],0))),"Err")</f>
        <v/>
      </c>
      <c r="BE74" s="775" t="str">
        <f t="shared" si="0"/>
        <v/>
      </c>
      <c r="BF74" s="775" t="str">
        <f t="shared" ref="BF74" si="112">IF(C74&lt;&gt;"", _xlfn.LET(
_xlpm.Tons, V74, _xlpm.PCF, 0.913,
IF(OR(ISNUMBER(SEARCH("DX", C74)), ISNUMBER(SEARCH("Air-Cooled Chiller", C74)), ISNUMBER(SEARCH("VRF", C74))),
_xlpm.Tons * (12/R74 - 12/T74) * _xlpm.PCF,
IF(ISNUMBER(SEARCH("Water", C74)),
_xlpm.Tons * (R74-T74) * _xlpm.PCF,
IF(ISNUMBER(SEARCH("ASHP", C74)),
_xlpm.Tons * (12/CA74 - 12/CB74) * _xlpm.PCF,
IF(OR(ISNUMBER(SEARCH("PTAC", C74)), ISNUMBER(SEARCH("PTHP", C74))),
_xlpm.Tons * (12/L74 - 12/N74) * _xlpm.PCF,
"Measure Not Specified."))))), "")</f>
        <v/>
      </c>
      <c r="BG74" s="761"/>
      <c r="BH74" s="775" t="str">
        <f>IF(
OR(C74="",N74="",V74="",AA74="",T74="",AE74="",AG74=""),"",
IF(OR(ISNUMBER(SEARCH("PTAC",C74)),ISNUMBER(SEARCH("PTHP",C74))),
ROUND(V74*INDEX(CLHVAC[Electric Energy Savings WBE (Annual kWh/unit)],MATCH(C74,CLHVAC[Measure Name],0)),4),
ROUND(V74*ABS(N74-L74)*INDEX(CLHVAC[Electric Energy Savings WBE (Annual kWh/unit)],MATCH(C74,CLHVAC[Measure Name],0)),4)
))</f>
        <v/>
      </c>
      <c r="BI74" s="775" t="str">
        <f>IF(
OR(C74="",N74="",V74="",AA74="",T74="",AE74="",AG74=""),"",
IF(OR(ISNUMBER(SEARCH("PTAC",C74)),ISNUMBER(SEARCH("PTHP",C74))),
ROUND(V74*INDEX(CLHVAC[Coincident Peak Demand Savings WBE (kW/unit)],MATCH(C74,CLHVAC[Measure Name],0)),4),
ROUND(V74* ABS(N74-L74)*INDEX(CLHVAC[Coincident Peak Demand Savings WBE (kW/unit)],MATCH(C74,CLHVAC[Measure Name],0)),4)
))</f>
        <v/>
      </c>
      <c r="BJ74" s="777" t="str">
        <f>IFERROR(INDEX(CLHVAC[Measure Life (Years)],MATCH(C74,CLHVAC[Measure Name],0)),"")</f>
        <v/>
      </c>
      <c r="BK74" s="767" t="str">
        <f>IFERROR(IF(OR(C74="",N74="",V74="",AA74="",T74="",AE74="",AG74=""),"",
ROUND(((1+ELOSS)*((BH74*INDEX(ELECCB[NPV AEC $/kWh],MATCH(BJ74,ELECCB[Year Number],1)))+(BI74*INDEX(ELECCB[NPV ACC $/kW],MATCH(BJ74,ELECCB[Year Number],1))))),2)),0)</f>
        <v/>
      </c>
      <c r="BL74" s="767" t="str">
        <f t="shared" si="1"/>
        <v/>
      </c>
      <c r="BM74" s="767"/>
      <c r="BN74" s="763" t="str">
        <f t="shared" si="2"/>
        <v/>
      </c>
      <c r="BO74" s="763" t="str">
        <f>IFERROR(IF(BM74 &lt;&gt; "", BM74, BL74) / M02S04F06 / AO74, "")</f>
        <v/>
      </c>
      <c r="BP74" s="769"/>
      <c r="BQ74" s="767" t="str">
        <f t="shared" ref="BQ74" si="113">IFERROR(IF(AI74="per ton", ROUND(V74*AM74, 2),
IF(AND(ISNUMBER(SEARCH("Air-Cooled Chiller",C74)),AI74="$/ton/IPLV"), ROUND((12/L74-12/N74)*V74*AM74, 2),
ROUND(ABS(N74-L74)*V74*AM74, 2))), "")</f>
        <v/>
      </c>
      <c r="BR74" s="765"/>
      <c r="BS74" s="765"/>
      <c r="BT74" s="765"/>
      <c r="BU74" s="757" t="str">
        <f t="shared" ref="BU74" si="114">IFERROR(IF(BP74="",IF(AR74 &lt; BQ74, "100% Total Cost", ""), ""), "")</f>
        <v/>
      </c>
      <c r="BV74" s="767" t="str">
        <f t="shared" si="3"/>
        <v/>
      </c>
      <c r="BW74" s="757" t="str">
        <f>IFERROR(IF(OR(C74="",N74="",V74="",AA74="",T74="",AE74="",AG74=""),"", IF(BY74&lt;&gt;"", SPILLOVERNUMBER, INDEX(CLHVAC[Measure Number],MATCH(C74,CLHVAC[Measure Name],0)))),"Err")</f>
        <v/>
      </c>
      <c r="BX74" s="757"/>
      <c r="BY74" s="907" t="str">
        <f>IFERROR(
IF(OR(C74="",N74="",T74="",V74="",AA74="",AE74="",AG74=""),
"",
IF(BP74&gt;0,"",IF(OR(AND(ISNUMBER(SEARCH("kW/ton", J74)),OR(L74&lt;N74,R74&lt;T74)),AND(NOT(ISNUMBER(SEARCH("kW/ton", J74))),OR(L74&gt;N74,R74&gt;T74))),
"Must Improve Efficiency",
IF(EXPIRATION&lt;&gt;"",PROJSTATEXP,"")))),
"")</f>
        <v/>
      </c>
      <c r="BZ74" s="911" t="str">
        <f>IFERROR(IF(INDEX(CLHVAC[Eff Unit 3],MATCH(C74,CLHVAC[Measure Name],0))="","",INDEX(CLHVAC[Eff Unit 3],MATCH(C74,CLHVAC[Measure Name],0))),"")</f>
        <v/>
      </c>
      <c r="CA74" s="956" t="str">
        <f>IFERROR(IF(INDEX(CLHVAC[Base Efficiency 3],MATCH(C74,CLHVAC[Measure Name],0))="","",INDEX(CLHVAC[Base Efficiency 3],MATCH(C74,CLHVAC[Measure Name],0))),"")</f>
        <v/>
      </c>
      <c r="CB74" s="913" t="str">
        <f t="shared" ref="CB74" si="115">IFERROR(IF(ISNUMBER(SEARCH("Air-Cooled Chiller",$C74)),12/N74,""),"")</f>
        <v/>
      </c>
      <c r="CC74" s="909"/>
    </row>
    <row r="75" spans="2:81" ht="15.95" customHeight="1">
      <c r="B75" s="785"/>
      <c r="C75" s="793"/>
      <c r="D75" s="795"/>
      <c r="E75" s="795"/>
      <c r="F75" s="795"/>
      <c r="G75" s="795"/>
      <c r="H75" s="795"/>
      <c r="I75" s="795"/>
      <c r="J75" s="932"/>
      <c r="K75" s="933"/>
      <c r="L75" s="928"/>
      <c r="M75" s="929"/>
      <c r="N75" s="915"/>
      <c r="O75" s="916"/>
      <c r="P75" s="934"/>
      <c r="Q75" s="935"/>
      <c r="R75" s="930"/>
      <c r="S75" s="931"/>
      <c r="T75" s="917"/>
      <c r="U75" s="918"/>
      <c r="V75" s="926"/>
      <c r="W75" s="927"/>
      <c r="X75" s="793"/>
      <c r="Y75" s="795"/>
      <c r="Z75" s="794"/>
      <c r="AA75" s="904"/>
      <c r="AB75" s="905"/>
      <c r="AC75" s="905"/>
      <c r="AD75" s="906"/>
      <c r="AE75" s="809"/>
      <c r="AF75" s="810"/>
      <c r="AG75" s="810"/>
      <c r="AH75" s="812"/>
      <c r="AI75" s="921"/>
      <c r="AJ75" s="921"/>
      <c r="AK75" s="921"/>
      <c r="AL75" s="922"/>
      <c r="AM75" s="925"/>
      <c r="AN75" s="900"/>
      <c r="AO75" s="818"/>
      <c r="AP75" s="818"/>
      <c r="AQ75" s="818"/>
      <c r="AR75" s="841"/>
      <c r="AS75" s="841"/>
      <c r="AT75" s="841"/>
      <c r="AU75" s="841"/>
      <c r="AV75" s="17"/>
      <c r="AX75" s="774"/>
      <c r="AY75" s="760"/>
      <c r="AZ75" s="760"/>
      <c r="BA75" s="920"/>
      <c r="BB75" s="920"/>
      <c r="BC75" s="774"/>
      <c r="BD75" s="758"/>
      <c r="BE75" s="776"/>
      <c r="BF75" s="776"/>
      <c r="BG75" s="762"/>
      <c r="BH75" s="776"/>
      <c r="BI75" s="776"/>
      <c r="BJ75" s="778"/>
      <c r="BK75" s="768"/>
      <c r="BL75" s="768"/>
      <c r="BM75" s="768"/>
      <c r="BN75" s="764"/>
      <c r="BO75" s="764"/>
      <c r="BP75" s="770"/>
      <c r="BQ75" s="768"/>
      <c r="BR75" s="766"/>
      <c r="BS75" s="766"/>
      <c r="BT75" s="766"/>
      <c r="BU75" s="758"/>
      <c r="BV75" s="768"/>
      <c r="BW75" s="758"/>
      <c r="BX75" s="758"/>
      <c r="BY75" s="908"/>
      <c r="BZ75" s="912"/>
      <c r="CA75" s="957"/>
      <c r="CB75" s="914"/>
      <c r="CC75" s="910"/>
    </row>
    <row r="76" spans="2:81" ht="15.95" customHeight="1">
      <c r="B76" s="785">
        <v>30</v>
      </c>
      <c r="C76" s="825"/>
      <c r="D76" s="826"/>
      <c r="E76" s="826"/>
      <c r="F76" s="826"/>
      <c r="G76" s="826"/>
      <c r="H76" s="826"/>
      <c r="I76" s="826"/>
      <c r="J76" s="936" t="str">
        <f>IF(C76="","",INDEX(CLHVAC[Eff Unit 1],MATCH(C76,CLHVAC[Measure Name],0)))</f>
        <v/>
      </c>
      <c r="K76" s="937"/>
      <c r="L76" s="938" t="str">
        <f>IF(C76="","",INDEX(CLHVAC[Base Efficiency 1],MATCH(C76,CLHVAC[Measure Name],0)))</f>
        <v/>
      </c>
      <c r="M76" s="939"/>
      <c r="N76" s="915"/>
      <c r="O76" s="916"/>
      <c r="P76" s="932" t="str">
        <f>IF(C76="","",INDEX(CLHVAC[Eff Unit 2],MATCH(C76,CLHVAC[Measure Name],0)))</f>
        <v/>
      </c>
      <c r="Q76" s="933"/>
      <c r="R76" s="928" t="str">
        <f>IF(C76="","",INDEX(CLHVAC[Base Efficiency 2],MATCH(C76,CLHVAC[Measure Name],0)))</f>
        <v/>
      </c>
      <c r="S76" s="929"/>
      <c r="T76" s="917" t="str">
        <f>IF(AND(ISNUMBER(SEARCH("DX",C76)),ISNUMBER(SEARCH("&lt;65 kbtu",C76)),N76&lt;&gt;""),1.12*N76-0.02*N76^2,IF(AND(ISNUMBER(SEARCH("PTAC",C76)),N76&lt;&gt;""),1,""))</f>
        <v/>
      </c>
      <c r="U76" s="918"/>
      <c r="V76" s="926"/>
      <c r="W76" s="927"/>
      <c r="X76" s="825"/>
      <c r="Y76" s="826"/>
      <c r="Z76" s="827"/>
      <c r="AA76" s="904"/>
      <c r="AB76" s="905"/>
      <c r="AC76" s="905"/>
      <c r="AD76" s="906"/>
      <c r="AE76" s="809"/>
      <c r="AF76" s="810"/>
      <c r="AG76" s="810"/>
      <c r="AH76" s="812"/>
      <c r="AI76" s="921" t="str">
        <f>IF(C76="","",INDEX(CLHVAC[Current Unit],MATCH(C76,CLHVAC[Measure Name],0)))</f>
        <v/>
      </c>
      <c r="AJ76" s="921"/>
      <c r="AK76" s="921"/>
      <c r="AL76" s="922"/>
      <c r="AM76" s="923" t="str">
        <f>IFERROR(IF(C76="","",INDEX(IF(AND(ACTIVEBONUS = TRUE,INDEX(CLHVAC[Bonus Incentive],MATCH(C76,CLHVAC[Measure Name],0))&lt;&gt; ""),CLHVAC[Bonus Incentive],CLHVAC[BESP Incentive]),MATCH(C76,CLHVAC[Measure Name],0))),"")</f>
        <v/>
      </c>
      <c r="AN76" s="924"/>
      <c r="AO76" s="817" t="str">
        <f>IFERROR(IF(OR(C76="",N76="",V76="",AA76="",T76="",AE76="",AG76=""),"",IF(BD76="Deemed",BH76,IF(BD76="Calculated",BE76,""))),"")</f>
        <v/>
      </c>
      <c r="AP76" s="817"/>
      <c r="AQ76" s="817"/>
      <c r="AR76" s="840" t="str">
        <f>IFERROR(IF(OR(C76="",N76="",V76="",AA76="",T76="",AE76="",AG76=""),"",IF(BY76&lt;&gt;"",BY76,IF(BP76&gt;0,BP76,ROUND(IF(AO76&lt;=0,0,MIN(BL76,BQ76)), 2)))), "")</f>
        <v/>
      </c>
      <c r="AS76" s="840"/>
      <c r="AT76" s="840"/>
      <c r="AU76" s="840"/>
      <c r="AV76" s="17"/>
      <c r="AX76" s="773" t="str">
        <f>IFERROR(IF(OR(C76="",N76="",V76="",AA76="",T76="",AE76="",AG76=""),"",INDEX(CLHVAC[Current Unit],MATCH(C76,CLHVAC[Measure Name],0))),"Err")</f>
        <v/>
      </c>
      <c r="AY76" s="759"/>
      <c r="AZ76" s="759"/>
      <c r="BA76" s="919" t="str">
        <f>IF(C76&lt;&gt;"", _xlfn.LET(
_xlpm.Tons_Cool, V76, _xlpm.PLC_Base, L76, _xlpm.Tons_Heat, CC76, _xlpm.Other_Base, R76,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(12/_xlpm.PLC_Base)*_xlpm.EFLH_Cool,
IF(ISNUMBER(SEARCH("Water", C76)),
_xlpm.Tons_Cool * (_xlpm.PLC_Base) * _xlpm.EFLH_Cool,
" "
)),4),
_xlpm.kWhHeat,
IF(
_xlpm.ElecHeat=1,
ROUND(
IF(OR(ISNUMBER(SEARCH("DX", C76)),ISNUMBER(SEARCH("PTAC", C76)), ISNUMBER(SEARCH("Air-Cooled Chiller", C76)), ISNUMBER(SEARCH("Water", C76)),
ISNUMBER(SEARCH("VRF", C76))),
0,
IF(
OR(ISNUMBER(SEARCH("ASHP", C76)), ISNUMBER(SEARCH("PTHP", C76))),
_xlpm.Tons_Heat * (1/_xlpm.Other_Base) * _xlpm.EFLH_Heat,
" "
)),4),
0
),
IFERROR(_xlpm.kWhCool + _xlpm.kWhHeat, "Measure Not Specified.")
), "")</f>
        <v/>
      </c>
      <c r="BB76" s="919" t="str">
        <f>IF(C76&lt;&gt;"", _xlfn.LET(
_xlpm.Tons_Cool, V76, _xlpm.PLC_Eff, N76, _xlpm.Tons_Heat, CC76, _xlpm.Other_Eff, T76,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(12/_xlpm.PLC_Eff)*_xlpm.EFLH_Cool,
IF(ISNUMBER(SEARCH("Water", C76)),
_xlpm.Tons_Cool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(1/_xlpm.Other_Eff) * _xlpm.EFLH_Heat,
" "
)),4),
0
),
IFERROR(_xlpm.kWhCool + _xlpm.kWhHeat, "Measure Not Specified.")
), "")</f>
        <v/>
      </c>
      <c r="BC76" s="773" t="str">
        <f>IFERROR(IF(OR(C76="",N76="",V76="",AA76="",T76="",AE76="",AG76=""),"",INDEX(CLHVAC[End Use],MATCH(C76,CLHVAC[Measure Name],0))),"Err")</f>
        <v/>
      </c>
      <c r="BD76" s="757" t="str">
        <f>IFERROR(IF(OR(C76="",N76="",V76="",AA76="",T76="",AE76="",AG76=""),"",INDEX(CLHVAC[Reporting Methodology],MATCH(C76,CLHVAC[Measure Name],0))),"Err")</f>
        <v/>
      </c>
      <c r="BE76" s="775" t="str">
        <f t="shared" si="0"/>
        <v/>
      </c>
      <c r="BF76" s="775" t="str">
        <f t="shared" ref="BF76" si="116">IF(C76&lt;&gt;"", _xlfn.LET(
_xlpm.Tons, V76, _xlpm.PCF, 0.913,
IF(OR(ISNUMBER(SEARCH("DX", C76)), ISNUMBER(SEARCH("Air-Cooled Chiller", C76)), ISNUMBER(SEARCH("VRF", C76))),
_xlpm.Tons * (12/R76 - 12/T76) * _xlpm.PCF,
IF(ISNUMBER(SEARCH("Water", C76)),
_xlpm.Tons * (R76-T76) * _xlpm.PCF,
IF(ISNUMBER(SEARCH("ASHP", C76)),
_xlpm.Tons * (12/CA76 - 12/CB76) * _xlpm.PCF,
IF(OR(ISNUMBER(SEARCH("PTAC", C76)), ISNUMBER(SEARCH("PTHP", C76))),
_xlpm.Tons * (12/L76 - 12/N76) * _xlpm.PCF,
"Measure Not Specified."))))), "")</f>
        <v/>
      </c>
      <c r="BG76" s="761"/>
      <c r="BH76" s="775" t="str">
        <f>IF(
OR(C76="",N76="",V76="",AA76="",T76="",AE76="",AG76=""),"",
IF(OR(ISNUMBER(SEARCH("PTAC",C76)),ISNUMBER(SEARCH("PTHP",C76))),
ROUND(V76*INDEX(CLHVAC[Electric Energy Savings WBE (Annual kWh/unit)],MATCH(C76,CLHVAC[Measure Name],0)),4),
ROUND(V76*ABS(N76-L76)*INDEX(CLHVAC[Electric Energy Savings WBE (Annual kWh/unit)],MATCH(C76,CLHVAC[Measure Name],0)),4)
))</f>
        <v/>
      </c>
      <c r="BI76" s="775" t="str">
        <f>IF(
OR(C76="",N76="",V76="",AA76="",T76="",AE76="",AG76=""),"",
IF(OR(ISNUMBER(SEARCH("PTAC",C76)),ISNUMBER(SEARCH("PTHP",C76))),
ROUND(V76*INDEX(CLHVAC[Coincident Peak Demand Savings WBE (kW/unit)],MATCH(C76,CLHVAC[Measure Name],0)),4),
ROUND(V76* ABS(N76-L76)*INDEX(CLHVAC[Coincident Peak Demand Savings WBE (kW/unit)],MATCH(C76,CLHVAC[Measure Name],0)),4)
))</f>
        <v/>
      </c>
      <c r="BJ76" s="777" t="str">
        <f>IFERROR(INDEX(CLHVAC[Measure Life (Years)],MATCH(C76,CLHVAC[Measure Name],0)),"")</f>
        <v/>
      </c>
      <c r="BK76" s="767" t="str">
        <f>IFERROR(IF(OR(C76="",N76="",V76="",AA76="",T76="",AE76="",AG76=""),"",
ROUND(((1+ELOSS)*((BH76*INDEX(ELECCB[NPV AEC $/kWh],MATCH(BJ76,ELECCB[Year Number],1)))+(BI76*INDEX(ELECCB[NPV ACC $/kW],MATCH(BJ76,ELECCB[Year Number],1))))),2)),0)</f>
        <v/>
      </c>
      <c r="BL76" s="767" t="str">
        <f t="shared" si="1"/>
        <v/>
      </c>
      <c r="BM76" s="767"/>
      <c r="BN76" s="763" t="str">
        <f t="shared" si="2"/>
        <v/>
      </c>
      <c r="BO76" s="763" t="str">
        <f>IFERROR(IF(BM76 &lt;&gt; "", BM76, BL76) / M02S04F06 / AO76, "")</f>
        <v/>
      </c>
      <c r="BP76" s="769"/>
      <c r="BQ76" s="767" t="str">
        <f t="shared" ref="BQ76" si="117">IFERROR(IF(AI76="per ton", ROUND(V76*AM76, 2),
IF(AND(ISNUMBER(SEARCH("Air-Cooled Chiller",C76)),AI76="$/ton/IPLV"), ROUND((12/L76-12/N76)*V76*AM76, 2),
ROUND(ABS(N76-L76)*V76*AM76, 2))), "")</f>
        <v/>
      </c>
      <c r="BR76" s="765"/>
      <c r="BS76" s="765"/>
      <c r="BT76" s="765"/>
      <c r="BU76" s="757" t="str">
        <f t="shared" ref="BU76" si="118">IFERROR(IF(BP76="",IF(AR76 &lt; BQ76, "100% Total Cost", ""), ""), "")</f>
        <v/>
      </c>
      <c r="BV76" s="767" t="str">
        <f t="shared" si="3"/>
        <v/>
      </c>
      <c r="BW76" s="757" t="str">
        <f>IFERROR(IF(OR(C76="",N76="",V76="",AA76="",T76="",AE76="",AG76=""),"", IF(BY76&lt;&gt;"", SPILLOVERNUMBER, INDEX(CLHVAC[Measure Number],MATCH(C76,CLHVAC[Measure Name],0)))),"Err")</f>
        <v/>
      </c>
      <c r="BX76" s="757"/>
      <c r="BY76" s="907" t="str">
        <f>IFERROR(
IF(OR(C76="",N76="",T76="",V76="",AA76="",AE76="",AG76=""),
"",
IF(BP76&gt;0,"",IF(OR(AND(ISNUMBER(SEARCH("kW/ton", J76)),OR(L76&lt;N76,R76&lt;T76)),AND(NOT(ISNUMBER(SEARCH("kW/ton", J76))),OR(L76&gt;N76,R76&gt;T76))),
"Must Improve Efficiency",
IF(EXPIRATION&lt;&gt;"",PROJSTATEXP,"")))),
"")</f>
        <v/>
      </c>
      <c r="BZ76" s="911" t="str">
        <f>IFERROR(IF(INDEX(CLHVAC[Eff Unit 3],MATCH(C76,CLHVAC[Measure Name],0))="","",INDEX(CLHVAC[Eff Unit 3],MATCH(C76,CLHVAC[Measure Name],0))),"")</f>
        <v/>
      </c>
      <c r="CA76" s="956" t="str">
        <f>IFERROR(IF(INDEX(CLHVAC[Base Efficiency 3],MATCH(C76,CLHVAC[Measure Name],0))="","",INDEX(CLHVAC[Base Efficiency 3],MATCH(C76,CLHVAC[Measure Name],0))),"")</f>
        <v/>
      </c>
      <c r="CB76" s="913" t="str">
        <f t="shared" ref="CB76" si="119">IFERROR(IF(ISNUMBER(SEARCH("Air-Cooled Chiller",$C76)),12/N76,""),"")</f>
        <v/>
      </c>
      <c r="CC76" s="909"/>
    </row>
    <row r="77" spans="2:81" ht="15.95" customHeight="1">
      <c r="B77" s="785"/>
      <c r="C77" s="793"/>
      <c r="D77" s="795"/>
      <c r="E77" s="795"/>
      <c r="F77" s="795"/>
      <c r="G77" s="795"/>
      <c r="H77" s="795"/>
      <c r="I77" s="795"/>
      <c r="J77" s="932"/>
      <c r="K77" s="933"/>
      <c r="L77" s="928"/>
      <c r="M77" s="929"/>
      <c r="N77" s="915"/>
      <c r="O77" s="916"/>
      <c r="P77" s="934"/>
      <c r="Q77" s="935"/>
      <c r="R77" s="930"/>
      <c r="S77" s="931"/>
      <c r="T77" s="917"/>
      <c r="U77" s="918"/>
      <c r="V77" s="926"/>
      <c r="W77" s="927"/>
      <c r="X77" s="793"/>
      <c r="Y77" s="795"/>
      <c r="Z77" s="794"/>
      <c r="AA77" s="904"/>
      <c r="AB77" s="905"/>
      <c r="AC77" s="905"/>
      <c r="AD77" s="906"/>
      <c r="AE77" s="809"/>
      <c r="AF77" s="810"/>
      <c r="AG77" s="810"/>
      <c r="AH77" s="812"/>
      <c r="AI77" s="921"/>
      <c r="AJ77" s="921"/>
      <c r="AK77" s="921"/>
      <c r="AL77" s="922"/>
      <c r="AM77" s="925"/>
      <c r="AN77" s="900"/>
      <c r="AO77" s="818"/>
      <c r="AP77" s="818"/>
      <c r="AQ77" s="818"/>
      <c r="AR77" s="841"/>
      <c r="AS77" s="841"/>
      <c r="AT77" s="841"/>
      <c r="AU77" s="841"/>
      <c r="AV77" s="17"/>
      <c r="AX77" s="774"/>
      <c r="AY77" s="760"/>
      <c r="AZ77" s="760"/>
      <c r="BA77" s="920"/>
      <c r="BB77" s="920"/>
      <c r="BC77" s="774"/>
      <c r="BD77" s="758"/>
      <c r="BE77" s="776"/>
      <c r="BF77" s="776"/>
      <c r="BG77" s="762"/>
      <c r="BH77" s="776"/>
      <c r="BI77" s="776"/>
      <c r="BJ77" s="778"/>
      <c r="BK77" s="768"/>
      <c r="BL77" s="768"/>
      <c r="BM77" s="768"/>
      <c r="BN77" s="764"/>
      <c r="BO77" s="764"/>
      <c r="BP77" s="770"/>
      <c r="BQ77" s="768"/>
      <c r="BR77" s="766"/>
      <c r="BS77" s="766"/>
      <c r="BT77" s="766"/>
      <c r="BU77" s="758"/>
      <c r="BV77" s="768"/>
      <c r="BW77" s="758"/>
      <c r="BX77" s="758"/>
      <c r="BY77" s="908"/>
      <c r="BZ77" s="912"/>
      <c r="CA77" s="957"/>
      <c r="CB77" s="914"/>
      <c r="CC77" s="910"/>
    </row>
    <row r="78" spans="2:81" ht="15.95" customHeight="1">
      <c r="B78" s="785">
        <v>31</v>
      </c>
      <c r="C78" s="825"/>
      <c r="D78" s="826"/>
      <c r="E78" s="826"/>
      <c r="F78" s="826"/>
      <c r="G78" s="826"/>
      <c r="H78" s="826"/>
      <c r="I78" s="826"/>
      <c r="J78" s="936" t="str">
        <f>IF(C78="","",INDEX(CLHVAC[Eff Unit 1],MATCH(C78,CLHVAC[Measure Name],0)))</f>
        <v/>
      </c>
      <c r="K78" s="937"/>
      <c r="L78" s="938" t="str">
        <f>IF(C78="","",INDEX(CLHVAC[Base Efficiency 1],MATCH(C78,CLHVAC[Measure Name],0)))</f>
        <v/>
      </c>
      <c r="M78" s="939"/>
      <c r="N78" s="915"/>
      <c r="O78" s="916"/>
      <c r="P78" s="932" t="str">
        <f>IF(C78="","",INDEX(CLHVAC[Eff Unit 2],MATCH(C78,CLHVAC[Measure Name],0)))</f>
        <v/>
      </c>
      <c r="Q78" s="933"/>
      <c r="R78" s="928" t="str">
        <f>IF(C78="","",INDEX(CLHVAC[Base Efficiency 2],MATCH(C78,CLHVAC[Measure Name],0)))</f>
        <v/>
      </c>
      <c r="S78" s="929"/>
      <c r="T78" s="917" t="str">
        <f>IF(AND(ISNUMBER(SEARCH("DX",C78)),ISNUMBER(SEARCH("&lt;65 kbtu",C78)),N78&lt;&gt;""),1.12*N78-0.02*N78^2,IF(AND(ISNUMBER(SEARCH("PTAC",C78)),N78&lt;&gt;""),1,""))</f>
        <v/>
      </c>
      <c r="U78" s="918"/>
      <c r="V78" s="926"/>
      <c r="W78" s="927"/>
      <c r="X78" s="825"/>
      <c r="Y78" s="826"/>
      <c r="Z78" s="827"/>
      <c r="AA78" s="904"/>
      <c r="AB78" s="905"/>
      <c r="AC78" s="905"/>
      <c r="AD78" s="906"/>
      <c r="AE78" s="809"/>
      <c r="AF78" s="810"/>
      <c r="AG78" s="810"/>
      <c r="AH78" s="812"/>
      <c r="AI78" s="921" t="str">
        <f>IF(C78="","",INDEX(CLHVAC[Current Unit],MATCH(C78,CLHVAC[Measure Name],0)))</f>
        <v/>
      </c>
      <c r="AJ78" s="921"/>
      <c r="AK78" s="921"/>
      <c r="AL78" s="922"/>
      <c r="AM78" s="923" t="str">
        <f>IFERROR(IF(C78="","",INDEX(IF(AND(ACTIVEBONUS = TRUE,INDEX(CLHVAC[Bonus Incentive],MATCH(C78,CLHVAC[Measure Name],0))&lt;&gt; ""),CLHVAC[Bonus Incentive],CLHVAC[BESP Incentive]),MATCH(C78,CLHVAC[Measure Name],0))),"")</f>
        <v/>
      </c>
      <c r="AN78" s="924"/>
      <c r="AO78" s="817" t="str">
        <f>IFERROR(IF(OR(C78="",N78="",V78="",AA78="",T78="",AE78="",AG78=""),"",IF(BD78="Deemed",BH78,IF(BD78="Calculated",BE78,""))),"")</f>
        <v/>
      </c>
      <c r="AP78" s="817"/>
      <c r="AQ78" s="817"/>
      <c r="AR78" s="840" t="str">
        <f>IFERROR(IF(OR(C78="",N78="",V78="",AA78="",T78="",AE78="",AG78=""),"",IF(BY78&lt;&gt;"",BY78,IF(BP78&gt;0,BP78,ROUND(IF(AO78&lt;=0,0,MIN(BL78,BQ78)), 2)))), "")</f>
        <v/>
      </c>
      <c r="AS78" s="840"/>
      <c r="AT78" s="840"/>
      <c r="AU78" s="840"/>
      <c r="AV78" s="17"/>
      <c r="AX78" s="773" t="str">
        <f>IFERROR(IF(OR(C78="",N78="",V78="",AA78="",T78="",AE78="",AG78=""),"",INDEX(CLHVAC[Current Unit],MATCH(C78,CLHVAC[Measure Name],0))),"Err")</f>
        <v/>
      </c>
      <c r="AY78" s="759"/>
      <c r="AZ78" s="759"/>
      <c r="BA78" s="919" t="str">
        <f>IF(C78&lt;&gt;"", _xlfn.LET(
_xlpm.Tons_Cool, V78, _xlpm.PLC_Base, L78, _xlpm.Tons_Heat, CC78, _xlpm.Other_Base, R78,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(12/_xlpm.PLC_Base)*_xlpm.EFLH_Cool,
IF(ISNUMBER(SEARCH("Water", C78)),
_xlpm.Tons_Cool * (_xlpm.PLC_Base) * _xlpm.EFLH_Cool,
" "
)),4),
_xlpm.kWhHeat,
IF(
_xlpm.ElecHeat=1,
ROUND(
IF(OR(ISNUMBER(SEARCH("DX", C78)),ISNUMBER(SEARCH("PTAC", C78)), ISNUMBER(SEARCH("Air-Cooled Chiller", C78)), ISNUMBER(SEARCH("Water", C78)),
ISNUMBER(SEARCH("VRF", C78))),
0,
IF(
OR(ISNUMBER(SEARCH("ASHP", C78)), ISNUMBER(SEARCH("PTHP", C78))),
_xlpm.Tons_Heat * (1/_xlpm.Other_Base) * _xlpm.EFLH_Heat,
" "
)),4),
0
),
IFERROR(_xlpm.kWhCool + _xlpm.kWhHeat, "Measure Not Specified.")
), "")</f>
        <v/>
      </c>
      <c r="BB78" s="919" t="str">
        <f>IF(C78&lt;&gt;"", _xlfn.LET(
_xlpm.Tons_Cool, V78, _xlpm.PLC_Eff, N78, _xlpm.Tons_Heat, CC78, _xlpm.Other_Eff, T78,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(12/_xlpm.PLC_Eff)*_xlpm.EFLH_Cool,
IF(ISNUMBER(SEARCH("Water", C78)),
_xlpm.Tons_Cool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(1/_xlpm.Other_Eff) * _xlpm.EFLH_Heat,
" "
)),4),
0
),
IFERROR(_xlpm.kWhCool + _xlpm.kWhHeat, "Measure Not Specified.")
), "")</f>
        <v/>
      </c>
      <c r="BC78" s="773" t="str">
        <f>IFERROR(IF(OR(C78="",N78="",V78="",AA78="",T78="",AE78="",AG78=""),"",INDEX(CLHVAC[End Use],MATCH(C78,CLHVAC[Measure Name],0))),"Err")</f>
        <v/>
      </c>
      <c r="BD78" s="757" t="str">
        <f>IFERROR(IF(OR(C78="",N78="",V78="",AA78="",T78="",AE78="",AG78=""),"",INDEX(CLHVAC[Reporting Methodology],MATCH(C78,CLHVAC[Measure Name],0))),"Err")</f>
        <v/>
      </c>
      <c r="BE78" s="775" t="str">
        <f t="shared" si="0"/>
        <v/>
      </c>
      <c r="BF78" s="775" t="str">
        <f t="shared" ref="BF78" si="120">IF(C78&lt;&gt;"", _xlfn.LET(
_xlpm.Tons, V78, _xlpm.PCF, 0.913,
IF(OR(ISNUMBER(SEARCH("DX", C78)), ISNUMBER(SEARCH("Air-Cooled Chiller", C78)), ISNUMBER(SEARCH("VRF", C78))),
_xlpm.Tons * (12/R78 - 12/T78) * _xlpm.PCF,
IF(ISNUMBER(SEARCH("Water", C78)),
_xlpm.Tons * (R78-T78) * _xlpm.PCF,
IF(ISNUMBER(SEARCH("ASHP", C78)),
_xlpm.Tons * (12/CA78 - 12/CB78) * _xlpm.PCF,
IF(OR(ISNUMBER(SEARCH("PTAC", C78)), ISNUMBER(SEARCH("PTHP", C78))),
_xlpm.Tons * (12/L78 - 12/N78) * _xlpm.PCF,
"Measure Not Specified."))))), "")</f>
        <v/>
      </c>
      <c r="BG78" s="761"/>
      <c r="BH78" s="775" t="str">
        <f>IF(
OR(C78="",N78="",V78="",AA78="",T78="",AE78="",AG78=""),"",
IF(OR(ISNUMBER(SEARCH("PTAC",C78)),ISNUMBER(SEARCH("PTHP",C78))),
ROUND(V78*INDEX(CLHVAC[Electric Energy Savings WBE (Annual kWh/unit)],MATCH(C78,CLHVAC[Measure Name],0)),4),
ROUND(V78*ABS(N78-L78)*INDEX(CLHVAC[Electric Energy Savings WBE (Annual kWh/unit)],MATCH(C78,CLHVAC[Measure Name],0)),4)
))</f>
        <v/>
      </c>
      <c r="BI78" s="775" t="str">
        <f>IF(
OR(C78="",N78="",V78="",AA78="",T78="",AE78="",AG78=""),"",
IF(OR(ISNUMBER(SEARCH("PTAC",C78)),ISNUMBER(SEARCH("PTHP",C78))),
ROUND(V78*INDEX(CLHVAC[Coincident Peak Demand Savings WBE (kW/unit)],MATCH(C78,CLHVAC[Measure Name],0)),4),
ROUND(V78* ABS(N78-L78)*INDEX(CLHVAC[Coincident Peak Demand Savings WBE (kW/unit)],MATCH(C78,CLHVAC[Measure Name],0)),4)
))</f>
        <v/>
      </c>
      <c r="BJ78" s="777" t="str">
        <f>IFERROR(INDEX(CLHVAC[Measure Life (Years)],MATCH(C78,CLHVAC[Measure Name],0)),"")</f>
        <v/>
      </c>
      <c r="BK78" s="767" t="str">
        <f>IFERROR(IF(OR(C78="",N78="",V78="",AA78="",T78="",AE78="",AG78=""),"",
ROUND(((1+ELOSS)*((BH78*INDEX(ELECCB[NPV AEC $/kWh],MATCH(BJ78,ELECCB[Year Number],1)))+(BI78*INDEX(ELECCB[NPV ACC $/kW],MATCH(BJ78,ELECCB[Year Number],1))))),2)),0)</f>
        <v/>
      </c>
      <c r="BL78" s="767" t="str">
        <f t="shared" si="1"/>
        <v/>
      </c>
      <c r="BM78" s="767"/>
      <c r="BN78" s="763" t="str">
        <f t="shared" si="2"/>
        <v/>
      </c>
      <c r="BO78" s="763" t="str">
        <f>IFERROR(IF(BM78 &lt;&gt; "", BM78, BL78) / M02S04F06 / AO78, "")</f>
        <v/>
      </c>
      <c r="BP78" s="769"/>
      <c r="BQ78" s="767" t="str">
        <f t="shared" ref="BQ78" si="121">IFERROR(IF(AI78="per ton", ROUND(V78*AM78, 2),
IF(AND(ISNUMBER(SEARCH("Air-Cooled Chiller",C78)),AI78="$/ton/IPLV"), ROUND((12/L78-12/N78)*V78*AM78, 2),
ROUND(ABS(N78-L78)*V78*AM78, 2))), "")</f>
        <v/>
      </c>
      <c r="BR78" s="765"/>
      <c r="BS78" s="765"/>
      <c r="BT78" s="765"/>
      <c r="BU78" s="757" t="str">
        <f t="shared" ref="BU78" si="122">IFERROR(IF(BP78="",IF(AR78 &lt; BQ78, "100% Total Cost", ""), ""), "")</f>
        <v/>
      </c>
      <c r="BV78" s="767" t="str">
        <f t="shared" si="3"/>
        <v/>
      </c>
      <c r="BW78" s="757" t="str">
        <f>IFERROR(IF(OR(C78="",N78="",V78="",AA78="",T78="",AE78="",AG78=""),"", IF(BY78&lt;&gt;"", SPILLOVERNUMBER, INDEX(CLHVAC[Measure Number],MATCH(C78,CLHVAC[Measure Name],0)))),"Err")</f>
        <v/>
      </c>
      <c r="BX78" s="757"/>
      <c r="BY78" s="907" t="str">
        <f>IFERROR(
IF(OR(C78="",N78="",T78="",V78="",AA78="",AE78="",AG78=""),
"",
IF(BP78&gt;0,"",IF(OR(AND(ISNUMBER(SEARCH("kW/ton", J78)),OR(L78&lt;N78,R78&lt;T78)),AND(NOT(ISNUMBER(SEARCH("kW/ton", J78))),OR(L78&gt;N78,R78&gt;T78))),
"Must Improve Efficiency",
IF(EXPIRATION&lt;&gt;"",PROJSTATEXP,"")))),
"")</f>
        <v/>
      </c>
      <c r="BZ78" s="911" t="str">
        <f>IFERROR(IF(INDEX(CLHVAC[Eff Unit 3],MATCH(C78,CLHVAC[Measure Name],0))="","",INDEX(CLHVAC[Eff Unit 3],MATCH(C78,CLHVAC[Measure Name],0))),"")</f>
        <v/>
      </c>
      <c r="CA78" s="956" t="str">
        <f>IFERROR(IF(INDEX(CLHVAC[Base Efficiency 3],MATCH(C78,CLHVAC[Measure Name],0))="","",INDEX(CLHVAC[Base Efficiency 3],MATCH(C78,CLHVAC[Measure Name],0))),"")</f>
        <v/>
      </c>
      <c r="CB78" s="913" t="str">
        <f t="shared" ref="CB78" si="123">IFERROR(IF(ISNUMBER(SEARCH("Air-Cooled Chiller",$C78)),12/N78,""),"")</f>
        <v/>
      </c>
      <c r="CC78" s="909"/>
    </row>
    <row r="79" spans="2:81" ht="15.95" customHeight="1">
      <c r="B79" s="785"/>
      <c r="C79" s="793"/>
      <c r="D79" s="795"/>
      <c r="E79" s="795"/>
      <c r="F79" s="795"/>
      <c r="G79" s="795"/>
      <c r="H79" s="795"/>
      <c r="I79" s="795"/>
      <c r="J79" s="932"/>
      <c r="K79" s="933"/>
      <c r="L79" s="928"/>
      <c r="M79" s="929"/>
      <c r="N79" s="915"/>
      <c r="O79" s="916"/>
      <c r="P79" s="934"/>
      <c r="Q79" s="935"/>
      <c r="R79" s="930"/>
      <c r="S79" s="931"/>
      <c r="T79" s="917"/>
      <c r="U79" s="918"/>
      <c r="V79" s="926"/>
      <c r="W79" s="927"/>
      <c r="X79" s="793"/>
      <c r="Y79" s="795"/>
      <c r="Z79" s="794"/>
      <c r="AA79" s="904"/>
      <c r="AB79" s="905"/>
      <c r="AC79" s="905"/>
      <c r="AD79" s="906"/>
      <c r="AE79" s="809"/>
      <c r="AF79" s="810"/>
      <c r="AG79" s="810"/>
      <c r="AH79" s="812"/>
      <c r="AI79" s="921"/>
      <c r="AJ79" s="921"/>
      <c r="AK79" s="921"/>
      <c r="AL79" s="922"/>
      <c r="AM79" s="925"/>
      <c r="AN79" s="900"/>
      <c r="AO79" s="818"/>
      <c r="AP79" s="818"/>
      <c r="AQ79" s="818"/>
      <c r="AR79" s="841"/>
      <c r="AS79" s="841"/>
      <c r="AT79" s="841"/>
      <c r="AU79" s="841"/>
      <c r="AV79" s="17"/>
      <c r="AX79" s="774"/>
      <c r="AY79" s="760"/>
      <c r="AZ79" s="760"/>
      <c r="BA79" s="920"/>
      <c r="BB79" s="920"/>
      <c r="BC79" s="774"/>
      <c r="BD79" s="758"/>
      <c r="BE79" s="776"/>
      <c r="BF79" s="776"/>
      <c r="BG79" s="762"/>
      <c r="BH79" s="776"/>
      <c r="BI79" s="776"/>
      <c r="BJ79" s="778"/>
      <c r="BK79" s="768"/>
      <c r="BL79" s="768"/>
      <c r="BM79" s="768"/>
      <c r="BN79" s="764"/>
      <c r="BO79" s="764"/>
      <c r="BP79" s="770"/>
      <c r="BQ79" s="768"/>
      <c r="BR79" s="766"/>
      <c r="BS79" s="766"/>
      <c r="BT79" s="766"/>
      <c r="BU79" s="758"/>
      <c r="BV79" s="768"/>
      <c r="BW79" s="758"/>
      <c r="BX79" s="758"/>
      <c r="BY79" s="908"/>
      <c r="BZ79" s="912"/>
      <c r="CA79" s="957"/>
      <c r="CB79" s="914"/>
      <c r="CC79" s="910"/>
    </row>
    <row r="80" spans="2:81" ht="15.95" customHeight="1">
      <c r="B80" s="785">
        <v>32</v>
      </c>
      <c r="C80" s="825"/>
      <c r="D80" s="826"/>
      <c r="E80" s="826"/>
      <c r="F80" s="826"/>
      <c r="G80" s="826"/>
      <c r="H80" s="826"/>
      <c r="I80" s="826"/>
      <c r="J80" s="936" t="str">
        <f>IF(C80="","",INDEX(CLHVAC[Eff Unit 1],MATCH(C80,CLHVAC[Measure Name],0)))</f>
        <v/>
      </c>
      <c r="K80" s="937"/>
      <c r="L80" s="938" t="str">
        <f>IF(C80="","",INDEX(CLHVAC[Base Efficiency 1],MATCH(C80,CLHVAC[Measure Name],0)))</f>
        <v/>
      </c>
      <c r="M80" s="939"/>
      <c r="N80" s="915"/>
      <c r="O80" s="916"/>
      <c r="P80" s="932" t="str">
        <f>IF(C80="","",INDEX(CLHVAC[Eff Unit 2],MATCH(C80,CLHVAC[Measure Name],0)))</f>
        <v/>
      </c>
      <c r="Q80" s="933"/>
      <c r="R80" s="928" t="str">
        <f>IF(C80="","",INDEX(CLHVAC[Base Efficiency 2],MATCH(C80,CLHVAC[Measure Name],0)))</f>
        <v/>
      </c>
      <c r="S80" s="929"/>
      <c r="T80" s="917" t="str">
        <f>IF(AND(ISNUMBER(SEARCH("DX",C80)),ISNUMBER(SEARCH("&lt;65 kbtu",C80)),N80&lt;&gt;""),1.12*N80-0.02*N80^2,IF(AND(ISNUMBER(SEARCH("PTAC",C80)),N80&lt;&gt;""),1,""))</f>
        <v/>
      </c>
      <c r="U80" s="918"/>
      <c r="V80" s="926"/>
      <c r="W80" s="927"/>
      <c r="X80" s="825"/>
      <c r="Y80" s="826"/>
      <c r="Z80" s="827"/>
      <c r="AA80" s="904"/>
      <c r="AB80" s="905"/>
      <c r="AC80" s="905"/>
      <c r="AD80" s="906"/>
      <c r="AE80" s="809"/>
      <c r="AF80" s="810"/>
      <c r="AG80" s="810"/>
      <c r="AH80" s="812"/>
      <c r="AI80" s="921" t="str">
        <f>IF(C80="","",INDEX(CLHVAC[Current Unit],MATCH(C80,CLHVAC[Measure Name],0)))</f>
        <v/>
      </c>
      <c r="AJ80" s="921"/>
      <c r="AK80" s="921"/>
      <c r="AL80" s="922"/>
      <c r="AM80" s="923" t="str">
        <f>IFERROR(IF(C80="","",INDEX(IF(AND(ACTIVEBONUS = TRUE,INDEX(CLHVAC[Bonus Incentive],MATCH(C80,CLHVAC[Measure Name],0))&lt;&gt; ""),CLHVAC[Bonus Incentive],CLHVAC[BESP Incentive]),MATCH(C80,CLHVAC[Measure Name],0))),"")</f>
        <v/>
      </c>
      <c r="AN80" s="924"/>
      <c r="AO80" s="817" t="str">
        <f>IFERROR(IF(OR(C80="",N80="",V80="",AA80="",T80="",AE80="",AG80=""),"",IF(BD80="Deemed",BH80,IF(BD80="Calculated",BE80,""))),"")</f>
        <v/>
      </c>
      <c r="AP80" s="817"/>
      <c r="AQ80" s="817"/>
      <c r="AR80" s="840" t="str">
        <f>IFERROR(IF(OR(C80="",N80="",V80="",AA80="",T80="",AE80="",AG80=""),"",IF(BY80&lt;&gt;"",BY80,IF(BP80&gt;0,BP80,ROUND(IF(AO80&lt;=0,0,MIN(BL80,BQ80)), 2)))), "")</f>
        <v/>
      </c>
      <c r="AS80" s="840"/>
      <c r="AT80" s="840"/>
      <c r="AU80" s="840"/>
      <c r="AV80" s="17"/>
      <c r="AX80" s="773" t="str">
        <f>IFERROR(IF(OR(C80="",N80="",V80="",AA80="",T80="",AE80="",AG80=""),"",INDEX(CLHVAC[Current Unit],MATCH(C80,CLHVAC[Measure Name],0))),"Err")</f>
        <v/>
      </c>
      <c r="AY80" s="759"/>
      <c r="AZ80" s="759"/>
      <c r="BA80" s="919" t="str">
        <f>IF(C80&lt;&gt;"", _xlfn.LET(
_xlpm.Tons_Cool, V80, _xlpm.PLC_Base, L80, _xlpm.Tons_Heat, CC80, _xlpm.Other_Base, R80,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(12/_xlpm.PLC_Base)*_xlpm.EFLH_Cool,
IF(ISNUMBER(SEARCH("Water", C80)),
_xlpm.Tons_Cool * (_xlpm.PLC_Base) * _xlpm.EFLH_Cool,
" "
)),4),
_xlpm.kWhHeat,
IF(
_xlpm.ElecHeat=1,
ROUND(
IF(OR(ISNUMBER(SEARCH("DX", C80)),ISNUMBER(SEARCH("PTAC", C80)), ISNUMBER(SEARCH("Air-Cooled Chiller", C80)), ISNUMBER(SEARCH("Water", C80)),
ISNUMBER(SEARCH("VRF", C80))),
0,
IF(
OR(ISNUMBER(SEARCH("ASHP", C80)), ISNUMBER(SEARCH("PTHP", C80))),
_xlpm.Tons_Heat * (1/_xlpm.Other_Base) * _xlpm.EFLH_Heat,
" "
)),4),
0
),
IFERROR(_xlpm.kWhCool + _xlpm.kWhHeat, "Measure Not Specified.")
), "")</f>
        <v/>
      </c>
      <c r="BB80" s="919" t="str">
        <f>IF(C80&lt;&gt;"", _xlfn.LET(
_xlpm.Tons_Cool, V80, _xlpm.PLC_Eff, N80, _xlpm.Tons_Heat, CC80, _xlpm.Other_Eff, T80,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(12/_xlpm.PLC_Eff)*_xlpm.EFLH_Cool,
IF(ISNUMBER(SEARCH("Water", C80)),
_xlpm.Tons_Cool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(1/_xlpm.Other_Eff) * _xlpm.EFLH_Heat,
" "
)),4),
0
),
IFERROR(_xlpm.kWhCool + _xlpm.kWhHeat, "Measure Not Specified.")
), "")</f>
        <v/>
      </c>
      <c r="BC80" s="773" t="str">
        <f>IFERROR(IF(OR(C80="",N80="",V80="",AA80="",T80="",AE80="",AG80=""),"",INDEX(CLHVAC[End Use],MATCH(C80,CLHVAC[Measure Name],0))),"Err")</f>
        <v/>
      </c>
      <c r="BD80" s="757" t="str">
        <f>IFERROR(IF(OR(C80="",N80="",V80="",AA80="",T80="",AE80="",AG80=""),"",INDEX(CLHVAC[Reporting Methodology],MATCH(C80,CLHVAC[Measure Name],0))),"Err")</f>
        <v/>
      </c>
      <c r="BE80" s="775" t="str">
        <f t="shared" si="0"/>
        <v/>
      </c>
      <c r="BF80" s="775" t="str">
        <f t="shared" ref="BF80" si="124">IF(C80&lt;&gt;"", _xlfn.LET(
_xlpm.Tons, V80, _xlpm.PCF, 0.913,
IF(OR(ISNUMBER(SEARCH("DX", C80)), ISNUMBER(SEARCH("Air-Cooled Chiller", C80)), ISNUMBER(SEARCH("VRF", C80))),
_xlpm.Tons * (12/R80 - 12/T80) * _xlpm.PCF,
IF(ISNUMBER(SEARCH("Water", C80)),
_xlpm.Tons * (R80-T80) * _xlpm.PCF,
IF(ISNUMBER(SEARCH("ASHP", C80)),
_xlpm.Tons * (12/CA80 - 12/CB80) * _xlpm.PCF,
IF(OR(ISNUMBER(SEARCH("PTAC", C80)), ISNUMBER(SEARCH("PTHP", C80))),
_xlpm.Tons * (12/L80 - 12/N80) * _xlpm.PCF,
"Measure Not Specified."))))), "")</f>
        <v/>
      </c>
      <c r="BG80" s="761"/>
      <c r="BH80" s="775" t="str">
        <f>IF(
OR(C80="",N80="",V80="",AA80="",T80="",AE80="",AG80=""),"",
IF(OR(ISNUMBER(SEARCH("PTAC",C80)),ISNUMBER(SEARCH("PTHP",C80))),
ROUND(V80*INDEX(CLHVAC[Electric Energy Savings WBE (Annual kWh/unit)],MATCH(C80,CLHVAC[Measure Name],0)),4),
ROUND(V80*ABS(N80-L80)*INDEX(CLHVAC[Electric Energy Savings WBE (Annual kWh/unit)],MATCH(C80,CLHVAC[Measure Name],0)),4)
))</f>
        <v/>
      </c>
      <c r="BI80" s="775" t="str">
        <f>IF(
OR(C80="",N80="",V80="",AA80="",T80="",AE80="",AG80=""),"",
IF(OR(ISNUMBER(SEARCH("PTAC",C80)),ISNUMBER(SEARCH("PTHP",C80))),
ROUND(V80*INDEX(CLHVAC[Coincident Peak Demand Savings WBE (kW/unit)],MATCH(C80,CLHVAC[Measure Name],0)),4),
ROUND(V80* ABS(N80-L80)*INDEX(CLHVAC[Coincident Peak Demand Savings WBE (kW/unit)],MATCH(C80,CLHVAC[Measure Name],0)),4)
))</f>
        <v/>
      </c>
      <c r="BJ80" s="777" t="str">
        <f>IFERROR(INDEX(CLHVAC[Measure Life (Years)],MATCH(C80,CLHVAC[Measure Name],0)),"")</f>
        <v/>
      </c>
      <c r="BK80" s="767" t="str">
        <f>IFERROR(IF(OR(C80="",N80="",V80="",AA80="",T80="",AE80="",AG80=""),"",
ROUND(((1+ELOSS)*((BH80*INDEX(ELECCB[NPV AEC $/kWh],MATCH(BJ80,ELECCB[Year Number],1)))+(BI80*INDEX(ELECCB[NPV ACC $/kW],MATCH(BJ80,ELECCB[Year Number],1))))),2)),0)</f>
        <v/>
      </c>
      <c r="BL80" s="767" t="str">
        <f t="shared" si="1"/>
        <v/>
      </c>
      <c r="BM80" s="767"/>
      <c r="BN80" s="763" t="str">
        <f t="shared" si="2"/>
        <v/>
      </c>
      <c r="BO80" s="763" t="str">
        <f>IFERROR(IF(BM80 &lt;&gt; "", BM80, BL80) / M02S04F06 / AO80, "")</f>
        <v/>
      </c>
      <c r="BP80" s="769"/>
      <c r="BQ80" s="767" t="str">
        <f t="shared" ref="BQ80" si="125">IFERROR(IF(AI80="per ton", ROUND(V80*AM80, 2),
IF(AND(ISNUMBER(SEARCH("Air-Cooled Chiller",C80)),AI80="$/ton/IPLV"), ROUND((12/L80-12/N80)*V80*AM80, 2),
ROUND(ABS(N80-L80)*V80*AM80, 2))), "")</f>
        <v/>
      </c>
      <c r="BR80" s="765"/>
      <c r="BS80" s="765"/>
      <c r="BT80" s="765"/>
      <c r="BU80" s="757" t="str">
        <f t="shared" ref="BU80" si="126">IFERROR(IF(BP80="",IF(AR80 &lt; BQ80, "100% Total Cost", ""), ""), "")</f>
        <v/>
      </c>
      <c r="BV80" s="767" t="str">
        <f t="shared" si="3"/>
        <v/>
      </c>
      <c r="BW80" s="757" t="str">
        <f>IFERROR(IF(OR(C80="",N80="",V80="",AA80="",T80="",AE80="",AG80=""),"", IF(BY80&lt;&gt;"", SPILLOVERNUMBER, INDEX(CLHVAC[Measure Number],MATCH(C80,CLHVAC[Measure Name],0)))),"Err")</f>
        <v/>
      </c>
      <c r="BX80" s="757"/>
      <c r="BY80" s="907" t="str">
        <f>IFERROR(
IF(OR(C80="",N80="",T80="",V80="",AA80="",AE80="",AG80=""),
"",
IF(BP80&gt;0,"",IF(OR(AND(ISNUMBER(SEARCH("kW/ton", J80)),OR(L80&lt;N80,R80&lt;T80)),AND(NOT(ISNUMBER(SEARCH("kW/ton", J80))),OR(L80&gt;N80,R80&gt;T80))),
"Must Improve Efficiency",
IF(EXPIRATION&lt;&gt;"",PROJSTATEXP,"")))),
"")</f>
        <v/>
      </c>
      <c r="BZ80" s="911" t="str">
        <f>IFERROR(IF(INDEX(CLHVAC[Eff Unit 3],MATCH(C80,CLHVAC[Measure Name],0))="","",INDEX(CLHVAC[Eff Unit 3],MATCH(C80,CLHVAC[Measure Name],0))),"")</f>
        <v/>
      </c>
      <c r="CA80" s="956" t="str">
        <f>IFERROR(IF(INDEX(CLHVAC[Base Efficiency 3],MATCH(C80,CLHVAC[Measure Name],0))="","",INDEX(CLHVAC[Base Efficiency 3],MATCH(C80,CLHVAC[Measure Name],0))),"")</f>
        <v/>
      </c>
      <c r="CB80" s="913" t="str">
        <f t="shared" ref="CB80" si="127">IFERROR(IF(ISNUMBER(SEARCH("Air-Cooled Chiller",$C80)),12/N80,""),"")</f>
        <v/>
      </c>
      <c r="CC80" s="909"/>
    </row>
    <row r="81" spans="2:81" ht="15.95" customHeight="1">
      <c r="B81" s="785"/>
      <c r="C81" s="793"/>
      <c r="D81" s="795"/>
      <c r="E81" s="795"/>
      <c r="F81" s="795"/>
      <c r="G81" s="795"/>
      <c r="H81" s="795"/>
      <c r="I81" s="795"/>
      <c r="J81" s="932"/>
      <c r="K81" s="933"/>
      <c r="L81" s="928"/>
      <c r="M81" s="929"/>
      <c r="N81" s="915"/>
      <c r="O81" s="916"/>
      <c r="P81" s="934"/>
      <c r="Q81" s="935"/>
      <c r="R81" s="930"/>
      <c r="S81" s="931"/>
      <c r="T81" s="917"/>
      <c r="U81" s="918"/>
      <c r="V81" s="926"/>
      <c r="W81" s="927"/>
      <c r="X81" s="793"/>
      <c r="Y81" s="795"/>
      <c r="Z81" s="794"/>
      <c r="AA81" s="904"/>
      <c r="AB81" s="905"/>
      <c r="AC81" s="905"/>
      <c r="AD81" s="906"/>
      <c r="AE81" s="809"/>
      <c r="AF81" s="810"/>
      <c r="AG81" s="810"/>
      <c r="AH81" s="812"/>
      <c r="AI81" s="921"/>
      <c r="AJ81" s="921"/>
      <c r="AK81" s="921"/>
      <c r="AL81" s="922"/>
      <c r="AM81" s="925"/>
      <c r="AN81" s="900"/>
      <c r="AO81" s="818"/>
      <c r="AP81" s="818"/>
      <c r="AQ81" s="818"/>
      <c r="AR81" s="841"/>
      <c r="AS81" s="841"/>
      <c r="AT81" s="841"/>
      <c r="AU81" s="841"/>
      <c r="AV81" s="17"/>
      <c r="AX81" s="774"/>
      <c r="AY81" s="760"/>
      <c r="AZ81" s="760"/>
      <c r="BA81" s="920"/>
      <c r="BB81" s="920"/>
      <c r="BC81" s="774"/>
      <c r="BD81" s="758"/>
      <c r="BE81" s="776"/>
      <c r="BF81" s="776"/>
      <c r="BG81" s="762"/>
      <c r="BH81" s="776"/>
      <c r="BI81" s="776"/>
      <c r="BJ81" s="778"/>
      <c r="BK81" s="768"/>
      <c r="BL81" s="768"/>
      <c r="BM81" s="768"/>
      <c r="BN81" s="764"/>
      <c r="BO81" s="764"/>
      <c r="BP81" s="770"/>
      <c r="BQ81" s="768"/>
      <c r="BR81" s="766"/>
      <c r="BS81" s="766"/>
      <c r="BT81" s="766"/>
      <c r="BU81" s="758"/>
      <c r="BV81" s="768"/>
      <c r="BW81" s="758"/>
      <c r="BX81" s="758"/>
      <c r="BY81" s="908"/>
      <c r="BZ81" s="912"/>
      <c r="CA81" s="957"/>
      <c r="CB81" s="914"/>
      <c r="CC81" s="910"/>
    </row>
    <row r="82" spans="2:81" ht="15.95" customHeight="1">
      <c r="B82" s="785">
        <v>33</v>
      </c>
      <c r="C82" s="825"/>
      <c r="D82" s="826"/>
      <c r="E82" s="826"/>
      <c r="F82" s="826"/>
      <c r="G82" s="826"/>
      <c r="H82" s="826"/>
      <c r="I82" s="826"/>
      <c r="J82" s="936" t="str">
        <f>IF(C82="","",INDEX(CLHVAC[Eff Unit 1],MATCH(C82,CLHVAC[Measure Name],0)))</f>
        <v/>
      </c>
      <c r="K82" s="937"/>
      <c r="L82" s="938" t="str">
        <f>IF(C82="","",INDEX(CLHVAC[Base Efficiency 1],MATCH(C82,CLHVAC[Measure Name],0)))</f>
        <v/>
      </c>
      <c r="M82" s="939"/>
      <c r="N82" s="915"/>
      <c r="O82" s="916"/>
      <c r="P82" s="932" t="str">
        <f>IF(C82="","",INDEX(CLHVAC[Eff Unit 2],MATCH(C82,CLHVAC[Measure Name],0)))</f>
        <v/>
      </c>
      <c r="Q82" s="933"/>
      <c r="R82" s="928" t="str">
        <f>IF(C82="","",INDEX(CLHVAC[Base Efficiency 2],MATCH(C82,CLHVAC[Measure Name],0)))</f>
        <v/>
      </c>
      <c r="S82" s="929"/>
      <c r="T82" s="917" t="str">
        <f>IF(AND(ISNUMBER(SEARCH("DX",C82)),ISNUMBER(SEARCH("&lt;65 kbtu",C82)),N82&lt;&gt;""),1.12*N82-0.02*N82^2,IF(AND(ISNUMBER(SEARCH("PTAC",C82)),N82&lt;&gt;""),1,""))</f>
        <v/>
      </c>
      <c r="U82" s="918"/>
      <c r="V82" s="926"/>
      <c r="W82" s="927"/>
      <c r="X82" s="825"/>
      <c r="Y82" s="826"/>
      <c r="Z82" s="827"/>
      <c r="AA82" s="904"/>
      <c r="AB82" s="905"/>
      <c r="AC82" s="905"/>
      <c r="AD82" s="906"/>
      <c r="AE82" s="809"/>
      <c r="AF82" s="810"/>
      <c r="AG82" s="810"/>
      <c r="AH82" s="812"/>
      <c r="AI82" s="921" t="str">
        <f>IF(C82="","",INDEX(CLHVAC[Current Unit],MATCH(C82,CLHVAC[Measure Name],0)))</f>
        <v/>
      </c>
      <c r="AJ82" s="921"/>
      <c r="AK82" s="921"/>
      <c r="AL82" s="922"/>
      <c r="AM82" s="923" t="str">
        <f>IFERROR(IF(C82="","",INDEX(IF(AND(ACTIVEBONUS = TRUE,INDEX(CLHVAC[Bonus Incentive],MATCH(C82,CLHVAC[Measure Name],0))&lt;&gt; ""),CLHVAC[Bonus Incentive],CLHVAC[BESP Incentive]),MATCH(C82,CLHVAC[Measure Name],0))),"")</f>
        <v/>
      </c>
      <c r="AN82" s="924"/>
      <c r="AO82" s="817" t="str">
        <f>IFERROR(IF(OR(C82="",N82="",V82="",AA82="",T82="",AE82="",AG82=""),"",IF(BD82="Deemed",BH82,IF(BD82="Calculated",BE82,""))),"")</f>
        <v/>
      </c>
      <c r="AP82" s="817"/>
      <c r="AQ82" s="817"/>
      <c r="AR82" s="840" t="str">
        <f>IFERROR(IF(OR(C82="",N82="",V82="",AA82="",T82="",AE82="",AG82=""),"",IF(BY82&lt;&gt;"",BY82,IF(BP82&gt;0,BP82,ROUND(IF(AO82&lt;=0,0,MIN(BL82,BQ82)), 2)))), "")</f>
        <v/>
      </c>
      <c r="AS82" s="840"/>
      <c r="AT82" s="840"/>
      <c r="AU82" s="840"/>
      <c r="AV82" s="17"/>
      <c r="AX82" s="773" t="str">
        <f>IFERROR(IF(OR(C82="",N82="",V82="",AA82="",T82="",AE82="",AG82=""),"",INDEX(CLHVAC[Current Unit],MATCH(C82,CLHVAC[Measure Name],0))),"Err")</f>
        <v/>
      </c>
      <c r="AY82" s="759"/>
      <c r="AZ82" s="759"/>
      <c r="BA82" s="919" t="str">
        <f>IF(C82&lt;&gt;"", _xlfn.LET(
_xlpm.Tons_Cool, V82, _xlpm.PLC_Base, L82, _xlpm.Tons_Heat, CC82, _xlpm.Other_Base, R82,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(12/_xlpm.PLC_Base)*_xlpm.EFLH_Cool,
IF(ISNUMBER(SEARCH("Water", C82)),
_xlpm.Tons_Cool * (_xlpm.PLC_Base) * _xlpm.EFLH_Cool,
" "
)),4),
_xlpm.kWhHeat,
IF(
_xlpm.ElecHeat=1,
ROUND(
IF(OR(ISNUMBER(SEARCH("DX", C82)),ISNUMBER(SEARCH("PTAC", C82)), ISNUMBER(SEARCH("Air-Cooled Chiller", C82)), ISNUMBER(SEARCH("Water", C82)),
ISNUMBER(SEARCH("VRF", C82))),
0,
IF(
OR(ISNUMBER(SEARCH("ASHP", C82)), ISNUMBER(SEARCH("PTHP", C82))),
_xlpm.Tons_Heat * (1/_xlpm.Other_Base) * _xlpm.EFLH_Heat,
" "
)),4),
0
),
IFERROR(_xlpm.kWhCool + _xlpm.kWhHeat, "Measure Not Specified.")
), "")</f>
        <v/>
      </c>
      <c r="BB82" s="919" t="str">
        <f>IF(C82&lt;&gt;"", _xlfn.LET(
_xlpm.Tons_Cool, V82, _xlpm.PLC_Eff, N82, _xlpm.Tons_Heat, CC82, _xlpm.Other_Eff, T82,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(12/_xlpm.PLC_Eff)*_xlpm.EFLH_Cool,
IF(ISNUMBER(SEARCH("Water", C82)),
_xlpm.Tons_Cool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(1/_xlpm.Other_Eff) * _xlpm.EFLH_Heat,
" "
)),4),
0
),
IFERROR(_xlpm.kWhCool + _xlpm.kWhHeat, "Measure Not Specified.")
), "")</f>
        <v/>
      </c>
      <c r="BC82" s="773" t="str">
        <f>IFERROR(IF(OR(C82="",N82="",V82="",AA82="",T82="",AE82="",AG82=""),"",INDEX(CLHVAC[End Use],MATCH(C82,CLHVAC[Measure Name],0))),"Err")</f>
        <v/>
      </c>
      <c r="BD82" s="757" t="str">
        <f>IFERROR(IF(OR(C82="",N82="",V82="",AA82="",T82="",AE82="",AG82=""),"",INDEX(CLHVAC[Reporting Methodology],MATCH(C82,CLHVAC[Measure Name],0))),"Err")</f>
        <v/>
      </c>
      <c r="BE82" s="775" t="str">
        <f t="shared" ref="BE82:BE86" si="128">IF(AND(BA82&lt;&gt;"", BB82&lt;&gt;""), BA82-BB82, "")</f>
        <v/>
      </c>
      <c r="BF82" s="775" t="str">
        <f t="shared" ref="BF82" si="129">IF(C82&lt;&gt;"", _xlfn.LET(
_xlpm.Tons, V82, _xlpm.PCF, 0.913,
IF(OR(ISNUMBER(SEARCH("DX", C82)), ISNUMBER(SEARCH("Air-Cooled Chiller", C82)), ISNUMBER(SEARCH("VRF", C82))),
_xlpm.Tons * (12/R82 - 12/T82) * _xlpm.PCF,
IF(ISNUMBER(SEARCH("Water", C82)),
_xlpm.Tons * (R82-T82) * _xlpm.PCF,
IF(ISNUMBER(SEARCH("ASHP", C82)),
_xlpm.Tons * (12/CA82 - 12/CB82) * _xlpm.PCF,
IF(OR(ISNUMBER(SEARCH("PTAC", C82)), ISNUMBER(SEARCH("PTHP", C82))),
_xlpm.Tons * (12/L82 - 12/N82) * _xlpm.PCF,
"Measure Not Specified."))))), "")</f>
        <v/>
      </c>
      <c r="BG82" s="761"/>
      <c r="BH82" s="775" t="str">
        <f>IF(
OR(C82="",N82="",V82="",AA82="",T82="",AE82="",AG82=""),"",
IF(OR(ISNUMBER(SEARCH("PTAC",C82)),ISNUMBER(SEARCH("PTHP",C82))),
ROUND(V82*INDEX(CLHVAC[Electric Energy Savings WBE (Annual kWh/unit)],MATCH(C82,CLHVAC[Measure Name],0)),4),
ROUND(V82*ABS(N82-L82)*INDEX(CLHVAC[Electric Energy Savings WBE (Annual kWh/unit)],MATCH(C82,CLHVAC[Measure Name],0)),4)
))</f>
        <v/>
      </c>
      <c r="BI82" s="775" t="str">
        <f>IF(
OR(C82="",N82="",V82="",AA82="",T82="",AE82="",AG82=""),"",
IF(OR(ISNUMBER(SEARCH("PTAC",C82)),ISNUMBER(SEARCH("PTHP",C82))),
ROUND(V82*INDEX(CLHVAC[Coincident Peak Demand Savings WBE (kW/unit)],MATCH(C82,CLHVAC[Measure Name],0)),4),
ROUND(V82* ABS(N82-L82)*INDEX(CLHVAC[Coincident Peak Demand Savings WBE (kW/unit)],MATCH(C82,CLHVAC[Measure Name],0)),4)
))</f>
        <v/>
      </c>
      <c r="BJ82" s="777" t="str">
        <f>IFERROR(INDEX(CLHVAC[Measure Life (Years)],MATCH(C82,CLHVAC[Measure Name],0)),"")</f>
        <v/>
      </c>
      <c r="BK82" s="767" t="str">
        <f>IFERROR(IF(OR(C82="",N82="",V82="",AA82="",T82="",AE82="",AG82=""),"",
ROUND(((1+ELOSS)*((BH82*INDEX(ELECCB[NPV AEC $/kWh],MATCH(BJ82,ELECCB[Year Number],1)))+(BI82*INDEX(ELECCB[NPV ACC $/kW],MATCH(BJ82,ELECCB[Year Number],1))))),2)),0)</f>
        <v/>
      </c>
      <c r="BL82" s="767" t="str">
        <f t="shared" ref="BL82:BL86" si="130">IF(OR(AE82="", AG82=""), "", AE82+AG82)</f>
        <v/>
      </c>
      <c r="BM82" s="767"/>
      <c r="BN82" s="763" t="str">
        <f t="shared" ref="BN82:BN86" si="131">IFERROR( BK82 / IF(BM82 &lt;&gt; "", BM82, BL82), "")</f>
        <v/>
      </c>
      <c r="BO82" s="763" t="str">
        <f>IFERROR(IF(BM82 &lt;&gt; "", BM82, BL82) / M02S04F06 / AO82, "")</f>
        <v/>
      </c>
      <c r="BP82" s="769"/>
      <c r="BQ82" s="767" t="str">
        <f t="shared" ref="BQ82" si="132">IFERROR(IF(AI82="per ton", ROUND(V82*AM82, 2),
IF(AND(ISNUMBER(SEARCH("Air-Cooled Chiller",C82)),AI82="$/ton/IPLV"), ROUND((12/L82-12/N82)*V82*AM82, 2),
ROUND(ABS(N82-L82)*V82*AM82, 2))), "")</f>
        <v/>
      </c>
      <c r="BR82" s="765"/>
      <c r="BS82" s="765"/>
      <c r="BT82" s="765"/>
      <c r="BU82" s="757" t="str">
        <f t="shared" ref="BU82" si="133">IFERROR(IF(BP82="",IF(AR82 &lt; BQ82, "100% Total Cost", ""), ""), "")</f>
        <v/>
      </c>
      <c r="BV82" s="767" t="str">
        <f t="shared" ref="BV82:BV86" si="134">IF(OR(AO82="", AR82=""), "", AR82/AO82)</f>
        <v/>
      </c>
      <c r="BW82" s="757" t="str">
        <f>IFERROR(IF(OR(C82="",N82="",V82="",AA82="",T82="",AE82="",AG82=""),"", IF(BY82&lt;&gt;"", SPILLOVERNUMBER, INDEX(CLHVAC[Measure Number],MATCH(C82,CLHVAC[Measure Name],0)))),"Err")</f>
        <v/>
      </c>
      <c r="BX82" s="757"/>
      <c r="BY82" s="907" t="str">
        <f>IFERROR(
IF(OR(C82="",N82="",T82="",V82="",AA82="",AE82="",AG82=""),
"",
IF(BP82&gt;0,"",IF(OR(AND(ISNUMBER(SEARCH("kW/ton", J82)),OR(L82&lt;N82,R82&lt;T82)),AND(NOT(ISNUMBER(SEARCH("kW/ton", J82))),OR(L82&gt;N82,R82&gt;T82))),
"Must Improve Efficiency",
IF(EXPIRATION&lt;&gt;"",PROJSTATEXP,"")))),
"")</f>
        <v/>
      </c>
      <c r="BZ82" s="911" t="str">
        <f>IFERROR(IF(INDEX(CLHVAC[Eff Unit 3],MATCH(C82,CLHVAC[Measure Name],0))="","",INDEX(CLHVAC[Eff Unit 3],MATCH(C82,CLHVAC[Measure Name],0))),"")</f>
        <v/>
      </c>
      <c r="CA82" s="956" t="str">
        <f>IFERROR(IF(INDEX(CLHVAC[Base Efficiency 3],MATCH(C82,CLHVAC[Measure Name],0))="","",INDEX(CLHVAC[Base Efficiency 3],MATCH(C82,CLHVAC[Measure Name],0))),"")</f>
        <v/>
      </c>
      <c r="CB82" s="913" t="str">
        <f t="shared" ref="CB82" si="135">IFERROR(IF(ISNUMBER(SEARCH("Air-Cooled Chiller",$C82)),12/N82,""),"")</f>
        <v/>
      </c>
      <c r="CC82" s="909"/>
    </row>
    <row r="83" spans="2:81" ht="15.95" customHeight="1">
      <c r="B83" s="785"/>
      <c r="C83" s="793"/>
      <c r="D83" s="795"/>
      <c r="E83" s="795"/>
      <c r="F83" s="795"/>
      <c r="G83" s="795"/>
      <c r="H83" s="795"/>
      <c r="I83" s="795"/>
      <c r="J83" s="932"/>
      <c r="K83" s="933"/>
      <c r="L83" s="928"/>
      <c r="M83" s="929"/>
      <c r="N83" s="915"/>
      <c r="O83" s="916"/>
      <c r="P83" s="934"/>
      <c r="Q83" s="935"/>
      <c r="R83" s="930"/>
      <c r="S83" s="931"/>
      <c r="T83" s="917"/>
      <c r="U83" s="918"/>
      <c r="V83" s="926"/>
      <c r="W83" s="927"/>
      <c r="X83" s="793"/>
      <c r="Y83" s="795"/>
      <c r="Z83" s="794"/>
      <c r="AA83" s="904"/>
      <c r="AB83" s="905"/>
      <c r="AC83" s="905"/>
      <c r="AD83" s="906"/>
      <c r="AE83" s="809"/>
      <c r="AF83" s="810"/>
      <c r="AG83" s="810"/>
      <c r="AH83" s="812"/>
      <c r="AI83" s="921"/>
      <c r="AJ83" s="921"/>
      <c r="AK83" s="921"/>
      <c r="AL83" s="922"/>
      <c r="AM83" s="925"/>
      <c r="AN83" s="900"/>
      <c r="AO83" s="818"/>
      <c r="AP83" s="818"/>
      <c r="AQ83" s="818"/>
      <c r="AR83" s="841"/>
      <c r="AS83" s="841"/>
      <c r="AT83" s="841"/>
      <c r="AU83" s="841"/>
      <c r="AV83" s="17"/>
      <c r="AX83" s="774"/>
      <c r="AY83" s="760"/>
      <c r="AZ83" s="760"/>
      <c r="BA83" s="920"/>
      <c r="BB83" s="920"/>
      <c r="BC83" s="774"/>
      <c r="BD83" s="758"/>
      <c r="BE83" s="776"/>
      <c r="BF83" s="776"/>
      <c r="BG83" s="762"/>
      <c r="BH83" s="776"/>
      <c r="BI83" s="776"/>
      <c r="BJ83" s="778"/>
      <c r="BK83" s="768"/>
      <c r="BL83" s="768"/>
      <c r="BM83" s="768"/>
      <c r="BN83" s="764"/>
      <c r="BO83" s="764"/>
      <c r="BP83" s="770"/>
      <c r="BQ83" s="768"/>
      <c r="BR83" s="766"/>
      <c r="BS83" s="766"/>
      <c r="BT83" s="766"/>
      <c r="BU83" s="758"/>
      <c r="BV83" s="768"/>
      <c r="BW83" s="758"/>
      <c r="BX83" s="758"/>
      <c r="BY83" s="908"/>
      <c r="BZ83" s="912"/>
      <c r="CA83" s="957"/>
      <c r="CB83" s="914"/>
      <c r="CC83" s="910"/>
    </row>
    <row r="84" spans="2:81" ht="15.95" customHeight="1">
      <c r="B84" s="785">
        <v>34</v>
      </c>
      <c r="C84" s="825"/>
      <c r="D84" s="826"/>
      <c r="E84" s="826"/>
      <c r="F84" s="826"/>
      <c r="G84" s="826"/>
      <c r="H84" s="826"/>
      <c r="I84" s="826"/>
      <c r="J84" s="936" t="str">
        <f>IF(C84="","",INDEX(CLHVAC[Eff Unit 1],MATCH(C84,CLHVAC[Measure Name],0)))</f>
        <v/>
      </c>
      <c r="K84" s="937"/>
      <c r="L84" s="938" t="str">
        <f>IF(C84="","",INDEX(CLHVAC[Base Efficiency 1],MATCH(C84,CLHVAC[Measure Name],0)))</f>
        <v/>
      </c>
      <c r="M84" s="939"/>
      <c r="N84" s="915"/>
      <c r="O84" s="916"/>
      <c r="P84" s="932" t="str">
        <f>IF(C84="","",INDEX(CLHVAC[Eff Unit 2],MATCH(C84,CLHVAC[Measure Name],0)))</f>
        <v/>
      </c>
      <c r="Q84" s="933"/>
      <c r="R84" s="928" t="str">
        <f>IF(C84="","",INDEX(CLHVAC[Base Efficiency 2],MATCH(C84,CLHVAC[Measure Name],0)))</f>
        <v/>
      </c>
      <c r="S84" s="929"/>
      <c r="T84" s="917" t="str">
        <f>IF(AND(ISNUMBER(SEARCH("DX",C84)),ISNUMBER(SEARCH("&lt;65 kbtu",C84)),N84&lt;&gt;""),1.12*N84-0.02*N84^2,IF(AND(ISNUMBER(SEARCH("PTAC",C84)),N84&lt;&gt;""),1,""))</f>
        <v/>
      </c>
      <c r="U84" s="918"/>
      <c r="V84" s="926"/>
      <c r="W84" s="927"/>
      <c r="X84" s="825"/>
      <c r="Y84" s="826"/>
      <c r="Z84" s="827"/>
      <c r="AA84" s="904"/>
      <c r="AB84" s="905"/>
      <c r="AC84" s="905"/>
      <c r="AD84" s="906"/>
      <c r="AE84" s="809"/>
      <c r="AF84" s="810"/>
      <c r="AG84" s="810"/>
      <c r="AH84" s="812"/>
      <c r="AI84" s="921" t="str">
        <f>IF(C84="","",INDEX(CLHVAC[Current Unit],MATCH(C84,CLHVAC[Measure Name],0)))</f>
        <v/>
      </c>
      <c r="AJ84" s="921"/>
      <c r="AK84" s="921"/>
      <c r="AL84" s="922"/>
      <c r="AM84" s="923" t="str">
        <f>IFERROR(IF(C84="","",INDEX(IF(AND(ACTIVEBONUS = TRUE,INDEX(CLHVAC[Bonus Incentive],MATCH(C84,CLHVAC[Measure Name],0))&lt;&gt; ""),CLHVAC[Bonus Incentive],CLHVAC[BESP Incentive]),MATCH(C84,CLHVAC[Measure Name],0))),"")</f>
        <v/>
      </c>
      <c r="AN84" s="924"/>
      <c r="AO84" s="817" t="str">
        <f>IFERROR(IF(OR(C84="",N84="",V84="",AA84="",T84="",AE84="",AG84=""),"",IF(BD84="Deemed",BH84,IF(BD84="Calculated",BE84,""))),"")</f>
        <v/>
      </c>
      <c r="AP84" s="817"/>
      <c r="AQ84" s="817"/>
      <c r="AR84" s="840" t="str">
        <f>IFERROR(IF(OR(C84="",N84="",V84="",AA84="",T84="",AE84="",AG84=""),"",IF(BY84&lt;&gt;"",BY84,IF(BP84&gt;0,BP84,ROUND(IF(AO84&lt;=0,0,MIN(BL84,BQ84)), 2)))), "")</f>
        <v/>
      </c>
      <c r="AS84" s="840"/>
      <c r="AT84" s="840"/>
      <c r="AU84" s="840"/>
      <c r="AV84" s="17"/>
      <c r="AX84" s="773" t="str">
        <f>IFERROR(IF(OR(C84="",N84="",V84="",AA84="",T84="",AE84="",AG84=""),"",INDEX(CLHVAC[Current Unit],MATCH(C84,CLHVAC[Measure Name],0))),"Err")</f>
        <v/>
      </c>
      <c r="AY84" s="759"/>
      <c r="AZ84" s="759"/>
      <c r="BA84" s="919" t="str">
        <f>IF(C84&lt;&gt;"", _xlfn.LET(
_xlpm.Tons_Cool, V84, _xlpm.PLC_Base, L84, _xlpm.Tons_Heat, CC84, _xlpm.Other_Base, R84,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(12/_xlpm.PLC_Base)*_xlpm.EFLH_Cool,
IF(ISNUMBER(SEARCH("Water", C84)),
_xlpm.Tons_Cool * (_xlpm.PLC_Base) * _xlpm.EFLH_Cool,
" "
)),4),
_xlpm.kWhHeat,
IF(
_xlpm.ElecHeat=1,
ROUND(
IF(OR(ISNUMBER(SEARCH("DX", C84)),ISNUMBER(SEARCH("PTAC", C84)), ISNUMBER(SEARCH("Air-Cooled Chiller", C84)), ISNUMBER(SEARCH("Water", C84)),
ISNUMBER(SEARCH("VRF", C84))),
0,
IF(
OR(ISNUMBER(SEARCH("ASHP", C84)), ISNUMBER(SEARCH("PTHP", C84))),
_xlpm.Tons_Heat * (1/_xlpm.Other_Base) * _xlpm.EFLH_Heat,
" "
)),4),
0
),
IFERROR(_xlpm.kWhCool + _xlpm.kWhHeat, "Measure Not Specified.")
), "")</f>
        <v/>
      </c>
      <c r="BB84" s="919" t="str">
        <f>IF(C84&lt;&gt;"", _xlfn.LET(
_xlpm.Tons_Cool, V84, _xlpm.PLC_Eff, N84, _xlpm.Tons_Heat, CC84, _xlpm.Other_Eff, T84,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(12/_xlpm.PLC_Eff)*_xlpm.EFLH_Cool,
IF(ISNUMBER(SEARCH("Water", C84)),
_xlpm.Tons_Cool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(1/_xlpm.Other_Eff) * _xlpm.EFLH_Heat,
" "
)),4),
0
),
IFERROR(_xlpm.kWhCool + _xlpm.kWhHeat, "Measure Not Specified.")
), "")</f>
        <v/>
      </c>
      <c r="BC84" s="773" t="str">
        <f>IFERROR(IF(OR(C84="",N84="",V84="",AA84="",T84="",AE84="",AG84=""),"",INDEX(CLHVAC[End Use],MATCH(C84,CLHVAC[Measure Name],0))),"Err")</f>
        <v/>
      </c>
      <c r="BD84" s="757" t="str">
        <f>IFERROR(IF(OR(C84="",N84="",V84="",AA84="",T84="",AE84="",AG84=""),"",INDEX(CLHVAC[Reporting Methodology],MATCH(C84,CLHVAC[Measure Name],0))),"Err")</f>
        <v/>
      </c>
      <c r="BE84" s="775" t="str">
        <f t="shared" si="128"/>
        <v/>
      </c>
      <c r="BF84" s="775" t="str">
        <f t="shared" ref="BF84" si="136">IF(C84&lt;&gt;"", _xlfn.LET(
_xlpm.Tons, V84, _xlpm.PCF, 0.913,
IF(OR(ISNUMBER(SEARCH("DX", C84)), ISNUMBER(SEARCH("Air-Cooled Chiller", C84)), ISNUMBER(SEARCH("VRF", C84))),
_xlpm.Tons * (12/R84 - 12/T84) * _xlpm.PCF,
IF(ISNUMBER(SEARCH("Water", C84)),
_xlpm.Tons * (R84-T84) * _xlpm.PCF,
IF(ISNUMBER(SEARCH("ASHP", C84)),
_xlpm.Tons * (12/CA84 - 12/CB84) * _xlpm.PCF,
IF(OR(ISNUMBER(SEARCH("PTAC", C84)), ISNUMBER(SEARCH("PTHP", C84))),
_xlpm.Tons * (12/L84 - 12/N84) * _xlpm.PCF,
"Measure Not Specified."))))), "")</f>
        <v/>
      </c>
      <c r="BG84" s="761"/>
      <c r="BH84" s="775" t="str">
        <f>IF(
OR(C84="",N84="",V84="",AA84="",T84="",AE84="",AG84=""),"",
IF(OR(ISNUMBER(SEARCH("PTAC",C84)),ISNUMBER(SEARCH("PTHP",C84))),
ROUND(V84*INDEX(CLHVAC[Electric Energy Savings WBE (Annual kWh/unit)],MATCH(C84,CLHVAC[Measure Name],0)),4),
ROUND(V84*ABS(N84-L84)*INDEX(CLHVAC[Electric Energy Savings WBE (Annual kWh/unit)],MATCH(C84,CLHVAC[Measure Name],0)),4)
))</f>
        <v/>
      </c>
      <c r="BI84" s="775" t="str">
        <f>IF(
OR(C84="",N84="",V84="",AA84="",T84="",AE84="",AG84=""),"",
IF(OR(ISNUMBER(SEARCH("PTAC",C84)),ISNUMBER(SEARCH("PTHP",C84))),
ROUND(V84*INDEX(CLHVAC[Coincident Peak Demand Savings WBE (kW/unit)],MATCH(C84,CLHVAC[Measure Name],0)),4),
ROUND(V84* ABS(N84-L84)*INDEX(CLHVAC[Coincident Peak Demand Savings WBE (kW/unit)],MATCH(C84,CLHVAC[Measure Name],0)),4)
))</f>
        <v/>
      </c>
      <c r="BJ84" s="777" t="str">
        <f>IFERROR(INDEX(CLHVAC[Measure Life (Years)],MATCH(C84,CLHVAC[Measure Name],0)),"")</f>
        <v/>
      </c>
      <c r="BK84" s="767" t="str">
        <f>IFERROR(IF(OR(C84="",N84="",V84="",AA84="",T84="",AE84="",AG84=""),"",
ROUND(((1+ELOSS)*((BH84*INDEX(ELECCB[NPV AEC $/kWh],MATCH(BJ84,ELECCB[Year Number],1)))+(BI84*INDEX(ELECCB[NPV ACC $/kW],MATCH(BJ84,ELECCB[Year Number],1))))),2)),0)</f>
        <v/>
      </c>
      <c r="BL84" s="767" t="str">
        <f t="shared" si="130"/>
        <v/>
      </c>
      <c r="BM84" s="767"/>
      <c r="BN84" s="763" t="str">
        <f t="shared" si="131"/>
        <v/>
      </c>
      <c r="BO84" s="763" t="str">
        <f>IFERROR(IF(BM84 &lt;&gt; "", BM84, BL84) / M02S04F06 / AO84, "")</f>
        <v/>
      </c>
      <c r="BP84" s="769"/>
      <c r="BQ84" s="767" t="str">
        <f t="shared" ref="BQ84" si="137">IFERROR(IF(AI84="per ton", ROUND(V84*AM84, 2),
IF(AND(ISNUMBER(SEARCH("Air-Cooled Chiller",C84)),AI84="$/ton/IPLV"), ROUND((12/L84-12/N84)*V84*AM84, 2),
ROUND(ABS(N84-L84)*V84*AM84, 2))), "")</f>
        <v/>
      </c>
      <c r="BR84" s="765"/>
      <c r="BS84" s="765"/>
      <c r="BT84" s="765"/>
      <c r="BU84" s="757" t="str">
        <f t="shared" ref="BU84" si="138">IFERROR(IF(BP84="",IF(AR84 &lt; BQ84, "100% Total Cost", ""), ""), "")</f>
        <v/>
      </c>
      <c r="BV84" s="767" t="str">
        <f t="shared" si="134"/>
        <v/>
      </c>
      <c r="BW84" s="757" t="str">
        <f>IFERROR(IF(OR(C84="",N84="",V84="",AA84="",T84="",AE84="",AG84=""),"", IF(BY84&lt;&gt;"", SPILLOVERNUMBER, INDEX(CLHVAC[Measure Number],MATCH(C84,CLHVAC[Measure Name],0)))),"Err")</f>
        <v/>
      </c>
      <c r="BX84" s="757"/>
      <c r="BY84" s="907" t="str">
        <f>IFERROR(
IF(OR(C84="",N84="",T84="",V84="",AA84="",AE84="",AG84=""),
"",
IF(BP84&gt;0,"",IF(OR(AND(ISNUMBER(SEARCH("kW/ton", J84)),OR(L84&lt;N84,R84&lt;T84)),AND(NOT(ISNUMBER(SEARCH("kW/ton", J84))),OR(L84&gt;N84,R84&gt;T84))),
"Must Improve Efficiency",
IF(EXPIRATION&lt;&gt;"",PROJSTATEXP,"")))),
"")</f>
        <v/>
      </c>
      <c r="BZ84" s="911" t="str">
        <f>IFERROR(IF(INDEX(CLHVAC[Eff Unit 3],MATCH(C84,CLHVAC[Measure Name],0))="","",INDEX(CLHVAC[Eff Unit 3],MATCH(C84,CLHVAC[Measure Name],0))),"")</f>
        <v/>
      </c>
      <c r="CA84" s="956" t="str">
        <f>IFERROR(IF(INDEX(CLHVAC[Base Efficiency 3],MATCH(C84,CLHVAC[Measure Name],0))="","",INDEX(CLHVAC[Base Efficiency 3],MATCH(C84,CLHVAC[Measure Name],0))),"")</f>
        <v/>
      </c>
      <c r="CB84" s="913" t="str">
        <f t="shared" ref="CB84" si="139">IFERROR(IF(ISNUMBER(SEARCH("Air-Cooled Chiller",$C84)),12/N84,""),"")</f>
        <v/>
      </c>
      <c r="CC84" s="909"/>
    </row>
    <row r="85" spans="2:81" ht="15.95" customHeight="1">
      <c r="B85" s="785"/>
      <c r="C85" s="793"/>
      <c r="D85" s="795"/>
      <c r="E85" s="795"/>
      <c r="F85" s="795"/>
      <c r="G85" s="795"/>
      <c r="H85" s="795"/>
      <c r="I85" s="795"/>
      <c r="J85" s="932"/>
      <c r="K85" s="933"/>
      <c r="L85" s="928"/>
      <c r="M85" s="929"/>
      <c r="N85" s="915"/>
      <c r="O85" s="916"/>
      <c r="P85" s="934"/>
      <c r="Q85" s="935"/>
      <c r="R85" s="930"/>
      <c r="S85" s="931"/>
      <c r="T85" s="917"/>
      <c r="U85" s="918"/>
      <c r="V85" s="926"/>
      <c r="W85" s="927"/>
      <c r="X85" s="793"/>
      <c r="Y85" s="795"/>
      <c r="Z85" s="794"/>
      <c r="AA85" s="904"/>
      <c r="AB85" s="905"/>
      <c r="AC85" s="905"/>
      <c r="AD85" s="906"/>
      <c r="AE85" s="809"/>
      <c r="AF85" s="810"/>
      <c r="AG85" s="810"/>
      <c r="AH85" s="812"/>
      <c r="AI85" s="921"/>
      <c r="AJ85" s="921"/>
      <c r="AK85" s="921"/>
      <c r="AL85" s="922"/>
      <c r="AM85" s="925"/>
      <c r="AN85" s="900"/>
      <c r="AO85" s="818"/>
      <c r="AP85" s="818"/>
      <c r="AQ85" s="818"/>
      <c r="AR85" s="841"/>
      <c r="AS85" s="841"/>
      <c r="AT85" s="841"/>
      <c r="AU85" s="841"/>
      <c r="AV85" s="17"/>
      <c r="AX85" s="774"/>
      <c r="AY85" s="760"/>
      <c r="AZ85" s="760"/>
      <c r="BA85" s="920"/>
      <c r="BB85" s="920"/>
      <c r="BC85" s="774"/>
      <c r="BD85" s="758"/>
      <c r="BE85" s="776"/>
      <c r="BF85" s="776"/>
      <c r="BG85" s="762"/>
      <c r="BH85" s="776"/>
      <c r="BI85" s="776"/>
      <c r="BJ85" s="778"/>
      <c r="BK85" s="768"/>
      <c r="BL85" s="768"/>
      <c r="BM85" s="768"/>
      <c r="BN85" s="764"/>
      <c r="BO85" s="764"/>
      <c r="BP85" s="770"/>
      <c r="BQ85" s="768"/>
      <c r="BR85" s="766"/>
      <c r="BS85" s="766"/>
      <c r="BT85" s="766"/>
      <c r="BU85" s="758"/>
      <c r="BV85" s="768"/>
      <c r="BW85" s="758"/>
      <c r="BX85" s="758"/>
      <c r="BY85" s="908"/>
      <c r="BZ85" s="912"/>
      <c r="CA85" s="957"/>
      <c r="CB85" s="914"/>
      <c r="CC85" s="910"/>
    </row>
    <row r="86" spans="2:81" ht="15.95" customHeight="1">
      <c r="B86" s="785">
        <v>35</v>
      </c>
      <c r="C86" s="825"/>
      <c r="D86" s="826"/>
      <c r="E86" s="826"/>
      <c r="F86" s="826"/>
      <c r="G86" s="826"/>
      <c r="H86" s="826"/>
      <c r="I86" s="826"/>
      <c r="J86" s="936" t="str">
        <f>IF(C86="","",INDEX(CLHVAC[Eff Unit 1],MATCH(C86,CLHVAC[Measure Name],0)))</f>
        <v/>
      </c>
      <c r="K86" s="937"/>
      <c r="L86" s="938" t="str">
        <f>IF(C86="","",INDEX(CLHVAC[Base Efficiency 1],MATCH(C86,CLHVAC[Measure Name],0)))</f>
        <v/>
      </c>
      <c r="M86" s="939"/>
      <c r="N86" s="915"/>
      <c r="O86" s="916"/>
      <c r="P86" s="932" t="str">
        <f>IF(C86="","",INDEX(CLHVAC[Eff Unit 2],MATCH(C86,CLHVAC[Measure Name],0)))</f>
        <v/>
      </c>
      <c r="Q86" s="933"/>
      <c r="R86" s="928" t="str">
        <f>IF(C86="","",INDEX(CLHVAC[Base Efficiency 2],MATCH(C86,CLHVAC[Measure Name],0)))</f>
        <v/>
      </c>
      <c r="S86" s="929"/>
      <c r="T86" s="917" t="str">
        <f>IF(AND(ISNUMBER(SEARCH("DX",C86)),ISNUMBER(SEARCH("&lt;65 kbtu",C86)),N86&lt;&gt;""),1.12*N86-0.02*N86^2,IF(AND(ISNUMBER(SEARCH("PTAC",C86)),N86&lt;&gt;""),1,""))</f>
        <v/>
      </c>
      <c r="U86" s="918"/>
      <c r="V86" s="926"/>
      <c r="W86" s="927"/>
      <c r="X86" s="825"/>
      <c r="Y86" s="826"/>
      <c r="Z86" s="827"/>
      <c r="AA86" s="904"/>
      <c r="AB86" s="905"/>
      <c r="AC86" s="905"/>
      <c r="AD86" s="906"/>
      <c r="AE86" s="809"/>
      <c r="AF86" s="810"/>
      <c r="AG86" s="810"/>
      <c r="AH86" s="812"/>
      <c r="AI86" s="921" t="str">
        <f>IF(C86="","",INDEX(CLHVAC[Current Unit],MATCH(C86,CLHVAC[Measure Name],0)))</f>
        <v/>
      </c>
      <c r="AJ86" s="921"/>
      <c r="AK86" s="921"/>
      <c r="AL86" s="922"/>
      <c r="AM86" s="923" t="str">
        <f>IFERROR(IF(C86="","",INDEX(IF(AND(ACTIVEBONUS = TRUE,INDEX(CLHVAC[Bonus Incentive],MATCH(C86,CLHVAC[Measure Name],0))&lt;&gt; ""),CLHVAC[Bonus Incentive],CLHVAC[BESP Incentive]),MATCH(C86,CLHVAC[Measure Name],0))),"")</f>
        <v/>
      </c>
      <c r="AN86" s="924"/>
      <c r="AO86" s="817" t="str">
        <f>IFERROR(IF(OR(C86="",N86="",V86="",AA86="",T86="",AE86="",AG86=""),"",IF(BD86="Deemed",BH86,IF(BD86="Calculated",BE86,""))),"")</f>
        <v/>
      </c>
      <c r="AP86" s="817"/>
      <c r="AQ86" s="817"/>
      <c r="AR86" s="840" t="str">
        <f>IFERROR(IF(OR(C86="",N86="",V86="",AA86="",T86="",AE86="",AG86=""),"",IF(BY86&lt;&gt;"",BY86,IF(BP86&gt;0,BP86,ROUND(IF(AO86&lt;=0,0,MIN(BL86,BQ86)), 2)))), "")</f>
        <v/>
      </c>
      <c r="AS86" s="840"/>
      <c r="AT86" s="840"/>
      <c r="AU86" s="840"/>
      <c r="AV86" s="17"/>
      <c r="AX86" s="773" t="str">
        <f>IFERROR(IF(OR(C86="",N86="",V86="",AA86="",T86="",AE86="",AG86=""),"",INDEX(CLHVAC[Current Unit],MATCH(C86,CLHVAC[Measure Name],0))),"Err")</f>
        <v/>
      </c>
      <c r="AY86" s="759"/>
      <c r="AZ86" s="759"/>
      <c r="BA86" s="919" t="str">
        <f>IF(C86&lt;&gt;"", _xlfn.LET(
_xlpm.Tons_Cool, V86, _xlpm.PLC_Base, L86, _xlpm.Tons_Heat, CC86, _xlpm.Other_Base, R86,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(12/_xlpm.PLC_Base)*_xlpm.EFLH_Cool,
IF(ISNUMBER(SEARCH("Water", C86)),
_xlpm.Tons_Cool * (_xlpm.PLC_Base) * _xlpm.EFLH_Cool,
" "
)),4),
_xlpm.kWhHeat,
IF(
_xlpm.ElecHeat=1,
ROUND(
IF(OR(ISNUMBER(SEARCH("DX", C86)),ISNUMBER(SEARCH("PTAC", C86)), ISNUMBER(SEARCH("Air-Cooled Chiller", C86)), ISNUMBER(SEARCH("Water", C86)),
ISNUMBER(SEARCH("VRF", C86))),
0,
IF(
OR(ISNUMBER(SEARCH("ASHP", C86)), ISNUMBER(SEARCH("PTHP", C86))),
_xlpm.Tons_Heat * (1/_xlpm.Other_Base) * _xlpm.EFLH_Heat,
" "
)),4),
0
),
IFERROR(_xlpm.kWhCool + _xlpm.kWhHeat, "Measure Not Specified.")
), "")</f>
        <v/>
      </c>
      <c r="BB86" s="919" t="str">
        <f>IF(C86&lt;&gt;"", _xlfn.LET(
_xlpm.Tons_Cool, V86, _xlpm.PLC_Eff, N86, _xlpm.Tons_Heat, CC86, _xlpm.Other_Eff, T86,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(12/_xlpm.PLC_Eff)*_xlpm.EFLH_Cool,
IF(ISNUMBER(SEARCH("Water", C86)),
_xlpm.Tons_Cool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(1/_xlpm.Other_Eff) * _xlpm.EFLH_Heat,
" "
)),4),
0
),
IFERROR(_xlpm.kWhCool + _xlpm.kWhHeat, "Measure Not Specified.")
), "")</f>
        <v/>
      </c>
      <c r="BC86" s="773" t="str">
        <f>IFERROR(IF(OR(C86="",N86="",V86="",AA86="",T86="",AE86="",AG86=""),"",INDEX(CLHVAC[End Use],MATCH(C86,CLHVAC[Measure Name],0))),"Err")</f>
        <v/>
      </c>
      <c r="BD86" s="757" t="str">
        <f>IFERROR(IF(OR(C86="",N86="",V86="",AA86="",T86="",AE86="",AG86=""),"",INDEX(CLHVAC[Reporting Methodology],MATCH(C86,CLHVAC[Measure Name],0))),"Err")</f>
        <v/>
      </c>
      <c r="BE86" s="775" t="str">
        <f t="shared" si="128"/>
        <v/>
      </c>
      <c r="BF86" s="775" t="str">
        <f t="shared" ref="BF86" si="140">IF(C86&lt;&gt;"", _xlfn.LET(
_xlpm.Tons, V86, _xlpm.PCF, 0.913,
IF(OR(ISNUMBER(SEARCH("DX", C86)), ISNUMBER(SEARCH("Air-Cooled Chiller", C86)), ISNUMBER(SEARCH("VRF", C86))),
_xlpm.Tons * (12/R86 - 12/T86) * _xlpm.PCF,
IF(ISNUMBER(SEARCH("Water", C86)),
_xlpm.Tons * (R86-T86) * _xlpm.PCF,
IF(ISNUMBER(SEARCH("ASHP", C86)),
_xlpm.Tons * (12/CA86 - 12/CB86) * _xlpm.PCF,
IF(OR(ISNUMBER(SEARCH("PTAC", C86)), ISNUMBER(SEARCH("PTHP", C86))),
_xlpm.Tons * (12/L86 - 12/N86) * _xlpm.PCF,
"Measure Not Specified."))))), "")</f>
        <v/>
      </c>
      <c r="BG86" s="761"/>
      <c r="BH86" s="775" t="str">
        <f>IF(
OR(C86="",N86="",V86="",AA86="",T86="",AE86="",AG86=""),"",
IF(OR(ISNUMBER(SEARCH("PTAC",C86)),ISNUMBER(SEARCH("PTHP",C86))),
ROUND(V86*INDEX(CLHVAC[Electric Energy Savings WBE (Annual kWh/unit)],MATCH(C86,CLHVAC[Measure Name],0)),4),
ROUND(V86*ABS(N86-L86)*INDEX(CLHVAC[Electric Energy Savings WBE (Annual kWh/unit)],MATCH(C86,CLHVAC[Measure Name],0)),4)
))</f>
        <v/>
      </c>
      <c r="BI86" s="775" t="str">
        <f>IF(
OR(C86="",N86="",V86="",AA86="",T86="",AE86="",AG86=""),"",
IF(OR(ISNUMBER(SEARCH("PTAC",C86)),ISNUMBER(SEARCH("PTHP",C86))),
ROUND(V86*INDEX(CLHVAC[Coincident Peak Demand Savings WBE (kW/unit)],MATCH(C86,CLHVAC[Measure Name],0)),4),
ROUND(V86* ABS(N86-L86)*INDEX(CLHVAC[Coincident Peak Demand Savings WBE (kW/unit)],MATCH(C86,CLHVAC[Measure Name],0)),4)
))</f>
        <v/>
      </c>
      <c r="BJ86" s="777" t="str">
        <f>IFERROR(INDEX(CLHVAC[Measure Life (Years)],MATCH(C86,CLHVAC[Measure Name],0)),"")</f>
        <v/>
      </c>
      <c r="BK86" s="767" t="str">
        <f>IFERROR(IF(OR(C86="",N86="",V86="",AA86="",T86="",AE86="",AG86=""),"",
ROUND(((1+ELOSS)*((BH86*INDEX(ELECCB[NPV AEC $/kWh],MATCH(BJ86,ELECCB[Year Number],1)))+(BI86*INDEX(ELECCB[NPV ACC $/kW],MATCH(BJ86,ELECCB[Year Number],1))))),2)),0)</f>
        <v/>
      </c>
      <c r="BL86" s="767" t="str">
        <f t="shared" si="130"/>
        <v/>
      </c>
      <c r="BM86" s="767"/>
      <c r="BN86" s="763" t="str">
        <f t="shared" si="131"/>
        <v/>
      </c>
      <c r="BO86" s="763" t="str">
        <f>IFERROR(IF(BM86 &lt;&gt; "", BM86, BL86) / M02S04F06 / AO86, "")</f>
        <v/>
      </c>
      <c r="BP86" s="769"/>
      <c r="BQ86" s="767" t="str">
        <f t="shared" ref="BQ86" si="141">IFERROR(IF(AI86="per ton", ROUND(V86*AM86, 2),
IF(AND(ISNUMBER(SEARCH("Air-Cooled Chiller",C86)),AI86="$/ton/IPLV"), ROUND((12/L86-12/N86)*V86*AM86, 2),
ROUND(ABS(N86-L86)*V86*AM86, 2))), "")</f>
        <v/>
      </c>
      <c r="BR86" s="765"/>
      <c r="BS86" s="765"/>
      <c r="BT86" s="765"/>
      <c r="BU86" s="757" t="str">
        <f t="shared" ref="BU86" si="142">IFERROR(IF(BP86="",IF(AR86 &lt; BQ86, "100% Total Cost", ""), ""), "")</f>
        <v/>
      </c>
      <c r="BV86" s="767" t="str">
        <f t="shared" si="134"/>
        <v/>
      </c>
      <c r="BW86" s="757" t="str">
        <f>IFERROR(IF(OR(C86="",N86="",V86="",AA86="",T86="",AE86="",AG86=""),"", IF(BY86&lt;&gt;"", SPILLOVERNUMBER, INDEX(CLHVAC[Measure Number],MATCH(C86,CLHVAC[Measure Name],0)))),"Err")</f>
        <v/>
      </c>
      <c r="BX86" s="757"/>
      <c r="BY86" s="907" t="str">
        <f>IFERROR(
IF(OR(C86="",N86="",T86="",V86="",AA86="",AE86="",AG86=""),
"",
IF(BP86&gt;0,"",IF(OR(AND(ISNUMBER(SEARCH("kW/ton", J86)),OR(L86&lt;N86,R86&lt;T86)),AND(NOT(ISNUMBER(SEARCH("kW/ton", J86))),OR(L86&gt;N86,R86&gt;T86))),
"Must Improve Efficiency",
IF(EXPIRATION&lt;&gt;"",PROJSTATEXP,"")))),
"")</f>
        <v/>
      </c>
      <c r="BZ86" s="911" t="str">
        <f>IFERROR(IF(INDEX(CLHVAC[Eff Unit 3],MATCH(C86,CLHVAC[Measure Name],0))="","",INDEX(CLHVAC[Eff Unit 3],MATCH(C86,CLHVAC[Measure Name],0))),"")</f>
        <v/>
      </c>
      <c r="CA86" s="956" t="str">
        <f>IFERROR(IF(INDEX(CLHVAC[Base Efficiency 3],MATCH(C86,CLHVAC[Measure Name],0))="","",INDEX(CLHVAC[Base Efficiency 3],MATCH(C86,CLHVAC[Measure Name],0))),"")</f>
        <v/>
      </c>
      <c r="CB86" s="913" t="str">
        <f t="shared" ref="CB86" si="143">IFERROR(IF(ISNUMBER(SEARCH("Air-Cooled Chiller",$C86)),12/N86,""),"")</f>
        <v/>
      </c>
      <c r="CC86" s="909"/>
    </row>
    <row r="87" spans="2:81" ht="15.95" customHeight="1">
      <c r="B87" s="785"/>
      <c r="C87" s="793"/>
      <c r="D87" s="795"/>
      <c r="E87" s="795"/>
      <c r="F87" s="795"/>
      <c r="G87" s="795"/>
      <c r="H87" s="795"/>
      <c r="I87" s="795"/>
      <c r="J87" s="932"/>
      <c r="K87" s="933"/>
      <c r="L87" s="928"/>
      <c r="M87" s="929"/>
      <c r="N87" s="915"/>
      <c r="O87" s="916"/>
      <c r="P87" s="934"/>
      <c r="Q87" s="935"/>
      <c r="R87" s="930"/>
      <c r="S87" s="931"/>
      <c r="T87" s="917"/>
      <c r="U87" s="918"/>
      <c r="V87" s="926"/>
      <c r="W87" s="927"/>
      <c r="X87" s="793"/>
      <c r="Y87" s="795"/>
      <c r="Z87" s="794"/>
      <c r="AA87" s="904"/>
      <c r="AB87" s="905"/>
      <c r="AC87" s="905"/>
      <c r="AD87" s="906"/>
      <c r="AE87" s="809"/>
      <c r="AF87" s="810"/>
      <c r="AG87" s="810"/>
      <c r="AH87" s="812"/>
      <c r="AI87" s="921"/>
      <c r="AJ87" s="921"/>
      <c r="AK87" s="921"/>
      <c r="AL87" s="922"/>
      <c r="AM87" s="925"/>
      <c r="AN87" s="900"/>
      <c r="AO87" s="818"/>
      <c r="AP87" s="818"/>
      <c r="AQ87" s="818"/>
      <c r="AR87" s="841"/>
      <c r="AS87" s="841"/>
      <c r="AT87" s="841"/>
      <c r="AU87" s="841"/>
      <c r="AV87" s="17"/>
      <c r="AX87" s="774"/>
      <c r="AY87" s="760"/>
      <c r="AZ87" s="760"/>
      <c r="BA87" s="920"/>
      <c r="BB87" s="920"/>
      <c r="BC87" s="774"/>
      <c r="BD87" s="758"/>
      <c r="BE87" s="776"/>
      <c r="BF87" s="776"/>
      <c r="BG87" s="762"/>
      <c r="BH87" s="776"/>
      <c r="BI87" s="776"/>
      <c r="BJ87" s="778"/>
      <c r="BK87" s="768"/>
      <c r="BL87" s="768"/>
      <c r="BM87" s="768"/>
      <c r="BN87" s="764"/>
      <c r="BO87" s="764"/>
      <c r="BP87" s="770"/>
      <c r="BQ87" s="768"/>
      <c r="BR87" s="766"/>
      <c r="BS87" s="766"/>
      <c r="BT87" s="766"/>
      <c r="BU87" s="758"/>
      <c r="BV87" s="768"/>
      <c r="BW87" s="758"/>
      <c r="BX87" s="758"/>
      <c r="BY87" s="908"/>
      <c r="BZ87" s="912"/>
      <c r="CA87" s="957"/>
      <c r="CB87" s="914"/>
      <c r="CC87" s="910"/>
    </row>
    <row r="88" spans="2:81" ht="15.95" customHeight="1">
      <c r="BC88" s="293"/>
      <c r="BE88" s="294"/>
      <c r="BF88" s="294"/>
      <c r="BJ88" s="295"/>
      <c r="BK88" s="296"/>
      <c r="BQ88" s="294"/>
      <c r="BU88" s="293"/>
      <c r="BW88" s="293"/>
      <c r="BY88" s="293"/>
      <c r="BZ88" s="86"/>
      <c r="CA88" s="246"/>
      <c r="CB88" s="297"/>
    </row>
    <row r="89" spans="2:81" ht="15.95" hidden="1" customHeight="1">
      <c r="BC89" s="293"/>
      <c r="BE89" s="294"/>
      <c r="BF89" s="294"/>
      <c r="BJ89" s="295"/>
      <c r="BK89" s="296"/>
      <c r="BQ89" s="294"/>
      <c r="BU89" s="293"/>
      <c r="BW89" s="293"/>
      <c r="BY89" s="293"/>
      <c r="BZ89" s="86"/>
      <c r="CA89" s="246"/>
      <c r="CB89" s="297"/>
    </row>
    <row r="90" spans="2:81" ht="15.95" hidden="1" customHeight="1">
      <c r="BC90" s="293"/>
      <c r="BE90" s="294"/>
      <c r="BF90" s="294"/>
      <c r="BJ90" s="295"/>
      <c r="BK90" s="296"/>
      <c r="BQ90" s="294"/>
      <c r="BU90" s="293"/>
      <c r="BW90" s="293"/>
      <c r="BY90" s="293"/>
      <c r="BZ90" s="86"/>
      <c r="CA90" s="246"/>
      <c r="CB90" s="297"/>
    </row>
    <row r="91" spans="2:81" ht="15.95" hidden="1" customHeight="1">
      <c r="BC91" s="293"/>
      <c r="BE91" s="294"/>
      <c r="BF91" s="294"/>
      <c r="BJ91" s="295"/>
      <c r="BK91" s="296"/>
      <c r="BQ91" s="294"/>
      <c r="BU91" s="293"/>
      <c r="BW91" s="293"/>
      <c r="BY91" s="293"/>
      <c r="BZ91" s="86"/>
      <c r="CA91" s="246"/>
      <c r="CB91" s="297"/>
    </row>
    <row r="92" spans="2:81" ht="15.95" hidden="1" customHeight="1">
      <c r="BC92" s="293"/>
      <c r="BE92" s="294"/>
      <c r="BF92" s="294"/>
      <c r="BJ92" s="295"/>
      <c r="BK92" s="296"/>
      <c r="BQ92" s="294"/>
      <c r="BU92" s="293"/>
      <c r="BW92" s="293"/>
      <c r="BY92" s="293"/>
      <c r="BZ92" s="86"/>
      <c r="CA92" s="246"/>
      <c r="CB92" s="297"/>
    </row>
    <row r="93" spans="2:81" ht="15.95" hidden="1" customHeight="1">
      <c r="BC93" s="293"/>
      <c r="BE93" s="294"/>
      <c r="BF93" s="294"/>
      <c r="BJ93" s="295"/>
      <c r="BK93" s="296"/>
      <c r="BQ93" s="294"/>
      <c r="BU93" s="293"/>
      <c r="BW93" s="293"/>
      <c r="BY93" s="293"/>
      <c r="BZ93" s="86"/>
      <c r="CA93" s="246"/>
      <c r="CB93" s="297"/>
    </row>
    <row r="94" spans="2:81" ht="15.95" hidden="1" customHeight="1">
      <c r="BC94" s="293"/>
      <c r="BE94" s="294"/>
      <c r="BF94" s="294"/>
      <c r="BJ94" s="295"/>
      <c r="BK94" s="296"/>
      <c r="BQ94" s="294"/>
      <c r="BU94" s="293"/>
      <c r="BW94" s="293"/>
      <c r="BY94" s="293"/>
      <c r="BZ94" s="86"/>
      <c r="CA94" s="246"/>
      <c r="CB94" s="297"/>
    </row>
    <row r="95" spans="2:81" ht="15.95" hidden="1" customHeight="1">
      <c r="BC95" s="293"/>
      <c r="BE95" s="294"/>
      <c r="BF95" s="294"/>
      <c r="BJ95" s="295"/>
      <c r="BK95" s="296"/>
      <c r="BQ95" s="294"/>
      <c r="BU95" s="293"/>
      <c r="BW95" s="293"/>
      <c r="BY95" s="293"/>
      <c r="BZ95" s="86"/>
      <c r="CA95" s="246"/>
      <c r="CB95" s="297"/>
    </row>
    <row r="96" spans="2:81" ht="15.95" hidden="1" customHeight="1">
      <c r="BC96" s="293"/>
      <c r="BE96" s="294"/>
      <c r="BF96" s="294"/>
      <c r="BJ96" s="295"/>
      <c r="BK96" s="296"/>
      <c r="BQ96" s="294"/>
      <c r="BU96" s="293"/>
      <c r="BW96" s="293"/>
      <c r="BY96" s="293"/>
      <c r="BZ96" s="86"/>
      <c r="CA96" s="246"/>
      <c r="CB96" s="297"/>
    </row>
    <row r="97" spans="2:80" ht="15.95" hidden="1" customHeight="1">
      <c r="BC97" s="293"/>
      <c r="BE97" s="294"/>
      <c r="BF97" s="294"/>
      <c r="BJ97" s="295"/>
      <c r="BK97" s="296"/>
      <c r="BQ97" s="294"/>
      <c r="BU97" s="293"/>
      <c r="BW97" s="293"/>
      <c r="BY97" s="293"/>
      <c r="BZ97" s="86"/>
      <c r="CA97" s="246"/>
      <c r="CB97" s="297"/>
    </row>
    <row r="98" spans="2:80" ht="15.95" hidden="1" customHeight="1">
      <c r="BC98" s="293"/>
      <c r="BE98" s="294"/>
      <c r="BF98" s="294"/>
      <c r="BJ98" s="295"/>
      <c r="BK98" s="296"/>
      <c r="BQ98" s="294"/>
      <c r="BU98" s="293"/>
      <c r="BW98" s="293"/>
      <c r="BY98" s="293"/>
      <c r="BZ98" s="86"/>
      <c r="CA98" s="246"/>
      <c r="CB98" s="297"/>
    </row>
    <row r="99" spans="2:80" ht="15.95" hidden="1" customHeight="1">
      <c r="BC99" s="293"/>
      <c r="BE99" s="294"/>
      <c r="BF99" s="294"/>
      <c r="BJ99" s="295"/>
      <c r="BK99" s="296"/>
      <c r="BQ99" s="294"/>
      <c r="BU99" s="293"/>
      <c r="BW99" s="293"/>
      <c r="BY99" s="293"/>
      <c r="BZ99" s="86"/>
      <c r="CA99" s="246"/>
      <c r="CB99" s="297"/>
    </row>
    <row r="100" spans="2:80" ht="15.95" hidden="1" customHeight="1">
      <c r="B100" s="291"/>
      <c r="C100" s="291"/>
      <c r="D100" s="291"/>
      <c r="E100" s="291"/>
      <c r="F100" s="291"/>
      <c r="G100" s="292"/>
      <c r="H100" s="292"/>
      <c r="I100" s="292"/>
      <c r="J100" s="292"/>
      <c r="K100" s="292"/>
      <c r="L100" s="292"/>
      <c r="M100" s="292"/>
      <c r="BC100" s="293"/>
      <c r="BE100" s="294"/>
      <c r="BF100" s="294"/>
      <c r="BJ100" s="295"/>
      <c r="BK100" s="296"/>
      <c r="BQ100" s="294"/>
      <c r="BU100" s="293"/>
      <c r="BW100" s="293"/>
      <c r="BY100" s="293"/>
      <c r="BZ100" s="86"/>
      <c r="CA100" s="246"/>
      <c r="CB100" s="297"/>
    </row>
    <row r="101" spans="2:80" ht="15.95" hidden="1" customHeight="1">
      <c r="B101" s="291"/>
      <c r="C101" s="291"/>
      <c r="D101" s="291"/>
      <c r="E101" s="291"/>
      <c r="F101" s="291"/>
      <c r="G101" s="292"/>
      <c r="H101" s="292"/>
      <c r="I101" s="292"/>
      <c r="J101" s="292"/>
      <c r="K101" s="292"/>
      <c r="L101" s="292"/>
      <c r="M101" s="292"/>
      <c r="BC101" s="293"/>
      <c r="BE101" s="294"/>
      <c r="BF101" s="294"/>
      <c r="BJ101" s="295"/>
      <c r="BK101" s="296"/>
      <c r="BQ101" s="294"/>
      <c r="BU101" s="293"/>
      <c r="BW101" s="293"/>
      <c r="BY101" s="293"/>
      <c r="BZ101" s="86"/>
      <c r="CA101" s="246"/>
      <c r="CB101" s="297"/>
    </row>
    <row r="102" spans="2:80" ht="15.95" hidden="1" customHeight="1">
      <c r="B102" s="291"/>
      <c r="C102" s="291"/>
      <c r="D102" s="291"/>
      <c r="E102" s="291"/>
      <c r="F102" s="291"/>
      <c r="G102" s="292"/>
      <c r="H102" s="292"/>
      <c r="I102" s="292"/>
      <c r="J102" s="292"/>
      <c r="K102" s="292"/>
      <c r="L102" s="292"/>
      <c r="M102" s="292"/>
      <c r="BC102" s="293"/>
      <c r="BE102" s="294"/>
      <c r="BF102" s="294"/>
      <c r="BJ102" s="295"/>
      <c r="BK102" s="296"/>
      <c r="BQ102" s="294"/>
      <c r="BU102" s="293"/>
      <c r="BW102" s="293"/>
      <c r="BY102" s="293"/>
      <c r="BZ102" s="86"/>
      <c r="CA102" s="246"/>
      <c r="CB102" s="297"/>
    </row>
    <row r="103" spans="2:80" ht="15.95" hidden="1" customHeight="1">
      <c r="B103" s="291"/>
      <c r="C103" s="291"/>
      <c r="D103" s="291"/>
      <c r="E103" s="291"/>
      <c r="F103" s="291"/>
      <c r="G103" s="292"/>
      <c r="H103" s="292"/>
      <c r="I103" s="292"/>
      <c r="J103" s="292"/>
      <c r="K103" s="292"/>
      <c r="L103" s="292"/>
      <c r="M103" s="292"/>
      <c r="BC103" s="293"/>
      <c r="BE103" s="294"/>
      <c r="BF103" s="294"/>
      <c r="BJ103" s="295"/>
      <c r="BK103" s="296"/>
      <c r="BQ103" s="294"/>
      <c r="BU103" s="293"/>
      <c r="BW103" s="293"/>
      <c r="BY103" s="293"/>
      <c r="BZ103" s="86"/>
      <c r="CA103" s="246"/>
      <c r="CB103" s="297"/>
    </row>
    <row r="104" spans="2:80" ht="15.95" hidden="1" customHeight="1">
      <c r="B104" s="291"/>
      <c r="C104" s="291"/>
      <c r="D104" s="291"/>
      <c r="E104" s="291"/>
      <c r="F104" s="291"/>
      <c r="G104" s="292"/>
      <c r="H104" s="292"/>
      <c r="I104" s="292"/>
      <c r="J104" s="292"/>
      <c r="K104" s="292"/>
      <c r="L104" s="292"/>
      <c r="M104" s="292"/>
      <c r="BC104" s="293"/>
      <c r="BE104" s="294"/>
      <c r="BF104" s="294"/>
      <c r="BJ104" s="295"/>
      <c r="BK104" s="296"/>
      <c r="BQ104" s="294"/>
      <c r="BU104" s="293"/>
      <c r="BW104" s="293"/>
      <c r="BY104" s="293"/>
      <c r="BZ104" s="86"/>
      <c r="CA104" s="246"/>
      <c r="CB104" s="297"/>
    </row>
    <row r="105" spans="2:80" ht="15.95" hidden="1" customHeight="1">
      <c r="B105" s="291"/>
      <c r="C105" s="291"/>
      <c r="D105" s="291"/>
      <c r="E105" s="291"/>
      <c r="F105" s="291"/>
      <c r="G105" s="292"/>
      <c r="H105" s="292"/>
      <c r="I105" s="292"/>
      <c r="J105" s="292"/>
      <c r="K105" s="292"/>
      <c r="L105" s="292"/>
      <c r="M105" s="292"/>
      <c r="BC105" s="293"/>
      <c r="BE105" s="294"/>
      <c r="BF105" s="294"/>
      <c r="BJ105" s="295"/>
      <c r="BK105" s="296"/>
      <c r="BQ105" s="294"/>
      <c r="BU105" s="293"/>
      <c r="BW105" s="293"/>
      <c r="BY105" s="293"/>
      <c r="BZ105" s="86"/>
      <c r="CA105" s="246"/>
      <c r="CB105" s="297"/>
    </row>
    <row r="106" spans="2:80" ht="15.95" hidden="1" customHeight="1">
      <c r="B106" s="291"/>
      <c r="C106" s="291"/>
      <c r="D106" s="291"/>
      <c r="E106" s="291"/>
      <c r="F106" s="291"/>
      <c r="G106" s="292"/>
      <c r="H106" s="292"/>
      <c r="I106" s="292"/>
      <c r="J106" s="292"/>
      <c r="K106" s="292"/>
      <c r="L106" s="292"/>
      <c r="M106" s="292"/>
      <c r="BC106" s="293"/>
      <c r="BE106" s="294"/>
      <c r="BF106" s="294"/>
      <c r="BJ106" s="295"/>
      <c r="BK106" s="296"/>
      <c r="BQ106" s="294"/>
      <c r="BU106" s="293"/>
      <c r="BW106" s="293"/>
      <c r="BY106" s="293"/>
      <c r="BZ106" s="86"/>
      <c r="CA106" s="246"/>
      <c r="CB106" s="297"/>
    </row>
    <row r="107" spans="2:80" ht="15.95" hidden="1" customHeight="1">
      <c r="B107" s="291"/>
      <c r="C107" s="291"/>
      <c r="D107" s="291"/>
      <c r="E107" s="291"/>
      <c r="F107" s="291"/>
      <c r="G107" s="292"/>
      <c r="H107" s="292"/>
      <c r="I107" s="292"/>
      <c r="J107" s="292"/>
      <c r="K107" s="292"/>
      <c r="L107" s="292"/>
      <c r="M107" s="292"/>
      <c r="BC107" s="293"/>
      <c r="BE107" s="294"/>
      <c r="BF107" s="294"/>
      <c r="BJ107" s="295"/>
      <c r="BK107" s="296"/>
      <c r="BQ107" s="294"/>
      <c r="BU107" s="293"/>
      <c r="BW107" s="293"/>
      <c r="BY107" s="293"/>
      <c r="BZ107" s="86"/>
      <c r="CA107" s="246"/>
      <c r="CB107" s="297"/>
    </row>
    <row r="108" spans="2:80" ht="15.95" hidden="1" customHeight="1">
      <c r="B108" s="291"/>
      <c r="C108" s="291"/>
      <c r="D108" s="291"/>
      <c r="E108" s="291"/>
      <c r="F108" s="291"/>
      <c r="G108" s="292"/>
      <c r="H108" s="292"/>
      <c r="I108" s="292"/>
      <c r="J108" s="292"/>
      <c r="K108" s="292"/>
      <c r="L108" s="292"/>
      <c r="M108" s="292"/>
      <c r="BC108" s="293"/>
      <c r="BE108" s="294"/>
      <c r="BF108" s="294"/>
      <c r="BJ108" s="295"/>
      <c r="BK108" s="296"/>
      <c r="BQ108" s="294"/>
      <c r="BU108" s="293"/>
      <c r="BW108" s="293"/>
      <c r="BY108" s="293"/>
      <c r="BZ108" s="86"/>
      <c r="CA108" s="246"/>
      <c r="CB108" s="297"/>
    </row>
    <row r="109" spans="2:80" ht="15.95" hidden="1" customHeight="1">
      <c r="B109" s="291"/>
      <c r="C109" s="291"/>
      <c r="D109" s="291"/>
      <c r="E109" s="291"/>
      <c r="F109" s="291"/>
      <c r="G109" s="292"/>
      <c r="H109" s="292"/>
      <c r="I109" s="292"/>
      <c r="J109" s="292"/>
      <c r="K109" s="292"/>
      <c r="L109" s="292"/>
      <c r="M109" s="292"/>
      <c r="BC109" s="293"/>
      <c r="BE109" s="294"/>
      <c r="BF109" s="294"/>
      <c r="BJ109" s="295"/>
      <c r="BK109" s="296"/>
      <c r="BQ109" s="294"/>
      <c r="BU109" s="293"/>
      <c r="BW109" s="293"/>
      <c r="BY109" s="293"/>
      <c r="BZ109" s="86"/>
      <c r="CA109" s="246"/>
      <c r="CB109" s="297"/>
    </row>
    <row r="110" spans="2:80" ht="15.95" hidden="1" customHeight="1">
      <c r="B110" s="291"/>
      <c r="C110" s="291"/>
      <c r="D110" s="291"/>
      <c r="E110" s="291"/>
      <c r="F110" s="291"/>
      <c r="G110" s="292"/>
      <c r="H110" s="292"/>
      <c r="I110" s="292"/>
      <c r="J110" s="292"/>
      <c r="K110" s="292"/>
      <c r="L110" s="292"/>
      <c r="M110" s="292"/>
      <c r="BC110" s="293"/>
      <c r="BE110" s="294"/>
      <c r="BF110" s="294"/>
      <c r="BJ110" s="295"/>
      <c r="BK110" s="296"/>
      <c r="BQ110" s="294"/>
      <c r="BU110" s="293"/>
      <c r="BW110" s="293"/>
      <c r="BY110" s="293"/>
      <c r="BZ110" s="86"/>
      <c r="CA110" s="246"/>
      <c r="CB110" s="297"/>
    </row>
    <row r="111" spans="2:80" ht="15.95" hidden="1" customHeight="1">
      <c r="B111" s="291"/>
      <c r="C111" s="291"/>
      <c r="D111" s="291"/>
      <c r="E111" s="291"/>
      <c r="F111" s="291"/>
      <c r="G111" s="292"/>
      <c r="H111" s="292"/>
      <c r="I111" s="292"/>
      <c r="J111" s="292"/>
      <c r="K111" s="292"/>
      <c r="L111" s="292"/>
      <c r="M111" s="292"/>
      <c r="BC111" s="293"/>
      <c r="BE111" s="294"/>
      <c r="BF111" s="294"/>
      <c r="BJ111" s="295"/>
      <c r="BK111" s="296"/>
      <c r="BQ111" s="294"/>
      <c r="BU111" s="293"/>
      <c r="BW111" s="293"/>
      <c r="BY111" s="293"/>
      <c r="BZ111" s="86"/>
      <c r="CA111" s="246"/>
      <c r="CB111" s="297"/>
    </row>
    <row r="112" spans="2:80" ht="15.95" hidden="1" customHeight="1">
      <c r="B112" s="291"/>
      <c r="C112" s="291"/>
      <c r="D112" s="291"/>
      <c r="E112" s="291"/>
      <c r="F112" s="291"/>
      <c r="G112" s="292"/>
      <c r="H112" s="292"/>
      <c r="I112" s="292"/>
      <c r="J112" s="292"/>
      <c r="K112" s="292"/>
      <c r="L112" s="292"/>
      <c r="M112" s="292"/>
      <c r="BC112" s="293"/>
      <c r="BE112" s="294"/>
      <c r="BF112" s="294"/>
      <c r="BJ112" s="295"/>
      <c r="BK112" s="296"/>
      <c r="BQ112" s="294"/>
      <c r="BU112" s="293"/>
      <c r="BW112" s="293"/>
      <c r="BY112" s="293"/>
      <c r="BZ112" s="86"/>
      <c r="CA112" s="246"/>
      <c r="CB112" s="297"/>
    </row>
    <row r="113" spans="2:80" ht="15.95" hidden="1" customHeight="1">
      <c r="B113" s="291"/>
      <c r="C113" s="291"/>
      <c r="D113" s="291"/>
      <c r="E113" s="291"/>
      <c r="F113" s="291"/>
      <c r="G113" s="292"/>
      <c r="H113" s="292"/>
      <c r="I113" s="292"/>
      <c r="J113" s="292"/>
      <c r="K113" s="292"/>
      <c r="L113" s="292"/>
      <c r="M113" s="292"/>
      <c r="BC113" s="293"/>
      <c r="BE113" s="294"/>
      <c r="BF113" s="294"/>
      <c r="BJ113" s="295"/>
      <c r="BK113" s="296"/>
      <c r="BQ113" s="294"/>
      <c r="BU113" s="293"/>
      <c r="BW113" s="293"/>
      <c r="BY113" s="293"/>
      <c r="BZ113" s="86"/>
      <c r="CA113" s="246"/>
      <c r="CB113" s="297"/>
    </row>
    <row r="114" spans="2:80" ht="15.95" hidden="1" customHeight="1">
      <c r="B114" s="291"/>
      <c r="C114" s="291"/>
      <c r="D114" s="291"/>
      <c r="E114" s="291"/>
      <c r="F114" s="291"/>
      <c r="G114" s="292"/>
      <c r="H114" s="292"/>
      <c r="I114" s="292"/>
      <c r="J114" s="292"/>
      <c r="K114" s="292"/>
      <c r="L114" s="292"/>
      <c r="M114" s="292"/>
      <c r="BC114" s="293"/>
      <c r="BE114" s="294"/>
      <c r="BF114" s="294"/>
      <c r="BJ114" s="295"/>
      <c r="BK114" s="296"/>
      <c r="BQ114" s="294"/>
      <c r="BU114" s="293"/>
      <c r="BW114" s="293"/>
      <c r="BY114" s="293"/>
      <c r="BZ114" s="86"/>
      <c r="CA114" s="246"/>
      <c r="CB114" s="297"/>
    </row>
    <row r="115" spans="2:80" ht="15.95" hidden="1" customHeight="1">
      <c r="B115" s="291"/>
      <c r="C115" s="291"/>
      <c r="D115" s="291"/>
      <c r="E115" s="291"/>
      <c r="F115" s="291"/>
      <c r="G115" s="292"/>
      <c r="H115" s="292"/>
      <c r="I115" s="292"/>
      <c r="J115" s="292"/>
      <c r="K115" s="292"/>
      <c r="L115" s="292"/>
      <c r="M115" s="292"/>
      <c r="BC115" s="293"/>
      <c r="BE115" s="294"/>
      <c r="BF115" s="294"/>
      <c r="BJ115" s="295"/>
      <c r="BK115" s="296"/>
      <c r="BQ115" s="294"/>
      <c r="BU115" s="293"/>
      <c r="BW115" s="293"/>
      <c r="BY115" s="293"/>
      <c r="BZ115" s="86"/>
      <c r="CA115" s="246"/>
      <c r="CB115" s="297"/>
    </row>
    <row r="116" spans="2:80" ht="15.95" hidden="1" customHeight="1">
      <c r="B116" s="291"/>
      <c r="C116" s="291"/>
      <c r="D116" s="291"/>
      <c r="E116" s="291"/>
      <c r="F116" s="291"/>
      <c r="G116" s="292"/>
      <c r="H116" s="292"/>
      <c r="I116" s="292"/>
      <c r="J116" s="292"/>
      <c r="K116" s="292"/>
      <c r="L116" s="292"/>
      <c r="M116" s="292"/>
      <c r="BC116" s="293"/>
      <c r="BE116" s="294"/>
      <c r="BF116" s="294"/>
      <c r="BJ116" s="295"/>
      <c r="BK116" s="296"/>
      <c r="BQ116" s="294"/>
      <c r="BU116" s="293"/>
      <c r="BW116" s="293"/>
      <c r="BY116" s="293"/>
      <c r="BZ116" s="86"/>
      <c r="CA116" s="246"/>
      <c r="CB116" s="297"/>
    </row>
    <row r="117" spans="2:80" ht="15.95" hidden="1" customHeight="1">
      <c r="B117" s="291"/>
      <c r="C117" s="291"/>
      <c r="D117" s="291"/>
      <c r="E117" s="291"/>
      <c r="F117" s="291"/>
      <c r="G117" s="292"/>
      <c r="H117" s="292"/>
      <c r="I117" s="292"/>
      <c r="J117" s="292"/>
      <c r="K117" s="292"/>
      <c r="L117" s="292"/>
      <c r="M117" s="292"/>
      <c r="BC117" s="293"/>
      <c r="BE117" s="294"/>
      <c r="BF117" s="294"/>
      <c r="BJ117" s="295"/>
      <c r="BK117" s="296"/>
      <c r="BQ117" s="294"/>
      <c r="BU117" s="293"/>
      <c r="BW117" s="293"/>
      <c r="BY117" s="293"/>
      <c r="BZ117" s="86"/>
      <c r="CA117" s="246"/>
      <c r="CB117" s="297"/>
    </row>
    <row r="118" spans="2:80" ht="15.95" hidden="1" customHeight="1">
      <c r="B118" s="291"/>
      <c r="C118" s="291"/>
      <c r="D118" s="291"/>
      <c r="E118" s="291"/>
      <c r="F118" s="291"/>
      <c r="G118" s="292"/>
      <c r="H118" s="292"/>
      <c r="I118" s="292"/>
      <c r="J118" s="292"/>
      <c r="K118" s="292"/>
      <c r="L118" s="292"/>
      <c r="M118" s="292"/>
      <c r="BC118" s="293"/>
      <c r="BE118" s="294"/>
      <c r="BF118" s="294"/>
      <c r="BJ118" s="295"/>
      <c r="BK118" s="296"/>
      <c r="BQ118" s="294"/>
      <c r="BU118" s="293"/>
      <c r="BW118" s="293"/>
      <c r="BY118" s="293"/>
      <c r="BZ118" s="86"/>
      <c r="CA118" s="246"/>
      <c r="CB118" s="297"/>
    </row>
    <row r="119" spans="2:80" ht="15.95" hidden="1" customHeight="1">
      <c r="B119" s="291"/>
      <c r="C119" s="291"/>
      <c r="D119" s="291"/>
      <c r="E119" s="291"/>
      <c r="F119" s="291"/>
      <c r="G119" s="292"/>
      <c r="H119" s="292"/>
      <c r="I119" s="292"/>
      <c r="J119" s="292"/>
      <c r="K119" s="292"/>
      <c r="L119" s="292"/>
      <c r="M119" s="292"/>
      <c r="BC119" s="293"/>
      <c r="BE119" s="294"/>
      <c r="BF119" s="294"/>
      <c r="BJ119" s="295"/>
      <c r="BK119" s="296"/>
      <c r="BQ119" s="294"/>
      <c r="BU119" s="293"/>
      <c r="BW119" s="293"/>
      <c r="BY119" s="293"/>
      <c r="BZ119" s="86"/>
      <c r="CA119" s="246"/>
      <c r="CB119" s="297"/>
    </row>
    <row r="120" spans="2:80" ht="15.95" hidden="1" customHeight="1">
      <c r="B120" s="291"/>
      <c r="C120" s="291"/>
      <c r="D120" s="291"/>
      <c r="E120" s="291"/>
      <c r="F120" s="291"/>
      <c r="G120" s="292"/>
      <c r="H120" s="292"/>
      <c r="I120" s="292"/>
      <c r="J120" s="292"/>
      <c r="K120" s="292"/>
      <c r="L120" s="292"/>
      <c r="M120" s="292"/>
      <c r="BC120" s="293"/>
      <c r="BE120" s="294"/>
      <c r="BF120" s="294"/>
      <c r="BJ120" s="295"/>
      <c r="BK120" s="296"/>
      <c r="BQ120" s="294"/>
      <c r="BU120" s="293"/>
      <c r="BW120" s="293"/>
      <c r="BY120" s="293"/>
      <c r="BZ120" s="86"/>
      <c r="CA120" s="246"/>
      <c r="CB120" s="297"/>
    </row>
    <row r="121" spans="2:80" ht="15.95" hidden="1" customHeight="1">
      <c r="B121" s="291"/>
      <c r="C121" s="291"/>
      <c r="D121" s="291"/>
      <c r="E121" s="291"/>
      <c r="F121" s="291"/>
      <c r="G121" s="292"/>
      <c r="H121" s="292"/>
      <c r="I121" s="292"/>
      <c r="J121" s="292"/>
      <c r="K121" s="292"/>
      <c r="L121" s="292"/>
      <c r="M121" s="292"/>
      <c r="BC121" s="293"/>
      <c r="BE121" s="294"/>
      <c r="BF121" s="294"/>
      <c r="BJ121" s="295"/>
      <c r="BK121" s="296"/>
      <c r="BQ121" s="294"/>
      <c r="BU121" s="293"/>
      <c r="BW121" s="293"/>
      <c r="BY121" s="293"/>
      <c r="BZ121" s="86"/>
      <c r="CA121" s="246"/>
      <c r="CB121" s="297"/>
    </row>
    <row r="122" spans="2:80" ht="15.95" hidden="1" customHeight="1">
      <c r="B122" s="291"/>
      <c r="C122" s="291"/>
      <c r="D122" s="291"/>
      <c r="E122" s="291"/>
      <c r="F122" s="291"/>
      <c r="G122" s="292"/>
      <c r="H122" s="292"/>
      <c r="I122" s="292"/>
      <c r="J122" s="292"/>
      <c r="K122" s="292"/>
      <c r="L122" s="292"/>
      <c r="M122" s="292"/>
      <c r="BC122" s="293"/>
      <c r="BE122" s="294"/>
      <c r="BF122" s="294"/>
      <c r="BJ122" s="295"/>
      <c r="BK122" s="296"/>
      <c r="BQ122" s="294"/>
      <c r="BU122" s="293"/>
      <c r="BW122" s="293"/>
      <c r="BY122" s="293"/>
      <c r="BZ122" s="86"/>
      <c r="CA122" s="246"/>
      <c r="CB122" s="297"/>
    </row>
    <row r="123" spans="2:80" ht="15.95" hidden="1" customHeight="1">
      <c r="B123" s="291"/>
      <c r="C123" s="291"/>
      <c r="D123" s="291"/>
      <c r="E123" s="291"/>
      <c r="F123" s="291"/>
      <c r="G123" s="292"/>
      <c r="H123" s="292"/>
      <c r="I123" s="292"/>
      <c r="J123" s="292"/>
      <c r="K123" s="292"/>
      <c r="L123" s="292"/>
      <c r="M123" s="292"/>
      <c r="BC123" s="293"/>
      <c r="BE123" s="294"/>
      <c r="BF123" s="294"/>
      <c r="BJ123" s="295"/>
      <c r="BK123" s="296"/>
      <c r="BQ123" s="294"/>
      <c r="BU123" s="293"/>
      <c r="BW123" s="293"/>
      <c r="BY123" s="293"/>
      <c r="BZ123" s="86"/>
      <c r="CA123" s="246"/>
      <c r="CB123" s="297"/>
    </row>
    <row r="124" spans="2:80" ht="15.95" hidden="1" customHeight="1">
      <c r="B124" s="291"/>
      <c r="C124" s="291"/>
      <c r="D124" s="291"/>
      <c r="E124" s="291"/>
      <c r="F124" s="291"/>
      <c r="G124" s="292"/>
      <c r="H124" s="292"/>
      <c r="I124" s="292"/>
      <c r="J124" s="292"/>
      <c r="K124" s="292"/>
      <c r="L124" s="292"/>
      <c r="M124" s="292"/>
      <c r="BC124" s="293"/>
      <c r="BE124" s="294"/>
      <c r="BF124" s="294"/>
      <c r="BJ124" s="295"/>
      <c r="BK124" s="296"/>
      <c r="BQ124" s="294"/>
      <c r="BU124" s="293"/>
      <c r="BW124" s="293"/>
      <c r="BY124" s="293"/>
      <c r="BZ124" s="86"/>
      <c r="CA124" s="246"/>
      <c r="CB124" s="297"/>
    </row>
    <row r="125" spans="2:80" ht="15.95" hidden="1" customHeight="1">
      <c r="B125" s="291"/>
      <c r="C125" s="291"/>
      <c r="D125" s="291"/>
      <c r="E125" s="291"/>
      <c r="F125" s="291"/>
      <c r="G125" s="292"/>
      <c r="H125" s="292"/>
      <c r="I125" s="292"/>
      <c r="J125" s="292"/>
      <c r="K125" s="292"/>
      <c r="L125" s="292"/>
      <c r="M125" s="292"/>
      <c r="BC125" s="293"/>
      <c r="BE125" s="294"/>
      <c r="BF125" s="294"/>
      <c r="BJ125" s="295"/>
      <c r="BK125" s="296"/>
      <c r="BQ125" s="294"/>
      <c r="BU125" s="293"/>
      <c r="BW125" s="293"/>
      <c r="BY125" s="293"/>
      <c r="BZ125" s="86"/>
      <c r="CA125" s="246"/>
      <c r="CB125" s="297"/>
    </row>
    <row r="126" spans="2:80" ht="15.95" hidden="1" customHeight="1">
      <c r="B126" s="291"/>
      <c r="C126" s="291"/>
      <c r="D126" s="291"/>
      <c r="E126" s="291"/>
      <c r="F126" s="291"/>
      <c r="G126" s="292"/>
      <c r="H126" s="292"/>
      <c r="I126" s="292"/>
      <c r="J126" s="292"/>
      <c r="K126" s="292"/>
      <c r="L126" s="292"/>
      <c r="M126" s="292"/>
      <c r="BC126" s="293"/>
      <c r="BE126" s="294"/>
      <c r="BF126" s="294"/>
      <c r="BJ126" s="295"/>
      <c r="BK126" s="296"/>
      <c r="BQ126" s="294"/>
      <c r="BU126" s="293"/>
      <c r="BW126" s="293"/>
      <c r="BY126" s="293"/>
      <c r="BZ126" s="86"/>
      <c r="CA126" s="246"/>
      <c r="CB126" s="297"/>
    </row>
    <row r="127" spans="2:80" ht="15.95" hidden="1" customHeight="1">
      <c r="B127" s="291"/>
      <c r="C127" s="291"/>
      <c r="D127" s="291"/>
      <c r="E127" s="291"/>
      <c r="F127" s="291"/>
      <c r="G127" s="292"/>
      <c r="H127" s="292"/>
      <c r="I127" s="292"/>
      <c r="J127" s="292"/>
      <c r="K127" s="292"/>
      <c r="L127" s="292"/>
      <c r="M127" s="292"/>
      <c r="BC127" s="293"/>
      <c r="BE127" s="294"/>
      <c r="BF127" s="294"/>
      <c r="BJ127" s="295"/>
      <c r="BK127" s="296"/>
      <c r="BQ127" s="294"/>
      <c r="BU127" s="293"/>
      <c r="BW127" s="293"/>
      <c r="BY127" s="293"/>
      <c r="BZ127" s="86"/>
      <c r="CA127" s="246"/>
      <c r="CB127" s="297"/>
    </row>
    <row r="128" spans="2:80" ht="15.95" hidden="1" customHeight="1">
      <c r="B128" s="291"/>
      <c r="C128" s="291"/>
      <c r="D128" s="291"/>
      <c r="E128" s="291"/>
      <c r="F128" s="291"/>
      <c r="G128" s="292"/>
      <c r="H128" s="292"/>
      <c r="I128" s="292"/>
      <c r="J128" s="292"/>
      <c r="K128" s="292"/>
      <c r="L128" s="292"/>
      <c r="M128" s="292"/>
      <c r="BC128" s="293"/>
      <c r="BE128" s="294"/>
      <c r="BF128" s="294"/>
      <c r="BJ128" s="295"/>
      <c r="BK128" s="296"/>
      <c r="BQ128" s="294"/>
      <c r="BU128" s="293"/>
      <c r="BW128" s="293"/>
      <c r="BY128" s="293"/>
      <c r="BZ128" s="86"/>
      <c r="CA128" s="246"/>
      <c r="CB128" s="297"/>
    </row>
    <row r="129" spans="2:80" ht="15.95" hidden="1" customHeight="1">
      <c r="B129" s="291"/>
      <c r="C129" s="291"/>
      <c r="D129" s="291"/>
      <c r="E129" s="291"/>
      <c r="F129" s="291"/>
      <c r="G129" s="292"/>
      <c r="H129" s="292"/>
      <c r="I129" s="292"/>
      <c r="J129" s="292"/>
      <c r="K129" s="292"/>
      <c r="L129" s="292"/>
      <c r="M129" s="292"/>
      <c r="BC129" s="293"/>
      <c r="BE129" s="294"/>
      <c r="BF129" s="294"/>
      <c r="BJ129" s="295"/>
      <c r="BK129" s="296"/>
      <c r="BQ129" s="294"/>
      <c r="BU129" s="293"/>
      <c r="BW129" s="293"/>
      <c r="BY129" s="293"/>
      <c r="BZ129" s="86"/>
      <c r="CA129" s="246"/>
      <c r="CB129" s="297"/>
    </row>
    <row r="130" spans="2:80" ht="15.95" hidden="1" customHeight="1">
      <c r="B130" s="291"/>
      <c r="C130" s="291"/>
      <c r="D130" s="291"/>
      <c r="E130" s="291"/>
      <c r="F130" s="291"/>
      <c r="G130" s="292"/>
      <c r="H130" s="292"/>
      <c r="I130" s="292"/>
      <c r="J130" s="292"/>
      <c r="K130" s="292"/>
      <c r="L130" s="292"/>
      <c r="M130" s="292"/>
      <c r="BC130" s="293"/>
      <c r="BE130" s="294"/>
      <c r="BF130" s="294"/>
      <c r="BJ130" s="295"/>
      <c r="BK130" s="296"/>
      <c r="BQ130" s="294"/>
      <c r="BU130" s="293"/>
      <c r="BW130" s="293"/>
      <c r="BY130" s="293"/>
      <c r="BZ130" s="86"/>
      <c r="CA130" s="246"/>
      <c r="CB130" s="297"/>
    </row>
    <row r="131" spans="2:80" ht="15.95" hidden="1" customHeight="1">
      <c r="B131" s="291"/>
      <c r="C131" s="291"/>
      <c r="D131" s="291"/>
      <c r="E131" s="291"/>
      <c r="F131" s="291"/>
      <c r="G131" s="292"/>
      <c r="H131" s="292"/>
      <c r="I131" s="292"/>
      <c r="J131" s="292"/>
      <c r="K131" s="292"/>
      <c r="L131" s="292"/>
      <c r="M131" s="292"/>
      <c r="BC131" s="293"/>
      <c r="BE131" s="294"/>
      <c r="BF131" s="294"/>
      <c r="BJ131" s="295"/>
      <c r="BK131" s="296"/>
      <c r="BQ131" s="294"/>
      <c r="BU131" s="293"/>
      <c r="BW131" s="293"/>
      <c r="BY131" s="293"/>
      <c r="BZ131" s="86"/>
      <c r="CA131" s="246"/>
      <c r="CB131" s="297"/>
    </row>
    <row r="132" spans="2:80" ht="15.95" hidden="1" customHeight="1">
      <c r="B132" s="291"/>
      <c r="C132" s="291"/>
      <c r="D132" s="291"/>
      <c r="E132" s="291"/>
      <c r="F132" s="291"/>
      <c r="G132" s="292"/>
      <c r="H132" s="292"/>
      <c r="I132" s="292"/>
      <c r="J132" s="292"/>
      <c r="K132" s="292"/>
      <c r="L132" s="292"/>
      <c r="M132" s="292"/>
      <c r="BC132" s="293"/>
      <c r="BE132" s="294"/>
      <c r="BF132" s="294"/>
      <c r="BJ132" s="295"/>
      <c r="BK132" s="296"/>
      <c r="BQ132" s="294"/>
      <c r="BU132" s="293"/>
      <c r="BW132" s="293"/>
      <c r="BY132" s="293"/>
      <c r="BZ132" s="86"/>
      <c r="CA132" s="246"/>
      <c r="CB132" s="297"/>
    </row>
    <row r="133" spans="2:80" ht="15.95" hidden="1" customHeight="1">
      <c r="B133" s="291"/>
      <c r="C133" s="291"/>
      <c r="D133" s="291"/>
      <c r="E133" s="291"/>
      <c r="F133" s="291"/>
      <c r="G133" s="292"/>
      <c r="H133" s="292"/>
      <c r="I133" s="292"/>
      <c r="J133" s="292"/>
      <c r="K133" s="292"/>
      <c r="L133" s="292"/>
      <c r="M133" s="292"/>
      <c r="BC133" s="293"/>
      <c r="BE133" s="294"/>
      <c r="BF133" s="294"/>
      <c r="BJ133" s="295"/>
      <c r="BK133" s="296"/>
      <c r="BQ133" s="294"/>
      <c r="BU133" s="293"/>
      <c r="BW133" s="293"/>
      <c r="BY133" s="293"/>
      <c r="BZ133" s="86"/>
      <c r="CA133" s="246"/>
      <c r="CB133" s="297"/>
    </row>
    <row r="134" spans="2:80" ht="15.95" hidden="1" customHeight="1">
      <c r="B134" s="291"/>
      <c r="C134" s="291"/>
      <c r="D134" s="291"/>
      <c r="E134" s="291"/>
      <c r="F134" s="291"/>
      <c r="G134" s="292"/>
      <c r="H134" s="292"/>
      <c r="I134" s="292"/>
      <c r="J134" s="292"/>
      <c r="K134" s="292"/>
      <c r="L134" s="292"/>
      <c r="M134" s="292"/>
      <c r="BC134" s="293"/>
      <c r="BE134" s="294"/>
      <c r="BF134" s="294"/>
      <c r="BJ134" s="295"/>
      <c r="BK134" s="296"/>
      <c r="BQ134" s="294"/>
      <c r="BU134" s="293"/>
      <c r="BW134" s="293"/>
      <c r="BY134" s="293"/>
      <c r="BZ134" s="86"/>
      <c r="CA134" s="246"/>
      <c r="CB134" s="297"/>
    </row>
    <row r="135" spans="2:80" ht="15.95" hidden="1" customHeight="1">
      <c r="B135" s="291"/>
      <c r="C135" s="291"/>
      <c r="D135" s="291"/>
      <c r="E135" s="291"/>
      <c r="F135" s="291"/>
      <c r="G135" s="292"/>
      <c r="H135" s="292"/>
      <c r="I135" s="292"/>
      <c r="J135" s="292"/>
      <c r="K135" s="292"/>
      <c r="L135" s="292"/>
      <c r="M135" s="292"/>
      <c r="BC135" s="293"/>
      <c r="BE135" s="294"/>
      <c r="BF135" s="294"/>
      <c r="BJ135" s="295"/>
      <c r="BK135" s="296"/>
      <c r="BQ135" s="294"/>
      <c r="BU135" s="293"/>
      <c r="BW135" s="293"/>
      <c r="BY135" s="293"/>
      <c r="BZ135" s="86"/>
      <c r="CA135" s="246"/>
      <c r="CB135" s="297"/>
    </row>
    <row r="136" spans="2:80" ht="15.95" hidden="1" customHeight="1">
      <c r="B136" s="291"/>
      <c r="C136" s="291"/>
      <c r="D136" s="291"/>
      <c r="E136" s="291"/>
      <c r="F136" s="291"/>
      <c r="G136" s="292"/>
      <c r="H136" s="292"/>
      <c r="I136" s="292"/>
      <c r="J136" s="292"/>
      <c r="K136" s="292"/>
      <c r="L136" s="292"/>
      <c r="M136" s="292"/>
      <c r="BC136" s="293"/>
      <c r="BE136" s="294"/>
      <c r="BF136" s="294"/>
      <c r="BJ136" s="295"/>
      <c r="BK136" s="296"/>
      <c r="BQ136" s="294"/>
      <c r="BU136" s="293"/>
      <c r="BW136" s="293"/>
      <c r="BY136" s="293"/>
      <c r="BZ136" s="86"/>
      <c r="CA136" s="246"/>
      <c r="CB136" s="297"/>
    </row>
    <row r="137" spans="2:80" ht="15.95" hidden="1" customHeight="1">
      <c r="B137" s="291"/>
      <c r="C137" s="291"/>
      <c r="D137" s="291"/>
      <c r="E137" s="291"/>
      <c r="F137" s="291"/>
      <c r="G137" s="292"/>
      <c r="H137" s="292"/>
      <c r="I137" s="292"/>
      <c r="J137" s="292"/>
      <c r="K137" s="292"/>
      <c r="L137" s="292"/>
      <c r="M137" s="292"/>
      <c r="BC137" s="293"/>
      <c r="BE137" s="294"/>
      <c r="BF137" s="294"/>
      <c r="BJ137" s="295"/>
      <c r="BK137" s="296"/>
      <c r="BQ137" s="294"/>
      <c r="BU137" s="293"/>
      <c r="BW137" s="293"/>
      <c r="BY137" s="293"/>
      <c r="BZ137" s="86"/>
      <c r="CA137" s="246"/>
      <c r="CB137" s="297"/>
    </row>
    <row r="138" spans="2:80" ht="15.95" hidden="1" customHeight="1">
      <c r="B138" s="291"/>
      <c r="C138" s="291"/>
      <c r="D138" s="291"/>
      <c r="E138" s="291"/>
      <c r="F138" s="291"/>
      <c r="G138" s="292"/>
      <c r="H138" s="292"/>
      <c r="I138" s="292"/>
      <c r="J138" s="292"/>
      <c r="K138" s="292"/>
      <c r="L138" s="292"/>
      <c r="M138" s="292"/>
      <c r="BC138" s="293"/>
      <c r="BE138" s="294"/>
      <c r="BF138" s="294"/>
      <c r="BJ138" s="295"/>
      <c r="BK138" s="296"/>
      <c r="BQ138" s="294"/>
      <c r="BU138" s="293"/>
      <c r="BW138" s="293"/>
      <c r="BY138" s="293"/>
      <c r="BZ138" s="86"/>
      <c r="CA138" s="246"/>
      <c r="CB138" s="297"/>
    </row>
    <row r="139" spans="2:80" ht="15.95" hidden="1" customHeight="1">
      <c r="B139" s="291"/>
      <c r="C139" s="291"/>
      <c r="D139" s="291"/>
      <c r="E139" s="291"/>
      <c r="F139" s="291"/>
      <c r="G139" s="292"/>
      <c r="H139" s="292"/>
      <c r="I139" s="292"/>
      <c r="J139" s="292"/>
      <c r="K139" s="292"/>
      <c r="L139" s="292"/>
      <c r="M139" s="292"/>
      <c r="BC139" s="293"/>
      <c r="BE139" s="294"/>
      <c r="BF139" s="294"/>
      <c r="BJ139" s="295"/>
      <c r="BK139" s="296"/>
      <c r="BQ139" s="294"/>
      <c r="BU139" s="293"/>
      <c r="BW139" s="293"/>
      <c r="BY139" s="293"/>
      <c r="BZ139" s="86"/>
      <c r="CA139" s="246"/>
      <c r="CB139" s="297"/>
    </row>
    <row r="140" spans="2:80" ht="15.95" hidden="1" customHeight="1">
      <c r="B140" s="291"/>
      <c r="C140" s="291"/>
      <c r="D140" s="291"/>
      <c r="E140" s="291"/>
      <c r="F140" s="291"/>
      <c r="G140" s="292"/>
      <c r="H140" s="292"/>
      <c r="I140" s="292"/>
      <c r="J140" s="292"/>
      <c r="K140" s="292"/>
      <c r="L140" s="292"/>
      <c r="M140" s="292"/>
      <c r="BC140" s="293"/>
      <c r="BE140" s="294"/>
      <c r="BF140" s="294"/>
      <c r="BJ140" s="295"/>
      <c r="BK140" s="296"/>
      <c r="BQ140" s="294"/>
      <c r="BU140" s="293"/>
      <c r="BW140" s="293"/>
      <c r="BY140" s="293"/>
      <c r="BZ140" s="86"/>
      <c r="CA140" s="246"/>
      <c r="CB140" s="297"/>
    </row>
    <row r="141" spans="2:80" ht="15.95" hidden="1" customHeight="1">
      <c r="B141" s="291"/>
      <c r="C141" s="291"/>
      <c r="D141" s="291"/>
      <c r="E141" s="291"/>
      <c r="F141" s="291"/>
      <c r="G141" s="292"/>
      <c r="H141" s="292"/>
      <c r="I141" s="292"/>
      <c r="J141" s="292"/>
      <c r="K141" s="292"/>
      <c r="L141" s="292"/>
      <c r="M141" s="292"/>
      <c r="BC141" s="293"/>
      <c r="BE141" s="294"/>
      <c r="BF141" s="294"/>
      <c r="BJ141" s="295"/>
      <c r="BK141" s="296"/>
      <c r="BQ141" s="294"/>
      <c r="BU141" s="293"/>
      <c r="BW141" s="293"/>
      <c r="BY141" s="293"/>
      <c r="BZ141" s="86"/>
      <c r="CA141" s="246"/>
      <c r="CB141" s="297"/>
    </row>
    <row r="142" spans="2:80" ht="15.95" hidden="1" customHeight="1">
      <c r="B142" s="291"/>
      <c r="C142" s="291"/>
      <c r="D142" s="291"/>
      <c r="E142" s="291"/>
      <c r="F142" s="291"/>
      <c r="G142" s="292"/>
      <c r="H142" s="292"/>
      <c r="I142" s="292"/>
      <c r="J142" s="292"/>
      <c r="K142" s="292"/>
      <c r="L142" s="292"/>
      <c r="M142" s="292"/>
      <c r="BC142" s="293"/>
      <c r="BE142" s="294"/>
      <c r="BF142" s="294"/>
      <c r="BJ142" s="295"/>
      <c r="BK142" s="296"/>
      <c r="BQ142" s="294"/>
      <c r="BU142" s="293"/>
      <c r="BW142" s="293"/>
      <c r="BY142" s="293"/>
      <c r="BZ142" s="86"/>
      <c r="CA142" s="246"/>
      <c r="CB142" s="297"/>
    </row>
    <row r="143" spans="2:80" ht="15.95" hidden="1" customHeight="1">
      <c r="B143" s="291"/>
      <c r="C143" s="291"/>
      <c r="D143" s="291"/>
      <c r="E143" s="291"/>
      <c r="F143" s="291"/>
      <c r="G143" s="292"/>
      <c r="H143" s="292"/>
      <c r="I143" s="292"/>
      <c r="J143" s="292"/>
      <c r="K143" s="292"/>
      <c r="L143" s="292"/>
      <c r="M143" s="292"/>
      <c r="BC143" s="293"/>
      <c r="BE143" s="294"/>
      <c r="BF143" s="294"/>
      <c r="BJ143" s="295"/>
      <c r="BK143" s="296"/>
      <c r="BQ143" s="294"/>
      <c r="BU143" s="293"/>
      <c r="BW143" s="293"/>
      <c r="BY143" s="293"/>
      <c r="BZ143" s="86"/>
      <c r="CA143" s="246"/>
      <c r="CB143" s="297"/>
    </row>
    <row r="144" spans="2:80" ht="15.95" hidden="1" customHeight="1">
      <c r="B144" s="291"/>
      <c r="C144" s="291"/>
      <c r="D144" s="291"/>
      <c r="E144" s="291"/>
      <c r="F144" s="291"/>
      <c r="G144" s="292"/>
      <c r="H144" s="292"/>
      <c r="I144" s="292"/>
      <c r="J144" s="292"/>
      <c r="K144" s="292"/>
      <c r="L144" s="292"/>
      <c r="M144" s="292"/>
      <c r="BC144" s="293"/>
      <c r="BE144" s="294"/>
      <c r="BF144" s="294"/>
      <c r="BJ144" s="295"/>
      <c r="BK144" s="296"/>
      <c r="BQ144" s="294"/>
      <c r="BU144" s="293"/>
      <c r="BW144" s="293"/>
      <c r="BY144" s="293"/>
      <c r="BZ144" s="86"/>
      <c r="CA144" s="246"/>
      <c r="CB144" s="297"/>
    </row>
    <row r="145" spans="2:80" ht="15.95" hidden="1" customHeight="1">
      <c r="B145" s="291"/>
      <c r="C145" s="291"/>
      <c r="D145" s="291"/>
      <c r="E145" s="291"/>
      <c r="F145" s="291"/>
      <c r="G145" s="292"/>
      <c r="H145" s="292"/>
      <c r="I145" s="292"/>
      <c r="J145" s="292"/>
      <c r="K145" s="292"/>
      <c r="L145" s="292"/>
      <c r="M145" s="292"/>
      <c r="BC145" s="293"/>
      <c r="BE145" s="294"/>
      <c r="BF145" s="294"/>
      <c r="BJ145" s="295"/>
      <c r="BK145" s="296"/>
      <c r="BQ145" s="294"/>
      <c r="BU145" s="293"/>
      <c r="BW145" s="293"/>
      <c r="BY145" s="293"/>
      <c r="BZ145" s="86"/>
      <c r="CA145" s="246"/>
      <c r="CB145" s="297"/>
    </row>
    <row r="146" spans="2:80" ht="15.95" hidden="1" customHeight="1">
      <c r="B146" s="291"/>
      <c r="C146" s="291"/>
      <c r="D146" s="291"/>
      <c r="E146" s="291"/>
      <c r="F146" s="291"/>
      <c r="G146" s="292"/>
      <c r="H146" s="292"/>
      <c r="I146" s="292"/>
      <c r="J146" s="292"/>
      <c r="K146" s="292"/>
      <c r="L146" s="292"/>
      <c r="M146" s="292"/>
      <c r="BC146" s="293"/>
      <c r="BE146" s="294"/>
      <c r="BF146" s="294"/>
      <c r="BJ146" s="295"/>
      <c r="BK146" s="296"/>
      <c r="BQ146" s="294"/>
      <c r="BU146" s="293"/>
      <c r="BW146" s="293"/>
      <c r="BY146" s="293"/>
      <c r="BZ146" s="86"/>
      <c r="CA146" s="246"/>
      <c r="CB146" s="297"/>
    </row>
    <row r="147" spans="2:80" ht="15.95" hidden="1" customHeight="1">
      <c r="B147" s="291"/>
      <c r="C147" s="291"/>
      <c r="D147" s="291"/>
      <c r="E147" s="291"/>
      <c r="F147" s="291"/>
      <c r="G147" s="292"/>
      <c r="H147" s="292"/>
      <c r="I147" s="292"/>
      <c r="J147" s="292"/>
      <c r="K147" s="292"/>
      <c r="L147" s="292"/>
      <c r="M147" s="292"/>
      <c r="BC147" s="293"/>
      <c r="BE147" s="294"/>
      <c r="BF147" s="294"/>
      <c r="BJ147" s="295"/>
      <c r="BK147" s="296"/>
      <c r="BQ147" s="294"/>
      <c r="BU147" s="293"/>
      <c r="BW147" s="293"/>
      <c r="BY147" s="293"/>
      <c r="BZ147" s="86"/>
      <c r="CA147" s="246"/>
      <c r="CB147" s="297"/>
    </row>
    <row r="148" spans="2:80" ht="15.95" hidden="1" customHeight="1">
      <c r="B148" s="291"/>
      <c r="C148" s="291"/>
      <c r="D148" s="291"/>
      <c r="E148" s="291"/>
      <c r="F148" s="291"/>
      <c r="G148" s="292"/>
      <c r="H148" s="292"/>
      <c r="I148" s="292"/>
      <c r="J148" s="292"/>
      <c r="K148" s="292"/>
      <c r="L148" s="292"/>
      <c r="M148" s="292"/>
      <c r="BC148" s="293"/>
      <c r="BE148" s="294"/>
      <c r="BF148" s="294"/>
      <c r="BJ148" s="295"/>
      <c r="BK148" s="296"/>
      <c r="BQ148" s="294"/>
      <c r="BU148" s="293"/>
      <c r="BW148" s="293"/>
      <c r="BY148" s="293"/>
      <c r="BZ148" s="86"/>
      <c r="CA148" s="246"/>
      <c r="CB148" s="297"/>
    </row>
    <row r="149" spans="2:80" ht="15.95" hidden="1" customHeight="1">
      <c r="B149" s="291"/>
      <c r="C149" s="291"/>
      <c r="D149" s="291"/>
      <c r="E149" s="291"/>
      <c r="F149" s="291"/>
      <c r="G149" s="292"/>
      <c r="H149" s="292"/>
      <c r="I149" s="292"/>
      <c r="J149" s="292"/>
      <c r="K149" s="292"/>
      <c r="L149" s="292"/>
      <c r="M149" s="292"/>
      <c r="BC149" s="293"/>
      <c r="BE149" s="294"/>
      <c r="BF149" s="294"/>
      <c r="BJ149" s="295"/>
      <c r="BK149" s="296"/>
      <c r="BQ149" s="294"/>
      <c r="BU149" s="293"/>
      <c r="BW149" s="293"/>
      <c r="BY149" s="293"/>
      <c r="BZ149" s="86"/>
      <c r="CA149" s="246"/>
      <c r="CB149" s="297"/>
    </row>
    <row r="150" spans="2:80" ht="15.95" hidden="1" customHeight="1">
      <c r="B150" s="291"/>
      <c r="C150" s="291"/>
      <c r="D150" s="291"/>
      <c r="E150" s="291"/>
      <c r="F150" s="291"/>
      <c r="G150" s="292"/>
      <c r="H150" s="292"/>
      <c r="I150" s="292"/>
      <c r="J150" s="292"/>
      <c r="K150" s="292"/>
      <c r="L150" s="292"/>
      <c r="M150" s="292"/>
      <c r="BC150" s="293"/>
      <c r="BE150" s="294"/>
      <c r="BF150" s="294"/>
      <c r="BJ150" s="295"/>
      <c r="BK150" s="296"/>
      <c r="BQ150" s="294"/>
      <c r="BU150" s="293"/>
      <c r="BW150" s="293"/>
      <c r="BY150" s="293"/>
      <c r="BZ150" s="86"/>
      <c r="CA150" s="246"/>
      <c r="CB150" s="297"/>
    </row>
    <row r="151" spans="2:80" ht="15.95" hidden="1" customHeight="1">
      <c r="B151" s="291"/>
      <c r="C151" s="291"/>
      <c r="D151" s="291"/>
      <c r="E151" s="291"/>
      <c r="F151" s="291"/>
      <c r="G151" s="292"/>
      <c r="H151" s="292"/>
      <c r="I151" s="292"/>
      <c r="J151" s="292"/>
      <c r="K151" s="292"/>
      <c r="L151" s="292"/>
      <c r="M151" s="292"/>
      <c r="BC151" s="293"/>
      <c r="BE151" s="294"/>
      <c r="BF151" s="294"/>
      <c r="BJ151" s="295"/>
      <c r="BK151" s="296"/>
      <c r="BQ151" s="294"/>
      <c r="BU151" s="293"/>
      <c r="BW151" s="293"/>
      <c r="BY151" s="293"/>
      <c r="BZ151" s="86"/>
      <c r="CA151" s="246"/>
      <c r="CB151" s="297"/>
    </row>
    <row r="152" spans="2:80" ht="15.95" hidden="1" customHeight="1">
      <c r="B152" s="291"/>
      <c r="C152" s="291"/>
      <c r="D152" s="291"/>
      <c r="E152" s="291"/>
      <c r="F152" s="291"/>
      <c r="G152" s="292"/>
      <c r="H152" s="292"/>
      <c r="I152" s="292"/>
      <c r="J152" s="292"/>
      <c r="K152" s="292"/>
      <c r="L152" s="292"/>
      <c r="M152" s="292"/>
      <c r="BC152" s="293"/>
      <c r="BE152" s="294"/>
      <c r="BF152" s="294"/>
      <c r="BJ152" s="295"/>
      <c r="BK152" s="296"/>
      <c r="BQ152" s="294"/>
      <c r="BU152" s="293"/>
      <c r="BW152" s="293"/>
      <c r="BY152" s="293"/>
      <c r="BZ152" s="86"/>
      <c r="CA152" s="246"/>
      <c r="CB152" s="297"/>
    </row>
    <row r="153" spans="2:80" ht="15.95" hidden="1" customHeight="1">
      <c r="B153" s="291"/>
      <c r="C153" s="291"/>
      <c r="D153" s="291"/>
      <c r="E153" s="291"/>
      <c r="F153" s="291"/>
      <c r="G153" s="292"/>
      <c r="H153" s="292"/>
      <c r="I153" s="292"/>
      <c r="J153" s="292"/>
      <c r="K153" s="292"/>
      <c r="L153" s="292"/>
      <c r="M153" s="292"/>
      <c r="BC153" s="293"/>
      <c r="BE153" s="294"/>
      <c r="BF153" s="294"/>
      <c r="BJ153" s="295"/>
      <c r="BK153" s="296"/>
      <c r="BQ153" s="294"/>
      <c r="BU153" s="293"/>
      <c r="BW153" s="293"/>
      <c r="BY153" s="293"/>
      <c r="BZ153" s="86"/>
      <c r="CA153" s="246"/>
      <c r="CB153" s="297"/>
    </row>
    <row r="154" spans="2:80" ht="15.95" hidden="1" customHeight="1">
      <c r="B154" s="291"/>
      <c r="C154" s="291"/>
      <c r="D154" s="291"/>
      <c r="E154" s="291"/>
      <c r="F154" s="291"/>
      <c r="G154" s="292"/>
      <c r="H154" s="292"/>
      <c r="I154" s="292"/>
      <c r="J154" s="292"/>
      <c r="K154" s="292"/>
      <c r="L154" s="292"/>
      <c r="M154" s="292"/>
      <c r="BC154" s="293"/>
      <c r="BE154" s="294"/>
      <c r="BF154" s="294"/>
      <c r="BJ154" s="295"/>
      <c r="BK154" s="296"/>
      <c r="BQ154" s="294"/>
      <c r="BU154" s="293"/>
      <c r="BW154" s="293"/>
      <c r="BY154" s="293"/>
      <c r="BZ154" s="86"/>
      <c r="CA154" s="246"/>
      <c r="CB154" s="297"/>
    </row>
    <row r="155" spans="2:80" ht="15.95" hidden="1" customHeight="1">
      <c r="B155" s="291"/>
      <c r="C155" s="291"/>
      <c r="D155" s="291"/>
      <c r="E155" s="291"/>
      <c r="F155" s="291"/>
      <c r="G155" s="292"/>
      <c r="H155" s="292"/>
      <c r="I155" s="292"/>
      <c r="J155" s="292"/>
      <c r="K155" s="292"/>
      <c r="L155" s="292"/>
      <c r="M155" s="292"/>
      <c r="BC155" s="293"/>
      <c r="BE155" s="294"/>
      <c r="BF155" s="294"/>
      <c r="BJ155" s="295"/>
      <c r="BK155" s="296"/>
      <c r="BQ155" s="294"/>
      <c r="BU155" s="293"/>
      <c r="BW155" s="293"/>
      <c r="BY155" s="293"/>
      <c r="BZ155" s="86"/>
      <c r="CA155" s="246"/>
      <c r="CB155" s="297"/>
    </row>
    <row r="156" spans="2:80" ht="15.95" hidden="1" customHeight="1">
      <c r="B156" s="291"/>
      <c r="C156" s="291"/>
      <c r="D156" s="291"/>
      <c r="E156" s="291"/>
      <c r="F156" s="291"/>
      <c r="G156" s="292"/>
      <c r="H156" s="292"/>
      <c r="I156" s="292"/>
      <c r="J156" s="292"/>
      <c r="K156" s="292"/>
      <c r="L156" s="292"/>
      <c r="M156" s="292"/>
      <c r="BC156" s="293"/>
      <c r="BE156" s="294"/>
      <c r="BF156" s="294"/>
      <c r="BJ156" s="295"/>
      <c r="BK156" s="296"/>
      <c r="BQ156" s="294"/>
      <c r="BU156" s="293"/>
      <c r="BW156" s="293"/>
      <c r="BY156" s="293"/>
      <c r="BZ156" s="86"/>
      <c r="CA156" s="246"/>
      <c r="CB156" s="297"/>
    </row>
    <row r="157" spans="2:80" ht="15.95" hidden="1" customHeight="1">
      <c r="B157" s="291"/>
      <c r="C157" s="291"/>
      <c r="D157" s="291"/>
      <c r="E157" s="291"/>
      <c r="F157" s="291"/>
      <c r="G157" s="292"/>
      <c r="H157" s="292"/>
      <c r="I157" s="292"/>
      <c r="J157" s="292"/>
      <c r="K157" s="292"/>
      <c r="L157" s="292"/>
      <c r="M157" s="292"/>
      <c r="BC157" s="293"/>
      <c r="BE157" s="294"/>
      <c r="BF157" s="294"/>
      <c r="BJ157" s="295"/>
      <c r="BK157" s="296"/>
      <c r="BQ157" s="294"/>
      <c r="BU157" s="293"/>
      <c r="BW157" s="293"/>
      <c r="BY157" s="293"/>
      <c r="BZ157" s="86"/>
      <c r="CA157" s="246"/>
      <c r="CB157" s="297"/>
    </row>
    <row r="158" spans="2:80" ht="15.95" hidden="1" customHeight="1">
      <c r="B158" s="291"/>
      <c r="C158" s="291"/>
      <c r="D158" s="291"/>
      <c r="E158" s="291"/>
      <c r="F158" s="291"/>
      <c r="G158" s="292"/>
      <c r="H158" s="292"/>
      <c r="I158" s="292"/>
      <c r="J158" s="292"/>
      <c r="K158" s="292"/>
      <c r="L158" s="292"/>
      <c r="M158" s="292"/>
      <c r="BC158" s="293"/>
      <c r="BE158" s="294"/>
      <c r="BF158" s="294"/>
      <c r="BJ158" s="295"/>
      <c r="BK158" s="296"/>
      <c r="BQ158" s="294"/>
      <c r="BU158" s="293"/>
      <c r="BW158" s="293"/>
      <c r="BY158" s="293"/>
      <c r="BZ158" s="86"/>
      <c r="CA158" s="246"/>
      <c r="CB158" s="297"/>
    </row>
    <row r="159" spans="2:80" ht="15.95" hidden="1" customHeight="1">
      <c r="B159" s="291"/>
      <c r="C159" s="291"/>
      <c r="D159" s="291"/>
      <c r="E159" s="291"/>
      <c r="F159" s="291"/>
      <c r="G159" s="292"/>
      <c r="H159" s="292"/>
      <c r="I159" s="292"/>
      <c r="J159" s="292"/>
      <c r="K159" s="292"/>
      <c r="L159" s="292"/>
      <c r="M159" s="292"/>
      <c r="BC159" s="293"/>
      <c r="BE159" s="294"/>
      <c r="BF159" s="294"/>
      <c r="BJ159" s="295"/>
      <c r="BK159" s="296"/>
      <c r="BQ159" s="294"/>
      <c r="BU159" s="293"/>
      <c r="BW159" s="293"/>
      <c r="BY159" s="293"/>
      <c r="BZ159" s="86"/>
      <c r="CA159" s="246"/>
      <c r="CB159" s="297"/>
    </row>
    <row r="160" spans="2:80" ht="15.95" hidden="1" customHeight="1">
      <c r="B160" s="291"/>
      <c r="C160" s="291"/>
      <c r="D160" s="291"/>
      <c r="E160" s="291"/>
      <c r="F160" s="291"/>
      <c r="G160" s="292"/>
      <c r="H160" s="292"/>
      <c r="I160" s="292"/>
      <c r="J160" s="292"/>
      <c r="K160" s="292"/>
      <c r="L160" s="292"/>
      <c r="M160" s="292"/>
      <c r="BC160" s="293"/>
      <c r="BE160" s="294"/>
      <c r="BF160" s="294"/>
      <c r="BJ160" s="295"/>
      <c r="BK160" s="296"/>
      <c r="BQ160" s="294"/>
      <c r="BU160" s="293"/>
      <c r="BW160" s="293"/>
      <c r="BY160" s="293"/>
      <c r="BZ160" s="86"/>
      <c r="CA160" s="246"/>
      <c r="CB160" s="297"/>
    </row>
    <row r="161" spans="2:80" ht="15.95" hidden="1" customHeight="1">
      <c r="B161" s="291"/>
      <c r="C161" s="291"/>
      <c r="D161" s="291"/>
      <c r="E161" s="291"/>
      <c r="F161" s="291"/>
      <c r="G161" s="292"/>
      <c r="H161" s="292"/>
      <c r="I161" s="292"/>
      <c r="J161" s="292"/>
      <c r="K161" s="292"/>
      <c r="L161" s="292"/>
      <c r="M161" s="292"/>
      <c r="BC161" s="293"/>
      <c r="BE161" s="294"/>
      <c r="BF161" s="294"/>
      <c r="BJ161" s="295"/>
      <c r="BK161" s="296"/>
      <c r="BQ161" s="294"/>
      <c r="BU161" s="293"/>
      <c r="BW161" s="293"/>
      <c r="BY161" s="293"/>
      <c r="BZ161" s="86"/>
      <c r="CA161" s="246"/>
      <c r="CB161" s="297"/>
    </row>
    <row r="162" spans="2:80" ht="15.95" hidden="1" customHeight="1">
      <c r="B162" s="291"/>
      <c r="C162" s="291"/>
      <c r="D162" s="291"/>
      <c r="E162" s="291"/>
      <c r="F162" s="291"/>
      <c r="G162" s="292"/>
      <c r="H162" s="292"/>
      <c r="I162" s="292"/>
      <c r="J162" s="292"/>
      <c r="K162" s="292"/>
      <c r="L162" s="292"/>
      <c r="M162" s="292"/>
      <c r="BC162" s="293"/>
      <c r="BE162" s="294"/>
      <c r="BF162" s="294"/>
      <c r="BJ162" s="295"/>
      <c r="BK162" s="296"/>
      <c r="BQ162" s="294"/>
      <c r="BU162" s="293"/>
      <c r="BW162" s="293"/>
      <c r="BY162" s="293"/>
      <c r="BZ162" s="86"/>
      <c r="CA162" s="246"/>
      <c r="CB162" s="297"/>
    </row>
    <row r="163" spans="2:80" ht="15.95" hidden="1" customHeight="1">
      <c r="B163" s="291"/>
      <c r="C163" s="291"/>
      <c r="D163" s="291"/>
      <c r="E163" s="291"/>
      <c r="F163" s="291"/>
      <c r="G163" s="292"/>
      <c r="H163" s="292"/>
      <c r="I163" s="292"/>
      <c r="J163" s="292"/>
      <c r="K163" s="292"/>
      <c r="L163" s="292"/>
      <c r="M163" s="292"/>
      <c r="BC163" s="293"/>
      <c r="BE163" s="294"/>
      <c r="BF163" s="294"/>
      <c r="BJ163" s="295"/>
      <c r="BK163" s="296"/>
      <c r="BQ163" s="294"/>
      <c r="BU163" s="293"/>
      <c r="BW163" s="293"/>
      <c r="BY163" s="293"/>
      <c r="BZ163" s="86"/>
      <c r="CA163" s="246"/>
      <c r="CB163" s="297"/>
    </row>
    <row r="164" spans="2:80" ht="15.95" hidden="1" customHeight="1">
      <c r="B164" s="291"/>
      <c r="C164" s="291"/>
      <c r="D164" s="291"/>
      <c r="E164" s="291"/>
      <c r="F164" s="291"/>
      <c r="G164" s="292"/>
      <c r="H164" s="292"/>
      <c r="I164" s="292"/>
      <c r="J164" s="292"/>
      <c r="K164" s="292"/>
      <c r="L164" s="292"/>
      <c r="M164" s="292"/>
      <c r="BC164" s="293"/>
      <c r="BE164" s="294"/>
      <c r="BF164" s="294"/>
      <c r="BJ164" s="295"/>
      <c r="BK164" s="296"/>
      <c r="BQ164" s="294"/>
      <c r="BU164" s="293"/>
      <c r="BW164" s="293"/>
      <c r="BY164" s="293"/>
      <c r="BZ164" s="86"/>
      <c r="CA164" s="246"/>
      <c r="CB164" s="297"/>
    </row>
    <row r="165" spans="2:80" ht="15.95" hidden="1" customHeight="1">
      <c r="B165" s="291"/>
      <c r="C165" s="291"/>
      <c r="D165" s="291"/>
      <c r="E165" s="291"/>
      <c r="F165" s="291"/>
      <c r="G165" s="292"/>
      <c r="H165" s="292"/>
      <c r="I165" s="292"/>
      <c r="J165" s="292"/>
      <c r="K165" s="292"/>
      <c r="L165" s="292"/>
      <c r="M165" s="292"/>
      <c r="BC165" s="293"/>
      <c r="BE165" s="294"/>
      <c r="BF165" s="294"/>
      <c r="BJ165" s="295"/>
      <c r="BK165" s="296"/>
      <c r="BQ165" s="294"/>
      <c r="BU165" s="293"/>
      <c r="BW165" s="293"/>
      <c r="BY165" s="293"/>
      <c r="BZ165" s="86"/>
      <c r="CA165" s="246"/>
      <c r="CB165" s="297"/>
    </row>
    <row r="166" spans="2:80" ht="15.95" hidden="1" customHeight="1">
      <c r="B166" s="291"/>
      <c r="C166" s="291"/>
      <c r="D166" s="291"/>
      <c r="E166" s="291"/>
      <c r="F166" s="291"/>
      <c r="G166" s="292"/>
      <c r="H166" s="292"/>
      <c r="I166" s="292"/>
      <c r="J166" s="292"/>
      <c r="K166" s="292"/>
      <c r="L166" s="292"/>
      <c r="M166" s="292"/>
      <c r="BC166" s="293"/>
      <c r="BE166" s="294"/>
      <c r="BF166" s="294"/>
      <c r="BJ166" s="295"/>
      <c r="BK166" s="296"/>
      <c r="BQ166" s="294"/>
      <c r="BU166" s="293"/>
      <c r="BW166" s="293"/>
      <c r="BY166" s="293"/>
      <c r="BZ166" s="86"/>
      <c r="CA166" s="246"/>
      <c r="CB166" s="297"/>
    </row>
    <row r="167" spans="2:80" ht="15.95" hidden="1" customHeight="1">
      <c r="B167" s="291"/>
      <c r="C167" s="291"/>
      <c r="D167" s="291"/>
      <c r="E167" s="291"/>
      <c r="F167" s="291"/>
      <c r="G167" s="292"/>
      <c r="H167" s="292"/>
      <c r="I167" s="292"/>
      <c r="J167" s="292"/>
      <c r="K167" s="292"/>
      <c r="L167" s="292"/>
      <c r="M167" s="292"/>
      <c r="BC167" s="293"/>
      <c r="BE167" s="294"/>
      <c r="BF167" s="294"/>
      <c r="BJ167" s="295"/>
      <c r="BK167" s="296"/>
      <c r="BQ167" s="294"/>
      <c r="BU167" s="293"/>
      <c r="BW167" s="293"/>
      <c r="BY167" s="293"/>
      <c r="BZ167" s="86"/>
      <c r="CA167" s="246"/>
      <c r="CB167" s="297"/>
    </row>
    <row r="168" spans="2:80" ht="15.95" hidden="1" customHeight="1">
      <c r="B168" s="291"/>
      <c r="C168" s="291"/>
      <c r="D168" s="291"/>
      <c r="E168" s="291"/>
      <c r="F168" s="291"/>
      <c r="G168" s="292"/>
      <c r="H168" s="292"/>
      <c r="I168" s="292"/>
      <c r="J168" s="292"/>
      <c r="K168" s="292"/>
      <c r="L168" s="292"/>
      <c r="M168" s="292"/>
      <c r="BC168" s="293"/>
      <c r="BE168" s="294"/>
      <c r="BF168" s="294"/>
      <c r="BJ168" s="295"/>
      <c r="BK168" s="296"/>
      <c r="BQ168" s="294"/>
      <c r="BU168" s="293"/>
      <c r="BW168" s="293"/>
      <c r="BY168" s="293"/>
      <c r="BZ168" s="86"/>
      <c r="CA168" s="246"/>
      <c r="CB168" s="297"/>
    </row>
    <row r="169" spans="2:80" ht="15.95" hidden="1" customHeight="1">
      <c r="B169" s="291"/>
      <c r="C169" s="291"/>
      <c r="D169" s="291"/>
      <c r="E169" s="291"/>
      <c r="F169" s="291"/>
      <c r="G169" s="292"/>
      <c r="H169" s="292"/>
      <c r="I169" s="292"/>
      <c r="J169" s="292"/>
      <c r="K169" s="292"/>
      <c r="L169" s="292"/>
      <c r="M169" s="292"/>
      <c r="BC169" s="293"/>
      <c r="BE169" s="294"/>
      <c r="BF169" s="294"/>
      <c r="BJ169" s="295"/>
      <c r="BK169" s="296"/>
      <c r="BQ169" s="294"/>
      <c r="BU169" s="293"/>
      <c r="BW169" s="293"/>
      <c r="BY169" s="293"/>
      <c r="BZ169" s="86"/>
      <c r="CA169" s="246"/>
      <c r="CB169" s="297"/>
    </row>
    <row r="170" spans="2:80" ht="15.95" hidden="1" customHeight="1">
      <c r="B170" s="291"/>
      <c r="C170" s="291"/>
      <c r="D170" s="291"/>
      <c r="E170" s="291"/>
      <c r="F170" s="291"/>
      <c r="G170" s="292"/>
      <c r="H170" s="292"/>
      <c r="I170" s="292"/>
      <c r="J170" s="292"/>
      <c r="K170" s="292"/>
      <c r="L170" s="292"/>
      <c r="M170" s="292"/>
      <c r="BC170" s="293"/>
      <c r="BE170" s="294"/>
      <c r="BF170" s="294"/>
      <c r="BJ170" s="295"/>
      <c r="BK170" s="296"/>
      <c r="BQ170" s="294"/>
      <c r="BU170" s="293"/>
      <c r="BW170" s="293"/>
      <c r="BY170" s="293"/>
      <c r="BZ170" s="86"/>
      <c r="CA170" s="246"/>
      <c r="CB170" s="297"/>
    </row>
    <row r="171" spans="2:80" ht="15.95" hidden="1" customHeight="1">
      <c r="B171" s="291"/>
      <c r="C171" s="291"/>
      <c r="D171" s="291"/>
      <c r="E171" s="291"/>
      <c r="F171" s="291"/>
      <c r="G171" s="292"/>
      <c r="H171" s="292"/>
      <c r="I171" s="292"/>
      <c r="J171" s="292"/>
      <c r="K171" s="292"/>
      <c r="L171" s="292"/>
      <c r="M171" s="292"/>
      <c r="BC171" s="293"/>
      <c r="BE171" s="294"/>
      <c r="BF171" s="294"/>
      <c r="BJ171" s="295"/>
      <c r="BK171" s="296"/>
      <c r="BQ171" s="294"/>
      <c r="BU171" s="293"/>
      <c r="BW171" s="293"/>
      <c r="BY171" s="293"/>
      <c r="BZ171" s="86"/>
      <c r="CA171" s="246"/>
      <c r="CB171" s="297"/>
    </row>
    <row r="172" spans="2:80" ht="15.95" hidden="1" customHeight="1">
      <c r="B172" s="291"/>
      <c r="C172" s="291"/>
      <c r="D172" s="291"/>
      <c r="E172" s="291"/>
      <c r="F172" s="291"/>
      <c r="G172" s="292"/>
      <c r="H172" s="292"/>
      <c r="I172" s="292"/>
      <c r="J172" s="292"/>
      <c r="K172" s="292"/>
      <c r="L172" s="292"/>
      <c r="M172" s="292"/>
      <c r="BC172" s="293"/>
      <c r="BE172" s="294"/>
      <c r="BF172" s="294"/>
      <c r="BJ172" s="295"/>
      <c r="BK172" s="296"/>
      <c r="BQ172" s="294"/>
      <c r="BU172" s="293"/>
      <c r="BW172" s="293"/>
      <c r="BY172" s="293"/>
      <c r="BZ172" s="86"/>
      <c r="CA172" s="246"/>
      <c r="CB172" s="297"/>
    </row>
    <row r="173" spans="2:80" ht="15.95" hidden="1" customHeight="1">
      <c r="B173" s="291"/>
      <c r="C173" s="291"/>
      <c r="D173" s="291"/>
      <c r="E173" s="291"/>
      <c r="F173" s="291"/>
      <c r="G173" s="292"/>
      <c r="H173" s="292"/>
      <c r="I173" s="292"/>
      <c r="J173" s="292"/>
      <c r="K173" s="292"/>
      <c r="L173" s="292"/>
      <c r="M173" s="292"/>
      <c r="BC173" s="293"/>
      <c r="BE173" s="294"/>
      <c r="BF173" s="294"/>
      <c r="BJ173" s="295"/>
      <c r="BK173" s="296"/>
      <c r="BQ173" s="294"/>
      <c r="BU173" s="293"/>
      <c r="BW173" s="293"/>
      <c r="BY173" s="293"/>
      <c r="BZ173" s="86"/>
      <c r="CA173" s="246"/>
      <c r="CB173" s="297"/>
    </row>
    <row r="174" spans="2:80" ht="15.95" hidden="1" customHeight="1">
      <c r="B174" s="291"/>
      <c r="C174" s="291"/>
      <c r="D174" s="291"/>
      <c r="E174" s="291"/>
      <c r="F174" s="291"/>
      <c r="G174" s="292"/>
      <c r="H174" s="292"/>
      <c r="I174" s="292"/>
      <c r="J174" s="292"/>
      <c r="K174" s="292"/>
      <c r="L174" s="292"/>
      <c r="M174" s="292"/>
      <c r="BC174" s="293"/>
      <c r="BE174" s="294"/>
      <c r="BF174" s="294"/>
      <c r="BJ174" s="295"/>
      <c r="BK174" s="296"/>
      <c r="BQ174" s="294"/>
      <c r="BU174" s="293"/>
      <c r="BW174" s="293"/>
      <c r="BY174" s="293"/>
      <c r="BZ174" s="86"/>
      <c r="CA174" s="246"/>
      <c r="CB174" s="297"/>
    </row>
    <row r="175" spans="2:80" ht="15.95" hidden="1" customHeight="1">
      <c r="B175" s="291"/>
      <c r="C175" s="291"/>
      <c r="D175" s="291"/>
      <c r="E175" s="291"/>
      <c r="F175" s="291"/>
      <c r="G175" s="292"/>
      <c r="H175" s="292"/>
      <c r="I175" s="292"/>
      <c r="J175" s="292"/>
      <c r="K175" s="292"/>
      <c r="L175" s="292"/>
      <c r="M175" s="292"/>
      <c r="BC175" s="293"/>
      <c r="BE175" s="294"/>
      <c r="BF175" s="294"/>
      <c r="BJ175" s="295"/>
      <c r="BK175" s="296"/>
      <c r="BQ175" s="294"/>
      <c r="BU175" s="293"/>
      <c r="BW175" s="293"/>
      <c r="BY175" s="293"/>
      <c r="BZ175" s="86"/>
      <c r="CA175" s="246"/>
      <c r="CB175" s="297"/>
    </row>
    <row r="176" spans="2:80" ht="15.95" hidden="1" customHeight="1">
      <c r="B176" s="291"/>
      <c r="C176" s="291"/>
      <c r="D176" s="291"/>
      <c r="E176" s="291"/>
      <c r="F176" s="291"/>
      <c r="G176" s="292"/>
      <c r="H176" s="292"/>
      <c r="I176" s="292"/>
      <c r="J176" s="292"/>
      <c r="K176" s="292"/>
      <c r="L176" s="292"/>
      <c r="M176" s="292"/>
      <c r="BC176" s="293"/>
      <c r="BE176" s="294"/>
      <c r="BF176" s="294"/>
      <c r="BJ176" s="295"/>
      <c r="BK176" s="296"/>
      <c r="BQ176" s="294"/>
      <c r="BU176" s="293"/>
      <c r="BW176" s="293"/>
      <c r="BY176" s="293"/>
      <c r="BZ176" s="86"/>
      <c r="CA176" s="246"/>
      <c r="CB176" s="297"/>
    </row>
    <row r="177" spans="2:80" ht="15.95" hidden="1" customHeight="1">
      <c r="B177" s="291"/>
      <c r="C177" s="291"/>
      <c r="D177" s="291"/>
      <c r="E177" s="291"/>
      <c r="F177" s="291"/>
      <c r="G177" s="292"/>
      <c r="H177" s="292"/>
      <c r="I177" s="292"/>
      <c r="J177" s="292"/>
      <c r="K177" s="292"/>
      <c r="L177" s="292"/>
      <c r="M177" s="292"/>
      <c r="BC177" s="293"/>
      <c r="BE177" s="294"/>
      <c r="BF177" s="294"/>
      <c r="BJ177" s="295"/>
      <c r="BK177" s="296"/>
      <c r="BQ177" s="294"/>
      <c r="BU177" s="293"/>
      <c r="BW177" s="293"/>
      <c r="BY177" s="293"/>
      <c r="BZ177" s="86"/>
      <c r="CA177" s="246"/>
      <c r="CB177" s="297"/>
    </row>
    <row r="178" spans="2:80" ht="15.95" hidden="1" customHeight="1">
      <c r="B178" s="291"/>
      <c r="C178" s="291"/>
      <c r="D178" s="291"/>
      <c r="E178" s="291"/>
      <c r="F178" s="291"/>
      <c r="G178" s="292"/>
      <c r="H178" s="292"/>
      <c r="I178" s="292"/>
      <c r="J178" s="292"/>
      <c r="K178" s="292"/>
      <c r="L178" s="292"/>
      <c r="M178" s="292"/>
      <c r="BC178" s="293"/>
      <c r="BE178" s="294"/>
      <c r="BF178" s="294"/>
      <c r="BJ178" s="295"/>
      <c r="BK178" s="296"/>
      <c r="BQ178" s="294"/>
      <c r="BU178" s="293"/>
      <c r="BW178" s="293"/>
      <c r="BY178" s="293"/>
      <c r="BZ178" s="86"/>
      <c r="CA178" s="246"/>
      <c r="CB178" s="297"/>
    </row>
    <row r="179" spans="2:80" ht="15.95" hidden="1" customHeight="1">
      <c r="B179" s="291"/>
      <c r="C179" s="291"/>
      <c r="D179" s="291"/>
      <c r="E179" s="291"/>
      <c r="F179" s="291"/>
      <c r="G179" s="292"/>
      <c r="H179" s="292"/>
      <c r="I179" s="292"/>
      <c r="J179" s="292"/>
      <c r="K179" s="292"/>
      <c r="L179" s="292"/>
      <c r="M179" s="292"/>
      <c r="BC179" s="293"/>
      <c r="BE179" s="294"/>
      <c r="BF179" s="294"/>
      <c r="BJ179" s="295"/>
      <c r="BK179" s="296"/>
      <c r="BQ179" s="294"/>
      <c r="BU179" s="293"/>
      <c r="BW179" s="293"/>
      <c r="BY179" s="293"/>
      <c r="BZ179" s="86"/>
      <c r="CA179" s="246"/>
      <c r="CB179" s="297"/>
    </row>
    <row r="180" spans="2:80" ht="15.95" hidden="1" customHeight="1">
      <c r="B180" s="291"/>
      <c r="C180" s="291"/>
      <c r="D180" s="291"/>
      <c r="E180" s="291"/>
      <c r="F180" s="291"/>
      <c r="G180" s="292"/>
      <c r="H180" s="292"/>
      <c r="I180" s="292"/>
      <c r="J180" s="292"/>
      <c r="K180" s="292"/>
      <c r="L180" s="292"/>
      <c r="M180" s="292"/>
      <c r="BC180" s="293"/>
      <c r="BE180" s="294"/>
      <c r="BF180" s="294"/>
      <c r="BJ180" s="295"/>
      <c r="BK180" s="296"/>
      <c r="BQ180" s="294"/>
      <c r="BU180" s="293"/>
      <c r="BW180" s="293"/>
      <c r="BY180" s="293"/>
      <c r="BZ180" s="86"/>
      <c r="CA180" s="246"/>
      <c r="CB180" s="297"/>
    </row>
    <row r="181" spans="2:80" ht="15.95" hidden="1" customHeight="1">
      <c r="B181" s="291"/>
      <c r="C181" s="291"/>
      <c r="D181" s="291"/>
      <c r="E181" s="291"/>
      <c r="F181" s="291"/>
      <c r="G181" s="292"/>
      <c r="H181" s="292"/>
      <c r="I181" s="292"/>
      <c r="J181" s="292"/>
      <c r="K181" s="292"/>
      <c r="L181" s="292"/>
      <c r="M181" s="292"/>
      <c r="BC181" s="293"/>
      <c r="BE181" s="294"/>
      <c r="BF181" s="294"/>
      <c r="BJ181" s="295"/>
      <c r="BK181" s="296"/>
      <c r="BQ181" s="294"/>
      <c r="BU181" s="293"/>
      <c r="BW181" s="293"/>
      <c r="BY181" s="293"/>
      <c r="BZ181" s="86"/>
      <c r="CA181" s="246"/>
      <c r="CB181" s="297"/>
    </row>
    <row r="182" spans="2:80" ht="15.95" hidden="1" customHeight="1">
      <c r="B182" s="291"/>
      <c r="C182" s="291"/>
      <c r="D182" s="291"/>
      <c r="E182" s="291"/>
      <c r="F182" s="291"/>
      <c r="G182" s="292"/>
      <c r="H182" s="292"/>
      <c r="I182" s="292"/>
      <c r="J182" s="292"/>
      <c r="K182" s="292"/>
      <c r="L182" s="292"/>
      <c r="M182" s="292"/>
      <c r="BC182" s="293"/>
      <c r="BE182" s="294"/>
      <c r="BF182" s="294"/>
      <c r="BJ182" s="295"/>
      <c r="BK182" s="296"/>
      <c r="BQ182" s="294"/>
      <c r="BU182" s="293"/>
      <c r="BW182" s="293"/>
      <c r="BY182" s="293"/>
      <c r="BZ182" s="86"/>
      <c r="CA182" s="246"/>
      <c r="CB182" s="297"/>
    </row>
    <row r="183" spans="2:80" ht="15.95" hidden="1" customHeight="1">
      <c r="B183" s="291"/>
      <c r="C183" s="291"/>
      <c r="D183" s="291"/>
      <c r="E183" s="291"/>
      <c r="F183" s="291"/>
      <c r="G183" s="292"/>
      <c r="H183" s="292"/>
      <c r="I183" s="292"/>
      <c r="J183" s="292"/>
      <c r="K183" s="292"/>
      <c r="L183" s="292"/>
      <c r="M183" s="292"/>
      <c r="BC183" s="293"/>
      <c r="BE183" s="294"/>
      <c r="BF183" s="294"/>
      <c r="BJ183" s="295"/>
      <c r="BK183" s="296"/>
      <c r="BQ183" s="294"/>
      <c r="BU183" s="293"/>
      <c r="BW183" s="293"/>
      <c r="BY183" s="293"/>
      <c r="BZ183" s="86"/>
      <c r="CA183" s="246"/>
      <c r="CB183" s="297"/>
    </row>
    <row r="184" spans="2:80" ht="15.95" hidden="1" customHeight="1">
      <c r="B184" s="291"/>
      <c r="C184" s="291"/>
      <c r="D184" s="291"/>
      <c r="E184" s="291"/>
      <c r="F184" s="291"/>
      <c r="G184" s="292"/>
      <c r="H184" s="292"/>
      <c r="I184" s="292"/>
      <c r="J184" s="292"/>
      <c r="K184" s="292"/>
      <c r="L184" s="292"/>
      <c r="M184" s="292"/>
      <c r="BC184" s="293"/>
      <c r="BE184" s="294"/>
      <c r="BF184" s="294"/>
      <c r="BJ184" s="295"/>
      <c r="BK184" s="296"/>
      <c r="BQ184" s="294"/>
      <c r="BU184" s="293"/>
      <c r="BW184" s="293"/>
      <c r="BY184" s="293"/>
      <c r="BZ184" s="86"/>
      <c r="CA184" s="246"/>
      <c r="CB184" s="297"/>
    </row>
    <row r="185" spans="2:80" ht="15.95" hidden="1" customHeight="1">
      <c r="B185" s="291"/>
      <c r="C185" s="291"/>
      <c r="D185" s="291"/>
      <c r="E185" s="291"/>
      <c r="F185" s="291"/>
      <c r="G185" s="292"/>
      <c r="H185" s="292"/>
      <c r="I185" s="292"/>
      <c r="J185" s="292"/>
      <c r="K185" s="292"/>
      <c r="L185" s="292"/>
      <c r="M185" s="292"/>
      <c r="BC185" s="293"/>
      <c r="BE185" s="294"/>
      <c r="BF185" s="294"/>
      <c r="BJ185" s="295"/>
      <c r="BK185" s="296"/>
      <c r="BQ185" s="294"/>
      <c r="BU185" s="293"/>
      <c r="BW185" s="293"/>
      <c r="BY185" s="293"/>
      <c r="BZ185" s="86"/>
      <c r="CA185" s="246"/>
      <c r="CB185" s="297"/>
    </row>
    <row r="186" spans="2:80" ht="15.95" hidden="1" customHeight="1">
      <c r="B186" s="291"/>
      <c r="C186" s="291"/>
      <c r="D186" s="291"/>
      <c r="E186" s="291"/>
      <c r="F186" s="291"/>
      <c r="G186" s="292"/>
      <c r="H186" s="292"/>
      <c r="I186" s="292"/>
      <c r="J186" s="292"/>
      <c r="K186" s="292"/>
      <c r="L186" s="292"/>
      <c r="M186" s="292"/>
      <c r="BC186" s="293"/>
      <c r="BE186" s="294"/>
      <c r="BF186" s="294"/>
      <c r="BJ186" s="295"/>
      <c r="BK186" s="296"/>
      <c r="BQ186" s="294"/>
      <c r="BU186" s="293"/>
      <c r="BW186" s="293"/>
      <c r="BY186" s="293"/>
      <c r="BZ186" s="86"/>
      <c r="CA186" s="246"/>
      <c r="CB186" s="297"/>
    </row>
    <row r="187" spans="2:80" ht="15.95" hidden="1" customHeight="1">
      <c r="B187" s="291"/>
      <c r="C187" s="291"/>
      <c r="D187" s="291"/>
      <c r="E187" s="291"/>
      <c r="F187" s="291"/>
      <c r="G187" s="292"/>
      <c r="H187" s="292"/>
      <c r="I187" s="292"/>
      <c r="J187" s="292"/>
      <c r="K187" s="292"/>
      <c r="L187" s="292"/>
      <c r="M187" s="292"/>
      <c r="BC187" s="293"/>
      <c r="BE187" s="294"/>
      <c r="BF187" s="294"/>
      <c r="BJ187" s="295"/>
      <c r="BK187" s="296"/>
      <c r="BQ187" s="294"/>
      <c r="BU187" s="293"/>
      <c r="BW187" s="293"/>
      <c r="BY187" s="293"/>
      <c r="BZ187" s="86"/>
      <c r="CA187" s="246"/>
      <c r="CB187" s="297"/>
    </row>
    <row r="188" spans="2:80" ht="15.95" hidden="1" customHeight="1">
      <c r="B188" s="291"/>
      <c r="C188" s="291"/>
      <c r="D188" s="291"/>
      <c r="E188" s="291"/>
      <c r="F188" s="291"/>
      <c r="G188" s="292"/>
      <c r="H188" s="292"/>
      <c r="I188" s="292"/>
      <c r="J188" s="292"/>
      <c r="K188" s="292"/>
      <c r="L188" s="292"/>
      <c r="M188" s="292"/>
      <c r="BC188" s="293"/>
      <c r="BE188" s="294"/>
      <c r="BF188" s="294"/>
      <c r="BJ188" s="295"/>
      <c r="BK188" s="296"/>
      <c r="BQ188" s="294"/>
      <c r="BU188" s="293"/>
      <c r="BW188" s="293"/>
      <c r="BY188" s="293"/>
      <c r="BZ188" s="86"/>
      <c r="CA188" s="246"/>
      <c r="CB188" s="297"/>
    </row>
    <row r="189" spans="2:80" ht="15.95" hidden="1" customHeight="1">
      <c r="B189" s="291"/>
      <c r="C189" s="291"/>
      <c r="D189" s="291"/>
      <c r="E189" s="291"/>
      <c r="F189" s="291"/>
      <c r="G189" s="292"/>
      <c r="H189" s="292"/>
      <c r="I189" s="292"/>
      <c r="J189" s="292"/>
      <c r="K189" s="292"/>
      <c r="L189" s="292"/>
      <c r="M189" s="292"/>
      <c r="BC189" s="293"/>
      <c r="BE189" s="294"/>
      <c r="BF189" s="294"/>
      <c r="BJ189" s="295"/>
      <c r="BK189" s="296"/>
      <c r="BQ189" s="294"/>
      <c r="BU189" s="293"/>
      <c r="BW189" s="293"/>
      <c r="BY189" s="293"/>
      <c r="BZ189" s="86"/>
      <c r="CA189" s="246"/>
      <c r="CB189" s="297"/>
    </row>
    <row r="190" spans="2:80" ht="15.95" hidden="1" customHeight="1">
      <c r="B190" s="291"/>
      <c r="C190" s="291"/>
      <c r="D190" s="291"/>
      <c r="E190" s="291"/>
      <c r="F190" s="291"/>
      <c r="G190" s="292"/>
      <c r="H190" s="292"/>
      <c r="I190" s="292"/>
      <c r="J190" s="292"/>
      <c r="K190" s="292"/>
      <c r="L190" s="292"/>
      <c r="M190" s="292"/>
      <c r="BC190" s="293"/>
      <c r="BE190" s="294"/>
      <c r="BF190" s="294"/>
      <c r="BJ190" s="295"/>
      <c r="BK190" s="296"/>
      <c r="BQ190" s="294"/>
      <c r="BU190" s="293"/>
      <c r="BW190" s="293"/>
      <c r="BY190" s="293"/>
      <c r="BZ190" s="86"/>
      <c r="CA190" s="246"/>
      <c r="CB190" s="297"/>
    </row>
    <row r="191" spans="2:80" ht="15.95" hidden="1" customHeight="1">
      <c r="B191" s="291"/>
      <c r="C191" s="291"/>
      <c r="D191" s="291"/>
      <c r="E191" s="291"/>
      <c r="F191" s="291"/>
      <c r="G191" s="292"/>
      <c r="H191" s="292"/>
      <c r="I191" s="292"/>
      <c r="J191" s="292"/>
      <c r="K191" s="292"/>
      <c r="L191" s="292"/>
      <c r="M191" s="292"/>
      <c r="BC191" s="293"/>
      <c r="BE191" s="294"/>
      <c r="BF191" s="294"/>
      <c r="BJ191" s="295"/>
      <c r="BK191" s="296"/>
      <c r="BQ191" s="294"/>
      <c r="BU191" s="293"/>
      <c r="BW191" s="293"/>
      <c r="BY191" s="293"/>
      <c r="BZ191" s="86"/>
      <c r="CA191" s="246"/>
      <c r="CB191" s="297"/>
    </row>
    <row r="192" spans="2:80" ht="15.95" hidden="1" customHeight="1">
      <c r="B192" s="291"/>
      <c r="C192" s="291"/>
      <c r="D192" s="291"/>
      <c r="E192" s="291"/>
      <c r="F192" s="291"/>
      <c r="G192" s="292"/>
      <c r="H192" s="292"/>
      <c r="I192" s="292"/>
      <c r="J192" s="292"/>
      <c r="K192" s="292"/>
      <c r="L192" s="292"/>
      <c r="M192" s="292"/>
      <c r="BC192" s="293"/>
      <c r="BE192" s="294"/>
      <c r="BF192" s="294"/>
      <c r="BJ192" s="295"/>
      <c r="BK192" s="296"/>
      <c r="BQ192" s="294"/>
      <c r="BU192" s="293"/>
      <c r="BW192" s="293"/>
      <c r="BY192" s="293"/>
      <c r="BZ192" s="86"/>
      <c r="CA192" s="246"/>
      <c r="CB192" s="297"/>
    </row>
    <row r="193" spans="1:80" ht="15.95" hidden="1" customHeight="1">
      <c r="B193" s="291"/>
      <c r="C193" s="291"/>
      <c r="D193" s="291"/>
      <c r="E193" s="291"/>
      <c r="F193" s="291"/>
      <c r="G193" s="292"/>
      <c r="H193" s="292"/>
      <c r="I193" s="292"/>
      <c r="J193" s="292"/>
      <c r="K193" s="292"/>
      <c r="L193" s="292"/>
      <c r="M193" s="292"/>
      <c r="BC193" s="293"/>
      <c r="BE193" s="294"/>
      <c r="BF193" s="294"/>
      <c r="BJ193" s="295"/>
      <c r="BK193" s="296"/>
      <c r="BQ193" s="294"/>
      <c r="BU193" s="293"/>
      <c r="BW193" s="293"/>
      <c r="BY193" s="293"/>
      <c r="BZ193" s="86"/>
      <c r="CA193" s="246"/>
      <c r="CB193" s="297"/>
    </row>
    <row r="194" spans="1:80" ht="15.95" hidden="1" customHeight="1">
      <c r="B194" s="291"/>
      <c r="C194" s="291"/>
      <c r="D194" s="291"/>
      <c r="E194" s="291"/>
      <c r="F194" s="291"/>
      <c r="G194" s="292"/>
      <c r="H194" s="292"/>
      <c r="I194" s="292"/>
      <c r="J194" s="292"/>
      <c r="K194" s="292"/>
      <c r="L194" s="292"/>
      <c r="M194" s="292"/>
      <c r="BC194" s="293"/>
      <c r="BE194" s="294"/>
      <c r="BF194" s="294"/>
      <c r="BJ194" s="295"/>
      <c r="BK194" s="296"/>
      <c r="BQ194" s="294"/>
      <c r="BU194" s="293"/>
      <c r="BW194" s="293"/>
      <c r="BY194" s="293"/>
      <c r="BZ194" s="86"/>
      <c r="CA194" s="246"/>
      <c r="CB194" s="297"/>
    </row>
    <row r="195" spans="1:80" ht="15.95" hidden="1" customHeight="1">
      <c r="B195" s="291"/>
      <c r="C195" s="291"/>
      <c r="D195" s="291"/>
      <c r="E195" s="291"/>
      <c r="F195" s="291"/>
      <c r="G195" s="292"/>
      <c r="H195" s="292"/>
      <c r="I195" s="292"/>
      <c r="J195" s="292"/>
      <c r="K195" s="292"/>
      <c r="L195" s="292"/>
      <c r="M195" s="292"/>
      <c r="BC195" s="293"/>
      <c r="BE195" s="294"/>
      <c r="BF195" s="294"/>
      <c r="BJ195" s="295"/>
      <c r="BK195" s="296"/>
      <c r="BQ195" s="294"/>
      <c r="BU195" s="293"/>
      <c r="BW195" s="293"/>
      <c r="BY195" s="293"/>
      <c r="BZ195" s="86"/>
      <c r="CA195" s="246"/>
      <c r="CB195" s="297"/>
    </row>
    <row r="196" spans="1:80" ht="15.95" hidden="1" customHeight="1">
      <c r="B196" s="291"/>
      <c r="C196" s="291"/>
      <c r="D196" s="291"/>
      <c r="E196" s="291"/>
      <c r="F196" s="291"/>
      <c r="G196" s="292"/>
      <c r="H196" s="292"/>
      <c r="I196" s="292"/>
      <c r="J196" s="292"/>
      <c r="K196" s="292"/>
      <c r="L196" s="292"/>
      <c r="M196" s="292"/>
      <c r="BC196" s="293"/>
      <c r="BE196" s="294"/>
      <c r="BF196" s="294"/>
      <c r="BJ196" s="295"/>
      <c r="BK196" s="296"/>
      <c r="BQ196" s="294"/>
      <c r="BU196" s="293"/>
      <c r="BW196" s="293"/>
      <c r="BY196" s="293"/>
      <c r="BZ196" s="86"/>
      <c r="CA196" s="246"/>
      <c r="CB196" s="297"/>
    </row>
    <row r="197" spans="1:80" ht="15.95" hidden="1" customHeight="1">
      <c r="B197" s="291"/>
      <c r="C197" s="291"/>
      <c r="D197" s="291"/>
      <c r="E197" s="291"/>
      <c r="F197" s="291"/>
      <c r="G197" s="292"/>
      <c r="H197" s="292"/>
      <c r="I197" s="292"/>
      <c r="J197" s="292"/>
      <c r="K197" s="292"/>
      <c r="L197" s="292"/>
      <c r="M197" s="292"/>
      <c r="BC197" s="293"/>
      <c r="BE197" s="294"/>
      <c r="BF197" s="294"/>
      <c r="BJ197" s="295"/>
      <c r="BK197" s="296"/>
      <c r="BQ197" s="294"/>
      <c r="BU197" s="293"/>
      <c r="BW197" s="293"/>
      <c r="BY197" s="293"/>
      <c r="BZ197" s="86"/>
      <c r="CA197" s="246"/>
      <c r="CB197" s="297"/>
    </row>
    <row r="198" spans="1:80" ht="15.95" hidden="1" customHeight="1">
      <c r="B198" s="291"/>
      <c r="C198" s="291"/>
      <c r="D198" s="291"/>
      <c r="E198" s="291"/>
      <c r="F198" s="291"/>
      <c r="G198" s="292"/>
      <c r="H198" s="292"/>
      <c r="I198" s="292"/>
      <c r="J198" s="292"/>
      <c r="K198" s="292"/>
      <c r="L198" s="292"/>
      <c r="M198" s="292"/>
      <c r="BC198" s="293"/>
      <c r="BE198" s="294"/>
      <c r="BF198" s="294"/>
      <c r="BJ198" s="295"/>
      <c r="BK198" s="296"/>
      <c r="BQ198" s="294"/>
      <c r="BU198" s="293"/>
      <c r="BW198" s="293"/>
      <c r="BY198" s="293"/>
      <c r="BZ198" s="86"/>
      <c r="CA198" s="246"/>
      <c r="CB198" s="297"/>
    </row>
    <row r="199" spans="1:80" ht="15.95" hidden="1" customHeight="1">
      <c r="B199" s="291"/>
      <c r="C199" s="291"/>
      <c r="D199" s="291"/>
      <c r="E199" s="291"/>
      <c r="F199" s="291"/>
      <c r="G199" s="292"/>
      <c r="H199" s="292"/>
      <c r="I199" s="292"/>
      <c r="J199" s="292"/>
      <c r="K199" s="292"/>
      <c r="L199" s="292"/>
      <c r="M199" s="292"/>
      <c r="BC199" s="293"/>
      <c r="BE199" s="294"/>
      <c r="BF199" s="294"/>
      <c r="BJ199" s="295"/>
      <c r="BK199" s="296"/>
      <c r="BQ199" s="294"/>
      <c r="BU199" s="293"/>
      <c r="BW199" s="293"/>
      <c r="BY199" s="293"/>
      <c r="BZ199" s="86"/>
      <c r="CA199" s="246"/>
      <c r="CB199" s="297"/>
    </row>
    <row r="200" spans="1:80"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E200" s="861">
        <f>SUM(BE18:BE199)</f>
        <v>0</v>
      </c>
      <c r="BF200" s="861">
        <f>SUM(BF18:BF199)</f>
        <v>0</v>
      </c>
      <c r="BH200" s="863">
        <f>SUM(BH18:BH199)</f>
        <v>0</v>
      </c>
      <c r="BI200" s="861">
        <f>SUM(BI18:BI199)</f>
        <v>0</v>
      </c>
      <c r="BL200" s="862">
        <f>SUM(BL18:BL199)</f>
        <v>0</v>
      </c>
      <c r="BQ200" s="319"/>
    </row>
    <row r="201" spans="1:80"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E201" s="861"/>
      <c r="BF201" s="861"/>
      <c r="BH201" s="863"/>
      <c r="BI201" s="861"/>
      <c r="BL201" s="862"/>
      <c r="BQ201" s="319"/>
    </row>
    <row r="202" spans="1:80"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80" ht="15.95" hidden="1" customHeight="1"/>
    <row r="204" spans="1:80" ht="15.95" hidden="1" customHeight="1"/>
  </sheetData>
  <sheetProtection algorithmName="SHA-512" hashValue="TwvKEJPWtEfP/Ml01Y11b5Isk+GEvoCnJnDkzqZMedjaIC4odX+dS2TqT8AR91oAyufofBpUR8fL1i2dz8APJQ==" saltValue="4PTmDZJ1a9/fXkCClcu4Qw==" spinCount="100000" sheet="1" objects="1" scenarios="1" selectLockedCells="1"/>
  <mergeCells count="1798">
    <mergeCell ref="BN80:BN81"/>
    <mergeCell ref="BO80:BO81"/>
    <mergeCell ref="BR80:BR81"/>
    <mergeCell ref="BT80:BT81"/>
    <mergeCell ref="BV80:BV81"/>
    <mergeCell ref="BX80:BX81"/>
    <mergeCell ref="AY82:AY83"/>
    <mergeCell ref="AZ82:AZ83"/>
    <mergeCell ref="BG82:BG83"/>
    <mergeCell ref="BN82:BN83"/>
    <mergeCell ref="BO82:BO83"/>
    <mergeCell ref="BR82:BR83"/>
    <mergeCell ref="BT82:BT83"/>
    <mergeCell ref="BV82:BV83"/>
    <mergeCell ref="BX82:BX83"/>
    <mergeCell ref="BM82:BM83"/>
    <mergeCell ref="BE80:BE81"/>
    <mergeCell ref="BF80:BF81"/>
    <mergeCell ref="BH80:BH81"/>
    <mergeCell ref="BI80:BI81"/>
    <mergeCell ref="BA80:BA81"/>
    <mergeCell ref="BB80:BB81"/>
    <mergeCell ref="BC80:BC81"/>
    <mergeCell ref="BP82:BP83"/>
    <mergeCell ref="BB82:BB83"/>
    <mergeCell ref="BC82:BC83"/>
    <mergeCell ref="BE82:BE83"/>
    <mergeCell ref="BF82:BF83"/>
    <mergeCell ref="BW82:BW83"/>
    <mergeCell ref="BX76:BX77"/>
    <mergeCell ref="AY78:AY79"/>
    <mergeCell ref="AZ78:AZ79"/>
    <mergeCell ref="BG78:BG79"/>
    <mergeCell ref="BN78:BN79"/>
    <mergeCell ref="BO78:BO79"/>
    <mergeCell ref="BR78:BR79"/>
    <mergeCell ref="BT78:BT79"/>
    <mergeCell ref="BV78:BV79"/>
    <mergeCell ref="BX78:BX79"/>
    <mergeCell ref="BK78:BK79"/>
    <mergeCell ref="BJ76:BJ77"/>
    <mergeCell ref="BK76:BK77"/>
    <mergeCell ref="BC78:BC79"/>
    <mergeCell ref="BE78:BE79"/>
    <mergeCell ref="BF78:BF79"/>
    <mergeCell ref="BW78:BW79"/>
    <mergeCell ref="BB76:BB77"/>
    <mergeCell ref="BC76:BC77"/>
    <mergeCell ref="BE76:BE77"/>
    <mergeCell ref="BF76:BF77"/>
    <mergeCell ref="BW76:BW77"/>
    <mergeCell ref="BQ76:BQ77"/>
    <mergeCell ref="BQ78:BQ79"/>
    <mergeCell ref="BO76:BO77"/>
    <mergeCell ref="BR76:BR77"/>
    <mergeCell ref="BT76:BT77"/>
    <mergeCell ref="BV76:BV77"/>
    <mergeCell ref="BP78:BP79"/>
    <mergeCell ref="BL76:BL77"/>
    <mergeCell ref="BH76:BH77"/>
    <mergeCell ref="BI76:BI77"/>
    <mergeCell ref="BR68:BR69"/>
    <mergeCell ref="BT68:BT69"/>
    <mergeCell ref="BV68:BV69"/>
    <mergeCell ref="BX68:BX69"/>
    <mergeCell ref="AZ72:AZ73"/>
    <mergeCell ref="BG72:BG73"/>
    <mergeCell ref="BN72:BN73"/>
    <mergeCell ref="BO72:BO73"/>
    <mergeCell ref="BR72:BR73"/>
    <mergeCell ref="BT72:BT73"/>
    <mergeCell ref="BV72:BV73"/>
    <mergeCell ref="BX72:BX73"/>
    <mergeCell ref="AY74:AY75"/>
    <mergeCell ref="AZ74:AZ75"/>
    <mergeCell ref="BG74:BG75"/>
    <mergeCell ref="BN74:BN75"/>
    <mergeCell ref="BO74:BO75"/>
    <mergeCell ref="BR74:BR75"/>
    <mergeCell ref="BT74:BT75"/>
    <mergeCell ref="BV74:BV75"/>
    <mergeCell ref="BX74:BX75"/>
    <mergeCell ref="BJ74:BJ75"/>
    <mergeCell ref="BK74:BK75"/>
    <mergeCell ref="BK72:BK73"/>
    <mergeCell ref="BD74:BD75"/>
    <mergeCell ref="BP74:BP75"/>
    <mergeCell ref="BA74:BA75"/>
    <mergeCell ref="BB74:BB75"/>
    <mergeCell ref="BC74:BC75"/>
    <mergeCell ref="BE74:BE75"/>
    <mergeCell ref="BF74:BF75"/>
    <mergeCell ref="BC72:BC73"/>
    <mergeCell ref="BX62:BX63"/>
    <mergeCell ref="AY64:AY65"/>
    <mergeCell ref="AZ64:AZ65"/>
    <mergeCell ref="BG64:BG65"/>
    <mergeCell ref="BN64:BN65"/>
    <mergeCell ref="BO64:BO65"/>
    <mergeCell ref="BR64:BR65"/>
    <mergeCell ref="BT64:BT65"/>
    <mergeCell ref="BV64:BV65"/>
    <mergeCell ref="BX64:BX65"/>
    <mergeCell ref="BD64:BD65"/>
    <mergeCell ref="BB64:BB65"/>
    <mergeCell ref="BC64:BC65"/>
    <mergeCell ref="BE64:BE65"/>
    <mergeCell ref="BF64:BF65"/>
    <mergeCell ref="BW60:BW61"/>
    <mergeCell ref="BO60:BO61"/>
    <mergeCell ref="BR60:BR61"/>
    <mergeCell ref="BT60:BT61"/>
    <mergeCell ref="AY62:AY63"/>
    <mergeCell ref="AZ62:AZ63"/>
    <mergeCell ref="BV62:BV63"/>
    <mergeCell ref="AY56:AY57"/>
    <mergeCell ref="AZ56:AZ57"/>
    <mergeCell ref="BG56:BG57"/>
    <mergeCell ref="BN56:BN57"/>
    <mergeCell ref="BO56:BO57"/>
    <mergeCell ref="BR56:BR57"/>
    <mergeCell ref="BT56:BT57"/>
    <mergeCell ref="BV56:BV57"/>
    <mergeCell ref="BX56:BX57"/>
    <mergeCell ref="AY58:AY59"/>
    <mergeCell ref="AZ58:AZ59"/>
    <mergeCell ref="BG58:BG59"/>
    <mergeCell ref="BN58:BN59"/>
    <mergeCell ref="BO58:BO59"/>
    <mergeCell ref="BR58:BR59"/>
    <mergeCell ref="BT58:BT59"/>
    <mergeCell ref="BV58:BV59"/>
    <mergeCell ref="BX58:BX59"/>
    <mergeCell ref="BH58:BH59"/>
    <mergeCell ref="BI58:BI59"/>
    <mergeCell ref="BA58:BA59"/>
    <mergeCell ref="BK56:BK57"/>
    <mergeCell ref="BJ56:BJ57"/>
    <mergeCell ref="AY52:AY53"/>
    <mergeCell ref="AZ52:AZ53"/>
    <mergeCell ref="BG52:BG53"/>
    <mergeCell ref="BN52:BN53"/>
    <mergeCell ref="BO52:BO53"/>
    <mergeCell ref="BR52:BR53"/>
    <mergeCell ref="BT52:BT53"/>
    <mergeCell ref="BV52:BV53"/>
    <mergeCell ref="BX52:BX53"/>
    <mergeCell ref="AY54:AY55"/>
    <mergeCell ref="AZ54:AZ55"/>
    <mergeCell ref="BG54:BG55"/>
    <mergeCell ref="BN54:BN55"/>
    <mergeCell ref="BO54:BO55"/>
    <mergeCell ref="BR54:BR55"/>
    <mergeCell ref="BT54:BT55"/>
    <mergeCell ref="BV54:BV55"/>
    <mergeCell ref="BX54:BX55"/>
    <mergeCell ref="BL54:BL55"/>
    <mergeCell ref="BL52:BL53"/>
    <mergeCell ref="BG46:BG47"/>
    <mergeCell ref="BN46:BN47"/>
    <mergeCell ref="BO46:BO47"/>
    <mergeCell ref="BR46:BR47"/>
    <mergeCell ref="BT46:BT47"/>
    <mergeCell ref="BV46:BV47"/>
    <mergeCell ref="BX46:BX47"/>
    <mergeCell ref="BP46:BP47"/>
    <mergeCell ref="BW42:BW43"/>
    <mergeCell ref="BK44:BK45"/>
    <mergeCell ref="BP48:BP49"/>
    <mergeCell ref="BU46:BU47"/>
    <mergeCell ref="BU48:BU49"/>
    <mergeCell ref="BQ46:BQ47"/>
    <mergeCell ref="BQ48:BQ49"/>
    <mergeCell ref="BK46:BK47"/>
    <mergeCell ref="BV50:BV51"/>
    <mergeCell ref="BX50:BX51"/>
    <mergeCell ref="BP50:BP51"/>
    <mergeCell ref="BQ50:BQ51"/>
    <mergeCell ref="BN50:BN51"/>
    <mergeCell ref="BO50:BO51"/>
    <mergeCell ref="BR50:BR51"/>
    <mergeCell ref="BI50:BI51"/>
    <mergeCell ref="AY40:AY41"/>
    <mergeCell ref="AZ40:AZ41"/>
    <mergeCell ref="BG40:BG41"/>
    <mergeCell ref="BN40:BN41"/>
    <mergeCell ref="BO40:BO41"/>
    <mergeCell ref="BR40:BR41"/>
    <mergeCell ref="BT40:BT41"/>
    <mergeCell ref="BV40:BV41"/>
    <mergeCell ref="BX40:BX41"/>
    <mergeCell ref="BL38:BL39"/>
    <mergeCell ref="BA38:BA39"/>
    <mergeCell ref="BW38:BW39"/>
    <mergeCell ref="BG42:BG43"/>
    <mergeCell ref="BN42:BN43"/>
    <mergeCell ref="BO42:BO43"/>
    <mergeCell ref="BR42:BR43"/>
    <mergeCell ref="BT42:BT43"/>
    <mergeCell ref="BV42:BV43"/>
    <mergeCell ref="BX42:BX43"/>
    <mergeCell ref="BE40:BE41"/>
    <mergeCell ref="BF40:BF41"/>
    <mergeCell ref="BW40:BW41"/>
    <mergeCell ref="BK40:BK41"/>
    <mergeCell ref="BK42:BK43"/>
    <mergeCell ref="AY28:AY29"/>
    <mergeCell ref="AZ28:AZ29"/>
    <mergeCell ref="BG28:BG29"/>
    <mergeCell ref="BN28:BN29"/>
    <mergeCell ref="BO28:BO29"/>
    <mergeCell ref="BR28:BR29"/>
    <mergeCell ref="BT28:BT29"/>
    <mergeCell ref="BV28:BV29"/>
    <mergeCell ref="BX28:BX29"/>
    <mergeCell ref="AY30:AY31"/>
    <mergeCell ref="AZ30:AZ31"/>
    <mergeCell ref="BG30:BG31"/>
    <mergeCell ref="BN30:BN31"/>
    <mergeCell ref="BO30:BO31"/>
    <mergeCell ref="BR30:BR31"/>
    <mergeCell ref="BT30:BT31"/>
    <mergeCell ref="BV30:BV31"/>
    <mergeCell ref="BX30:BX31"/>
    <mergeCell ref="AY22:AY23"/>
    <mergeCell ref="AZ22:AZ23"/>
    <mergeCell ref="BG22:BG23"/>
    <mergeCell ref="BN22:BN23"/>
    <mergeCell ref="BO22:BO23"/>
    <mergeCell ref="BR22:BR23"/>
    <mergeCell ref="BT22:BT23"/>
    <mergeCell ref="BV22:BV23"/>
    <mergeCell ref="BX22:BX23"/>
    <mergeCell ref="AY24:AY25"/>
    <mergeCell ref="AZ24:AZ25"/>
    <mergeCell ref="BG24:BG25"/>
    <mergeCell ref="BN24:BN25"/>
    <mergeCell ref="BO24:BO25"/>
    <mergeCell ref="BR24:BR25"/>
    <mergeCell ref="BT24:BT25"/>
    <mergeCell ref="BV24:BV25"/>
    <mergeCell ref="BX24:BX25"/>
    <mergeCell ref="BW22:BW23"/>
    <mergeCell ref="BK22:BK23"/>
    <mergeCell ref="BK24:BK25"/>
    <mergeCell ref="AY18:AY19"/>
    <mergeCell ref="AZ18:AZ19"/>
    <mergeCell ref="BG18:BG19"/>
    <mergeCell ref="BN18:BN19"/>
    <mergeCell ref="BO18:BO19"/>
    <mergeCell ref="BR18:BR19"/>
    <mergeCell ref="BT18:BT19"/>
    <mergeCell ref="BV18:BV19"/>
    <mergeCell ref="BX18:BX19"/>
    <mergeCell ref="AY20:AY21"/>
    <mergeCell ref="AZ20:AZ21"/>
    <mergeCell ref="BG20:BG21"/>
    <mergeCell ref="BN20:BN21"/>
    <mergeCell ref="BO20:BO21"/>
    <mergeCell ref="BR20:BR21"/>
    <mergeCell ref="BT20:BT21"/>
    <mergeCell ref="BV20:BV21"/>
    <mergeCell ref="BX20:BX21"/>
    <mergeCell ref="BW18:BW19"/>
    <mergeCell ref="BW20:BW21"/>
    <mergeCell ref="AY16:AY17"/>
    <mergeCell ref="AZ16:AZ17"/>
    <mergeCell ref="BG16:BG17"/>
    <mergeCell ref="BN16:BN17"/>
    <mergeCell ref="BO16:BO17"/>
    <mergeCell ref="BR16:BR17"/>
    <mergeCell ref="BT16:BT17"/>
    <mergeCell ref="BV16:BV17"/>
    <mergeCell ref="BX16:BX17"/>
    <mergeCell ref="F1:I3"/>
    <mergeCell ref="J1:M3"/>
    <mergeCell ref="AL1:AO3"/>
    <mergeCell ref="AP1:AS3"/>
    <mergeCell ref="AT1:AW3"/>
    <mergeCell ref="BM84:BM85"/>
    <mergeCell ref="BM86:BM87"/>
    <mergeCell ref="BM50:BM51"/>
    <mergeCell ref="BM52:BM53"/>
    <mergeCell ref="BM54:BM55"/>
    <mergeCell ref="BM56:BM57"/>
    <mergeCell ref="BM58:BM59"/>
    <mergeCell ref="BM60:BM61"/>
    <mergeCell ref="BM62:BM63"/>
    <mergeCell ref="BM64:BM65"/>
    <mergeCell ref="BM66:BM67"/>
    <mergeCell ref="BM68:BM69"/>
    <mergeCell ref="BM70:BM71"/>
    <mergeCell ref="BM72:BM73"/>
    <mergeCell ref="BM74:BM75"/>
    <mergeCell ref="BM76:BM77"/>
    <mergeCell ref="BM78:BM79"/>
    <mergeCell ref="BM80:BM81"/>
    <mergeCell ref="BE200:BE201"/>
    <mergeCell ref="BF200:BF201"/>
    <mergeCell ref="CA50:CA51"/>
    <mergeCell ref="CA52:CA53"/>
    <mergeCell ref="CA54:CA55"/>
    <mergeCell ref="CA56:CA57"/>
    <mergeCell ref="CA58:CA59"/>
    <mergeCell ref="CA60:CA61"/>
    <mergeCell ref="CA62:CA63"/>
    <mergeCell ref="CA64:CA65"/>
    <mergeCell ref="CA66:CA67"/>
    <mergeCell ref="CA68:CA69"/>
    <mergeCell ref="CA70:CA71"/>
    <mergeCell ref="CA72:CA73"/>
    <mergeCell ref="CA74:CA75"/>
    <mergeCell ref="CA76:CA77"/>
    <mergeCell ref="CA78:CA79"/>
    <mergeCell ref="CA80:CA81"/>
    <mergeCell ref="CA82:CA83"/>
    <mergeCell ref="BW80:BW81"/>
    <mergeCell ref="BY80:BY81"/>
    <mergeCell ref="BJ80:BJ81"/>
    <mergeCell ref="BK80:BK81"/>
    <mergeCell ref="BJ78:BJ79"/>
    <mergeCell ref="BT50:BT51"/>
    <mergeCell ref="BV60:BV61"/>
    <mergeCell ref="BX60:BX61"/>
    <mergeCell ref="BG62:BG63"/>
    <mergeCell ref="BN62:BN63"/>
    <mergeCell ref="BO62:BO63"/>
    <mergeCell ref="BR62:BR63"/>
    <mergeCell ref="BT62:BT63"/>
    <mergeCell ref="BK26:BK27"/>
    <mergeCell ref="BJ54:BJ55"/>
    <mergeCell ref="BY70:BY71"/>
    <mergeCell ref="BP66:BP67"/>
    <mergeCell ref="BP64:BP65"/>
    <mergeCell ref="BW64:BW65"/>
    <mergeCell ref="BY64:BY65"/>
    <mergeCell ref="BJ64:BJ65"/>
    <mergeCell ref="BK64:BK65"/>
    <mergeCell ref="BP58:BP59"/>
    <mergeCell ref="BM16:BM17"/>
    <mergeCell ref="BM18:BM19"/>
    <mergeCell ref="BM20:BM21"/>
    <mergeCell ref="BM22:BM23"/>
    <mergeCell ref="BM24:BM25"/>
    <mergeCell ref="BM26:BM27"/>
    <mergeCell ref="BM28:BM29"/>
    <mergeCell ref="BM30:BM31"/>
    <mergeCell ref="BN36:BN37"/>
    <mergeCell ref="BO36:BO37"/>
    <mergeCell ref="BR36:BR37"/>
    <mergeCell ref="BT36:BT37"/>
    <mergeCell ref="BV36:BV37"/>
    <mergeCell ref="BX36:BX37"/>
    <mergeCell ref="BN48:BN49"/>
    <mergeCell ref="BO48:BO49"/>
    <mergeCell ref="BR48:BR49"/>
    <mergeCell ref="BT48:BT49"/>
    <mergeCell ref="BV48:BV49"/>
    <mergeCell ref="BX48:BX49"/>
    <mergeCell ref="BL68:BL69"/>
    <mergeCell ref="BW62:BW63"/>
    <mergeCell ref="BY82:BY83"/>
    <mergeCell ref="CA84:CA85"/>
    <mergeCell ref="CA86:CA87"/>
    <mergeCell ref="BZ84:BZ85"/>
    <mergeCell ref="BZ86:BZ87"/>
    <mergeCell ref="BZ82:BZ83"/>
    <mergeCell ref="BJ70:BJ71"/>
    <mergeCell ref="BK70:BK71"/>
    <mergeCell ref="CA16:CA17"/>
    <mergeCell ref="CA18:CA19"/>
    <mergeCell ref="CA20:CA21"/>
    <mergeCell ref="CA22:CA23"/>
    <mergeCell ref="CA24:CA25"/>
    <mergeCell ref="CA26:CA27"/>
    <mergeCell ref="CA28:CA29"/>
    <mergeCell ref="CA30:CA31"/>
    <mergeCell ref="CA32:CA33"/>
    <mergeCell ref="CA34:CA35"/>
    <mergeCell ref="CA36:CA37"/>
    <mergeCell ref="CA38:CA39"/>
    <mergeCell ref="CA40:CA41"/>
    <mergeCell ref="CA42:CA43"/>
    <mergeCell ref="CA44:CA45"/>
    <mergeCell ref="CA46:CA47"/>
    <mergeCell ref="CA48:CA49"/>
    <mergeCell ref="BK20:BK21"/>
    <mergeCell ref="BY78:BY79"/>
    <mergeCell ref="BY76:BY77"/>
    <mergeCell ref="BW72:BW73"/>
    <mergeCell ref="BW74:BW75"/>
    <mergeCell ref="BQ74:BQ75"/>
    <mergeCell ref="BN76:BN77"/>
    <mergeCell ref="CB80:CB81"/>
    <mergeCell ref="BD80:BD81"/>
    <mergeCell ref="BP80:BP81"/>
    <mergeCell ref="BW84:BW85"/>
    <mergeCell ref="B86:B87"/>
    <mergeCell ref="C86:I87"/>
    <mergeCell ref="J86:K87"/>
    <mergeCell ref="L86:M87"/>
    <mergeCell ref="N86:O87"/>
    <mergeCell ref="P86:Q87"/>
    <mergeCell ref="R86:S87"/>
    <mergeCell ref="T86:U87"/>
    <mergeCell ref="V86:W87"/>
    <mergeCell ref="X86:Z87"/>
    <mergeCell ref="AE86:AF87"/>
    <mergeCell ref="AG86:AH87"/>
    <mergeCell ref="AI86:AL87"/>
    <mergeCell ref="AM86:AN87"/>
    <mergeCell ref="AO86:AQ87"/>
    <mergeCell ref="AR86:AU87"/>
    <mergeCell ref="BL86:BL87"/>
    <mergeCell ref="AY86:AY87"/>
    <mergeCell ref="AZ86:AZ87"/>
    <mergeCell ref="BG86:BG87"/>
    <mergeCell ref="BY84:BY85"/>
    <mergeCell ref="BJ84:BJ85"/>
    <mergeCell ref="BJ82:BJ83"/>
    <mergeCell ref="BK82:BK83"/>
    <mergeCell ref="CB82:CB83"/>
    <mergeCell ref="BD82:BD83"/>
    <mergeCell ref="CB86:CB87"/>
    <mergeCell ref="BD86:BD87"/>
    <mergeCell ref="CC84:CC85"/>
    <mergeCell ref="CC86:CC87"/>
    <mergeCell ref="BQ86:BQ87"/>
    <mergeCell ref="BU84:BU85"/>
    <mergeCell ref="BU86:BU87"/>
    <mergeCell ref="BQ84:BQ85"/>
    <mergeCell ref="BG84:BG85"/>
    <mergeCell ref="BN84:BN85"/>
    <mergeCell ref="BO84:BO85"/>
    <mergeCell ref="BR84:BR85"/>
    <mergeCell ref="BT84:BT85"/>
    <mergeCell ref="BV84:BV85"/>
    <mergeCell ref="BX84:BX85"/>
    <mergeCell ref="BN86:BN87"/>
    <mergeCell ref="BO86:BO87"/>
    <mergeCell ref="BR86:BR87"/>
    <mergeCell ref="BT86:BT87"/>
    <mergeCell ref="BV86:BV87"/>
    <mergeCell ref="BX86:BX87"/>
    <mergeCell ref="BP86:BP87"/>
    <mergeCell ref="BW86:BW87"/>
    <mergeCell ref="BY86:BY87"/>
    <mergeCell ref="BJ86:BJ87"/>
    <mergeCell ref="BK86:BK87"/>
    <mergeCell ref="BK84:BK85"/>
    <mergeCell ref="CB84:CB85"/>
    <mergeCell ref="BP84:BP85"/>
    <mergeCell ref="X84:Z85"/>
    <mergeCell ref="AE84:AF85"/>
    <mergeCell ref="AG84:AH85"/>
    <mergeCell ref="AI84:AL85"/>
    <mergeCell ref="AM84:AN85"/>
    <mergeCell ref="AO84:AQ85"/>
    <mergeCell ref="AR84:AU85"/>
    <mergeCell ref="BL84:BL85"/>
    <mergeCell ref="AX86:AX87"/>
    <mergeCell ref="BH86:BH87"/>
    <mergeCell ref="BI86:BI87"/>
    <mergeCell ref="BI84:BI85"/>
    <mergeCell ref="BA84:BA85"/>
    <mergeCell ref="BB84:BB85"/>
    <mergeCell ref="BC84:BC85"/>
    <mergeCell ref="BE84:BE85"/>
    <mergeCell ref="BF84:BF85"/>
    <mergeCell ref="AX84:AX85"/>
    <mergeCell ref="BH84:BH85"/>
    <mergeCell ref="AA84:AD85"/>
    <mergeCell ref="AA86:AD87"/>
    <mergeCell ref="AY84:AY85"/>
    <mergeCell ref="AZ84:AZ85"/>
    <mergeCell ref="BA86:BA87"/>
    <mergeCell ref="BB86:BB87"/>
    <mergeCell ref="BC86:BC87"/>
    <mergeCell ref="BE86:BE87"/>
    <mergeCell ref="BF86:BF87"/>
    <mergeCell ref="BD84:BD85"/>
    <mergeCell ref="B82:B83"/>
    <mergeCell ref="C82:I83"/>
    <mergeCell ref="J82:K83"/>
    <mergeCell ref="L82:M83"/>
    <mergeCell ref="N82:O83"/>
    <mergeCell ref="P82:Q83"/>
    <mergeCell ref="R82:S83"/>
    <mergeCell ref="T82:U83"/>
    <mergeCell ref="V82:W83"/>
    <mergeCell ref="B84:B85"/>
    <mergeCell ref="C84:I85"/>
    <mergeCell ref="J84:K85"/>
    <mergeCell ref="L84:M85"/>
    <mergeCell ref="N84:O85"/>
    <mergeCell ref="P84:Q85"/>
    <mergeCell ref="R84:S85"/>
    <mergeCell ref="T84:U85"/>
    <mergeCell ref="V84:W85"/>
    <mergeCell ref="B76:B77"/>
    <mergeCell ref="CB78:CB79"/>
    <mergeCell ref="BD78:BD79"/>
    <mergeCell ref="BZ80:BZ81"/>
    <mergeCell ref="X82:Z83"/>
    <mergeCell ref="AE82:AF83"/>
    <mergeCell ref="AG82:AH83"/>
    <mergeCell ref="AI82:AL83"/>
    <mergeCell ref="AM82:AN83"/>
    <mergeCell ref="AO82:AQ83"/>
    <mergeCell ref="AR82:AU83"/>
    <mergeCell ref="BL82:BL83"/>
    <mergeCell ref="AX82:AX83"/>
    <mergeCell ref="BH82:BH83"/>
    <mergeCell ref="BI82:BI83"/>
    <mergeCell ref="BA82:BA83"/>
    <mergeCell ref="CC80:CC81"/>
    <mergeCell ref="CC82:CC83"/>
    <mergeCell ref="BQ80:BQ81"/>
    <mergeCell ref="BQ82:BQ83"/>
    <mergeCell ref="AX78:AX79"/>
    <mergeCell ref="BH78:BH79"/>
    <mergeCell ref="BI78:BI79"/>
    <mergeCell ref="BA78:BA79"/>
    <mergeCell ref="BB78:BB79"/>
    <mergeCell ref="AE78:AF79"/>
    <mergeCell ref="AG78:AH79"/>
    <mergeCell ref="AI78:AL79"/>
    <mergeCell ref="AM78:AN79"/>
    <mergeCell ref="AO78:AQ79"/>
    <mergeCell ref="AR78:AU79"/>
    <mergeCell ref="BL78:BL79"/>
    <mergeCell ref="B80:B81"/>
    <mergeCell ref="C80:I81"/>
    <mergeCell ref="J80:K81"/>
    <mergeCell ref="L80:M81"/>
    <mergeCell ref="N80:O81"/>
    <mergeCell ref="P80:Q81"/>
    <mergeCell ref="R80:S81"/>
    <mergeCell ref="T80:U81"/>
    <mergeCell ref="V80:W81"/>
    <mergeCell ref="X80:Z81"/>
    <mergeCell ref="AE80:AF81"/>
    <mergeCell ref="AG80:AH81"/>
    <mergeCell ref="AI80:AL81"/>
    <mergeCell ref="AM80:AN81"/>
    <mergeCell ref="AO80:AQ81"/>
    <mergeCell ref="AR80:AU81"/>
    <mergeCell ref="BL80:BL81"/>
    <mergeCell ref="AX80:AX81"/>
    <mergeCell ref="B78:B79"/>
    <mergeCell ref="C78:I79"/>
    <mergeCell ref="J78:K79"/>
    <mergeCell ref="L78:M79"/>
    <mergeCell ref="N78:O79"/>
    <mergeCell ref="P78:Q79"/>
    <mergeCell ref="R78:S79"/>
    <mergeCell ref="T78:U79"/>
    <mergeCell ref="V78:W79"/>
    <mergeCell ref="X78:Z79"/>
    <mergeCell ref="AY80:AY81"/>
    <mergeCell ref="AZ80:AZ81"/>
    <mergeCell ref="BG80:BG81"/>
    <mergeCell ref="C76:I77"/>
    <mergeCell ref="J76:K77"/>
    <mergeCell ref="L76:M77"/>
    <mergeCell ref="N76:O77"/>
    <mergeCell ref="P76:Q77"/>
    <mergeCell ref="R76:S77"/>
    <mergeCell ref="T76:U77"/>
    <mergeCell ref="V76:W77"/>
    <mergeCell ref="X76:Z77"/>
    <mergeCell ref="AE76:AF77"/>
    <mergeCell ref="AG76:AH77"/>
    <mergeCell ref="AI76:AL77"/>
    <mergeCell ref="AM76:AN77"/>
    <mergeCell ref="AO76:AQ77"/>
    <mergeCell ref="AR76:AU77"/>
    <mergeCell ref="AX76:AX77"/>
    <mergeCell ref="BA76:BA77"/>
    <mergeCell ref="AY76:AY77"/>
    <mergeCell ref="AZ76:AZ77"/>
    <mergeCell ref="BG76:BG77"/>
    <mergeCell ref="BE70:BE71"/>
    <mergeCell ref="BF70:BF71"/>
    <mergeCell ref="BW70:BW71"/>
    <mergeCell ref="BY74:BY75"/>
    <mergeCell ref="BD76:BD77"/>
    <mergeCell ref="BP76:BP77"/>
    <mergeCell ref="BD72:BD73"/>
    <mergeCell ref="BP72:BP73"/>
    <mergeCell ref="B74:B75"/>
    <mergeCell ref="C74:I75"/>
    <mergeCell ref="J74:K75"/>
    <mergeCell ref="L74:M75"/>
    <mergeCell ref="N74:O75"/>
    <mergeCell ref="P74:Q75"/>
    <mergeCell ref="R74:S75"/>
    <mergeCell ref="T74:U75"/>
    <mergeCell ref="V74:W75"/>
    <mergeCell ref="X74:Z75"/>
    <mergeCell ref="AE74:AF75"/>
    <mergeCell ref="AG74:AH75"/>
    <mergeCell ref="AI74:AL75"/>
    <mergeCell ref="AM74:AN75"/>
    <mergeCell ref="AO74:AQ75"/>
    <mergeCell ref="AR74:AU75"/>
    <mergeCell ref="BL74:BL75"/>
    <mergeCell ref="AX74:AX75"/>
    <mergeCell ref="BH74:BH75"/>
    <mergeCell ref="BI74:BI75"/>
    <mergeCell ref="BI72:BI73"/>
    <mergeCell ref="BA72:BA73"/>
    <mergeCell ref="BB72:BB73"/>
    <mergeCell ref="B72:B73"/>
    <mergeCell ref="C72:I73"/>
    <mergeCell ref="J72:K73"/>
    <mergeCell ref="L72:M73"/>
    <mergeCell ref="N72:O73"/>
    <mergeCell ref="P72:Q73"/>
    <mergeCell ref="R72:S73"/>
    <mergeCell ref="T72:U73"/>
    <mergeCell ref="V72:W73"/>
    <mergeCell ref="X72:Z73"/>
    <mergeCell ref="AE72:AF73"/>
    <mergeCell ref="AG72:AH73"/>
    <mergeCell ref="AI72:AL73"/>
    <mergeCell ref="AM72:AN73"/>
    <mergeCell ref="AO72:AQ73"/>
    <mergeCell ref="AR72:AU73"/>
    <mergeCell ref="BL72:BL73"/>
    <mergeCell ref="AX72:AX73"/>
    <mergeCell ref="BH72:BH73"/>
    <mergeCell ref="BE72:BE73"/>
    <mergeCell ref="BF72:BF73"/>
    <mergeCell ref="X70:Z71"/>
    <mergeCell ref="CB72:CB73"/>
    <mergeCell ref="AE70:AF71"/>
    <mergeCell ref="AG70:AH71"/>
    <mergeCell ref="AI70:AL71"/>
    <mergeCell ref="AM70:AN71"/>
    <mergeCell ref="AO70:AQ71"/>
    <mergeCell ref="AR70:AU71"/>
    <mergeCell ref="BL70:BL71"/>
    <mergeCell ref="AX70:AX71"/>
    <mergeCell ref="AY70:AY71"/>
    <mergeCell ref="AZ70:AZ71"/>
    <mergeCell ref="BG70:BG71"/>
    <mergeCell ref="BN70:BN71"/>
    <mergeCell ref="BO70:BO71"/>
    <mergeCell ref="BR70:BR71"/>
    <mergeCell ref="BT70:BT71"/>
    <mergeCell ref="BV70:BV71"/>
    <mergeCell ref="BX70:BX71"/>
    <mergeCell ref="AY72:AY73"/>
    <mergeCell ref="BQ70:BQ71"/>
    <mergeCell ref="BQ72:BQ73"/>
    <mergeCell ref="BU70:BU71"/>
    <mergeCell ref="BY72:BY73"/>
    <mergeCell ref="BJ72:BJ73"/>
    <mergeCell ref="BD70:BD71"/>
    <mergeCell ref="BP70:BP71"/>
    <mergeCell ref="BH70:BH71"/>
    <mergeCell ref="BI70:BI71"/>
    <mergeCell ref="BA70:BA71"/>
    <mergeCell ref="BB70:BB71"/>
    <mergeCell ref="BC70:BC71"/>
    <mergeCell ref="B70:B71"/>
    <mergeCell ref="C70:I71"/>
    <mergeCell ref="J70:K71"/>
    <mergeCell ref="L70:M71"/>
    <mergeCell ref="N70:O71"/>
    <mergeCell ref="P70:Q71"/>
    <mergeCell ref="R70:S71"/>
    <mergeCell ref="T70:U71"/>
    <mergeCell ref="V70:W71"/>
    <mergeCell ref="BE68:BE69"/>
    <mergeCell ref="BF68:BF69"/>
    <mergeCell ref="BW68:BW69"/>
    <mergeCell ref="BY68:BY69"/>
    <mergeCell ref="BJ68:BJ69"/>
    <mergeCell ref="BK68:BK69"/>
    <mergeCell ref="CB68:CB69"/>
    <mergeCell ref="BD68:BD69"/>
    <mergeCell ref="BP68:BP69"/>
    <mergeCell ref="B68:B69"/>
    <mergeCell ref="C68:I69"/>
    <mergeCell ref="J68:K69"/>
    <mergeCell ref="L68:M69"/>
    <mergeCell ref="N68:O69"/>
    <mergeCell ref="P68:Q69"/>
    <mergeCell ref="R68:S69"/>
    <mergeCell ref="T68:U69"/>
    <mergeCell ref="V68:W69"/>
    <mergeCell ref="X68:Z69"/>
    <mergeCell ref="AE68:AF69"/>
    <mergeCell ref="AG68:AH69"/>
    <mergeCell ref="AI68:AL69"/>
    <mergeCell ref="AM68:AN69"/>
    <mergeCell ref="AX68:AX69"/>
    <mergeCell ref="BH68:BH69"/>
    <mergeCell ref="BI68:BI69"/>
    <mergeCell ref="BA68:BA69"/>
    <mergeCell ref="BB68:BB69"/>
    <mergeCell ref="BC68:BC69"/>
    <mergeCell ref="BC66:BC67"/>
    <mergeCell ref="BE66:BE67"/>
    <mergeCell ref="BF66:BF67"/>
    <mergeCell ref="BW66:BW67"/>
    <mergeCell ref="BY66:BY67"/>
    <mergeCell ref="BJ66:BJ67"/>
    <mergeCell ref="BK66:BK67"/>
    <mergeCell ref="CB66:CB67"/>
    <mergeCell ref="BD66:BD67"/>
    <mergeCell ref="BQ66:BQ67"/>
    <mergeCell ref="BQ68:BQ69"/>
    <mergeCell ref="BU68:BU69"/>
    <mergeCell ref="AY66:AY67"/>
    <mergeCell ref="AZ66:AZ67"/>
    <mergeCell ref="BG66:BG67"/>
    <mergeCell ref="BN66:BN67"/>
    <mergeCell ref="BO66:BO67"/>
    <mergeCell ref="BR66:BR67"/>
    <mergeCell ref="BT66:BT67"/>
    <mergeCell ref="BV66:BV67"/>
    <mergeCell ref="BX66:BX67"/>
    <mergeCell ref="AY68:AY69"/>
    <mergeCell ref="AZ68:AZ69"/>
    <mergeCell ref="BG68:BG69"/>
    <mergeCell ref="BN68:BN69"/>
    <mergeCell ref="BO68:BO69"/>
    <mergeCell ref="B66:B67"/>
    <mergeCell ref="C66:I67"/>
    <mergeCell ref="J66:K67"/>
    <mergeCell ref="L66:M67"/>
    <mergeCell ref="N66:O67"/>
    <mergeCell ref="P66:Q67"/>
    <mergeCell ref="R66:S67"/>
    <mergeCell ref="T66:U67"/>
    <mergeCell ref="V66:W67"/>
    <mergeCell ref="X66:Z67"/>
    <mergeCell ref="AE66:AF67"/>
    <mergeCell ref="AG66:AH67"/>
    <mergeCell ref="AI66:AL67"/>
    <mergeCell ref="AM66:AN67"/>
    <mergeCell ref="AO66:AQ67"/>
    <mergeCell ref="AR66:AU67"/>
    <mergeCell ref="BL66:BL67"/>
    <mergeCell ref="AX66:AX67"/>
    <mergeCell ref="BH66:BH67"/>
    <mergeCell ref="BI66:BI67"/>
    <mergeCell ref="BA66:BA67"/>
    <mergeCell ref="BB66:BB67"/>
    <mergeCell ref="AA66:AD67"/>
    <mergeCell ref="B64:B65"/>
    <mergeCell ref="C64:I65"/>
    <mergeCell ref="J64:K65"/>
    <mergeCell ref="L64:M65"/>
    <mergeCell ref="N64:O65"/>
    <mergeCell ref="P64:Q65"/>
    <mergeCell ref="R64:S65"/>
    <mergeCell ref="T64:U65"/>
    <mergeCell ref="V64:W65"/>
    <mergeCell ref="X64:Z65"/>
    <mergeCell ref="AE64:AF65"/>
    <mergeCell ref="AG64:AH65"/>
    <mergeCell ref="AI64:AL65"/>
    <mergeCell ref="AM64:AN65"/>
    <mergeCell ref="AO64:AQ65"/>
    <mergeCell ref="AR64:AU65"/>
    <mergeCell ref="BL64:BL65"/>
    <mergeCell ref="AX64:AX65"/>
    <mergeCell ref="BH64:BH65"/>
    <mergeCell ref="BI64:BI65"/>
    <mergeCell ref="BA64:BA65"/>
    <mergeCell ref="AA64:AD65"/>
    <mergeCell ref="B62:B63"/>
    <mergeCell ref="C62:I63"/>
    <mergeCell ref="J62:K63"/>
    <mergeCell ref="L62:M63"/>
    <mergeCell ref="N62:O63"/>
    <mergeCell ref="P62:Q63"/>
    <mergeCell ref="R62:S63"/>
    <mergeCell ref="T62:U63"/>
    <mergeCell ref="V62:W63"/>
    <mergeCell ref="X62:Z63"/>
    <mergeCell ref="AE62:AF63"/>
    <mergeCell ref="AG62:AH63"/>
    <mergeCell ref="AI62:AL63"/>
    <mergeCell ref="AM62:AN63"/>
    <mergeCell ref="AO62:AQ63"/>
    <mergeCell ref="AR62:AU63"/>
    <mergeCell ref="BL62:BL63"/>
    <mergeCell ref="AX62:AX63"/>
    <mergeCell ref="BH62:BH63"/>
    <mergeCell ref="BI62:BI63"/>
    <mergeCell ref="BD62:BD63"/>
    <mergeCell ref="BA62:BA63"/>
    <mergeCell ref="BB62:BB63"/>
    <mergeCell ref="BC62:BC63"/>
    <mergeCell ref="BE62:BE63"/>
    <mergeCell ref="BF62:BF63"/>
    <mergeCell ref="B60:B61"/>
    <mergeCell ref="C60:I61"/>
    <mergeCell ref="J60:K61"/>
    <mergeCell ref="L60:M61"/>
    <mergeCell ref="N60:O61"/>
    <mergeCell ref="P60:Q61"/>
    <mergeCell ref="R60:S61"/>
    <mergeCell ref="T60:U61"/>
    <mergeCell ref="V60:W61"/>
    <mergeCell ref="X60:Z61"/>
    <mergeCell ref="AE60:AF61"/>
    <mergeCell ref="AG60:AH61"/>
    <mergeCell ref="AI60:AL61"/>
    <mergeCell ref="AM60:AN61"/>
    <mergeCell ref="AO60:AQ61"/>
    <mergeCell ref="AR60:AU61"/>
    <mergeCell ref="BL60:BL61"/>
    <mergeCell ref="AX60:AX61"/>
    <mergeCell ref="BH60:BH61"/>
    <mergeCell ref="BE60:BE61"/>
    <mergeCell ref="BF60:BF61"/>
    <mergeCell ref="BK60:BK61"/>
    <mergeCell ref="BD60:BD61"/>
    <mergeCell ref="BI60:BI61"/>
    <mergeCell ref="BA60:BA61"/>
    <mergeCell ref="BB60:BB61"/>
    <mergeCell ref="BC60:BC61"/>
    <mergeCell ref="AY60:AY61"/>
    <mergeCell ref="AZ60:AZ61"/>
    <mergeCell ref="BG60:BG61"/>
    <mergeCell ref="BY60:BY61"/>
    <mergeCell ref="BJ60:BJ61"/>
    <mergeCell ref="BJ58:BJ59"/>
    <mergeCell ref="BK58:BK59"/>
    <mergeCell ref="CB58:CB59"/>
    <mergeCell ref="B58:B59"/>
    <mergeCell ref="BD58:BD59"/>
    <mergeCell ref="BC46:BC47"/>
    <mergeCell ref="BE46:BE47"/>
    <mergeCell ref="BF46:BF47"/>
    <mergeCell ref="BW46:BW47"/>
    <mergeCell ref="BY46:BY47"/>
    <mergeCell ref="BC48:BC49"/>
    <mergeCell ref="BE48:BE49"/>
    <mergeCell ref="BF48:BF49"/>
    <mergeCell ref="BY56:BY57"/>
    <mergeCell ref="BW48:BW49"/>
    <mergeCell ref="BY48:BY49"/>
    <mergeCell ref="BA50:BA51"/>
    <mergeCell ref="BB50:BB51"/>
    <mergeCell ref="BC50:BC51"/>
    <mergeCell ref="BE50:BE51"/>
    <mergeCell ref="BF50:BF51"/>
    <mergeCell ref="BW50:BW51"/>
    <mergeCell ref="BY50:BY51"/>
    <mergeCell ref="BC52:BC53"/>
    <mergeCell ref="BE52:BE53"/>
    <mergeCell ref="BF52:BF53"/>
    <mergeCell ref="BW52:BW53"/>
    <mergeCell ref="BY52:BY53"/>
    <mergeCell ref="CB56:CB57"/>
    <mergeCell ref="BD56:BD57"/>
    <mergeCell ref="CB46:CB47"/>
    <mergeCell ref="BD46:BD47"/>
    <mergeCell ref="CB48:CB49"/>
    <mergeCell ref="BD48:BD49"/>
    <mergeCell ref="CB50:CB51"/>
    <mergeCell ref="BD50:BD51"/>
    <mergeCell ref="C58:I59"/>
    <mergeCell ref="J58:K59"/>
    <mergeCell ref="L58:M59"/>
    <mergeCell ref="N58:O59"/>
    <mergeCell ref="P58:Q59"/>
    <mergeCell ref="R58:S59"/>
    <mergeCell ref="T58:U59"/>
    <mergeCell ref="V58:W59"/>
    <mergeCell ref="BB58:BB59"/>
    <mergeCell ref="BC58:BC59"/>
    <mergeCell ref="BE58:BE59"/>
    <mergeCell ref="BF58:BF59"/>
    <mergeCell ref="BW58:BW59"/>
    <mergeCell ref="BY58:BY59"/>
    <mergeCell ref="X58:Z59"/>
    <mergeCell ref="AE58:AF59"/>
    <mergeCell ref="AG58:AH59"/>
    <mergeCell ref="AI58:AL59"/>
    <mergeCell ref="AM58:AN59"/>
    <mergeCell ref="AO58:AQ59"/>
    <mergeCell ref="AR58:AU59"/>
    <mergeCell ref="BL58:BL59"/>
    <mergeCell ref="AX58:AX59"/>
    <mergeCell ref="V56:W57"/>
    <mergeCell ref="X56:Z57"/>
    <mergeCell ref="C56:I57"/>
    <mergeCell ref="C16:I17"/>
    <mergeCell ref="P17:Q17"/>
    <mergeCell ref="R17:S17"/>
    <mergeCell ref="T17:U17"/>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L18:M19"/>
    <mergeCell ref="T20:U21"/>
    <mergeCell ref="T22:U23"/>
    <mergeCell ref="N30:O31"/>
    <mergeCell ref="C44:I45"/>
    <mergeCell ref="T56:U57"/>
    <mergeCell ref="T24:U25"/>
    <mergeCell ref="T26:U27"/>
    <mergeCell ref="T28:U29"/>
    <mergeCell ref="P54:Q55"/>
    <mergeCell ref="C54:I55"/>
    <mergeCell ref="J36:K37"/>
    <mergeCell ref="C20:I21"/>
    <mergeCell ref="C22:I23"/>
    <mergeCell ref="C24:I25"/>
    <mergeCell ref="C26:I27"/>
    <mergeCell ref="C28:I29"/>
    <mergeCell ref="C30:I31"/>
    <mergeCell ref="C32:I33"/>
    <mergeCell ref="C34:I35"/>
    <mergeCell ref="C36:I37"/>
    <mergeCell ref="J22:K23"/>
    <mergeCell ref="L20:M21"/>
    <mergeCell ref="L22:M23"/>
    <mergeCell ref="L24:M25"/>
    <mergeCell ref="L26:M27"/>
    <mergeCell ref="L28:M29"/>
    <mergeCell ref="J52:K53"/>
    <mergeCell ref="L52:M53"/>
    <mergeCell ref="L42:M43"/>
    <mergeCell ref="N42:O43"/>
    <mergeCell ref="T48:U49"/>
    <mergeCell ref="N50:O51"/>
    <mergeCell ref="C46:I47"/>
    <mergeCell ref="C48:I49"/>
    <mergeCell ref="C50:I51"/>
    <mergeCell ref="C52:I53"/>
    <mergeCell ref="J48:K49"/>
    <mergeCell ref="L48:M49"/>
    <mergeCell ref="J44:K45"/>
    <mergeCell ref="L44:M45"/>
    <mergeCell ref="J50:K51"/>
    <mergeCell ref="L50:M51"/>
    <mergeCell ref="J54:K55"/>
    <mergeCell ref="O200:AI201"/>
    <mergeCell ref="BL200:BL201"/>
    <mergeCell ref="BH200:BH201"/>
    <mergeCell ref="BI200:BI201"/>
    <mergeCell ref="BB38:BB39"/>
    <mergeCell ref="BC38:BC39"/>
    <mergeCell ref="AM38:AN39"/>
    <mergeCell ref="AO38:AQ39"/>
    <mergeCell ref="P38:Q39"/>
    <mergeCell ref="R38:S39"/>
    <mergeCell ref="L46:M47"/>
    <mergeCell ref="N46:O47"/>
    <mergeCell ref="V46:W47"/>
    <mergeCell ref="X46:Z47"/>
    <mergeCell ref="AE46:AF47"/>
    <mergeCell ref="P46:Q47"/>
    <mergeCell ref="J42:K43"/>
    <mergeCell ref="C38:I39"/>
    <mergeCell ref="C40:I41"/>
    <mergeCell ref="C42:I43"/>
    <mergeCell ref="L56:M57"/>
    <mergeCell ref="N56:O57"/>
    <mergeCell ref="T42:U43"/>
    <mergeCell ref="BF38:BF39"/>
    <mergeCell ref="AG36:AH37"/>
    <mergeCell ref="BH30:BH31"/>
    <mergeCell ref="BI30:BI31"/>
    <mergeCell ref="L30:M31"/>
    <mergeCell ref="L32:M33"/>
    <mergeCell ref="L34:M35"/>
    <mergeCell ref="L36:M37"/>
    <mergeCell ref="AI34:AL35"/>
    <mergeCell ref="AI36:AL37"/>
    <mergeCell ref="V32:W33"/>
    <mergeCell ref="AG34:AH35"/>
    <mergeCell ref="L54:M55"/>
    <mergeCell ref="T30:U31"/>
    <mergeCell ref="T32:U33"/>
    <mergeCell ref="T34:U35"/>
    <mergeCell ref="T36:U37"/>
    <mergeCell ref="T38:U39"/>
    <mergeCell ref="T40:U41"/>
    <mergeCell ref="P40:Q41"/>
    <mergeCell ref="R40:S41"/>
    <mergeCell ref="P42:Q43"/>
    <mergeCell ref="R42:S43"/>
    <mergeCell ref="AR38:AU39"/>
    <mergeCell ref="BI34:BI35"/>
    <mergeCell ref="BH34:BH35"/>
    <mergeCell ref="N36:O37"/>
    <mergeCell ref="P36:Q37"/>
    <mergeCell ref="R36:S37"/>
    <mergeCell ref="P32:Q33"/>
    <mergeCell ref="R32:S33"/>
    <mergeCell ref="P34:Q35"/>
    <mergeCell ref="R34:S35"/>
    <mergeCell ref="BW26:BW27"/>
    <mergeCell ref="BW28:BW29"/>
    <mergeCell ref="BW30:BW31"/>
    <mergeCell ref="BW32:BW33"/>
    <mergeCell ref="BF28:BF29"/>
    <mergeCell ref="BF30:BF31"/>
    <mergeCell ref="BF18:BF19"/>
    <mergeCell ref="BB36:BB37"/>
    <mergeCell ref="BE36:BE37"/>
    <mergeCell ref="BF36:BF37"/>
    <mergeCell ref="BW34:BW35"/>
    <mergeCell ref="BW36:BW37"/>
    <mergeCell ref="AX22:AX23"/>
    <mergeCell ref="AX24:AX25"/>
    <mergeCell ref="AX26:AX27"/>
    <mergeCell ref="AR22:AU23"/>
    <mergeCell ref="BL22:BL23"/>
    <mergeCell ref="AR26:AU27"/>
    <mergeCell ref="BL26:BL27"/>
    <mergeCell ref="AX36:AX37"/>
    <mergeCell ref="BC26:BC27"/>
    <mergeCell ref="BU28:BU29"/>
    <mergeCell ref="BU30:BU31"/>
    <mergeCell ref="AY26:AY27"/>
    <mergeCell ref="AZ26:AZ27"/>
    <mergeCell ref="BG26:BG27"/>
    <mergeCell ref="BK28:BK29"/>
    <mergeCell ref="BK30:BK31"/>
    <mergeCell ref="BH32:BH33"/>
    <mergeCell ref="BI32:BI33"/>
    <mergeCell ref="AR30:AU31"/>
    <mergeCell ref="BL30:BL31"/>
    <mergeCell ref="BY36:BY37"/>
    <mergeCell ref="AM36:AN37"/>
    <mergeCell ref="AO36:AQ37"/>
    <mergeCell ref="AR36:AU37"/>
    <mergeCell ref="BL36:BL37"/>
    <mergeCell ref="BH36:BH37"/>
    <mergeCell ref="BA36:BA37"/>
    <mergeCell ref="BI36:BI37"/>
    <mergeCell ref="BY32:BY33"/>
    <mergeCell ref="BC32:BC33"/>
    <mergeCell ref="BF32:BF33"/>
    <mergeCell ref="AX32:AX33"/>
    <mergeCell ref="BY34:BY35"/>
    <mergeCell ref="BA34:BA35"/>
    <mergeCell ref="BB34:BB35"/>
    <mergeCell ref="AX34:AX35"/>
    <mergeCell ref="AO34:AQ35"/>
    <mergeCell ref="AR34:AU35"/>
    <mergeCell ref="BL34:BL35"/>
    <mergeCell ref="BE34:BE35"/>
    <mergeCell ref="BF34:BF35"/>
    <mergeCell ref="BC34:BC35"/>
    <mergeCell ref="BC36:BC37"/>
    <mergeCell ref="BU32:BU33"/>
    <mergeCell ref="BU34:BU35"/>
    <mergeCell ref="BU36:BU37"/>
    <mergeCell ref="BK36:BK37"/>
    <mergeCell ref="AY36:AY37"/>
    <mergeCell ref="AZ36:AZ37"/>
    <mergeCell ref="BG36:BG37"/>
    <mergeCell ref="B34:B35"/>
    <mergeCell ref="V34:W35"/>
    <mergeCell ref="AE34:AF35"/>
    <mergeCell ref="AE32:AF33"/>
    <mergeCell ref="AG32:AH33"/>
    <mergeCell ref="AM32:AN33"/>
    <mergeCell ref="AO32:AQ33"/>
    <mergeCell ref="AR32:AU33"/>
    <mergeCell ref="BL32:BL33"/>
    <mergeCell ref="B32:B33"/>
    <mergeCell ref="J34:K35"/>
    <mergeCell ref="AI32:AL33"/>
    <mergeCell ref="X34:Z35"/>
    <mergeCell ref="N34:O35"/>
    <mergeCell ref="X32:Z33"/>
    <mergeCell ref="AM34:AN35"/>
    <mergeCell ref="N32:O33"/>
    <mergeCell ref="AY32:AY33"/>
    <mergeCell ref="AZ32:AZ33"/>
    <mergeCell ref="BG32:BG33"/>
    <mergeCell ref="AY34:AY35"/>
    <mergeCell ref="AZ34:AZ35"/>
    <mergeCell ref="BG34:BG35"/>
    <mergeCell ref="BK32:BK33"/>
    <mergeCell ref="BK34:BK35"/>
    <mergeCell ref="B24:B25"/>
    <mergeCell ref="J24:K25"/>
    <mergeCell ref="J26:K27"/>
    <mergeCell ref="B26:B27"/>
    <mergeCell ref="BA28:BA29"/>
    <mergeCell ref="BB28:BB29"/>
    <mergeCell ref="BE28:BE29"/>
    <mergeCell ref="B36:B37"/>
    <mergeCell ref="V36:W37"/>
    <mergeCell ref="AE36:AF37"/>
    <mergeCell ref="BC28:BC29"/>
    <mergeCell ref="BC30:BC31"/>
    <mergeCell ref="BA30:BA31"/>
    <mergeCell ref="BB30:BB31"/>
    <mergeCell ref="BE30:BE31"/>
    <mergeCell ref="BA32:BA33"/>
    <mergeCell ref="BB32:BB33"/>
    <mergeCell ref="BE32:BE33"/>
    <mergeCell ref="X36:Z37"/>
    <mergeCell ref="J28:K29"/>
    <mergeCell ref="J30:K31"/>
    <mergeCell ref="J32:K33"/>
    <mergeCell ref="B30:B31"/>
    <mergeCell ref="AM28:AN29"/>
    <mergeCell ref="B28:B29"/>
    <mergeCell ref="AE28:AF29"/>
    <mergeCell ref="V28:W29"/>
    <mergeCell ref="AO30:AQ31"/>
    <mergeCell ref="AG28:AH29"/>
    <mergeCell ref="AI28:AL29"/>
    <mergeCell ref="AI30:AL31"/>
    <mergeCell ref="X28:Z29"/>
    <mergeCell ref="BY24:BY25"/>
    <mergeCell ref="AM24:AN25"/>
    <mergeCell ref="BI26:BI27"/>
    <mergeCell ref="BY26:BY27"/>
    <mergeCell ref="AG26:AH27"/>
    <mergeCell ref="BW24:BW25"/>
    <mergeCell ref="BY30:BY31"/>
    <mergeCell ref="BY28:BY29"/>
    <mergeCell ref="BH28:BH29"/>
    <mergeCell ref="BI28:BI29"/>
    <mergeCell ref="AX28:AX29"/>
    <mergeCell ref="AX30:AX31"/>
    <mergeCell ref="BH26:BH27"/>
    <mergeCell ref="BH24:BH25"/>
    <mergeCell ref="BI24:BI25"/>
    <mergeCell ref="BA26:BA27"/>
    <mergeCell ref="BB26:BB27"/>
    <mergeCell ref="BE26:BE27"/>
    <mergeCell ref="BF26:BF27"/>
    <mergeCell ref="AO24:AQ25"/>
    <mergeCell ref="AR24:AU25"/>
    <mergeCell ref="BL24:BL25"/>
    <mergeCell ref="AO26:AQ27"/>
    <mergeCell ref="AM26:AN27"/>
    <mergeCell ref="BA24:BA25"/>
    <mergeCell ref="BB24:BB25"/>
    <mergeCell ref="BE24:BE25"/>
    <mergeCell ref="BF24:BF25"/>
    <mergeCell ref="BC24:BC25"/>
    <mergeCell ref="AR28:AU29"/>
    <mergeCell ref="BL28:BL29"/>
    <mergeCell ref="AG30:AH31"/>
    <mergeCell ref="BY20:BY21"/>
    <mergeCell ref="B22:B23"/>
    <mergeCell ref="V22:W23"/>
    <mergeCell ref="AE22:AF23"/>
    <mergeCell ref="AG22:AH23"/>
    <mergeCell ref="AM22:AN23"/>
    <mergeCell ref="AM20:AN21"/>
    <mergeCell ref="AO20:AQ21"/>
    <mergeCell ref="AR20:AU21"/>
    <mergeCell ref="BL20:BL21"/>
    <mergeCell ref="BH20:BH21"/>
    <mergeCell ref="BI20:BI21"/>
    <mergeCell ref="B20:B21"/>
    <mergeCell ref="V20:W21"/>
    <mergeCell ref="AE20:AF21"/>
    <mergeCell ref="AG20:AH21"/>
    <mergeCell ref="BC22:BC23"/>
    <mergeCell ref="BH22:BH23"/>
    <mergeCell ref="BI22:BI23"/>
    <mergeCell ref="BY22:BY23"/>
    <mergeCell ref="BA22:BA23"/>
    <mergeCell ref="BB22:BB23"/>
    <mergeCell ref="BA20:BA21"/>
    <mergeCell ref="BB20:BB21"/>
    <mergeCell ref="J20:K21"/>
    <mergeCell ref="BE20:BE21"/>
    <mergeCell ref="BF20:BF21"/>
    <mergeCell ref="BC20:BC21"/>
    <mergeCell ref="BE22:BE23"/>
    <mergeCell ref="BF22:BF23"/>
    <mergeCell ref="N20:O21"/>
    <mergeCell ref="N22:O23"/>
    <mergeCell ref="BY16:BY17"/>
    <mergeCell ref="AE17:AF17"/>
    <mergeCell ref="AG17:AH17"/>
    <mergeCell ref="B18:B19"/>
    <mergeCell ref="V18:W19"/>
    <mergeCell ref="AE18:AF19"/>
    <mergeCell ref="AE16:AH16"/>
    <mergeCell ref="AM16:AN17"/>
    <mergeCell ref="AO16:AQ17"/>
    <mergeCell ref="AR16:AU17"/>
    <mergeCell ref="BL16:BL17"/>
    <mergeCell ref="BH16:BI16"/>
    <mergeCell ref="BI18:BI19"/>
    <mergeCell ref="BY18:BY19"/>
    <mergeCell ref="AM18:AN19"/>
    <mergeCell ref="AO18:AQ19"/>
    <mergeCell ref="AR18:AU19"/>
    <mergeCell ref="BL18:BL19"/>
    <mergeCell ref="BH18:BH19"/>
    <mergeCell ref="V16:W17"/>
    <mergeCell ref="BE16:BF16"/>
    <mergeCell ref="BA18:BA19"/>
    <mergeCell ref="BB18:BB19"/>
    <mergeCell ref="BE18:BE19"/>
    <mergeCell ref="J17:K17"/>
    <mergeCell ref="J18:K19"/>
    <mergeCell ref="BB16:BB17"/>
    <mergeCell ref="X16:Z17"/>
    <mergeCell ref="BC16:BC17"/>
    <mergeCell ref="BC18:BC19"/>
    <mergeCell ref="BA16:BA17"/>
    <mergeCell ref="BW16:BW17"/>
    <mergeCell ref="J9:M11"/>
    <mergeCell ref="N9:Q11"/>
    <mergeCell ref="R9:U11"/>
    <mergeCell ref="V9:Y11"/>
    <mergeCell ref="Z9:AC11"/>
    <mergeCell ref="AD9:AG11"/>
    <mergeCell ref="AS5:AW6"/>
    <mergeCell ref="AS7:AW7"/>
    <mergeCell ref="AS8:AW8"/>
    <mergeCell ref="AH9:AK11"/>
    <mergeCell ref="AL9:AO11"/>
    <mergeCell ref="A4:E6"/>
    <mergeCell ref="A7:E8"/>
    <mergeCell ref="T12:W13"/>
    <mergeCell ref="X12:AA13"/>
    <mergeCell ref="AB12:AE13"/>
    <mergeCell ref="E13:R13"/>
    <mergeCell ref="T14:W14"/>
    <mergeCell ref="X14:AA14"/>
    <mergeCell ref="AX18:AX19"/>
    <mergeCell ref="AX20:AX21"/>
    <mergeCell ref="AG18:AH19"/>
    <mergeCell ref="AX16:AX17"/>
    <mergeCell ref="AB14:AE14"/>
    <mergeCell ref="X18:Z19"/>
    <mergeCell ref="X20:Z21"/>
    <mergeCell ref="AI16:AL17"/>
    <mergeCell ref="AI20:AL21"/>
    <mergeCell ref="C18:I19"/>
    <mergeCell ref="L17:M17"/>
    <mergeCell ref="N17:O17"/>
    <mergeCell ref="N18:O19"/>
    <mergeCell ref="AM13:AU14"/>
    <mergeCell ref="AI26:AL27"/>
    <mergeCell ref="AA16:AD17"/>
    <mergeCell ref="AA20:AD21"/>
    <mergeCell ref="AA22:AD23"/>
    <mergeCell ref="AA24:AD25"/>
    <mergeCell ref="AA26:AD27"/>
    <mergeCell ref="J16:O16"/>
    <mergeCell ref="P16:U16"/>
    <mergeCell ref="AI18:AL19"/>
    <mergeCell ref="AE26:AF27"/>
    <mergeCell ref="AE24:AF25"/>
    <mergeCell ref="V26:W27"/>
    <mergeCell ref="AG24:AH25"/>
    <mergeCell ref="N24:O25"/>
    <mergeCell ref="N26:O27"/>
    <mergeCell ref="T18:U19"/>
    <mergeCell ref="X24:Z25"/>
    <mergeCell ref="X26:Z27"/>
    <mergeCell ref="AO22:AQ23"/>
    <mergeCell ref="X30:Z31"/>
    <mergeCell ref="V30:W31"/>
    <mergeCell ref="AE30:AF31"/>
    <mergeCell ref="AM30:AN31"/>
    <mergeCell ref="AO28:AQ29"/>
    <mergeCell ref="N28:O29"/>
    <mergeCell ref="X22:Z23"/>
    <mergeCell ref="V24:W25"/>
    <mergeCell ref="AI22:AL23"/>
    <mergeCell ref="AI24:AL25"/>
    <mergeCell ref="AA18:AD19"/>
    <mergeCell ref="B56:B57"/>
    <mergeCell ref="J38:K39"/>
    <mergeCell ref="L38:M39"/>
    <mergeCell ref="N38:O39"/>
    <mergeCell ref="V38:W39"/>
    <mergeCell ref="X38:Z39"/>
    <mergeCell ref="AE38:AF39"/>
    <mergeCell ref="B38:B39"/>
    <mergeCell ref="B40:B41"/>
    <mergeCell ref="B42:B43"/>
    <mergeCell ref="B44:B45"/>
    <mergeCell ref="B46:B47"/>
    <mergeCell ref="B48:B49"/>
    <mergeCell ref="B50:B51"/>
    <mergeCell ref="B52:B53"/>
    <mergeCell ref="B54:B55"/>
    <mergeCell ref="J56:K57"/>
    <mergeCell ref="J46:K47"/>
    <mergeCell ref="BY38:BY39"/>
    <mergeCell ref="J40:K41"/>
    <mergeCell ref="L40:M41"/>
    <mergeCell ref="N40:O41"/>
    <mergeCell ref="V40:W41"/>
    <mergeCell ref="X40:Z41"/>
    <mergeCell ref="AE40:AF41"/>
    <mergeCell ref="AG40:AH41"/>
    <mergeCell ref="AI40:AL41"/>
    <mergeCell ref="AM40:AN41"/>
    <mergeCell ref="AO40:AQ41"/>
    <mergeCell ref="AR40:AU41"/>
    <mergeCell ref="BL40:BL41"/>
    <mergeCell ref="AX40:AX41"/>
    <mergeCell ref="BH40:BH41"/>
    <mergeCell ref="BI40:BI41"/>
    <mergeCell ref="AG38:AH39"/>
    <mergeCell ref="AI38:AL39"/>
    <mergeCell ref="BA40:BA41"/>
    <mergeCell ref="BB40:BB41"/>
    <mergeCell ref="BC40:BC41"/>
    <mergeCell ref="BY40:BY41"/>
    <mergeCell ref="BE38:BE39"/>
    <mergeCell ref="AY38:AY39"/>
    <mergeCell ref="AZ38:AZ39"/>
    <mergeCell ref="BG38:BG39"/>
    <mergeCell ref="BN38:BN39"/>
    <mergeCell ref="BO38:BO39"/>
    <mergeCell ref="BR38:BR39"/>
    <mergeCell ref="BT38:BT39"/>
    <mergeCell ref="BV38:BV39"/>
    <mergeCell ref="BX38:BX39"/>
    <mergeCell ref="AX38:AX39"/>
    <mergeCell ref="BH38:BH39"/>
    <mergeCell ref="BI38:BI39"/>
    <mergeCell ref="AM42:AN43"/>
    <mergeCell ref="N44:O45"/>
    <mergeCell ref="V44:W45"/>
    <mergeCell ref="X44:Z45"/>
    <mergeCell ref="AE44:AF45"/>
    <mergeCell ref="AG44:AH45"/>
    <mergeCell ref="AI44:AL45"/>
    <mergeCell ref="AM44:AN45"/>
    <mergeCell ref="AO44:AQ45"/>
    <mergeCell ref="AR44:AU45"/>
    <mergeCell ref="BL44:BL45"/>
    <mergeCell ref="AX44:AX45"/>
    <mergeCell ref="BH44:BH45"/>
    <mergeCell ref="BI44:BI45"/>
    <mergeCell ref="BA44:BA45"/>
    <mergeCell ref="BB44:BB45"/>
    <mergeCell ref="AO42:AQ43"/>
    <mergeCell ref="AR42:AU43"/>
    <mergeCell ref="BL42:BL43"/>
    <mergeCell ref="AX42:AX43"/>
    <mergeCell ref="BH42:BH43"/>
    <mergeCell ref="BI42:BI43"/>
    <mergeCell ref="BA42:BA43"/>
    <mergeCell ref="BB42:BB43"/>
    <mergeCell ref="BC42:BC43"/>
    <mergeCell ref="BE42:BE43"/>
    <mergeCell ref="BF42:BF43"/>
    <mergeCell ref="V42:W43"/>
    <mergeCell ref="BK38:BK39"/>
    <mergeCell ref="P44:Q45"/>
    <mergeCell ref="R44:S45"/>
    <mergeCell ref="T44:U45"/>
    <mergeCell ref="AY44:AY45"/>
    <mergeCell ref="X42:Z43"/>
    <mergeCell ref="AI42:AL43"/>
    <mergeCell ref="T46:U47"/>
    <mergeCell ref="AE42:AF43"/>
    <mergeCell ref="AY42:AY43"/>
    <mergeCell ref="AZ42:AZ43"/>
    <mergeCell ref="N48:O49"/>
    <mergeCell ref="V48:W49"/>
    <mergeCell ref="X48:Z49"/>
    <mergeCell ref="AE48:AF49"/>
    <mergeCell ref="AG48:AH49"/>
    <mergeCell ref="AI48:AL49"/>
    <mergeCell ref="AM48:AN49"/>
    <mergeCell ref="AO48:AQ49"/>
    <mergeCell ref="AR48:AU49"/>
    <mergeCell ref="AX48:AX49"/>
    <mergeCell ref="P48:Q49"/>
    <mergeCell ref="R48:S49"/>
    <mergeCell ref="AG46:AH47"/>
    <mergeCell ref="AI46:AL47"/>
    <mergeCell ref="AM46:AN47"/>
    <mergeCell ref="AO46:AQ47"/>
    <mergeCell ref="AR46:AU47"/>
    <mergeCell ref="AX46:AX47"/>
    <mergeCell ref="R46:S47"/>
    <mergeCell ref="AG42:AH43"/>
    <mergeCell ref="AY46:AY47"/>
    <mergeCell ref="AZ46:AZ47"/>
    <mergeCell ref="T50:U51"/>
    <mergeCell ref="BK48:BK49"/>
    <mergeCell ref="BK50:BK51"/>
    <mergeCell ref="AY48:AY49"/>
    <mergeCell ref="AZ48:AZ49"/>
    <mergeCell ref="BG48:BG49"/>
    <mergeCell ref="BB48:BB49"/>
    <mergeCell ref="BY42:BY43"/>
    <mergeCell ref="BC44:BC45"/>
    <mergeCell ref="BE44:BE45"/>
    <mergeCell ref="BF44:BF45"/>
    <mergeCell ref="BW44:BW45"/>
    <mergeCell ref="BY44:BY45"/>
    <mergeCell ref="BQ42:BQ43"/>
    <mergeCell ref="BQ44:BQ45"/>
    <mergeCell ref="AZ44:AZ45"/>
    <mergeCell ref="BG44:BG45"/>
    <mergeCell ref="BN44:BN45"/>
    <mergeCell ref="BO44:BO45"/>
    <mergeCell ref="BR44:BR45"/>
    <mergeCell ref="BT44:BT45"/>
    <mergeCell ref="BV44:BV45"/>
    <mergeCell ref="BX44:BX45"/>
    <mergeCell ref="BL48:BL49"/>
    <mergeCell ref="BH48:BH49"/>
    <mergeCell ref="BI48:BI49"/>
    <mergeCell ref="BA48:BA49"/>
    <mergeCell ref="BL46:BL47"/>
    <mergeCell ref="BH46:BH47"/>
    <mergeCell ref="BI46:BI47"/>
    <mergeCell ref="BA46:BA47"/>
    <mergeCell ref="BB46:BB47"/>
    <mergeCell ref="P52:Q53"/>
    <mergeCell ref="R52:S53"/>
    <mergeCell ref="T52:U53"/>
    <mergeCell ref="V52:W53"/>
    <mergeCell ref="X52:Z53"/>
    <mergeCell ref="AE52:AF53"/>
    <mergeCell ref="AG52:AH53"/>
    <mergeCell ref="AI52:AL53"/>
    <mergeCell ref="AM52:AN53"/>
    <mergeCell ref="AY50:AY51"/>
    <mergeCell ref="AZ50:AZ51"/>
    <mergeCell ref="BG50:BG51"/>
    <mergeCell ref="AI54:AL55"/>
    <mergeCell ref="AM54:AN55"/>
    <mergeCell ref="AO54:AQ55"/>
    <mergeCell ref="AR54:AU55"/>
    <mergeCell ref="AX54:AX55"/>
    <mergeCell ref="BA54:BA55"/>
    <mergeCell ref="BB54:BB55"/>
    <mergeCell ref="AO52:AQ53"/>
    <mergeCell ref="AR52:AU53"/>
    <mergeCell ref="V50:W51"/>
    <mergeCell ref="X50:Z51"/>
    <mergeCell ref="AE50:AF51"/>
    <mergeCell ref="AG50:AH51"/>
    <mergeCell ref="AI50:AL51"/>
    <mergeCell ref="AM50:AN51"/>
    <mergeCell ref="AO50:AQ51"/>
    <mergeCell ref="AR50:AU51"/>
    <mergeCell ref="AX50:AX51"/>
    <mergeCell ref="P50:Q51"/>
    <mergeCell ref="R50:S51"/>
    <mergeCell ref="N52:O53"/>
    <mergeCell ref="AE56:AF57"/>
    <mergeCell ref="AG56:AH57"/>
    <mergeCell ref="BA56:BA57"/>
    <mergeCell ref="BB56:BB57"/>
    <mergeCell ref="BC56:BC57"/>
    <mergeCell ref="BE56:BE57"/>
    <mergeCell ref="BF56:BF57"/>
    <mergeCell ref="BW56:BW57"/>
    <mergeCell ref="AI56:AL57"/>
    <mergeCell ref="AM56:AN57"/>
    <mergeCell ref="AO56:AQ57"/>
    <mergeCell ref="AR56:AU57"/>
    <mergeCell ref="BL56:BL57"/>
    <mergeCell ref="AX56:AX57"/>
    <mergeCell ref="BH56:BH57"/>
    <mergeCell ref="BI56:BI57"/>
    <mergeCell ref="V54:W55"/>
    <mergeCell ref="X54:Z55"/>
    <mergeCell ref="AE54:AF55"/>
    <mergeCell ref="AG54:AH55"/>
    <mergeCell ref="R54:S55"/>
    <mergeCell ref="P56:Q57"/>
    <mergeCell ref="R56:S57"/>
    <mergeCell ref="BP52:BP53"/>
    <mergeCell ref="BP54:BP55"/>
    <mergeCell ref="BP56:BP57"/>
    <mergeCell ref="BQ52:BQ53"/>
    <mergeCell ref="BK52:BK53"/>
    <mergeCell ref="BK54:BK55"/>
    <mergeCell ref="AX52:AX53"/>
    <mergeCell ref="BH52:BH53"/>
    <mergeCell ref="CB30:CB31"/>
    <mergeCell ref="BD30:BD31"/>
    <mergeCell ref="CB32:CB33"/>
    <mergeCell ref="N54:O55"/>
    <mergeCell ref="BJ16:BJ17"/>
    <mergeCell ref="BK16:BK17"/>
    <mergeCell ref="BJ18:BJ19"/>
    <mergeCell ref="BK18:BK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J48:BJ49"/>
    <mergeCell ref="BJ50:BJ51"/>
    <mergeCell ref="BJ52:BJ53"/>
    <mergeCell ref="T54:U55"/>
    <mergeCell ref="BE54:BE55"/>
    <mergeCell ref="BA52:BA53"/>
    <mergeCell ref="BB52:BB53"/>
    <mergeCell ref="BF54:BF55"/>
    <mergeCell ref="BW54:BW55"/>
    <mergeCell ref="BD32:BD33"/>
    <mergeCell ref="CC16:CC17"/>
    <mergeCell ref="CC18:CC19"/>
    <mergeCell ref="CC20:CC21"/>
    <mergeCell ref="CC22:CC23"/>
    <mergeCell ref="CC24:CC25"/>
    <mergeCell ref="CC26:CC27"/>
    <mergeCell ref="CC28:CC29"/>
    <mergeCell ref="CC30:CC31"/>
    <mergeCell ref="CC32:CC33"/>
    <mergeCell ref="CB34:CB35"/>
    <mergeCell ref="BD34:BD35"/>
    <mergeCell ref="CB36:CB37"/>
    <mergeCell ref="BD36:BD37"/>
    <mergeCell ref="CB38:CB39"/>
    <mergeCell ref="BD38:BD39"/>
    <mergeCell ref="CB40:CB41"/>
    <mergeCell ref="BD40:BD41"/>
    <mergeCell ref="CB16:CB17"/>
    <mergeCell ref="BD16:BD17"/>
    <mergeCell ref="CB18:CB19"/>
    <mergeCell ref="BD18:BD19"/>
    <mergeCell ref="CB20:CB21"/>
    <mergeCell ref="BD20:BD21"/>
    <mergeCell ref="CB22:CB23"/>
    <mergeCell ref="BD22:BD23"/>
    <mergeCell ref="CB24:CB25"/>
    <mergeCell ref="BD24:BD25"/>
    <mergeCell ref="CB26:CB27"/>
    <mergeCell ref="BD26:BD27"/>
    <mergeCell ref="CB28:CB29"/>
    <mergeCell ref="BD28:BD29"/>
    <mergeCell ref="BZ20:BZ21"/>
    <mergeCell ref="CB52:CB53"/>
    <mergeCell ref="BD52:BD53"/>
    <mergeCell ref="CB54:CB55"/>
    <mergeCell ref="BD54:BD55"/>
    <mergeCell ref="CC34:CC35"/>
    <mergeCell ref="CC36:CC37"/>
    <mergeCell ref="CC38:CC39"/>
    <mergeCell ref="CC40:CC41"/>
    <mergeCell ref="CC42:CC43"/>
    <mergeCell ref="CC44:CC45"/>
    <mergeCell ref="CC46:CC47"/>
    <mergeCell ref="CC48:CC49"/>
    <mergeCell ref="CC50:CC51"/>
    <mergeCell ref="CC52:CC53"/>
    <mergeCell ref="CC54:CC55"/>
    <mergeCell ref="CC56:CC57"/>
    <mergeCell ref="BM32:BM33"/>
    <mergeCell ref="BM34:BM35"/>
    <mergeCell ref="BM36:BM37"/>
    <mergeCell ref="BM38:BM39"/>
    <mergeCell ref="BM40:BM41"/>
    <mergeCell ref="BM42:BM43"/>
    <mergeCell ref="BM44:BM45"/>
    <mergeCell ref="BM46:BM47"/>
    <mergeCell ref="BM48:BM49"/>
    <mergeCell ref="BN32:BN33"/>
    <mergeCell ref="BO32:BO33"/>
    <mergeCell ref="BR32:BR33"/>
    <mergeCell ref="BT32:BT33"/>
    <mergeCell ref="BV32:BV33"/>
    <mergeCell ref="BX32:BX33"/>
    <mergeCell ref="BN34:BN35"/>
    <mergeCell ref="CB42:CB43"/>
    <mergeCell ref="BD42:BD43"/>
    <mergeCell ref="CB44:CB45"/>
    <mergeCell ref="BD44:BD45"/>
    <mergeCell ref="BP16:BP17"/>
    <mergeCell ref="BP18:BP19"/>
    <mergeCell ref="BP20:BP21"/>
    <mergeCell ref="BP22:BP23"/>
    <mergeCell ref="BP24:BP25"/>
    <mergeCell ref="BP26:BP27"/>
    <mergeCell ref="BP28:BP29"/>
    <mergeCell ref="BP30:BP31"/>
    <mergeCell ref="BP32:BP33"/>
    <mergeCell ref="BN26:BN27"/>
    <mergeCell ref="BO26:BO27"/>
    <mergeCell ref="BR26:BR27"/>
    <mergeCell ref="BT26:BT27"/>
    <mergeCell ref="BV26:BV27"/>
    <mergeCell ref="BX26:BX27"/>
    <mergeCell ref="BO34:BO35"/>
    <mergeCell ref="BR34:BR35"/>
    <mergeCell ref="BT34:BT35"/>
    <mergeCell ref="BV34:BV35"/>
    <mergeCell ref="BX34:BX35"/>
    <mergeCell ref="BP34:BP35"/>
    <mergeCell ref="BP36:BP37"/>
    <mergeCell ref="BP38:BP39"/>
    <mergeCell ref="BP40:BP41"/>
    <mergeCell ref="BP42:BP43"/>
    <mergeCell ref="BP44:BP45"/>
    <mergeCell ref="BZ16:BZ17"/>
    <mergeCell ref="BZ18:BZ19"/>
    <mergeCell ref="BZ22:BZ23"/>
    <mergeCell ref="BZ24:BZ25"/>
    <mergeCell ref="BZ26:BZ27"/>
    <mergeCell ref="BZ28:BZ29"/>
    <mergeCell ref="BZ30:BZ31"/>
    <mergeCell ref="BZ32:BZ33"/>
    <mergeCell ref="BZ34:BZ35"/>
    <mergeCell ref="BZ36:BZ37"/>
    <mergeCell ref="BZ38:BZ39"/>
    <mergeCell ref="BZ40:BZ41"/>
    <mergeCell ref="BZ42:BZ43"/>
    <mergeCell ref="BZ44:BZ45"/>
    <mergeCell ref="BZ46:BZ47"/>
    <mergeCell ref="BZ48:BZ49"/>
    <mergeCell ref="BZ50:BZ51"/>
    <mergeCell ref="BZ52:BZ53"/>
    <mergeCell ref="BZ54:BZ55"/>
    <mergeCell ref="BZ56:BZ57"/>
    <mergeCell ref="BZ58:BZ59"/>
    <mergeCell ref="BZ60:BZ61"/>
    <mergeCell ref="BZ62:BZ63"/>
    <mergeCell ref="BZ64:BZ65"/>
    <mergeCell ref="BQ16:BQ17"/>
    <mergeCell ref="BQ18:BQ19"/>
    <mergeCell ref="BQ20:BQ21"/>
    <mergeCell ref="BQ22:BQ23"/>
    <mergeCell ref="BQ24:BQ25"/>
    <mergeCell ref="BQ26:BQ27"/>
    <mergeCell ref="BQ28:BQ29"/>
    <mergeCell ref="BQ30:BQ31"/>
    <mergeCell ref="BQ32:BQ33"/>
    <mergeCell ref="BQ34:BQ35"/>
    <mergeCell ref="BQ36:BQ37"/>
    <mergeCell ref="BU16:BU17"/>
    <mergeCell ref="BU18:BU19"/>
    <mergeCell ref="BU20:BU21"/>
    <mergeCell ref="BU22:BU23"/>
    <mergeCell ref="BU24:BU25"/>
    <mergeCell ref="BU26:BU27"/>
    <mergeCell ref="BQ38:BQ39"/>
    <mergeCell ref="BQ40:BQ41"/>
    <mergeCell ref="BQ54:BQ55"/>
    <mergeCell ref="BQ56:BQ57"/>
    <mergeCell ref="BQ58:BQ59"/>
    <mergeCell ref="BQ60:BQ61"/>
    <mergeCell ref="BU38:BU39"/>
    <mergeCell ref="BU40:BU41"/>
    <mergeCell ref="BU42:BU43"/>
    <mergeCell ref="BU44:BU45"/>
    <mergeCell ref="CC58:CC59"/>
    <mergeCell ref="CC60:CC61"/>
    <mergeCell ref="CC62:CC63"/>
    <mergeCell ref="CC64:CC65"/>
    <mergeCell ref="CC66:CC67"/>
    <mergeCell ref="CC68:CC69"/>
    <mergeCell ref="CC70:CC71"/>
    <mergeCell ref="CC72:CC73"/>
    <mergeCell ref="CC74:CC75"/>
    <mergeCell ref="CC76:CC77"/>
    <mergeCell ref="CC78:CC79"/>
    <mergeCell ref="BZ66:BZ67"/>
    <mergeCell ref="BZ68:BZ69"/>
    <mergeCell ref="BZ70:BZ71"/>
    <mergeCell ref="BZ72:BZ73"/>
    <mergeCell ref="BZ74:BZ75"/>
    <mergeCell ref="BZ76:BZ77"/>
    <mergeCell ref="CB70:CB71"/>
    <mergeCell ref="CB60:CB61"/>
    <mergeCell ref="CB64:CB65"/>
    <mergeCell ref="CB62:CB63"/>
    <mergeCell ref="CB74:CB75"/>
    <mergeCell ref="CB76:CB77"/>
    <mergeCell ref="BZ78:BZ79"/>
    <mergeCell ref="BY62:BY63"/>
    <mergeCell ref="BJ62:BJ63"/>
    <mergeCell ref="BK62:BK63"/>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BS38:BS39"/>
    <mergeCell ref="BS40:BS41"/>
    <mergeCell ref="BS42:BS43"/>
    <mergeCell ref="BS44:BS45"/>
    <mergeCell ref="BS46:BS47"/>
    <mergeCell ref="BS48:BS49"/>
    <mergeCell ref="AA62:AD63"/>
    <mergeCell ref="BY54:BY55"/>
    <mergeCell ref="BC54:BC55"/>
    <mergeCell ref="BI52:BI53"/>
    <mergeCell ref="BH54:BH55"/>
    <mergeCell ref="BI54:BI55"/>
    <mergeCell ref="AA68:AD69"/>
    <mergeCell ref="AA70:AD71"/>
    <mergeCell ref="AA72:AD73"/>
    <mergeCell ref="AA74:AD75"/>
    <mergeCell ref="AA76:AD77"/>
    <mergeCell ref="AA78:AD79"/>
    <mergeCell ref="AA80:AD81"/>
    <mergeCell ref="AA82:AD83"/>
    <mergeCell ref="BU72:BU73"/>
    <mergeCell ref="BU74:BU75"/>
    <mergeCell ref="BU76:BU77"/>
    <mergeCell ref="BU78:BU79"/>
    <mergeCell ref="BU80:BU81"/>
    <mergeCell ref="BU82:BU83"/>
    <mergeCell ref="BU50:BU51"/>
    <mergeCell ref="BU52:BU53"/>
    <mergeCell ref="BU54:BU55"/>
    <mergeCell ref="BU56:BU57"/>
    <mergeCell ref="BU58:BU59"/>
    <mergeCell ref="BU60:BU61"/>
    <mergeCell ref="BU62:BU63"/>
    <mergeCell ref="BU64:BU65"/>
    <mergeCell ref="BU66:BU67"/>
    <mergeCell ref="BP60:BP61"/>
    <mergeCell ref="BQ62:BQ63"/>
    <mergeCell ref="BN60:BN61"/>
    <mergeCell ref="BP62:BP63"/>
    <mergeCell ref="BQ64:BQ65"/>
    <mergeCell ref="AO68:AQ69"/>
    <mergeCell ref="AR68:AU69"/>
    <mergeCell ref="BL50:BL51"/>
    <mergeCell ref="BH50:BH51"/>
    <mergeCell ref="N1:T3"/>
    <mergeCell ref="U1:AK3"/>
    <mergeCell ref="BS84:BS85"/>
    <mergeCell ref="BS86:BS87"/>
    <mergeCell ref="BS50:BS51"/>
    <mergeCell ref="BS52:BS53"/>
    <mergeCell ref="BS54:BS55"/>
    <mergeCell ref="BS56:BS57"/>
    <mergeCell ref="BS58:BS59"/>
    <mergeCell ref="BS60:BS61"/>
    <mergeCell ref="BS62:BS63"/>
    <mergeCell ref="BS64:BS65"/>
    <mergeCell ref="BS66:BS67"/>
    <mergeCell ref="BS68:BS69"/>
    <mergeCell ref="BS70:BS71"/>
    <mergeCell ref="BS72:BS73"/>
    <mergeCell ref="BS74:BS75"/>
    <mergeCell ref="BS76:BS77"/>
    <mergeCell ref="BS78:BS79"/>
    <mergeCell ref="BS80:BS81"/>
    <mergeCell ref="BS82:BS83"/>
    <mergeCell ref="BS16:BS17"/>
    <mergeCell ref="BS18:BS19"/>
    <mergeCell ref="BS20:BS21"/>
    <mergeCell ref="BS22:BS23"/>
    <mergeCell ref="BS24:BS25"/>
    <mergeCell ref="BS26:BS27"/>
    <mergeCell ref="BS28:BS29"/>
    <mergeCell ref="BS30:BS31"/>
    <mergeCell ref="BS32:BS33"/>
    <mergeCell ref="BS34:BS35"/>
    <mergeCell ref="BS36:BS37"/>
  </mergeCells>
  <conditionalFormatting sqref="L18:O87 R18:U87">
    <cfRule type="expression" dxfId="118" priority="1485">
      <formula>IF($J18="IPLV",TRUE,FALSE)</formula>
    </cfRule>
  </conditionalFormatting>
  <conditionalFormatting sqref="N18:O87 T18:W87 AA18:AH87">
    <cfRule type="expression" dxfId="117" priority="1482">
      <formula>AND(ISBLANK($C18)=FALSE,OR(ISBLANK(N18)=TRUE,N18=""))</formula>
    </cfRule>
  </conditionalFormatting>
  <conditionalFormatting sqref="AM18:AN87">
    <cfRule type="expression" dxfId="116" priority="1481">
      <formula>AM18 &lt;&gt; INDEX(STDHVACINC, MATCH(C18, STDHVACLIST,0))</formula>
    </cfRule>
  </conditionalFormatting>
  <conditionalFormatting sqref="AR18:AU87">
    <cfRule type="expression" dxfId="115" priority="1888" stopIfTrue="1">
      <formula>ISNUMBER($AR18)=FALSE</formula>
    </cfRule>
    <cfRule type="expression" dxfId="114" priority="1889">
      <formula>$AR18 &lt;&gt; $BQ18</formula>
    </cfRule>
  </conditionalFormatting>
  <conditionalFormatting sqref="AS8:AW8">
    <cfRule type="expression" dxfId="113" priority="17">
      <formula>IF($AS$8=PROJSTATMEASURE,FALSE,TRUE)</formula>
    </cfRule>
  </conditionalFormatting>
  <conditionalFormatting sqref="CA18:CB87">
    <cfRule type="expression" dxfId="112" priority="1893">
      <formula>IF(OR($BZ18="EER",$BZ18="SEER",$BZ18="IEER",$BZ18="COP",$BZ18="HSPF"),TRUE,FALSE)</formula>
    </cfRule>
    <cfRule type="expression" dxfId="111" priority="1894">
      <formula>IF(AND($BZ18&lt;&gt;"",CA18=""),TRUE,FALSE)</formula>
    </cfRule>
  </conditionalFormatting>
  <conditionalFormatting sqref="CC18:CC87">
    <cfRule type="expression" dxfId="110" priority="1895">
      <formula>IF(AND($AO18&gt;0,$CC18="",OR(ISNUMBER(SEARCH("PTHP",$C18)),ISNUMBER(SEARCH("ASHP",$C18)),ISNUMBER(SEARCH("VRF",$C18)))),TRUE,FALSE)</formula>
    </cfRule>
  </conditionalFormatting>
  <dataValidations xWindow="1012" yWindow="362" count="14">
    <dataValidation type="decimal" allowBlank="1" showInputMessage="1" showErrorMessage="1" prompt="This is the TOTAL Labor Cost of the measure, NOT a per unit basis." sqref="AG18:AH87" xr:uid="{5EF2334B-6731-42A2-A855-7A798BB0EEFE}">
      <formula1>0</formula1>
      <formula2>999999</formula2>
    </dataValidation>
    <dataValidation type="decimal" allowBlank="1" showInputMessage="1" showErrorMessage="1" prompt="This is the TOTAL Material Cost of the measure, NOT a per unit basis." sqref="AE18:AF87" xr:uid="{96B9F31E-2AE4-459F-A41E-365D3E967841}">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87" xr:uid="{AC61E18B-D6E2-4D81-921D-FBC236A773FF}">
      <formula1>INDEX(STDHVACTONMIN,MATCH(C18,STDHVACMEASURES,0))</formula1>
      <formula2>INDEX(STDHVACTONMAX,MATCH(C18,STDHVACMEASURES,0))</formula2>
    </dataValidation>
    <dataValidation allowBlank="1" showInputMessage="1" showErrorMessage="1" prompt="Enter the Brand and Model # as it appears in technical documents and invoices." sqref="X18:Z87" xr:uid="{A8D721AD-DFA3-4B0F-A8C5-9F8B2F9105C7}"/>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 sqref="T18:U87" xr:uid="{124F8FF0-7131-4D74-B409-87DAE4493DF7}">
      <formula1>0</formula1>
    </dataValidation>
    <dataValidation type="custom"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 sqref="N18:O87" xr:uid="{32229AF0-BE87-485D-8860-E3B6D47810D5}">
      <formula1>IF(OR(ISNUMBER(SEARCH("PTAC", C18)), ISNUMBER(SEARCH("PTHP", C18))), N18&gt;=11, N18&gt;0)</formula1>
    </dataValidation>
    <dataValidation type="list" allowBlank="1" showInputMessage="1" showErrorMessage="1" prompt="Select Efficient Measure. If you do not see your equipment listed, it may qualify as a Custom Measure." sqref="E18:E87" xr:uid="{E62EC754-32D8-4E21-BE09-B6865C3DBFC8}">
      <formula1>IF( AND(P18="", V18="", X18="", BD18="", BM18=""), STDHVACLIST, "")</formula1>
    </dataValidation>
    <dataValidation type="list" allowBlank="1" showInputMessage="1" showErrorMessage="1" prompt="Select Efficient Measure. If you do not see your equipment listed, it may qualify as a Custom Measure." sqref="F18:F87" xr:uid="{AEA5D3E7-2896-4C57-A592-ED0A2FA2B4BC}">
      <formula1>IF( AND(Q18="", W18="", Y18="", BM18="", BP18=""), STDHVACLIST, "")</formula1>
    </dataValidation>
    <dataValidation type="list" allowBlank="1" showInputMessage="1" showErrorMessage="1" prompt="Select Efficient Measure. If you do not see your equipment listed, it may qualify as a Custom Measure." sqref="H18:H87" xr:uid="{EA62DF80-C932-4206-BA5C-0A462D5DE18E}">
      <formula1>IF( AND(S18="", Y18="", AA18="", BS18="", #REF!=""), STDHVACLIST, "")</formula1>
    </dataValidation>
    <dataValidation type="list" allowBlank="1" showInputMessage="1" showErrorMessage="1" prompt="Select Efficient Measure. If you do not see your equipment listed, it may qualify as a Custom Measure." sqref="G18:G87" xr:uid="{8DAA6CE9-5C17-48DD-B8B8-4F20659870CD}">
      <formula1>IF( AND(R18="", X18="", Z18="", BP18="", BS18=""), STDHVACLIST, "")</formula1>
    </dataValidation>
    <dataValidation type="list" allowBlank="1" showInputMessage="1" showErrorMessage="1" prompt="Select Efficient Measure. If you do not see your equipment listed, it may qualify as a Custom Measure." sqref="C18:C87" xr:uid="{6D4A6FB0-AFD4-47A6-9005-DE6AAA77359B}">
      <formula1>IF( AND(N18="", T18="", V18="", CB18="", CC18=""), STDHVACLIST, "")</formula1>
    </dataValidation>
    <dataValidation type="list" allowBlank="1" showInputMessage="1" showErrorMessage="1" prompt="Select Efficient Measure. If you do not see your equipment listed, it may qualify as a Custom Measure." sqref="D18:D87" xr:uid="{C34F314D-3211-4E95-86E4-540FE7774ED7}">
      <formula1>IF( AND(O18="", U18="", W18="", CC18="", BD18=""), STDHVACLIST, "")</formula1>
    </dataValidation>
    <dataValidation type="list" allowBlank="1" showInputMessage="1" showErrorMessage="1" prompt="Select Efficient Measure. If you do not see your equipment listed, it may qualify as a Custom Measure." sqref="I18:I87" xr:uid="{185DCCC0-AD08-4303-B98C-49B4A80A3CDA}">
      <formula1>IF( AND(T18="", Z18="", AB18="", #REF!="", #REF!=""), STDHVACLIST, "")</formula1>
    </dataValidation>
    <dataValidation type="list" allowBlank="1" showInputMessage="1" showErrorMessage="1" sqref="BC18:BC87" xr:uid="{01D19506-9E23-44BC-A770-D67652DDE5AE}">
      <formula1>ENDUSECAT</formula1>
    </dataValidation>
  </dataValidations>
  <hyperlinks>
    <hyperlink ref="J9:M11" location="'M03-S02'!C18" tooltip="Lighting" display="'M03-S02'!C18" xr:uid="{5BE4E572-44A2-4FB1-AE46-722DF080DBB5}"/>
    <hyperlink ref="N9:Q11" location="'M03-S03'!C18" tooltip="Lighting Controls" display="'M03-S03'!C18" xr:uid="{7836B6CD-8D8E-4372-ABC9-5BCC2F12E1FD}"/>
    <hyperlink ref="R9:U11" location="'M03-S04'!C18" tooltip="Refrigeration" display="'M03-S04'!C18" xr:uid="{097EC1A0-DC61-42BB-AD03-AE2902F9C280}"/>
    <hyperlink ref="V9:Y11" location="'M03-S05'!C18" tooltip="HVAC" display="'M03-S05'!C18" xr:uid="{13BC734D-8B5A-4363-AC70-17DF5ECF186D}"/>
    <hyperlink ref="AD9:AG11" location="'M03-S06'!C18" tooltip="Compressed Air / Process" display="'M03-S06'!C18" xr:uid="{F6306310-1CB0-492C-96F1-F5C519E42D9F}"/>
    <hyperlink ref="AH9:AK11" location="'M03-S07'!C18" tooltip="Water Heating / Cooking" display="'M03-S07'!C18" xr:uid="{FEFD785C-BDE0-4A9F-8970-C0B51EF82D99}"/>
    <hyperlink ref="Z9:AC11" location="'M03-S08'!C18" tooltip="Motors and Drives" display="'M03-S08'!C18" xr:uid="{B4EDEC9A-062F-4C91-A0C3-4900E01D672D}"/>
    <hyperlink ref="AL9:AO11" location="'M04-S09'!C18" tooltip="Miscellaneous" display="'M04-S09'!C18" xr:uid="{87B060A7-D04C-4C49-95FE-43742A200E78}"/>
    <hyperlink ref="B202" r:id="rId1" display="businessrebates@evergy.com" xr:uid="{0B3676AE-8286-44BC-B73F-5269E4D2D57B}"/>
    <hyperlink ref="J1:M3" location="'M01-S02'!J1" tooltip="Instructions" display="'M01-S02'!J1" xr:uid="{0A1C6DB4-5709-4F97-87E8-FDC4144A46CE}"/>
    <hyperlink ref="AP1:AS3" location="'M05-S05'!AL1" tooltip=" " display="'M05-S05'!AL1" xr:uid="{D458B069-DEA6-4601-B21F-FC43D789E2F6}"/>
    <hyperlink ref="AL1:AO3" location="'M05-S04'!AH1" tooltip=" " display="'M05-S04'!AH1" xr:uid="{D2F25915-B033-4E69-8099-1035ABCF8DCD}"/>
    <hyperlink ref="AT1:AW3" location="'M01-S03'!AP1" tooltip="Contact" display="'M01-S03'!AP1" xr:uid="{B867F624-B70C-4B33-AAC4-114AB2187EF7}"/>
  </hyperlinks>
  <printOptions horizontalCentered="1"/>
  <pageMargins left="0" right="0" top="0" bottom="0" header="0" footer="0"/>
  <pageSetup scale="43"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tabColor theme="8" tint="0.59999389629810485"/>
    <pageSetUpPr fitToPage="1"/>
  </sheetPr>
  <dimension ref="A1:CC202"/>
  <sheetViews>
    <sheetView showGridLines="0" showRowColHeaders="0" zoomScale="85" zoomScaleNormal="85" workbookViewId="0">
      <selection activeCell="BJ18" sqref="BJ18:BJ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6384" width="8.855468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2"/>
      <c r="G5" s="372"/>
      <c r="H5" s="372"/>
      <c r="I5" s="372"/>
      <c r="AS5" s="663">
        <f ca="1">PROGRESSSTATUS</f>
        <v>0</v>
      </c>
      <c r="AT5" s="663"/>
      <c r="AU5" s="663"/>
      <c r="AV5" s="663"/>
      <c r="AW5" s="663"/>
    </row>
    <row r="6" spans="1:81" ht="15.95" customHeight="1">
      <c r="A6" s="692"/>
      <c r="B6" s="692"/>
      <c r="C6" s="692"/>
      <c r="D6" s="692"/>
      <c r="E6" s="692"/>
      <c r="F6" s="372"/>
      <c r="G6" s="372"/>
      <c r="H6" s="372"/>
      <c r="I6" s="372"/>
      <c r="AS6" s="663"/>
      <c r="AT6" s="663"/>
      <c r="AU6" s="663"/>
      <c r="AV6" s="663"/>
      <c r="AW6" s="663"/>
    </row>
    <row r="7" spans="1:81" ht="15.95" customHeight="1">
      <c r="A7" s="662" t="s">
        <v>83</v>
      </c>
      <c r="B7" s="662"/>
      <c r="C7" s="662"/>
      <c r="D7" s="662"/>
      <c r="E7" s="662"/>
      <c r="F7" s="75"/>
      <c r="G7" s="75"/>
      <c r="H7" s="75"/>
      <c r="I7" s="75"/>
      <c r="AS7" s="662" t="s">
        <v>299</v>
      </c>
      <c r="AT7" s="662"/>
      <c r="AU7" s="662"/>
      <c r="AV7" s="662"/>
      <c r="AW7" s="662"/>
    </row>
    <row r="8" spans="1:81" ht="15.95" customHeight="1" thickBot="1">
      <c r="A8" s="665"/>
      <c r="B8" s="665"/>
      <c r="C8" s="665"/>
      <c r="D8" s="665"/>
      <c r="E8" s="665"/>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61" t="str">
        <f ca="1">PROJSTATUS</f>
        <v>Enter Measures</v>
      </c>
      <c r="AT8" s="661"/>
      <c r="AU8" s="661"/>
      <c r="AV8" s="661"/>
      <c r="AW8" s="661"/>
    </row>
    <row r="9" spans="1:81" ht="15.95" customHeight="1">
      <c r="A9" s="78"/>
      <c r="B9" s="79"/>
      <c r="C9" s="79"/>
      <c r="D9" s="79"/>
      <c r="E9" s="79"/>
      <c r="F9" s="79"/>
      <c r="G9" s="79"/>
      <c r="H9" s="78"/>
      <c r="I9" s="78"/>
      <c r="J9" s="829" t="str">
        <f>M3S2</f>
        <v>Lighting</v>
      </c>
      <c r="K9" s="830"/>
      <c r="L9" s="830"/>
      <c r="M9" s="830"/>
      <c r="N9" s="829" t="str">
        <f>M3S3</f>
        <v>Lighting Controls</v>
      </c>
      <c r="O9" s="830"/>
      <c r="P9" s="830"/>
      <c r="Q9" s="830"/>
      <c r="R9" s="829" t="str">
        <f>M3S4</f>
        <v>Refrigeration</v>
      </c>
      <c r="S9" s="830"/>
      <c r="T9" s="830"/>
      <c r="U9" s="830"/>
      <c r="V9" s="834" t="str">
        <f>M3S5</f>
        <v>HVAC</v>
      </c>
      <c r="W9" s="834"/>
      <c r="X9" s="834"/>
      <c r="Y9" s="834"/>
      <c r="Z9" s="842" t="str">
        <f>M4S8</f>
        <v>Motors and Drives</v>
      </c>
      <c r="AA9" s="842"/>
      <c r="AB9" s="842"/>
      <c r="AC9" s="842"/>
      <c r="AD9" s="829" t="str">
        <f>M3S6</f>
        <v>Compressed Air / Process</v>
      </c>
      <c r="AE9" s="830"/>
      <c r="AF9" s="830"/>
      <c r="AG9" s="830"/>
      <c r="AH9" s="829" t="str">
        <f>M3S7</f>
        <v>Water Heating / Food Services</v>
      </c>
      <c r="AI9" s="830"/>
      <c r="AJ9" s="830"/>
      <c r="AK9" s="830"/>
      <c r="AL9" s="834" t="str">
        <f>M4S9</f>
        <v>Miscellaneous</v>
      </c>
      <c r="AM9" s="834"/>
      <c r="AN9" s="834"/>
      <c r="AO9" s="834"/>
      <c r="AP9" s="79"/>
      <c r="AQ9" s="79"/>
      <c r="AR9" s="79"/>
      <c r="AU9" s="79"/>
      <c r="AV9" s="79"/>
      <c r="AW9" s="78"/>
    </row>
    <row r="10" spans="1:81" ht="15.95" customHeight="1">
      <c r="A10" s="78"/>
      <c r="B10" s="79"/>
      <c r="C10" s="79"/>
      <c r="D10" s="79"/>
      <c r="E10" s="79"/>
      <c r="F10" s="79"/>
      <c r="G10" s="79"/>
      <c r="H10" s="78"/>
      <c r="I10" s="78"/>
      <c r="J10" s="831"/>
      <c r="K10" s="831"/>
      <c r="L10" s="831"/>
      <c r="M10" s="831"/>
      <c r="N10" s="831"/>
      <c r="O10" s="831"/>
      <c r="P10" s="831"/>
      <c r="Q10" s="831"/>
      <c r="R10" s="831"/>
      <c r="S10" s="831"/>
      <c r="T10" s="831"/>
      <c r="U10" s="831"/>
      <c r="V10" s="835"/>
      <c r="W10" s="835"/>
      <c r="X10" s="835"/>
      <c r="Y10" s="835"/>
      <c r="Z10" s="843"/>
      <c r="AA10" s="843"/>
      <c r="AB10" s="843"/>
      <c r="AC10" s="843"/>
      <c r="AD10" s="831"/>
      <c r="AE10" s="831"/>
      <c r="AF10" s="831"/>
      <c r="AG10" s="831"/>
      <c r="AH10" s="831"/>
      <c r="AI10" s="831"/>
      <c r="AJ10" s="831"/>
      <c r="AK10" s="831"/>
      <c r="AL10" s="835"/>
      <c r="AM10" s="835"/>
      <c r="AN10" s="835"/>
      <c r="AO10" s="835"/>
      <c r="AP10" s="79"/>
      <c r="AQ10" s="79"/>
      <c r="AR10" s="79"/>
      <c r="AU10" s="79"/>
      <c r="AV10" s="79"/>
      <c r="AW10" s="78"/>
    </row>
    <row r="11" spans="1:81" ht="15.95" customHeight="1">
      <c r="B11" s="96"/>
      <c r="C11" s="96"/>
      <c r="D11" s="96"/>
      <c r="E11" s="96"/>
      <c r="F11" s="96"/>
      <c r="G11" s="96"/>
      <c r="J11" s="831"/>
      <c r="K11" s="831"/>
      <c r="L11" s="831"/>
      <c r="M11" s="831"/>
      <c r="N11" s="831"/>
      <c r="O11" s="831"/>
      <c r="P11" s="831"/>
      <c r="Q11" s="831"/>
      <c r="R11" s="831"/>
      <c r="S11" s="831"/>
      <c r="T11" s="831"/>
      <c r="U11" s="831"/>
      <c r="V11" s="835"/>
      <c r="W11" s="835"/>
      <c r="X11" s="835"/>
      <c r="Y11" s="835"/>
      <c r="Z11" s="843"/>
      <c r="AA11" s="843"/>
      <c r="AB11" s="843"/>
      <c r="AC11" s="843"/>
      <c r="AD11" s="831"/>
      <c r="AE11" s="831"/>
      <c r="AF11" s="831"/>
      <c r="AG11" s="831"/>
      <c r="AH11" s="831"/>
      <c r="AI11" s="831"/>
      <c r="AJ11" s="831"/>
      <c r="AK11" s="831"/>
      <c r="AL11" s="835"/>
      <c r="AM11" s="835"/>
      <c r="AN11" s="835"/>
      <c r="AO11" s="835"/>
      <c r="AP11" s="96"/>
      <c r="AQ11" s="96"/>
      <c r="AR11" s="96"/>
      <c r="AU11" s="96"/>
      <c r="AV11" s="96"/>
    </row>
    <row r="12" spans="1:81" ht="15.95" customHeight="1">
      <c r="E12" s="76"/>
      <c r="F12" s="76"/>
      <c r="G12" s="76"/>
      <c r="T12" s="837">
        <f>SUM(AR18:AU199)</f>
        <v>0</v>
      </c>
      <c r="U12" s="837"/>
      <c r="V12" s="837"/>
      <c r="W12" s="837"/>
      <c r="X12" s="837">
        <f>SUM(BL18:BL199)</f>
        <v>0</v>
      </c>
      <c r="Y12" s="837"/>
      <c r="Z12" s="837"/>
      <c r="AA12" s="837"/>
      <c r="AB12" s="836">
        <f ca="1">SUMIF(AR18:AU199,"&gt;0",AO18:AQ199)</f>
        <v>0</v>
      </c>
      <c r="AC12" s="836"/>
      <c r="AD12" s="836"/>
      <c r="AE12" s="836"/>
      <c r="AT12" s="320"/>
    </row>
    <row r="13" spans="1:81" ht="15.95" customHeight="1">
      <c r="T13" s="837"/>
      <c r="U13" s="837"/>
      <c r="V13" s="837"/>
      <c r="W13" s="837"/>
      <c r="X13" s="837"/>
      <c r="Y13" s="837"/>
      <c r="Z13" s="837"/>
      <c r="AA13" s="837"/>
      <c r="AB13" s="836"/>
      <c r="AC13" s="836"/>
      <c r="AD13" s="836"/>
      <c r="AE13" s="836"/>
      <c r="AM13" s="839" t="str">
        <f>IF(IFERROR(MATCH("100% Total Cost", BI:BI,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L14" s="51" t="s">
        <v>3048</v>
      </c>
      <c r="BM14" s="51" t="s">
        <v>3048</v>
      </c>
      <c r="BN14" s="542" t="s">
        <v>2112</v>
      </c>
      <c r="BO14" s="542" t="s">
        <v>2112</v>
      </c>
      <c r="BV14" s="542" t="s">
        <v>2112</v>
      </c>
      <c r="BX14" s="542" t="s">
        <v>2112</v>
      </c>
    </row>
    <row r="15" spans="1:81" ht="15.95" customHeight="1"/>
    <row r="16" spans="1:81" ht="15.95" customHeight="1">
      <c r="C16" s="832" t="s">
        <v>870</v>
      </c>
      <c r="D16" s="832"/>
      <c r="E16" s="832"/>
      <c r="F16" s="832"/>
      <c r="G16" s="832"/>
      <c r="H16" s="832"/>
      <c r="I16" s="832"/>
      <c r="J16" s="832"/>
      <c r="K16" s="832"/>
      <c r="L16" s="832"/>
      <c r="M16" s="832"/>
      <c r="N16" s="832"/>
      <c r="O16" s="832" t="s">
        <v>880</v>
      </c>
      <c r="P16" s="832"/>
      <c r="Q16" s="832"/>
      <c r="R16" s="832" t="s">
        <v>2235</v>
      </c>
      <c r="S16" s="832"/>
      <c r="T16" s="832" t="s">
        <v>2236</v>
      </c>
      <c r="U16" s="832"/>
      <c r="V16" s="832"/>
      <c r="W16" s="832" t="s">
        <v>2170</v>
      </c>
      <c r="X16" s="832"/>
      <c r="Y16" s="832"/>
      <c r="Z16" s="832"/>
      <c r="AA16" s="832" t="s">
        <v>2171</v>
      </c>
      <c r="AB16" s="832"/>
      <c r="AC16" s="832"/>
      <c r="AD16" s="832"/>
      <c r="AE16" s="832" t="s">
        <v>869</v>
      </c>
      <c r="AF16" s="832"/>
      <c r="AG16" s="832"/>
      <c r="AH16" s="832"/>
      <c r="AI16" s="860" t="s">
        <v>864</v>
      </c>
      <c r="AJ16" s="860"/>
      <c r="AK16" s="860"/>
      <c r="AL16" s="860"/>
      <c r="AM16" s="832" t="s">
        <v>1227</v>
      </c>
      <c r="AN16" s="832"/>
      <c r="AO16" s="832" t="s">
        <v>735</v>
      </c>
      <c r="AP16" s="832"/>
      <c r="AQ16" s="832"/>
      <c r="AR16" s="832" t="s">
        <v>83</v>
      </c>
      <c r="AS16" s="832"/>
      <c r="AT16" s="832"/>
      <c r="AU16" s="832"/>
      <c r="AX16" s="783" t="s">
        <v>743</v>
      </c>
      <c r="AY16" s="779" t="s">
        <v>1985</v>
      </c>
      <c r="AZ16" s="779" t="s">
        <v>942</v>
      </c>
      <c r="BA16" s="779"/>
      <c r="BB16" s="783"/>
      <c r="BC16" s="783" t="s">
        <v>924</v>
      </c>
      <c r="BD16" s="781" t="s">
        <v>1701</v>
      </c>
      <c r="BE16" s="828"/>
      <c r="BF16" s="828"/>
      <c r="BG16" s="779"/>
      <c r="BH16" s="828" t="s">
        <v>873</v>
      </c>
      <c r="BI16" s="828"/>
      <c r="BJ16" s="781" t="s">
        <v>88</v>
      </c>
      <c r="BK16" s="781" t="s">
        <v>1619</v>
      </c>
      <c r="BL16" s="783" t="s">
        <v>876</v>
      </c>
      <c r="BM16" s="781" t="s">
        <v>922</v>
      </c>
      <c r="BN16" s="779" t="s">
        <v>132</v>
      </c>
      <c r="BO16" s="779" t="s">
        <v>325</v>
      </c>
      <c r="BP16" s="781" t="s">
        <v>1833</v>
      </c>
      <c r="BQ16" s="783" t="s">
        <v>2107</v>
      </c>
      <c r="BR16" s="781"/>
      <c r="BS16" s="783"/>
      <c r="BT16" s="779"/>
      <c r="BU16" s="783" t="s">
        <v>925</v>
      </c>
      <c r="BV16" s="781" t="s">
        <v>691</v>
      </c>
      <c r="BW16" s="783" t="s">
        <v>85</v>
      </c>
      <c r="BX16" s="783" t="s">
        <v>840</v>
      </c>
      <c r="BY16" s="783" t="s">
        <v>309</v>
      </c>
      <c r="BZ16" s="755"/>
      <c r="CA16" s="755"/>
      <c r="CB16" s="755"/>
      <c r="CC16" s="755"/>
    </row>
    <row r="17" spans="2:81" ht="15.95" customHeight="1" thickBot="1">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t="s">
        <v>862</v>
      </c>
      <c r="AJ17" s="833"/>
      <c r="AK17" s="833" t="s">
        <v>863</v>
      </c>
      <c r="AL17" s="833"/>
      <c r="AM17" s="833"/>
      <c r="AN17" s="833"/>
      <c r="AO17" s="833"/>
      <c r="AP17" s="833"/>
      <c r="AQ17" s="833"/>
      <c r="AR17" s="833"/>
      <c r="AS17" s="833"/>
      <c r="AT17" s="833"/>
      <c r="AU17" s="833"/>
      <c r="AX17" s="784"/>
      <c r="AY17" s="780"/>
      <c r="AZ17" s="780"/>
      <c r="BA17" s="780"/>
      <c r="BB17" s="784"/>
      <c r="BC17" s="784"/>
      <c r="BD17" s="782"/>
      <c r="BE17" s="97"/>
      <c r="BF17" s="97"/>
      <c r="BG17" s="780"/>
      <c r="BH17" s="97" t="s">
        <v>871</v>
      </c>
      <c r="BI17" s="97" t="s">
        <v>872</v>
      </c>
      <c r="BJ17" s="782"/>
      <c r="BK17" s="782"/>
      <c r="BL17" s="784"/>
      <c r="BM17" s="782"/>
      <c r="BN17" s="780"/>
      <c r="BO17" s="780"/>
      <c r="BP17" s="782"/>
      <c r="BQ17" s="784"/>
      <c r="BR17" s="782"/>
      <c r="BS17" s="784"/>
      <c r="BT17" s="780"/>
      <c r="BU17" s="784"/>
      <c r="BV17" s="782"/>
      <c r="BW17" s="784"/>
      <c r="BX17" s="784"/>
      <c r="BY17" s="784"/>
      <c r="BZ17" s="756"/>
      <c r="CA17" s="756"/>
      <c r="CB17" s="756"/>
      <c r="CC17" s="756"/>
    </row>
    <row r="18" spans="2:81" ht="15.95" customHeight="1">
      <c r="B18" s="785">
        <v>1</v>
      </c>
      <c r="C18" s="876"/>
      <c r="D18" s="877"/>
      <c r="E18" s="877"/>
      <c r="F18" s="877"/>
      <c r="G18" s="877"/>
      <c r="H18" s="877"/>
      <c r="I18" s="877"/>
      <c r="J18" s="877"/>
      <c r="K18" s="877"/>
      <c r="L18" s="877"/>
      <c r="M18" s="877"/>
      <c r="N18" s="878"/>
      <c r="O18" s="965" t="str">
        <f>IF(C18="","",INDEX(STDMOTORS[Current Unit],MATCH(C18,STDMOTORS[Measure Name],0)))</f>
        <v/>
      </c>
      <c r="P18" s="966"/>
      <c r="Q18" s="967"/>
      <c r="R18" s="968"/>
      <c r="S18" s="969"/>
      <c r="T18" s="876"/>
      <c r="U18" s="877"/>
      <c r="V18" s="877"/>
      <c r="W18" s="876"/>
      <c r="X18" s="877"/>
      <c r="Y18" s="877"/>
      <c r="Z18" s="878"/>
      <c r="AA18" s="876"/>
      <c r="AB18" s="877"/>
      <c r="AC18" s="877"/>
      <c r="AD18" s="878"/>
      <c r="AE18" s="805"/>
      <c r="AF18" s="805"/>
      <c r="AG18" s="805"/>
      <c r="AH18" s="793"/>
      <c r="AI18" s="807"/>
      <c r="AJ18" s="808"/>
      <c r="AK18" s="808"/>
      <c r="AL18" s="811"/>
      <c r="AM18" s="900" t="str" cm="1">
        <f t="array" ref="AM18">IFERROR(IF(C18="","",INDEX(IF(AND(ACTIVEBONUS = TRUE,INDEX(STDMOTORS[Bonus Incentive],MATCH(C18,STDMOTORS[Measure Name],0))&lt;&gt; ""),STDMOTORS[Bonus Incentive],_xlfn.SWITCH(Program_Banner,"Business Energy Savings",STDMOTORS[BESP Incentive],"Small Business / Non-Profit",STDMOTORS[SBNP Incentive],0)),MATCH(C18,STDMOTORS[Measure Name],0))),"")</f>
        <v/>
      </c>
      <c r="AN18" s="814"/>
      <c r="AO18" s="817" t="str">
        <f>IFERROR(IF(OR(C18="",O18="",R18="",T18="",AA18="",AE18="",AI18="",AK18=""),"",IF(BD18="Deemed",BH18,IF(BD18="Calculated",BE18,""))),"")</f>
        <v/>
      </c>
      <c r="AP18" s="817"/>
      <c r="AQ18" s="817"/>
      <c r="AR18" s="840" t="str">
        <f>IFERROR(IF(OR(C18="",O18="",R18="",T18="",AA18="",AE18="",AI18="",AK18=""),"",IF(BY18&lt;&gt;"",BY18,IF(BP18&gt;0,BP18,ROUND(IF(AO18&lt;=0,0,MIN(BL18,BQ18)),2)))),"")</f>
        <v/>
      </c>
      <c r="AS18" s="840"/>
      <c r="AT18" s="840"/>
      <c r="AU18" s="840"/>
      <c r="AV18" s="17"/>
      <c r="AX18" s="773" t="str">
        <f>IFERROR(IF(OR(C18="",O18="",R18="",T18="",AA18="",AE18="",AI18="",AK18=""),"",INDEX(STDMOTORS[Current Unit],MATCH(C18,STDMOTORS[Measure Name],0))),"Err")</f>
        <v/>
      </c>
      <c r="AY18" s="759" t="str">
        <f t="shared" ref="AY18" si="0">IF(OR(R18="", T18=""), "", R18*T18)</f>
        <v/>
      </c>
      <c r="AZ18" s="759" t="str">
        <f t="shared" ref="AZ18" si="1">IF(OR(R18="", T18=""), "", R18*T18)</f>
        <v/>
      </c>
      <c r="BA18" s="903"/>
      <c r="BB18" s="903"/>
      <c r="BC18" s="773" t="str">
        <f>IFERROR(IF(OR(C18="",O18="",R18="",T18="",AA18="",AE18="",AI18="",AK18=""),"",INDEX(STDMOTORS[End Use],MATCH(C18,STDMOTORS[Measure Name],0))),"Err")</f>
        <v/>
      </c>
      <c r="BD18" s="757" t="str">
        <f>IFERROR(IF(OR(C18="",O18="",R18="",T18="",AA18="",AE18="",AI18="",AK18=""),"",INDEX(STDMOTORS[Reporting Methodology],MATCH(C18,STDMOTORS[Measure Name],0))),"Err")</f>
        <v/>
      </c>
      <c r="BE18" s="761"/>
      <c r="BF18" s="761"/>
      <c r="BG18" s="761"/>
      <c r="BH18" s="775" t="str" cm="1">
        <f t="array" ref="BH18">IF(OR(C18="",O18="",R18="",T18="",AA18="",AE18="",AI18="",AK18=""),"",ROUND(R18*T18*INDEX(_xlfn.SWITCH(Program_Banner,"Business Energy Savings",STDMOTORS[Electric Energy Savings WBE (Annual kWh/unit)],"Small Business / Non-Profit",STDMOTORS[Electric Energy Savings HTRB (Annual kWh/unit)],0),MATCH(C18,STDMOTORS[Measure Name],0)),4))</f>
        <v/>
      </c>
      <c r="BI18" s="775" t="str" cm="1">
        <f t="array" ref="BI18">IF(OR(C18="",O18="",R18="",T18="",AA18="",AE18="",AI18="",AK18=""),"",ROUND(R18*T18*INDEX(_xlfn.SWITCH(Program_Banner,"Business Energy Savings",STDMOTORS[Coincident Peak Demand Savings WBE (kW/unit)],"Small Business / Non-Profit",STDMOTORS[Coincident Peak Demand Savings HTRB (kW/unit)],0),MATCH(C18,STDMOTORS[Measure Name],0)),4))</f>
        <v/>
      </c>
      <c r="BJ18" s="777" t="str">
        <f>IFERROR(INDEX(STDMOTORS[Measure Life (Years)],MATCH(C18,STDMOTORS[Measure Name],0)),"")</f>
        <v/>
      </c>
      <c r="BK18" s="767" t="str">
        <f>IFERROR(IF(OR(C18="",O18="",R18="",T18="",AA18="",AE18="",AI18="",AK18=""),"",
ROUND(((1+ELOSS)*((BH18*INDEX(ELECCB[NPV AEC $/kWh],MATCH(BJ18,ELECCB[Year Number],1)))+(BI18*INDEX(ELECCB[NPV ACC $/kW],MATCH(BJ18,ELECCB[Year Number],1))))),2)),0)</f>
        <v/>
      </c>
      <c r="BL18" s="767" t="str">
        <f t="shared" ref="BL18:BL36" si="2">IF(OR(AI18="", AK18=""), "", AI18+AK18)</f>
        <v/>
      </c>
      <c r="BM18" s="767" t="str">
        <f>IF(OR(C18="", R18="", T18=""), "", R18 * T18 * INDEX(STDMOTORS[Incremental Measure Cost ($/Unit)],MATCH(C18,STDMOTORS[Measure Name],0)))</f>
        <v/>
      </c>
      <c r="BN18" s="763" t="str">
        <f t="shared" ref="BN18:BN36" si="3">IFERROR( BK18 / IF(BM18 &lt;&gt; "", BM18, BL18), "")</f>
        <v/>
      </c>
      <c r="BO18" s="763" t="str">
        <f>IFERROR(IF(BM18 &lt;&gt; "", BM18, BL18) / M02S04F06 / AO18, "")</f>
        <v/>
      </c>
      <c r="BP18" s="770"/>
      <c r="BQ18" s="767" t="str">
        <f>IFERROR(ROUND(R18*T18*AM18, 2), "")</f>
        <v/>
      </c>
      <c r="BR18" s="765"/>
      <c r="BS18" s="765"/>
      <c r="BT18" s="765"/>
      <c r="BU18" s="757" t="str">
        <f>IFERROR(IF(BP18="",IF(AR18 &lt; BQ18, "100% Total Cost", ""), ""), "")</f>
        <v/>
      </c>
      <c r="BV18" s="767" t="str">
        <f t="shared" ref="BV18:BV36" si="4">IF(OR(AO18="", AR18=""), "", AR18/AO18)</f>
        <v/>
      </c>
      <c r="BW18" s="757" t="str">
        <f>IFERROR(IF(OR(C18="",O18="",R18="",T18="",AA18="",AE18="",AI18="",AK18=""),"",IF(BY18&lt;&gt;"", SPILLOVERNUMBER, INDEX(STDMOTORS[Measure Number],MATCH(C18,STDMOTORS[Measure Name],0)))),"Err")</f>
        <v/>
      </c>
      <c r="BX18" s="757" t="str" cm="1">
        <f t="array" ref="BX18">IFERROR(INDEX(_xlfn.SWITCH(Program_Banner,"Business Energy Savings",STDMOTORS[Primary Key WBE],"Small Business / Non-Profit",STDMOTORS[Primary Key HTRB],0),MATCH(BW18,STDMOTORS[Measure Number],0)),"")</f>
        <v/>
      </c>
      <c r="BY18" s="757" t="str">
        <f>IFERROR(IF(OR(C18="",O18="",R18="",T18="",AA18="",AE18="",AI18="",AK18=""),"",
IF(BP18&gt;0,"",
IF(EXPIRATION&lt;&gt;"",PROJSTATEXP,""))),"")</f>
        <v/>
      </c>
      <c r="BZ18" s="753"/>
      <c r="CA18" s="753"/>
      <c r="CB18" s="753"/>
      <c r="CC18" s="753"/>
    </row>
    <row r="19" spans="2:81" ht="15.95" customHeight="1">
      <c r="B19" s="785"/>
      <c r="C19" s="793"/>
      <c r="D19" s="795"/>
      <c r="E19" s="795"/>
      <c r="F19" s="795"/>
      <c r="G19" s="795"/>
      <c r="H19" s="795"/>
      <c r="I19" s="795"/>
      <c r="J19" s="795"/>
      <c r="K19" s="795"/>
      <c r="L19" s="795"/>
      <c r="M19" s="795"/>
      <c r="N19" s="794"/>
      <c r="O19" s="962"/>
      <c r="P19" s="963"/>
      <c r="Q19" s="964"/>
      <c r="R19" s="870"/>
      <c r="S19" s="871"/>
      <c r="T19" s="793"/>
      <c r="U19" s="795"/>
      <c r="V19" s="795"/>
      <c r="W19" s="793"/>
      <c r="X19" s="795"/>
      <c r="Y19" s="795"/>
      <c r="Z19" s="794"/>
      <c r="AA19" s="793"/>
      <c r="AB19" s="795"/>
      <c r="AC19" s="795"/>
      <c r="AD19" s="794"/>
      <c r="AE19" s="806"/>
      <c r="AF19" s="806"/>
      <c r="AG19" s="806"/>
      <c r="AH19" s="786"/>
      <c r="AI19" s="809"/>
      <c r="AJ19" s="810"/>
      <c r="AK19" s="810"/>
      <c r="AL19" s="812"/>
      <c r="AM19" s="901"/>
      <c r="AN19" s="816"/>
      <c r="AO19" s="818"/>
      <c r="AP19" s="818"/>
      <c r="AQ19" s="818"/>
      <c r="AR19" s="841"/>
      <c r="AS19" s="841"/>
      <c r="AT19" s="841"/>
      <c r="AU19" s="841"/>
      <c r="AV19" s="17"/>
      <c r="AX19" s="774"/>
      <c r="AY19" s="760"/>
      <c r="AZ19" s="760"/>
      <c r="BA19" s="898"/>
      <c r="BB19" s="898"/>
      <c r="BC19" s="774"/>
      <c r="BD19" s="758"/>
      <c r="BE19" s="762"/>
      <c r="BF19" s="762"/>
      <c r="BG19" s="762"/>
      <c r="BH19" s="776"/>
      <c r="BI19" s="776"/>
      <c r="BJ19" s="778"/>
      <c r="BK19" s="768"/>
      <c r="BL19" s="768"/>
      <c r="BM19" s="768"/>
      <c r="BN19" s="764"/>
      <c r="BO19" s="764"/>
      <c r="BP19" s="879"/>
      <c r="BQ19" s="768"/>
      <c r="BR19" s="766"/>
      <c r="BS19" s="766"/>
      <c r="BT19" s="766"/>
      <c r="BU19" s="758"/>
      <c r="BV19" s="768"/>
      <c r="BW19" s="758"/>
      <c r="BX19" s="758"/>
      <c r="BY19" s="758"/>
      <c r="BZ19" s="754"/>
      <c r="CA19" s="754"/>
      <c r="CB19" s="754"/>
      <c r="CC19" s="754"/>
    </row>
    <row r="20" spans="2:81" ht="15.95" customHeight="1">
      <c r="B20" s="785">
        <v>2</v>
      </c>
      <c r="C20" s="825"/>
      <c r="D20" s="826"/>
      <c r="E20" s="826"/>
      <c r="F20" s="826"/>
      <c r="G20" s="826"/>
      <c r="H20" s="826"/>
      <c r="I20" s="826"/>
      <c r="J20" s="826"/>
      <c r="K20" s="826"/>
      <c r="L20" s="826"/>
      <c r="M20" s="826"/>
      <c r="N20" s="827"/>
      <c r="O20" s="959" t="str">
        <f>IF(C20="","",INDEX(STDMOTORS[Current Unit],MATCH(C20,STDMOTORS[Measure Name],0)))</f>
        <v/>
      </c>
      <c r="P20" s="960"/>
      <c r="Q20" s="961"/>
      <c r="R20" s="868"/>
      <c r="S20" s="869"/>
      <c r="T20" s="825"/>
      <c r="U20" s="826"/>
      <c r="V20" s="826"/>
      <c r="W20" s="825"/>
      <c r="X20" s="826"/>
      <c r="Y20" s="826"/>
      <c r="Z20" s="827"/>
      <c r="AA20" s="825"/>
      <c r="AB20" s="826"/>
      <c r="AC20" s="826"/>
      <c r="AD20" s="827"/>
      <c r="AE20" s="806"/>
      <c r="AF20" s="806"/>
      <c r="AG20" s="806"/>
      <c r="AH20" s="786"/>
      <c r="AI20" s="809"/>
      <c r="AJ20" s="810"/>
      <c r="AK20" s="810"/>
      <c r="AL20" s="812"/>
      <c r="AM20" s="900" t="str" cm="1">
        <f t="array" ref="AM20">IFERROR(IF(C20="","",INDEX(IF(AND(ACTIVEBONUS = TRUE,INDEX(STDMOTORS[Bonus Incentive],MATCH(C20,STDMOTORS[Measure Name],0))&lt;&gt; ""),STDMOTORS[Bonus Incentive],_xlfn.SWITCH(Program_Banner,"Business Energy Savings",STDMOTORS[BESP Incentive],"Small Business / Non-Profit",STDMOTORS[SBNP Incentive],0)),MATCH(C20,STDMOTORS[Measure Name],0))),"")</f>
        <v/>
      </c>
      <c r="AN20" s="814"/>
      <c r="AO20" s="817" t="str">
        <f>IFERROR(IF(OR(C20="",O20="",R20="",T20="",AA20="",AE20="",AI20="",AK20=""),"",IF(BD20="Deemed",BH20,IF(BD20="Calculated",BE20,""))),"")</f>
        <v/>
      </c>
      <c r="AP20" s="817"/>
      <c r="AQ20" s="817"/>
      <c r="AR20" s="840" t="str">
        <f>IFERROR(IF(OR(C20="",O20="",R20="",T20="",AA20="",AE20="",AI20="",AK20=""),"",IF(BY20&lt;&gt;"",BY20,IF(BP20&gt;0,BP20,ROUND(IF(AO20&lt;=0,0,MIN(BL20,BQ20)),2)))),"")</f>
        <v/>
      </c>
      <c r="AS20" s="840"/>
      <c r="AT20" s="840"/>
      <c r="AU20" s="840"/>
      <c r="AV20" s="17"/>
      <c r="AX20" s="774" t="str">
        <f>IFERROR(IF(OR(C20="",O20="",R20="",T20="",AA20="",AE20="",AI20="",AK20=""),"",INDEX(STDMOTORS[Current Unit],MATCH(C20,STDMOTORS[Measure Name],0))),"Err")</f>
        <v/>
      </c>
      <c r="AY20" s="759" t="str">
        <f t="shared" ref="AY20" si="5">IF(OR(R20="", T20=""), "", R20*T20)</f>
        <v/>
      </c>
      <c r="AZ20" s="759" t="str">
        <f t="shared" ref="AZ20" si="6">IF(OR(R20="", T20=""), "", R20*T20)</f>
        <v/>
      </c>
      <c r="BA20" s="898"/>
      <c r="BB20" s="898"/>
      <c r="BC20" s="774" t="str">
        <f>IFERROR(IF(OR(C20="",O20="",R20="",T20="",AA20="",AE20="",AI20="",AK20=""),"",INDEX(STDMOTORS[End Use],MATCH(C20,STDMOTORS[Measure Name],0))),"Err")</f>
        <v/>
      </c>
      <c r="BD20" s="758" t="str">
        <f>IFERROR(IF(OR(C20="",O20="",R20="",T20="",AA20="",AE20="",AI20="",AK20=""),"",INDEX(STDMOTORS[Reporting Methodology],MATCH(C20,STDMOTORS[Measure Name],0))),"Err")</f>
        <v/>
      </c>
      <c r="BE20" s="762"/>
      <c r="BF20" s="762"/>
      <c r="BG20" s="761"/>
      <c r="BH20" s="775" t="str" cm="1">
        <f t="array" ref="BH20">IF(OR(C20="",O20="",R20="",T20="",AA20="",AE20="",AI20="",AK20=""),"",ROUND(R20*T20*INDEX(_xlfn.SWITCH(Program_Banner,"Business Energy Savings",STDMOTORS[Electric Energy Savings WBE (Annual kWh/unit)],"Small Business / Non-Profit",STDMOTORS[Electric Energy Savings HTRB (Annual kWh/unit)],0),MATCH(C20,STDMOTORS[Measure Name],0)),4))</f>
        <v/>
      </c>
      <c r="BI20" s="775" t="str" cm="1">
        <f t="array" ref="BI20">IF(OR(C20="",O20="",R20="",T20="",AA20="",AE20="",AI20="",AK20=""),"",ROUND(R20*T20*INDEX(_xlfn.SWITCH(Program_Banner,"Business Energy Savings",STDMOTORS[Coincident Peak Demand Savings WBE (kW/unit)],"Small Business / Non-Profit",STDMOTORS[Coincident Peak Demand Savings HTRB (kW/unit)],0),MATCH(C20,STDMOTORS[Measure Name],0)),4))</f>
        <v/>
      </c>
      <c r="BJ20" s="778" t="str">
        <f>IFERROR(INDEX(STDMOTORS[Measure Life (Years)],MATCH(C20,STDMOTORS[Measure Name],0)),"")</f>
        <v/>
      </c>
      <c r="BK20" s="768" t="str">
        <f>IFERROR(IF(OR(C20="",O20="",R20="",T20="",AA20="",AE20="",AI20="",AK20=""),"",
ROUND(((1+ELOSS)*((BH20*INDEX(ELECCB[NPV AEC $/kWh],MATCH(BJ20,ELECCB[Year Number],1)))+(BI20*INDEX(ELECCB[NPV ACC $/kW],MATCH(BJ20,ELECCB[Year Number],1))))),2)),0)</f>
        <v/>
      </c>
      <c r="BL20" s="768" t="str">
        <f t="shared" si="2"/>
        <v/>
      </c>
      <c r="BM20" s="768" t="str">
        <f>IF(OR(C20="", R20="", T20=""), "", R20 * T20 * INDEX(STDMOTORS[Incremental Measure Cost ($/Unit)],MATCH(C20,STDMOTORS[Measure Name],0)))</f>
        <v/>
      </c>
      <c r="BN20" s="764" t="str">
        <f t="shared" si="3"/>
        <v/>
      </c>
      <c r="BO20" s="764" t="str">
        <f>IFERROR(IF(BM20 &lt;&gt; "", BM20, BL20) / M02S04F06 / AO20, "")</f>
        <v/>
      </c>
      <c r="BP20" s="879"/>
      <c r="BQ20" s="768" t="str">
        <f t="shared" ref="BQ20" si="7">IFERROR(ROUND(R20*T20*AM20, 2), "")</f>
        <v/>
      </c>
      <c r="BR20" s="765"/>
      <c r="BS20" s="765"/>
      <c r="BT20" s="765"/>
      <c r="BU20" s="758" t="str">
        <f t="shared" ref="BU20" si="8">IFERROR(IF(BP20="",IF(AR20 &lt; BQ20, "100% Total Cost", ""), ""), "")</f>
        <v/>
      </c>
      <c r="BV20" s="767" t="str">
        <f t="shared" si="4"/>
        <v/>
      </c>
      <c r="BW20" s="758" t="str">
        <f>IFERROR(IF(OR(C20="",O20="",R20="",T20="",AA20="",AE20="",AI20="",AK20=""),"",IF(BY20&lt;&gt;"", SPILLOVERNUMBER, INDEX(STDMOTORS[Measure Number],MATCH(C20,STDMOTORS[Measure Name],0)))),"Err")</f>
        <v/>
      </c>
      <c r="BX20" s="757" t="str" cm="1">
        <f t="array" ref="BX20">IFERROR(INDEX(_xlfn.SWITCH(Program_Banner,"Business Energy Savings",STDMOTORS[Primary Key WBE],"Small Business / Non-Profit",STDMOTORS[Primary Key HTRB],0),MATCH(BW20,STDMOTORS[Measure Number],0)),"")</f>
        <v/>
      </c>
      <c r="BY20" s="758" t="str">
        <f>IFERROR(IF(OR(C20="",O20="",R20="",T20="",AA20="",AE20="",AI20="",AK20=""),"",
IF(BP20&gt;0,"",
IF(EXPIRATION&lt;&gt;"",PROJSTATEXP,""))),"")</f>
        <v/>
      </c>
      <c r="BZ20" s="754"/>
      <c r="CA20" s="754"/>
      <c r="CB20" s="754"/>
      <c r="CC20" s="754"/>
    </row>
    <row r="21" spans="2:81" ht="15.95" customHeight="1">
      <c r="B21" s="785"/>
      <c r="C21" s="793"/>
      <c r="D21" s="795"/>
      <c r="E21" s="795"/>
      <c r="F21" s="795"/>
      <c r="G21" s="795"/>
      <c r="H21" s="795"/>
      <c r="I21" s="795"/>
      <c r="J21" s="795"/>
      <c r="K21" s="795"/>
      <c r="L21" s="795"/>
      <c r="M21" s="795"/>
      <c r="N21" s="794"/>
      <c r="O21" s="962"/>
      <c r="P21" s="963"/>
      <c r="Q21" s="964"/>
      <c r="R21" s="870"/>
      <c r="S21" s="871"/>
      <c r="T21" s="793"/>
      <c r="U21" s="795"/>
      <c r="V21" s="795"/>
      <c r="W21" s="793"/>
      <c r="X21" s="795"/>
      <c r="Y21" s="795"/>
      <c r="Z21" s="794"/>
      <c r="AA21" s="793"/>
      <c r="AB21" s="795"/>
      <c r="AC21" s="795"/>
      <c r="AD21" s="794"/>
      <c r="AE21" s="806"/>
      <c r="AF21" s="806"/>
      <c r="AG21" s="806"/>
      <c r="AH21" s="786"/>
      <c r="AI21" s="809"/>
      <c r="AJ21" s="810"/>
      <c r="AK21" s="810"/>
      <c r="AL21" s="812"/>
      <c r="AM21" s="901"/>
      <c r="AN21" s="816"/>
      <c r="AO21" s="818"/>
      <c r="AP21" s="818"/>
      <c r="AQ21" s="818"/>
      <c r="AR21" s="841"/>
      <c r="AS21" s="841"/>
      <c r="AT21" s="841"/>
      <c r="AU21" s="841"/>
      <c r="AV21" s="17"/>
      <c r="AX21" s="774"/>
      <c r="AY21" s="760"/>
      <c r="AZ21" s="760"/>
      <c r="BA21" s="898"/>
      <c r="BB21" s="898"/>
      <c r="BC21" s="774"/>
      <c r="BD21" s="758"/>
      <c r="BE21" s="762"/>
      <c r="BF21" s="762"/>
      <c r="BG21" s="762"/>
      <c r="BH21" s="776"/>
      <c r="BI21" s="776"/>
      <c r="BJ21" s="778"/>
      <c r="BK21" s="768"/>
      <c r="BL21" s="768"/>
      <c r="BM21" s="768"/>
      <c r="BN21" s="764"/>
      <c r="BO21" s="764"/>
      <c r="BP21" s="879"/>
      <c r="BQ21" s="768"/>
      <c r="BR21" s="766"/>
      <c r="BS21" s="766"/>
      <c r="BT21" s="766"/>
      <c r="BU21" s="758"/>
      <c r="BV21" s="768"/>
      <c r="BW21" s="758"/>
      <c r="BX21" s="758"/>
      <c r="BY21" s="758"/>
      <c r="BZ21" s="754"/>
      <c r="CA21" s="754"/>
      <c r="CB21" s="754"/>
      <c r="CC21" s="754"/>
    </row>
    <row r="22" spans="2:81" ht="15.95" customHeight="1">
      <c r="B22" s="785">
        <v>3</v>
      </c>
      <c r="C22" s="825"/>
      <c r="D22" s="826"/>
      <c r="E22" s="826"/>
      <c r="F22" s="826"/>
      <c r="G22" s="826"/>
      <c r="H22" s="826"/>
      <c r="I22" s="826"/>
      <c r="J22" s="826"/>
      <c r="K22" s="826"/>
      <c r="L22" s="826"/>
      <c r="M22" s="826"/>
      <c r="N22" s="827"/>
      <c r="O22" s="959" t="str">
        <f>IF(C22="","",INDEX(STDMOTORS[Current Unit],MATCH(C22,STDMOTORS[Measure Name],0)))</f>
        <v/>
      </c>
      <c r="P22" s="960"/>
      <c r="Q22" s="961"/>
      <c r="R22" s="868"/>
      <c r="S22" s="869"/>
      <c r="T22" s="825"/>
      <c r="U22" s="826"/>
      <c r="V22" s="826"/>
      <c r="W22" s="825"/>
      <c r="X22" s="826"/>
      <c r="Y22" s="826"/>
      <c r="Z22" s="827"/>
      <c r="AA22" s="825"/>
      <c r="AB22" s="826"/>
      <c r="AC22" s="826"/>
      <c r="AD22" s="827"/>
      <c r="AE22" s="806"/>
      <c r="AF22" s="806"/>
      <c r="AG22" s="806"/>
      <c r="AH22" s="786"/>
      <c r="AI22" s="809"/>
      <c r="AJ22" s="810"/>
      <c r="AK22" s="810"/>
      <c r="AL22" s="812"/>
      <c r="AM22" s="900" t="str" cm="1">
        <f t="array" ref="AM22">IFERROR(IF(C22="","",INDEX(IF(AND(ACTIVEBONUS = TRUE,INDEX(STDMOTORS[Bonus Incentive],MATCH(C22,STDMOTORS[Measure Name],0))&lt;&gt; ""),STDMOTORS[Bonus Incentive],_xlfn.SWITCH(Program_Banner,"Business Energy Savings",STDMOTORS[BESP Incentive],"Small Business / Non-Profit",STDMOTORS[SBNP Incentive],0)),MATCH(C22,STDMOTORS[Measure Name],0))),"")</f>
        <v/>
      </c>
      <c r="AN22" s="814"/>
      <c r="AO22" s="817" t="str">
        <f>IFERROR(IF(OR(C22="",O22="",R22="",T22="",AA22="",AE22="",AI22="",AK22=""),"",IF(BD22="Deemed",BH22,IF(BD22="Calculated",BE22,""))),"")</f>
        <v/>
      </c>
      <c r="AP22" s="817"/>
      <c r="AQ22" s="817"/>
      <c r="AR22" s="840" t="str">
        <f>IFERROR(IF(OR(C22="",O22="",R22="",T22="",AA22="",AE22="",AI22="",AK22=""),"",IF(BY22&lt;&gt;"",BY22,IF(BP22&gt;0,BP22,ROUND(IF(AO22&lt;=0,0,MIN(BL22,BQ22)),2)))),"")</f>
        <v/>
      </c>
      <c r="AS22" s="840"/>
      <c r="AT22" s="840"/>
      <c r="AU22" s="840"/>
      <c r="AV22" s="17"/>
      <c r="AX22" s="774" t="str">
        <f>IFERROR(IF(OR(C22="",O22="",R22="",T22="",AA22="",AE22="",AI22="",AK22=""),"",INDEX(STDMOTORS[Current Unit],MATCH(C22,STDMOTORS[Measure Name],0))),"Err")</f>
        <v/>
      </c>
      <c r="AY22" s="759" t="str">
        <f t="shared" ref="AY22" si="9">IF(OR(R22="", T22=""), "", R22*T22)</f>
        <v/>
      </c>
      <c r="AZ22" s="759" t="str">
        <f t="shared" ref="AZ22" si="10">IF(OR(R22="", T22=""), "", R22*T22)</f>
        <v/>
      </c>
      <c r="BA22" s="898"/>
      <c r="BB22" s="898"/>
      <c r="BC22" s="774" t="str">
        <f>IFERROR(IF(OR(C22="",O22="",R22="",T22="",AA22="",AE22="",AI22="",AK22=""),"",INDEX(STDMOTORS[End Use],MATCH(C22,STDMOTORS[Measure Name],0))),"Err")</f>
        <v/>
      </c>
      <c r="BD22" s="758" t="str">
        <f>IFERROR(IF(OR(C22="",O22="",R22="",T22="",AA22="",AE22="",AI22="",AK22=""),"",INDEX(STDMOTORS[Reporting Methodology],MATCH(C22,STDMOTORS[Measure Name],0))),"Err")</f>
        <v/>
      </c>
      <c r="BE22" s="762"/>
      <c r="BF22" s="762"/>
      <c r="BG22" s="761"/>
      <c r="BH22" s="775" t="str" cm="1">
        <f t="array" ref="BH22">IF(OR(C22="",O22="",R22="",T22="",AA22="",AE22="",AI22="",AK22=""),"",ROUND(R22*T22*INDEX(_xlfn.SWITCH(Program_Banner,"Business Energy Savings",STDMOTORS[Electric Energy Savings WBE (Annual kWh/unit)],"Small Business / Non-Profit",STDMOTORS[Electric Energy Savings HTRB (Annual kWh/unit)],0),MATCH(C22,STDMOTORS[Measure Name],0)),4))</f>
        <v/>
      </c>
      <c r="BI22" s="775" t="str" cm="1">
        <f t="array" ref="BI22">IF(OR(C22="",O22="",R22="",T22="",AA22="",AE22="",AI22="",AK22=""),"",ROUND(R22*T22*INDEX(_xlfn.SWITCH(Program_Banner,"Business Energy Savings",STDMOTORS[Coincident Peak Demand Savings WBE (kW/unit)],"Small Business / Non-Profit",STDMOTORS[Coincident Peak Demand Savings HTRB (kW/unit)],0),MATCH(C22,STDMOTORS[Measure Name],0)),4))</f>
        <v/>
      </c>
      <c r="BJ22" s="778" t="str">
        <f>IFERROR(INDEX(STDMOTORS[Measure Life (Years)],MATCH(C22,STDMOTORS[Measure Name],0)),"")</f>
        <v/>
      </c>
      <c r="BK22" s="768" t="str">
        <f>IFERROR(IF(OR(C22="",O22="",R22="",T22="",AA22="",AE22="",AI22="",AK22=""),"",
ROUND(((1+ELOSS)*((BH22*INDEX(ELECCB[NPV AEC $/kWh],MATCH(BJ22,ELECCB[Year Number],1)))+(BI22*INDEX(ELECCB[NPV ACC $/kW],MATCH(BJ22,ELECCB[Year Number],1))))),2)),0)</f>
        <v/>
      </c>
      <c r="BL22" s="768" t="str">
        <f t="shared" si="2"/>
        <v/>
      </c>
      <c r="BM22" s="768" t="str">
        <f>IF(OR(C22="", R22="", T22=""), "", R22 * T22 * INDEX(STDMOTORS[Incremental Measure Cost ($/Unit)],MATCH(C22,STDMOTORS[Measure Name],0)))</f>
        <v/>
      </c>
      <c r="BN22" s="764" t="str">
        <f t="shared" si="3"/>
        <v/>
      </c>
      <c r="BO22" s="764" t="str">
        <f>IFERROR(IF(BM22 &lt;&gt; "", BM22, BL22) / M02S04F06 / AO22, "")</f>
        <v/>
      </c>
      <c r="BP22" s="879"/>
      <c r="BQ22" s="768" t="str">
        <f t="shared" ref="BQ22" si="11">IFERROR(ROUND(R22*T22*AM22, 2), "")</f>
        <v/>
      </c>
      <c r="BR22" s="765"/>
      <c r="BS22" s="765"/>
      <c r="BT22" s="765"/>
      <c r="BU22" s="758" t="str">
        <f t="shared" ref="BU22" si="12">IFERROR(IF(BP22="",IF(AR22 &lt; BQ22, "100% Total Cost", ""), ""), "")</f>
        <v/>
      </c>
      <c r="BV22" s="767" t="str">
        <f t="shared" si="4"/>
        <v/>
      </c>
      <c r="BW22" s="758" t="str">
        <f>IFERROR(IF(OR(C22="",O22="",R22="",T22="",AA22="",AE22="",AI22="",AK22=""),"",IF(BY22&lt;&gt;"", SPILLOVERNUMBER, INDEX(STDMOTORS[Measure Number],MATCH(C22,STDMOTORS[Measure Name],0)))),"Err")</f>
        <v/>
      </c>
      <c r="BX22" s="757" t="str" cm="1">
        <f t="array" ref="BX22">IFERROR(INDEX(_xlfn.SWITCH(Program_Banner,"Business Energy Savings",STDMOTORS[Primary Key WBE],"Small Business / Non-Profit",STDMOTORS[Primary Key HTRB],0),MATCH(BW22,STDMOTORS[Measure Number],0)),"")</f>
        <v/>
      </c>
      <c r="BY22" s="758" t="str">
        <f>IFERROR(IF(OR(C22="",O22="",R22="",T22="",AA22="",AE22="",AI22="",AK22=""),"",
IF(BP22&gt;0,"",
IF(EXPIRATION&lt;&gt;"",PROJSTATEXP,""))),"")</f>
        <v/>
      </c>
      <c r="BZ22" s="754"/>
      <c r="CA22" s="754"/>
      <c r="CB22" s="754"/>
      <c r="CC22" s="754"/>
    </row>
    <row r="23" spans="2:81" ht="15.95" customHeight="1">
      <c r="B23" s="785"/>
      <c r="C23" s="793"/>
      <c r="D23" s="795"/>
      <c r="E23" s="795"/>
      <c r="F23" s="795"/>
      <c r="G23" s="795"/>
      <c r="H23" s="795"/>
      <c r="I23" s="795"/>
      <c r="J23" s="795"/>
      <c r="K23" s="795"/>
      <c r="L23" s="795"/>
      <c r="M23" s="795"/>
      <c r="N23" s="794"/>
      <c r="O23" s="962"/>
      <c r="P23" s="963"/>
      <c r="Q23" s="964"/>
      <c r="R23" s="870"/>
      <c r="S23" s="871"/>
      <c r="T23" s="793"/>
      <c r="U23" s="795"/>
      <c r="V23" s="795"/>
      <c r="W23" s="793"/>
      <c r="X23" s="795"/>
      <c r="Y23" s="795"/>
      <c r="Z23" s="794"/>
      <c r="AA23" s="793"/>
      <c r="AB23" s="795"/>
      <c r="AC23" s="795"/>
      <c r="AD23" s="794"/>
      <c r="AE23" s="806"/>
      <c r="AF23" s="806"/>
      <c r="AG23" s="806"/>
      <c r="AH23" s="786"/>
      <c r="AI23" s="809"/>
      <c r="AJ23" s="810"/>
      <c r="AK23" s="810"/>
      <c r="AL23" s="812"/>
      <c r="AM23" s="901"/>
      <c r="AN23" s="816"/>
      <c r="AO23" s="818"/>
      <c r="AP23" s="818"/>
      <c r="AQ23" s="818"/>
      <c r="AR23" s="841"/>
      <c r="AS23" s="841"/>
      <c r="AT23" s="841"/>
      <c r="AU23" s="841"/>
      <c r="AV23" s="17"/>
      <c r="AX23" s="774"/>
      <c r="AY23" s="760"/>
      <c r="AZ23" s="760"/>
      <c r="BA23" s="898"/>
      <c r="BB23" s="898"/>
      <c r="BC23" s="774"/>
      <c r="BD23" s="758"/>
      <c r="BE23" s="762"/>
      <c r="BF23" s="762"/>
      <c r="BG23" s="762"/>
      <c r="BH23" s="776"/>
      <c r="BI23" s="776"/>
      <c r="BJ23" s="778"/>
      <c r="BK23" s="768"/>
      <c r="BL23" s="768"/>
      <c r="BM23" s="768"/>
      <c r="BN23" s="764"/>
      <c r="BO23" s="764"/>
      <c r="BP23" s="879"/>
      <c r="BQ23" s="768"/>
      <c r="BR23" s="766"/>
      <c r="BS23" s="766"/>
      <c r="BT23" s="766"/>
      <c r="BU23" s="758"/>
      <c r="BV23" s="768"/>
      <c r="BW23" s="758"/>
      <c r="BX23" s="758"/>
      <c r="BY23" s="758"/>
      <c r="BZ23" s="754"/>
      <c r="CA23" s="754"/>
      <c r="CB23" s="754"/>
      <c r="CC23" s="754"/>
    </row>
    <row r="24" spans="2:81" ht="15.95" customHeight="1">
      <c r="B24" s="785">
        <v>4</v>
      </c>
      <c r="C24" s="825"/>
      <c r="D24" s="826"/>
      <c r="E24" s="826"/>
      <c r="F24" s="826"/>
      <c r="G24" s="826"/>
      <c r="H24" s="826"/>
      <c r="I24" s="826"/>
      <c r="J24" s="826"/>
      <c r="K24" s="826"/>
      <c r="L24" s="826"/>
      <c r="M24" s="826"/>
      <c r="N24" s="827"/>
      <c r="O24" s="959" t="str">
        <f>IF(C24="","",INDEX(STDMOTORS[Current Unit],MATCH(C24,STDMOTORS[Measure Name],0)))</f>
        <v/>
      </c>
      <c r="P24" s="960"/>
      <c r="Q24" s="961"/>
      <c r="R24" s="868"/>
      <c r="S24" s="869"/>
      <c r="T24" s="825"/>
      <c r="U24" s="826"/>
      <c r="V24" s="826"/>
      <c r="W24" s="825"/>
      <c r="X24" s="826"/>
      <c r="Y24" s="826"/>
      <c r="Z24" s="827"/>
      <c r="AA24" s="825"/>
      <c r="AB24" s="826"/>
      <c r="AC24" s="826"/>
      <c r="AD24" s="827"/>
      <c r="AE24" s="806"/>
      <c r="AF24" s="806"/>
      <c r="AG24" s="806"/>
      <c r="AH24" s="786"/>
      <c r="AI24" s="809"/>
      <c r="AJ24" s="810"/>
      <c r="AK24" s="810"/>
      <c r="AL24" s="812"/>
      <c r="AM24" s="900" t="str" cm="1">
        <f t="array" ref="AM24">IFERROR(IF(C24="","",INDEX(IF(AND(ACTIVEBONUS = TRUE,INDEX(STDMOTORS[Bonus Incentive],MATCH(C24,STDMOTORS[Measure Name],0))&lt;&gt; ""),STDMOTORS[Bonus Incentive],_xlfn.SWITCH(Program_Banner,"Business Energy Savings",STDMOTORS[BESP Incentive],"Small Business / Non-Profit",STDMOTORS[SBNP Incentive],0)),MATCH(C24,STDMOTORS[Measure Name],0))),"")</f>
        <v/>
      </c>
      <c r="AN24" s="814"/>
      <c r="AO24" s="817" t="str">
        <f>IFERROR(IF(OR(C24="",O24="",R24="",T24="",AA24="",AE24="",AI24="",AK24=""),"",IF(BD24="Deemed",BH24,IF(BD24="Calculated",BE24,""))),"")</f>
        <v/>
      </c>
      <c r="AP24" s="817"/>
      <c r="AQ24" s="817"/>
      <c r="AR24" s="840" t="str">
        <f>IFERROR(IF(OR(C24="",O24="",R24="",T24="",AA24="",AE24="",AI24="",AK24=""),"",IF(BY24&lt;&gt;"",BY24,IF(BP24&gt;0,BP24,ROUND(IF(AO24&lt;=0,0,MIN(BL24,BQ24)),2)))),"")</f>
        <v/>
      </c>
      <c r="AS24" s="840"/>
      <c r="AT24" s="840"/>
      <c r="AU24" s="840"/>
      <c r="AV24" s="17"/>
      <c r="AX24" s="774" t="str">
        <f>IFERROR(IF(OR(C24="",O24="",R24="",T24="",AA24="",AE24="",AI24="",AK24=""),"",INDEX(STDMOTORS[Current Unit],MATCH(C24,STDMOTORS[Measure Name],0))),"Err")</f>
        <v/>
      </c>
      <c r="AY24" s="759" t="str">
        <f t="shared" ref="AY24" si="13">IF(OR(R24="", T24=""), "", R24*T24)</f>
        <v/>
      </c>
      <c r="AZ24" s="759" t="str">
        <f t="shared" ref="AZ24" si="14">IF(OR(R24="", T24=""), "", R24*T24)</f>
        <v/>
      </c>
      <c r="BA24" s="898"/>
      <c r="BB24" s="898"/>
      <c r="BC24" s="774" t="str">
        <f>IFERROR(IF(OR(C24="",O24="",R24="",T24="",AA24="",AE24="",AI24="",AK24=""),"",INDEX(STDMOTORS[End Use],MATCH(C24,STDMOTORS[Measure Name],0))),"Err")</f>
        <v/>
      </c>
      <c r="BD24" s="758" t="str">
        <f>IFERROR(IF(OR(C24="",O24="",R24="",T24="",AA24="",AE24="",AI24="",AK24=""),"",INDEX(STDMOTORS[Reporting Methodology],MATCH(C24,STDMOTORS[Measure Name],0))),"Err")</f>
        <v/>
      </c>
      <c r="BE24" s="762"/>
      <c r="BF24" s="762"/>
      <c r="BG24" s="761"/>
      <c r="BH24" s="775" t="str" cm="1">
        <f t="array" ref="BH24">IF(OR(C24="",O24="",R24="",T24="",AA24="",AE24="",AI24="",AK24=""),"",ROUND(R24*T24*INDEX(_xlfn.SWITCH(Program_Banner,"Business Energy Savings",STDMOTORS[Electric Energy Savings WBE (Annual kWh/unit)],"Small Business / Non-Profit",STDMOTORS[Electric Energy Savings HTRB (Annual kWh/unit)],0),MATCH(C24,STDMOTORS[Measure Name],0)),4))</f>
        <v/>
      </c>
      <c r="BI24" s="775" t="str" cm="1">
        <f t="array" ref="BI24">IF(OR(C24="",O24="",R24="",T24="",AA24="",AE24="",AI24="",AK24=""),"",ROUND(R24*T24*INDEX(_xlfn.SWITCH(Program_Banner,"Business Energy Savings",STDMOTORS[Coincident Peak Demand Savings WBE (kW/unit)],"Small Business / Non-Profit",STDMOTORS[Coincident Peak Demand Savings HTRB (kW/unit)],0),MATCH(C24,STDMOTORS[Measure Name],0)),4))</f>
        <v/>
      </c>
      <c r="BJ24" s="778" t="str">
        <f>IFERROR(INDEX(STDMOTORS[Measure Life (Years)],MATCH(C24,STDMOTORS[Measure Name],0)),"")</f>
        <v/>
      </c>
      <c r="BK24" s="768" t="str">
        <f>IFERROR(IF(OR(C24="",O24="",R24="",T24="",AA24="",AE24="",AI24="",AK24=""),"",
ROUND(((1+ELOSS)*((BH24*INDEX(ELECCB[NPV AEC $/kWh],MATCH(BJ24,ELECCB[Year Number],1)))+(BI24*INDEX(ELECCB[NPV ACC $/kW],MATCH(BJ24,ELECCB[Year Number],1))))),2)),0)</f>
        <v/>
      </c>
      <c r="BL24" s="768" t="str">
        <f t="shared" si="2"/>
        <v/>
      </c>
      <c r="BM24" s="768" t="str">
        <f>IF(OR(C24="", R24="", T24=""), "", R24 * T24 * INDEX(STDMOTORS[Incremental Measure Cost ($/Unit)],MATCH(C24,STDMOTORS[Measure Name],0)))</f>
        <v/>
      </c>
      <c r="BN24" s="764" t="str">
        <f t="shared" si="3"/>
        <v/>
      </c>
      <c r="BO24" s="764" t="str">
        <f>IFERROR(IF(BM24 &lt;&gt; "", BM24, BL24) / M02S04F06 / AO24, "")</f>
        <v/>
      </c>
      <c r="BP24" s="879"/>
      <c r="BQ24" s="768" t="str">
        <f t="shared" ref="BQ24" si="15">IFERROR(ROUND(R24*T24*AM24, 2), "")</f>
        <v/>
      </c>
      <c r="BR24" s="765"/>
      <c r="BS24" s="765"/>
      <c r="BT24" s="765"/>
      <c r="BU24" s="758" t="str">
        <f t="shared" ref="BU24" si="16">IFERROR(IF(BP24="",IF(AR24 &lt; BQ24, "100% Total Cost", ""), ""), "")</f>
        <v/>
      </c>
      <c r="BV24" s="767" t="str">
        <f t="shared" si="4"/>
        <v/>
      </c>
      <c r="BW24" s="758" t="str">
        <f>IFERROR(IF(OR(C24="",O24="",R24="",T24="",AA24="",AE24="",AI24="",AK24=""),"",IF(BY24&lt;&gt;"", SPILLOVERNUMBER, INDEX(STDMOTORS[Measure Number],MATCH(C24,STDMOTORS[Measure Name],0)))),"Err")</f>
        <v/>
      </c>
      <c r="BX24" s="757" t="str" cm="1">
        <f t="array" ref="BX24">IFERROR(INDEX(_xlfn.SWITCH(Program_Banner,"Business Energy Savings",STDMOTORS[Primary Key WBE],"Small Business / Non-Profit",STDMOTORS[Primary Key HTRB],0),MATCH(BW24,STDMOTORS[Measure Number],0)),"")</f>
        <v/>
      </c>
      <c r="BY24" s="758" t="str">
        <f>IFERROR(IF(OR(C24="",O24="",R24="",T24="",AA24="",AE24="",AI24="",AK24=""),"",
IF(BP24&gt;0,"",
IF(EXPIRATION&lt;&gt;"",PROJSTATEXP,""))),"")</f>
        <v/>
      </c>
      <c r="BZ24" s="754"/>
      <c r="CA24" s="754"/>
      <c r="CB24" s="754"/>
      <c r="CC24" s="754"/>
    </row>
    <row r="25" spans="2:81" ht="15.95" customHeight="1">
      <c r="B25" s="785"/>
      <c r="C25" s="793"/>
      <c r="D25" s="795"/>
      <c r="E25" s="795"/>
      <c r="F25" s="795"/>
      <c r="G25" s="795"/>
      <c r="H25" s="795"/>
      <c r="I25" s="795"/>
      <c r="J25" s="795"/>
      <c r="K25" s="795"/>
      <c r="L25" s="795"/>
      <c r="M25" s="795"/>
      <c r="N25" s="794"/>
      <c r="O25" s="962"/>
      <c r="P25" s="963"/>
      <c r="Q25" s="964"/>
      <c r="R25" s="870"/>
      <c r="S25" s="871"/>
      <c r="T25" s="793"/>
      <c r="U25" s="795"/>
      <c r="V25" s="795"/>
      <c r="W25" s="793"/>
      <c r="X25" s="795"/>
      <c r="Y25" s="795"/>
      <c r="Z25" s="794"/>
      <c r="AA25" s="793"/>
      <c r="AB25" s="795"/>
      <c r="AC25" s="795"/>
      <c r="AD25" s="794"/>
      <c r="AE25" s="806"/>
      <c r="AF25" s="806"/>
      <c r="AG25" s="806"/>
      <c r="AH25" s="786"/>
      <c r="AI25" s="809"/>
      <c r="AJ25" s="810"/>
      <c r="AK25" s="810"/>
      <c r="AL25" s="812"/>
      <c r="AM25" s="901"/>
      <c r="AN25" s="816"/>
      <c r="AO25" s="818"/>
      <c r="AP25" s="818"/>
      <c r="AQ25" s="818"/>
      <c r="AR25" s="841"/>
      <c r="AS25" s="841"/>
      <c r="AT25" s="841"/>
      <c r="AU25" s="841"/>
      <c r="AV25" s="17"/>
      <c r="AX25" s="774"/>
      <c r="AY25" s="760"/>
      <c r="AZ25" s="760"/>
      <c r="BA25" s="898"/>
      <c r="BB25" s="898"/>
      <c r="BC25" s="774"/>
      <c r="BD25" s="758"/>
      <c r="BE25" s="762"/>
      <c r="BF25" s="762"/>
      <c r="BG25" s="762"/>
      <c r="BH25" s="776"/>
      <c r="BI25" s="776"/>
      <c r="BJ25" s="778"/>
      <c r="BK25" s="768"/>
      <c r="BL25" s="768"/>
      <c r="BM25" s="768"/>
      <c r="BN25" s="764"/>
      <c r="BO25" s="764"/>
      <c r="BP25" s="879"/>
      <c r="BQ25" s="768"/>
      <c r="BR25" s="766"/>
      <c r="BS25" s="766"/>
      <c r="BT25" s="766"/>
      <c r="BU25" s="758"/>
      <c r="BV25" s="768"/>
      <c r="BW25" s="758"/>
      <c r="BX25" s="758"/>
      <c r="BY25" s="758"/>
      <c r="BZ25" s="754"/>
      <c r="CA25" s="754"/>
      <c r="CB25" s="754"/>
      <c r="CC25" s="754"/>
    </row>
    <row r="26" spans="2:81" ht="15.95" customHeight="1">
      <c r="B26" s="785">
        <v>5</v>
      </c>
      <c r="C26" s="825"/>
      <c r="D26" s="826"/>
      <c r="E26" s="826"/>
      <c r="F26" s="826"/>
      <c r="G26" s="826"/>
      <c r="H26" s="826"/>
      <c r="I26" s="826"/>
      <c r="J26" s="826"/>
      <c r="K26" s="826"/>
      <c r="L26" s="826"/>
      <c r="M26" s="826"/>
      <c r="N26" s="827"/>
      <c r="O26" s="959" t="str">
        <f>IF(C26="","",INDEX(STDMOTORS[Current Unit],MATCH(C26,STDMOTORS[Measure Name],0)))</f>
        <v/>
      </c>
      <c r="P26" s="960"/>
      <c r="Q26" s="961"/>
      <c r="R26" s="868"/>
      <c r="S26" s="869"/>
      <c r="T26" s="825"/>
      <c r="U26" s="826"/>
      <c r="V26" s="826"/>
      <c r="W26" s="825"/>
      <c r="X26" s="826"/>
      <c r="Y26" s="826"/>
      <c r="Z26" s="827"/>
      <c r="AA26" s="825"/>
      <c r="AB26" s="826"/>
      <c r="AC26" s="826"/>
      <c r="AD26" s="827"/>
      <c r="AE26" s="806"/>
      <c r="AF26" s="806"/>
      <c r="AG26" s="806"/>
      <c r="AH26" s="786"/>
      <c r="AI26" s="809"/>
      <c r="AJ26" s="810"/>
      <c r="AK26" s="810"/>
      <c r="AL26" s="812"/>
      <c r="AM26" s="900" t="str" cm="1">
        <f t="array" ref="AM26">IFERROR(IF(C26="","",INDEX(IF(AND(ACTIVEBONUS = TRUE,INDEX(STDMOTORS[Bonus Incentive],MATCH(C26,STDMOTORS[Measure Name],0))&lt;&gt; ""),STDMOTORS[Bonus Incentive],_xlfn.SWITCH(Program_Banner,"Business Energy Savings",STDMOTORS[BESP Incentive],"Small Business / Non-Profit",STDMOTORS[SBNP Incentive],0)),MATCH(C26,STDMOTORS[Measure Name],0))),"")</f>
        <v/>
      </c>
      <c r="AN26" s="814"/>
      <c r="AO26" s="817" t="str">
        <f>IFERROR(IF(OR(C26="",O26="",R26="",T26="",AA26="",AE26="",AI26="",AK26=""),"",IF(BD26="Deemed",BH26,IF(BD26="Calculated",BE26,""))),"")</f>
        <v/>
      </c>
      <c r="AP26" s="817"/>
      <c r="AQ26" s="817"/>
      <c r="AR26" s="840" t="str">
        <f>IFERROR(IF(OR(C26="",O26="",R26="",T26="",AA26="",AE26="",AI26="",AK26=""),"",IF(BY26&lt;&gt;"",BY26,IF(BP26&gt;0,BP26,ROUND(IF(AO26&lt;=0,0,MIN(BL26,BQ26)),2)))),"")</f>
        <v/>
      </c>
      <c r="AS26" s="840"/>
      <c r="AT26" s="840"/>
      <c r="AU26" s="840"/>
      <c r="AV26" s="17"/>
      <c r="AX26" s="774" t="str">
        <f>IFERROR(IF(OR(C26="",O26="",R26="",T26="",AA26="",AE26="",AI26="",AK26=""),"",INDEX(STDMOTORS[Current Unit],MATCH(C26,STDMOTORS[Measure Name],0))),"Err")</f>
        <v/>
      </c>
      <c r="AY26" s="759" t="str">
        <f t="shared" ref="AY26" si="17">IF(OR(R26="", T26=""), "", R26*T26)</f>
        <v/>
      </c>
      <c r="AZ26" s="759" t="str">
        <f t="shared" ref="AZ26" si="18">IF(OR(R26="", T26=""), "", R26*T26)</f>
        <v/>
      </c>
      <c r="BA26" s="898"/>
      <c r="BB26" s="898"/>
      <c r="BC26" s="774" t="str">
        <f>IFERROR(IF(OR(C26="",O26="",R26="",T26="",AA26="",AE26="",AI26="",AK26=""),"",INDEX(STDMOTORS[End Use],MATCH(C26,STDMOTORS[Measure Name],0))),"Err")</f>
        <v/>
      </c>
      <c r="BD26" s="758" t="str">
        <f>IFERROR(IF(OR(C26="",O26="",R26="",T26="",AA26="",AE26="",AI26="",AK26=""),"",INDEX(STDMOTORS[Reporting Methodology],MATCH(C26,STDMOTORS[Measure Name],0))),"Err")</f>
        <v/>
      </c>
      <c r="BE26" s="762"/>
      <c r="BF26" s="762"/>
      <c r="BG26" s="761"/>
      <c r="BH26" s="775" t="str" cm="1">
        <f t="array" ref="BH26">IF(OR(C26="",O26="",R26="",T26="",AA26="",AE26="",AI26="",AK26=""),"",ROUND(R26*T26*INDEX(_xlfn.SWITCH(Program_Banner,"Business Energy Savings",STDMOTORS[Electric Energy Savings WBE (Annual kWh/unit)],"Small Business / Non-Profit",STDMOTORS[Electric Energy Savings HTRB (Annual kWh/unit)],0),MATCH(C26,STDMOTORS[Measure Name],0)),4))</f>
        <v/>
      </c>
      <c r="BI26" s="775" t="str" cm="1">
        <f t="array" ref="BI26">IF(OR(C26="",O26="",R26="",T26="",AA26="",AE26="",AI26="",AK26=""),"",ROUND(R26*T26*INDEX(_xlfn.SWITCH(Program_Banner,"Business Energy Savings",STDMOTORS[Coincident Peak Demand Savings WBE (kW/unit)],"Small Business / Non-Profit",STDMOTORS[Coincident Peak Demand Savings HTRB (kW/unit)],0),MATCH(C26,STDMOTORS[Measure Name],0)),4))</f>
        <v/>
      </c>
      <c r="BJ26" s="778" t="str">
        <f>IFERROR(INDEX(STDMOTORS[Measure Life (Years)],MATCH(C26,STDMOTORS[Measure Name],0)),"")</f>
        <v/>
      </c>
      <c r="BK26" s="768" t="str">
        <f>IFERROR(IF(OR(C26="",O26="",R26="",T26="",AA26="",AE26="",AI26="",AK26=""),"",
ROUND(((1+ELOSS)*((BH26*INDEX(ELECCB[NPV AEC $/kWh],MATCH(BJ26,ELECCB[Year Number],1)))+(BI26*INDEX(ELECCB[NPV ACC $/kW],MATCH(BJ26,ELECCB[Year Number],1))))),2)),0)</f>
        <v/>
      </c>
      <c r="BL26" s="768" t="str">
        <f t="shared" si="2"/>
        <v/>
      </c>
      <c r="BM26" s="768" t="str">
        <f>IF(OR(C26="", R26="", T26=""), "", R26 * T26 * INDEX(STDMOTORS[Incremental Measure Cost ($/Unit)],MATCH(C26,STDMOTORS[Measure Name],0)))</f>
        <v/>
      </c>
      <c r="BN26" s="764" t="str">
        <f t="shared" si="3"/>
        <v/>
      </c>
      <c r="BO26" s="764" t="str">
        <f>IFERROR(IF(BM26 &lt;&gt; "", BM26, BL26) / M02S04F06 / AO26, "")</f>
        <v/>
      </c>
      <c r="BP26" s="879"/>
      <c r="BQ26" s="768" t="str">
        <f t="shared" ref="BQ26" si="19">IFERROR(ROUND(R26*T26*AM26, 2), "")</f>
        <v/>
      </c>
      <c r="BR26" s="765"/>
      <c r="BS26" s="765"/>
      <c r="BT26" s="765"/>
      <c r="BU26" s="758" t="str">
        <f t="shared" ref="BU26" si="20">IFERROR(IF(BP26="",IF(AR26 &lt; BQ26, "100% Total Cost", ""), ""), "")</f>
        <v/>
      </c>
      <c r="BV26" s="767" t="str">
        <f t="shared" si="4"/>
        <v/>
      </c>
      <c r="BW26" s="758" t="str">
        <f>IFERROR(IF(OR(C26="",O26="",R26="",T26="",AA26="",AE26="",AI26="",AK26=""),"",IF(BY26&lt;&gt;"", SPILLOVERNUMBER, INDEX(STDMOTORS[Measure Number],MATCH(C26,STDMOTORS[Measure Name],0)))),"Err")</f>
        <v/>
      </c>
      <c r="BX26" s="757" t="str" cm="1">
        <f t="array" ref="BX26">IFERROR(INDEX(_xlfn.SWITCH(Program_Banner,"Business Energy Savings",STDMOTORS[Primary Key WBE],"Small Business / Non-Profit",STDMOTORS[Primary Key HTRB],0),MATCH(BW26,STDMOTORS[Measure Number],0)),"")</f>
        <v/>
      </c>
      <c r="BY26" s="758" t="str">
        <f>IFERROR(IF(OR(C26="",O26="",R26="",T26="",AA26="",AE26="",AI26="",AK26=""),"",
IF(BP26&gt;0,"",
IF(EXPIRATION&lt;&gt;"",PROJSTATEXP,""))),"")</f>
        <v/>
      </c>
      <c r="BZ26" s="754"/>
      <c r="CA26" s="754"/>
      <c r="CB26" s="754"/>
      <c r="CC26" s="754"/>
    </row>
    <row r="27" spans="2:81" ht="15.95" customHeight="1">
      <c r="B27" s="785"/>
      <c r="C27" s="793"/>
      <c r="D27" s="795"/>
      <c r="E27" s="795"/>
      <c r="F27" s="795"/>
      <c r="G27" s="795"/>
      <c r="H27" s="795"/>
      <c r="I27" s="795"/>
      <c r="J27" s="795"/>
      <c r="K27" s="795"/>
      <c r="L27" s="795"/>
      <c r="M27" s="795"/>
      <c r="N27" s="794"/>
      <c r="O27" s="962"/>
      <c r="P27" s="963"/>
      <c r="Q27" s="964"/>
      <c r="R27" s="870"/>
      <c r="S27" s="871"/>
      <c r="T27" s="793"/>
      <c r="U27" s="795"/>
      <c r="V27" s="795"/>
      <c r="W27" s="793"/>
      <c r="X27" s="795"/>
      <c r="Y27" s="795"/>
      <c r="Z27" s="794"/>
      <c r="AA27" s="793"/>
      <c r="AB27" s="795"/>
      <c r="AC27" s="795"/>
      <c r="AD27" s="794"/>
      <c r="AE27" s="806"/>
      <c r="AF27" s="806"/>
      <c r="AG27" s="806"/>
      <c r="AH27" s="786"/>
      <c r="AI27" s="809"/>
      <c r="AJ27" s="810"/>
      <c r="AK27" s="810"/>
      <c r="AL27" s="812"/>
      <c r="AM27" s="901"/>
      <c r="AN27" s="816"/>
      <c r="AO27" s="818"/>
      <c r="AP27" s="818"/>
      <c r="AQ27" s="818"/>
      <c r="AR27" s="841"/>
      <c r="AS27" s="841"/>
      <c r="AT27" s="841"/>
      <c r="AU27" s="841"/>
      <c r="AV27" s="17"/>
      <c r="AX27" s="774"/>
      <c r="AY27" s="760"/>
      <c r="AZ27" s="760"/>
      <c r="BA27" s="898"/>
      <c r="BB27" s="898"/>
      <c r="BC27" s="774"/>
      <c r="BD27" s="758"/>
      <c r="BE27" s="762"/>
      <c r="BF27" s="762"/>
      <c r="BG27" s="762"/>
      <c r="BH27" s="776"/>
      <c r="BI27" s="776"/>
      <c r="BJ27" s="778"/>
      <c r="BK27" s="768"/>
      <c r="BL27" s="768"/>
      <c r="BM27" s="768"/>
      <c r="BN27" s="764"/>
      <c r="BO27" s="764"/>
      <c r="BP27" s="879"/>
      <c r="BQ27" s="768"/>
      <c r="BR27" s="766"/>
      <c r="BS27" s="766"/>
      <c r="BT27" s="766"/>
      <c r="BU27" s="758"/>
      <c r="BV27" s="768"/>
      <c r="BW27" s="758"/>
      <c r="BX27" s="758"/>
      <c r="BY27" s="758"/>
      <c r="BZ27" s="754"/>
      <c r="CA27" s="754"/>
      <c r="CB27" s="754"/>
      <c r="CC27" s="754"/>
    </row>
    <row r="28" spans="2:81" ht="15.95" customHeight="1">
      <c r="B28" s="785">
        <v>6</v>
      </c>
      <c r="C28" s="825"/>
      <c r="D28" s="826"/>
      <c r="E28" s="826"/>
      <c r="F28" s="826"/>
      <c r="G28" s="826"/>
      <c r="H28" s="826"/>
      <c r="I28" s="826"/>
      <c r="J28" s="826"/>
      <c r="K28" s="826"/>
      <c r="L28" s="826"/>
      <c r="M28" s="826"/>
      <c r="N28" s="827"/>
      <c r="O28" s="959" t="str">
        <f>IF(C28="","",INDEX(STDMOTORS[Current Unit],MATCH(C28,STDMOTORS[Measure Name],0)))</f>
        <v/>
      </c>
      <c r="P28" s="960"/>
      <c r="Q28" s="961"/>
      <c r="R28" s="868"/>
      <c r="S28" s="869"/>
      <c r="T28" s="825"/>
      <c r="U28" s="826"/>
      <c r="V28" s="826"/>
      <c r="W28" s="825"/>
      <c r="X28" s="826"/>
      <c r="Y28" s="826"/>
      <c r="Z28" s="827"/>
      <c r="AA28" s="825"/>
      <c r="AB28" s="826"/>
      <c r="AC28" s="826"/>
      <c r="AD28" s="827"/>
      <c r="AE28" s="806"/>
      <c r="AF28" s="806"/>
      <c r="AG28" s="806"/>
      <c r="AH28" s="786"/>
      <c r="AI28" s="809"/>
      <c r="AJ28" s="810"/>
      <c r="AK28" s="810"/>
      <c r="AL28" s="812"/>
      <c r="AM28" s="900" t="str" cm="1">
        <f t="array" ref="AM28">IFERROR(IF(C28="","",INDEX(IF(AND(ACTIVEBONUS = TRUE,INDEX(STDMOTORS[Bonus Incentive],MATCH(C28,STDMOTORS[Measure Name],0))&lt;&gt; ""),STDMOTORS[Bonus Incentive],_xlfn.SWITCH(Program_Banner,"Business Energy Savings",STDMOTORS[BESP Incentive],"Small Business / Non-Profit",STDMOTORS[SBNP Incentive],0)),MATCH(C28,STDMOTORS[Measure Name],0))),"")</f>
        <v/>
      </c>
      <c r="AN28" s="814"/>
      <c r="AO28" s="817" t="str">
        <f>IFERROR(IF(OR(C28="",O28="",R28="",T28="",AA28="",AE28="",AI28="",AK28=""),"",IF(BD28="Deemed",BH28,IF(BD28="Calculated",BE28,""))),"")</f>
        <v/>
      </c>
      <c r="AP28" s="817"/>
      <c r="AQ28" s="817"/>
      <c r="AR28" s="840" t="str">
        <f>IFERROR(IF(OR(C28="",O28="",R28="",T28="",AA28="",AE28="",AI28="",AK28=""),"",IF(BY28&lt;&gt;"",BY28,IF(BP28&gt;0,BP28,ROUND(IF(AO28&lt;=0,0,MIN(BL28,BQ28)),2)))),"")</f>
        <v/>
      </c>
      <c r="AS28" s="840"/>
      <c r="AT28" s="840"/>
      <c r="AU28" s="840"/>
      <c r="AV28" s="17"/>
      <c r="AX28" s="774" t="str">
        <f>IFERROR(IF(OR(C28="",O28="",R28="",T28="",AA28="",AE28="",AI28="",AK28=""),"",INDEX(STDMOTORS[Current Unit],MATCH(C28,STDMOTORS[Measure Name],0))),"Err")</f>
        <v/>
      </c>
      <c r="AY28" s="759" t="str">
        <f t="shared" ref="AY28" si="21">IF(OR(R28="", T28=""), "", R28*T28)</f>
        <v/>
      </c>
      <c r="AZ28" s="759" t="str">
        <f t="shared" ref="AZ28" si="22">IF(OR(R28="", T28=""), "", R28*T28)</f>
        <v/>
      </c>
      <c r="BA28" s="898"/>
      <c r="BB28" s="898"/>
      <c r="BC28" s="774" t="str">
        <f>IFERROR(IF(OR(C28="",O28="",R28="",T28="",AA28="",AE28="",AI28="",AK28=""),"",INDEX(STDMOTORS[End Use],MATCH(C28,STDMOTORS[Measure Name],0))),"Err")</f>
        <v/>
      </c>
      <c r="BD28" s="758" t="str">
        <f>IFERROR(IF(OR(C28="",O28="",R28="",T28="",AA28="",AE28="",AI28="",AK28=""),"",INDEX(STDMOTORS[Reporting Methodology],MATCH(C28,STDMOTORS[Measure Name],0))),"Err")</f>
        <v/>
      </c>
      <c r="BE28" s="762"/>
      <c r="BF28" s="762"/>
      <c r="BG28" s="761"/>
      <c r="BH28" s="775" t="str" cm="1">
        <f t="array" ref="BH28">IF(OR(C28="",O28="",R28="",T28="",AA28="",AE28="",AI28="",AK28=""),"",ROUND(R28*T28*INDEX(_xlfn.SWITCH(Program_Banner,"Business Energy Savings",STDMOTORS[Electric Energy Savings WBE (Annual kWh/unit)],"Small Business / Non-Profit",STDMOTORS[Electric Energy Savings HTRB (Annual kWh/unit)],0),MATCH(C28,STDMOTORS[Measure Name],0)),4))</f>
        <v/>
      </c>
      <c r="BI28" s="775" t="str" cm="1">
        <f t="array" ref="BI28">IF(OR(C28="",O28="",R28="",T28="",AA28="",AE28="",AI28="",AK28=""),"",ROUND(R28*T28*INDEX(_xlfn.SWITCH(Program_Banner,"Business Energy Savings",STDMOTORS[Coincident Peak Demand Savings WBE (kW/unit)],"Small Business / Non-Profit",STDMOTORS[Coincident Peak Demand Savings HTRB (kW/unit)],0),MATCH(C28,STDMOTORS[Measure Name],0)),4))</f>
        <v/>
      </c>
      <c r="BJ28" s="778" t="str">
        <f>IFERROR(INDEX(STDMOTORS[Measure Life (Years)],MATCH(C28,STDMOTORS[Measure Name],0)),"")</f>
        <v/>
      </c>
      <c r="BK28" s="768" t="str">
        <f>IFERROR(IF(OR(C28="",O28="",R28="",T28="",AA28="",AE28="",AI28="",AK28=""),"",
ROUND(((1+ELOSS)*((BH28*INDEX(ELECCB[NPV AEC $/kWh],MATCH(BJ28,ELECCB[Year Number],1)))+(BI28*INDEX(ELECCB[NPV ACC $/kW],MATCH(BJ28,ELECCB[Year Number],1))))),2)),0)</f>
        <v/>
      </c>
      <c r="BL28" s="768" t="str">
        <f t="shared" si="2"/>
        <v/>
      </c>
      <c r="BM28" s="768" t="str">
        <f>IF(OR(C28="", R28="", T28=""), "", R28 * T28 * INDEX(STDMOTORS[Incremental Measure Cost ($/Unit)],MATCH(C28,STDMOTORS[Measure Name],0)))</f>
        <v/>
      </c>
      <c r="BN28" s="764" t="str">
        <f t="shared" si="3"/>
        <v/>
      </c>
      <c r="BO28" s="764" t="str">
        <f>IFERROR(IF(BM28 &lt;&gt; "", BM28, BL28) / M02S04F06 / AO28, "")</f>
        <v/>
      </c>
      <c r="BP28" s="879"/>
      <c r="BQ28" s="768" t="str">
        <f t="shared" ref="BQ28" si="23">IFERROR(ROUND(R28*T28*AM28, 2), "")</f>
        <v/>
      </c>
      <c r="BR28" s="765"/>
      <c r="BS28" s="765"/>
      <c r="BT28" s="765"/>
      <c r="BU28" s="758" t="str">
        <f t="shared" ref="BU28" si="24">IFERROR(IF(BP28="",IF(AR28 &lt; BQ28, "100% Total Cost", ""), ""), "")</f>
        <v/>
      </c>
      <c r="BV28" s="767" t="str">
        <f t="shared" si="4"/>
        <v/>
      </c>
      <c r="BW28" s="758" t="str">
        <f>IFERROR(IF(OR(C28="",O28="",R28="",T28="",AA28="",AE28="",AI28="",AK28=""),"",IF(BY28&lt;&gt;"", SPILLOVERNUMBER, INDEX(STDMOTORS[Measure Number],MATCH(C28,STDMOTORS[Measure Name],0)))),"Err")</f>
        <v/>
      </c>
      <c r="BX28" s="757" t="str" cm="1">
        <f t="array" ref="BX28">IFERROR(INDEX(_xlfn.SWITCH(Program_Banner,"Business Energy Savings",STDMOTORS[Primary Key WBE],"Small Business / Non-Profit",STDMOTORS[Primary Key HTRB],0),MATCH(BW28,STDMOTORS[Measure Number],0)),"")</f>
        <v/>
      </c>
      <c r="BY28" s="758" t="str">
        <f>IFERROR(IF(OR(C28="",O28="",R28="",T28="",AA28="",AE28="",AI28="",AK28=""),"",
IF(BP28&gt;0,"",
IF(EXPIRATION&lt;&gt;"",PROJSTATEXP,""))),"")</f>
        <v/>
      </c>
      <c r="BZ28" s="754"/>
      <c r="CA28" s="754"/>
      <c r="CB28" s="754"/>
      <c r="CC28" s="754"/>
    </row>
    <row r="29" spans="2:81" ht="15.95" customHeight="1">
      <c r="B29" s="785"/>
      <c r="C29" s="793"/>
      <c r="D29" s="795"/>
      <c r="E29" s="795"/>
      <c r="F29" s="795"/>
      <c r="G29" s="795"/>
      <c r="H29" s="795"/>
      <c r="I29" s="795"/>
      <c r="J29" s="795"/>
      <c r="K29" s="795"/>
      <c r="L29" s="795"/>
      <c r="M29" s="795"/>
      <c r="N29" s="794"/>
      <c r="O29" s="962"/>
      <c r="P29" s="963"/>
      <c r="Q29" s="964"/>
      <c r="R29" s="870"/>
      <c r="S29" s="871"/>
      <c r="T29" s="793"/>
      <c r="U29" s="795"/>
      <c r="V29" s="795"/>
      <c r="W29" s="793"/>
      <c r="X29" s="795"/>
      <c r="Y29" s="795"/>
      <c r="Z29" s="794"/>
      <c r="AA29" s="793"/>
      <c r="AB29" s="795"/>
      <c r="AC29" s="795"/>
      <c r="AD29" s="794"/>
      <c r="AE29" s="806"/>
      <c r="AF29" s="806"/>
      <c r="AG29" s="806"/>
      <c r="AH29" s="786"/>
      <c r="AI29" s="809"/>
      <c r="AJ29" s="810"/>
      <c r="AK29" s="810"/>
      <c r="AL29" s="812"/>
      <c r="AM29" s="901"/>
      <c r="AN29" s="816"/>
      <c r="AO29" s="818"/>
      <c r="AP29" s="818"/>
      <c r="AQ29" s="818"/>
      <c r="AR29" s="841"/>
      <c r="AS29" s="841"/>
      <c r="AT29" s="841"/>
      <c r="AU29" s="841"/>
      <c r="AV29" s="17"/>
      <c r="AX29" s="774"/>
      <c r="AY29" s="760"/>
      <c r="AZ29" s="760"/>
      <c r="BA29" s="898"/>
      <c r="BB29" s="898"/>
      <c r="BC29" s="774"/>
      <c r="BD29" s="758"/>
      <c r="BE29" s="762"/>
      <c r="BF29" s="762"/>
      <c r="BG29" s="762"/>
      <c r="BH29" s="776"/>
      <c r="BI29" s="776"/>
      <c r="BJ29" s="778"/>
      <c r="BK29" s="768"/>
      <c r="BL29" s="768"/>
      <c r="BM29" s="768"/>
      <c r="BN29" s="764"/>
      <c r="BO29" s="764"/>
      <c r="BP29" s="879"/>
      <c r="BQ29" s="768"/>
      <c r="BR29" s="766"/>
      <c r="BS29" s="766"/>
      <c r="BT29" s="766"/>
      <c r="BU29" s="758"/>
      <c r="BV29" s="768"/>
      <c r="BW29" s="758"/>
      <c r="BX29" s="758"/>
      <c r="BY29" s="758"/>
      <c r="BZ29" s="754"/>
      <c r="CA29" s="754"/>
      <c r="CB29" s="754"/>
      <c r="CC29" s="754"/>
    </row>
    <row r="30" spans="2:81" ht="15.95" customHeight="1">
      <c r="B30" s="785">
        <v>7</v>
      </c>
      <c r="C30" s="825"/>
      <c r="D30" s="826"/>
      <c r="E30" s="826"/>
      <c r="F30" s="826"/>
      <c r="G30" s="826"/>
      <c r="H30" s="826"/>
      <c r="I30" s="826"/>
      <c r="J30" s="826"/>
      <c r="K30" s="826"/>
      <c r="L30" s="826"/>
      <c r="M30" s="826"/>
      <c r="N30" s="827"/>
      <c r="O30" s="959" t="str">
        <f>IF(C30="","",INDEX(STDMOTORS[Current Unit],MATCH(C30,STDMOTORS[Measure Name],0)))</f>
        <v/>
      </c>
      <c r="P30" s="960"/>
      <c r="Q30" s="961"/>
      <c r="R30" s="868"/>
      <c r="S30" s="869"/>
      <c r="T30" s="825"/>
      <c r="U30" s="826"/>
      <c r="V30" s="826"/>
      <c r="W30" s="825"/>
      <c r="X30" s="826"/>
      <c r="Y30" s="826"/>
      <c r="Z30" s="827"/>
      <c r="AA30" s="825"/>
      <c r="AB30" s="826"/>
      <c r="AC30" s="826"/>
      <c r="AD30" s="827"/>
      <c r="AE30" s="806"/>
      <c r="AF30" s="806"/>
      <c r="AG30" s="806"/>
      <c r="AH30" s="786"/>
      <c r="AI30" s="809"/>
      <c r="AJ30" s="810"/>
      <c r="AK30" s="810"/>
      <c r="AL30" s="812"/>
      <c r="AM30" s="900" t="str" cm="1">
        <f t="array" ref="AM30">IFERROR(IF(C30="","",INDEX(IF(AND(ACTIVEBONUS = TRUE,INDEX(STDMOTORS[Bonus Incentive],MATCH(C30,STDMOTORS[Measure Name],0))&lt;&gt; ""),STDMOTORS[Bonus Incentive],_xlfn.SWITCH(Program_Banner,"Business Energy Savings",STDMOTORS[BESP Incentive],"Small Business / Non-Profit",STDMOTORS[SBNP Incentive],0)),MATCH(C30,STDMOTORS[Measure Name],0))),"")</f>
        <v/>
      </c>
      <c r="AN30" s="814"/>
      <c r="AO30" s="817" t="str">
        <f>IFERROR(IF(OR(C30="",O30="",R30="",T30="",AA30="",AE30="",AI30="",AK30=""),"",IF(BD30="Deemed",BH30,IF(BD30="Calculated",BE30,""))),"")</f>
        <v/>
      </c>
      <c r="AP30" s="817"/>
      <c r="AQ30" s="817"/>
      <c r="AR30" s="840" t="str">
        <f>IFERROR(IF(OR(C30="",O30="",R30="",T30="",AA30="",AE30="",AI30="",AK30=""),"",IF(BY30&lt;&gt;"",BY30,IF(BP30&gt;0,BP30,ROUND(IF(AO30&lt;=0,0,MIN(BL30,BQ30)),2)))),"")</f>
        <v/>
      </c>
      <c r="AS30" s="840"/>
      <c r="AT30" s="840"/>
      <c r="AU30" s="840"/>
      <c r="AV30" s="17"/>
      <c r="AX30" s="774" t="str">
        <f>IFERROR(IF(OR(C30="",O30="",R30="",T30="",AA30="",AE30="",AI30="",AK30=""),"",INDEX(STDMOTORS[Current Unit],MATCH(C30,STDMOTORS[Measure Name],0))),"Err")</f>
        <v/>
      </c>
      <c r="AY30" s="759" t="str">
        <f t="shared" ref="AY30" si="25">IF(OR(R30="", T30=""), "", R30*T30)</f>
        <v/>
      </c>
      <c r="AZ30" s="759" t="str">
        <f t="shared" ref="AZ30" si="26">IF(OR(R30="", T30=""), "", R30*T30)</f>
        <v/>
      </c>
      <c r="BA30" s="898"/>
      <c r="BB30" s="898"/>
      <c r="BC30" s="774" t="str">
        <f>IFERROR(IF(OR(C30="",O30="",R30="",T30="",AA30="",AE30="",AI30="",AK30=""),"",INDEX(STDMOTORS[End Use],MATCH(C30,STDMOTORS[Measure Name],0))),"Err")</f>
        <v/>
      </c>
      <c r="BD30" s="758" t="str">
        <f>IFERROR(IF(OR(C30="",O30="",R30="",T30="",AA30="",AE30="",AI30="",AK30=""),"",INDEX(STDMOTORS[Reporting Methodology],MATCH(C30,STDMOTORS[Measure Name],0))),"Err")</f>
        <v/>
      </c>
      <c r="BE30" s="762"/>
      <c r="BF30" s="762"/>
      <c r="BG30" s="761"/>
      <c r="BH30" s="775" t="str" cm="1">
        <f t="array" ref="BH30">IF(OR(C30="",O30="",R30="",T30="",AA30="",AE30="",AI30="",AK30=""),"",ROUND(R30*T30*INDEX(_xlfn.SWITCH(Program_Banner,"Business Energy Savings",STDMOTORS[Electric Energy Savings WBE (Annual kWh/unit)],"Small Business / Non-Profit",STDMOTORS[Electric Energy Savings HTRB (Annual kWh/unit)],0),MATCH(C30,STDMOTORS[Measure Name],0)),4))</f>
        <v/>
      </c>
      <c r="BI30" s="775" t="str" cm="1">
        <f t="array" ref="BI30">IF(OR(C30="",O30="",R30="",T30="",AA30="",AE30="",AI30="",AK30=""),"",ROUND(R30*T30*INDEX(_xlfn.SWITCH(Program_Banner,"Business Energy Savings",STDMOTORS[Coincident Peak Demand Savings WBE (kW/unit)],"Small Business / Non-Profit",STDMOTORS[Coincident Peak Demand Savings HTRB (kW/unit)],0),MATCH(C30,STDMOTORS[Measure Name],0)),4))</f>
        <v/>
      </c>
      <c r="BJ30" s="778" t="str">
        <f>IFERROR(INDEX(STDMOTORS[Measure Life (Years)],MATCH(C30,STDMOTORS[Measure Name],0)),"")</f>
        <v/>
      </c>
      <c r="BK30" s="768" t="str">
        <f>IFERROR(IF(OR(C30="",O30="",R30="",T30="",AA30="",AE30="",AI30="",AK30=""),"",
ROUND(((1+ELOSS)*((BH30*INDEX(ELECCB[NPV AEC $/kWh],MATCH(BJ30,ELECCB[Year Number],1)))+(BI30*INDEX(ELECCB[NPV ACC $/kW],MATCH(BJ30,ELECCB[Year Number],1))))),2)),0)</f>
        <v/>
      </c>
      <c r="BL30" s="768" t="str">
        <f t="shared" si="2"/>
        <v/>
      </c>
      <c r="BM30" s="768" t="str">
        <f>IF(OR(C30="", R30="", T30=""), "", R30 * T30 * INDEX(STDMOTORS[Incremental Measure Cost ($/Unit)],MATCH(C30,STDMOTORS[Measure Name],0)))</f>
        <v/>
      </c>
      <c r="BN30" s="764" t="str">
        <f t="shared" si="3"/>
        <v/>
      </c>
      <c r="BO30" s="764" t="str">
        <f>IFERROR(IF(BM30 &lt;&gt; "", BM30, BL30) / M02S04F06 / AO30, "")</f>
        <v/>
      </c>
      <c r="BP30" s="879"/>
      <c r="BQ30" s="768" t="str">
        <f t="shared" ref="BQ30" si="27">IFERROR(ROUND(R30*T30*AM30, 2), "")</f>
        <v/>
      </c>
      <c r="BR30" s="765"/>
      <c r="BS30" s="765"/>
      <c r="BT30" s="765"/>
      <c r="BU30" s="758" t="str">
        <f t="shared" ref="BU30" si="28">IFERROR(IF(BP30="",IF(AR30 &lt; BQ30, "100% Total Cost", ""), ""), "")</f>
        <v/>
      </c>
      <c r="BV30" s="767" t="str">
        <f t="shared" si="4"/>
        <v/>
      </c>
      <c r="BW30" s="758" t="str">
        <f>IFERROR(IF(OR(C30="",O30="",R30="",T30="",AA30="",AE30="",AI30="",AK30=""),"",IF(BY30&lt;&gt;"", SPILLOVERNUMBER, INDEX(STDMOTORS[Measure Number],MATCH(C30,STDMOTORS[Measure Name],0)))),"Err")</f>
        <v/>
      </c>
      <c r="BX30" s="757" t="str" cm="1">
        <f t="array" ref="BX30">IFERROR(INDEX(_xlfn.SWITCH(Program_Banner,"Business Energy Savings",STDMOTORS[Primary Key WBE],"Small Business / Non-Profit",STDMOTORS[Primary Key HTRB],0),MATCH(BW30,STDMOTORS[Measure Number],0)),"")</f>
        <v/>
      </c>
      <c r="BY30" s="758" t="str">
        <f>IFERROR(IF(OR(C30="",O30="",R30="",T30="",AA30="",AE30="",AI30="",AK30=""),"",
IF(BP30&gt;0,"",
IF(EXPIRATION&lt;&gt;"",PROJSTATEXP,""))),"")</f>
        <v/>
      </c>
      <c r="BZ30" s="754"/>
      <c r="CA30" s="754"/>
      <c r="CB30" s="754"/>
      <c r="CC30" s="754"/>
    </row>
    <row r="31" spans="2:81" ht="15.95" customHeight="1">
      <c r="B31" s="785"/>
      <c r="C31" s="793"/>
      <c r="D31" s="795"/>
      <c r="E31" s="795"/>
      <c r="F31" s="795"/>
      <c r="G31" s="795"/>
      <c r="H31" s="795"/>
      <c r="I31" s="795"/>
      <c r="J31" s="795"/>
      <c r="K31" s="795"/>
      <c r="L31" s="795"/>
      <c r="M31" s="795"/>
      <c r="N31" s="794"/>
      <c r="O31" s="962"/>
      <c r="P31" s="963"/>
      <c r="Q31" s="964"/>
      <c r="R31" s="870"/>
      <c r="S31" s="871"/>
      <c r="T31" s="793"/>
      <c r="U31" s="795"/>
      <c r="V31" s="795"/>
      <c r="W31" s="793"/>
      <c r="X31" s="795"/>
      <c r="Y31" s="795"/>
      <c r="Z31" s="794"/>
      <c r="AA31" s="793"/>
      <c r="AB31" s="795"/>
      <c r="AC31" s="795"/>
      <c r="AD31" s="794"/>
      <c r="AE31" s="806"/>
      <c r="AF31" s="806"/>
      <c r="AG31" s="806"/>
      <c r="AH31" s="786"/>
      <c r="AI31" s="809"/>
      <c r="AJ31" s="810"/>
      <c r="AK31" s="810"/>
      <c r="AL31" s="812"/>
      <c r="AM31" s="901"/>
      <c r="AN31" s="816"/>
      <c r="AO31" s="818"/>
      <c r="AP31" s="818"/>
      <c r="AQ31" s="818"/>
      <c r="AR31" s="841"/>
      <c r="AS31" s="841"/>
      <c r="AT31" s="841"/>
      <c r="AU31" s="841"/>
      <c r="AV31" s="17"/>
      <c r="AX31" s="774"/>
      <c r="AY31" s="760"/>
      <c r="AZ31" s="760"/>
      <c r="BA31" s="898"/>
      <c r="BB31" s="898"/>
      <c r="BC31" s="774"/>
      <c r="BD31" s="758"/>
      <c r="BE31" s="762"/>
      <c r="BF31" s="762"/>
      <c r="BG31" s="762"/>
      <c r="BH31" s="776"/>
      <c r="BI31" s="776"/>
      <c r="BJ31" s="778"/>
      <c r="BK31" s="768"/>
      <c r="BL31" s="768"/>
      <c r="BM31" s="768"/>
      <c r="BN31" s="764"/>
      <c r="BO31" s="764"/>
      <c r="BP31" s="879"/>
      <c r="BQ31" s="768"/>
      <c r="BR31" s="766"/>
      <c r="BS31" s="766"/>
      <c r="BT31" s="766"/>
      <c r="BU31" s="758"/>
      <c r="BV31" s="768"/>
      <c r="BW31" s="758"/>
      <c r="BX31" s="758"/>
      <c r="BY31" s="758"/>
      <c r="BZ31" s="754"/>
      <c r="CA31" s="754"/>
      <c r="CB31" s="754"/>
      <c r="CC31" s="754"/>
    </row>
    <row r="32" spans="2:81" ht="15.95" customHeight="1">
      <c r="B32" s="785">
        <v>8</v>
      </c>
      <c r="C32" s="825"/>
      <c r="D32" s="826"/>
      <c r="E32" s="826"/>
      <c r="F32" s="826"/>
      <c r="G32" s="826"/>
      <c r="H32" s="826"/>
      <c r="I32" s="826"/>
      <c r="J32" s="826"/>
      <c r="K32" s="826"/>
      <c r="L32" s="826"/>
      <c r="M32" s="826"/>
      <c r="N32" s="827"/>
      <c r="O32" s="959" t="str">
        <f>IF(C32="","",INDEX(STDMOTORS[Current Unit],MATCH(C32,STDMOTORS[Measure Name],0)))</f>
        <v/>
      </c>
      <c r="P32" s="960"/>
      <c r="Q32" s="961"/>
      <c r="R32" s="868"/>
      <c r="S32" s="869"/>
      <c r="T32" s="825"/>
      <c r="U32" s="826"/>
      <c r="V32" s="826"/>
      <c r="W32" s="825"/>
      <c r="X32" s="826"/>
      <c r="Y32" s="826"/>
      <c r="Z32" s="827"/>
      <c r="AA32" s="825"/>
      <c r="AB32" s="826"/>
      <c r="AC32" s="826"/>
      <c r="AD32" s="827"/>
      <c r="AE32" s="806"/>
      <c r="AF32" s="806"/>
      <c r="AG32" s="806"/>
      <c r="AH32" s="786"/>
      <c r="AI32" s="809"/>
      <c r="AJ32" s="810"/>
      <c r="AK32" s="810"/>
      <c r="AL32" s="812"/>
      <c r="AM32" s="900" t="str" cm="1">
        <f t="array" ref="AM32">IFERROR(IF(C32="","",INDEX(IF(AND(ACTIVEBONUS = TRUE,INDEX(STDMOTORS[Bonus Incentive],MATCH(C32,STDMOTORS[Measure Name],0))&lt;&gt; ""),STDMOTORS[Bonus Incentive],_xlfn.SWITCH(Program_Banner,"Business Energy Savings",STDMOTORS[BESP Incentive],"Small Business / Non-Profit",STDMOTORS[SBNP Incentive],0)),MATCH(C32,STDMOTORS[Measure Name],0))),"")</f>
        <v/>
      </c>
      <c r="AN32" s="814"/>
      <c r="AO32" s="817" t="str">
        <f>IFERROR(IF(OR(C32="",O32="",R32="",T32="",AA32="",AE32="",AI32="",AK32=""),"",IF(BD32="Deemed",BH32,IF(BD32="Calculated",BE32,""))),"")</f>
        <v/>
      </c>
      <c r="AP32" s="817"/>
      <c r="AQ32" s="817"/>
      <c r="AR32" s="840" t="str">
        <f>IFERROR(IF(OR(C32="",O32="",R32="",T32="",AA32="",AE32="",AI32="",AK32=""),"",IF(BY32&lt;&gt;"",BY32,IF(BP32&gt;0,BP32,ROUND(IF(AO32&lt;=0,0,MIN(BL32,BQ32)),2)))),"")</f>
        <v/>
      </c>
      <c r="AS32" s="840"/>
      <c r="AT32" s="840"/>
      <c r="AU32" s="840"/>
      <c r="AV32" s="17"/>
      <c r="AX32" s="774" t="str">
        <f>IFERROR(IF(OR(C32="",O32="",R32="",T32="",AA32="",AE32="",AI32="",AK32=""),"",INDEX(STDMOTORS[Current Unit],MATCH(C32,STDMOTORS[Measure Name],0))),"Err")</f>
        <v/>
      </c>
      <c r="AY32" s="759" t="str">
        <f t="shared" ref="AY32" si="29">IF(OR(R32="", T32=""), "", R32*T32)</f>
        <v/>
      </c>
      <c r="AZ32" s="759" t="str">
        <f t="shared" ref="AZ32" si="30">IF(OR(R32="", T32=""), "", R32*T32)</f>
        <v/>
      </c>
      <c r="BA32" s="898"/>
      <c r="BB32" s="898"/>
      <c r="BC32" s="774" t="str">
        <f>IFERROR(IF(OR(C32="",O32="",R32="",T32="",AA32="",AE32="",AI32="",AK32=""),"",INDEX(STDMOTORS[End Use],MATCH(C32,STDMOTORS[Measure Name],0))),"Err")</f>
        <v/>
      </c>
      <c r="BD32" s="758" t="str">
        <f>IFERROR(IF(OR(C32="",O32="",R32="",T32="",AA32="",AE32="",AI32="",AK32=""),"",INDEX(STDMOTORS[Reporting Methodology],MATCH(C32,STDMOTORS[Measure Name],0))),"Err")</f>
        <v/>
      </c>
      <c r="BE32" s="762"/>
      <c r="BF32" s="762"/>
      <c r="BG32" s="761"/>
      <c r="BH32" s="775" t="str" cm="1">
        <f t="array" ref="BH32">IF(OR(C32="",O32="",R32="",T32="",AA32="",AE32="",AI32="",AK32=""),"",ROUND(R32*T32*INDEX(_xlfn.SWITCH(Program_Banner,"Business Energy Savings",STDMOTORS[Electric Energy Savings WBE (Annual kWh/unit)],"Small Business / Non-Profit",STDMOTORS[Electric Energy Savings HTRB (Annual kWh/unit)],0),MATCH(C32,STDMOTORS[Measure Name],0)),4))</f>
        <v/>
      </c>
      <c r="BI32" s="775" t="str" cm="1">
        <f t="array" ref="BI32">IF(OR(C32="",O32="",R32="",T32="",AA32="",AE32="",AI32="",AK32=""),"",ROUND(R32*T32*INDEX(_xlfn.SWITCH(Program_Banner,"Business Energy Savings",STDMOTORS[Coincident Peak Demand Savings WBE (kW/unit)],"Small Business / Non-Profit",STDMOTORS[Coincident Peak Demand Savings HTRB (kW/unit)],0),MATCH(C32,STDMOTORS[Measure Name],0)),4))</f>
        <v/>
      </c>
      <c r="BJ32" s="778" t="str">
        <f>IFERROR(INDEX(STDMOTORS[Measure Life (Years)],MATCH(C32,STDMOTORS[Measure Name],0)),"")</f>
        <v/>
      </c>
      <c r="BK32" s="768" t="str">
        <f>IFERROR(IF(OR(C32="",O32="",R32="",T32="",AA32="",AE32="",AI32="",AK32=""),"",
ROUND(((1+ELOSS)*((BH32*INDEX(ELECCB[NPV AEC $/kWh],MATCH(BJ32,ELECCB[Year Number],1)))+(BI32*INDEX(ELECCB[NPV ACC $/kW],MATCH(BJ32,ELECCB[Year Number],1))))),2)),0)</f>
        <v/>
      </c>
      <c r="BL32" s="768" t="str">
        <f t="shared" si="2"/>
        <v/>
      </c>
      <c r="BM32" s="768" t="str">
        <f>IF(OR(C32="", R32="", T32=""), "", R32 * T32 * INDEX(STDMOTORS[Incremental Measure Cost ($/Unit)],MATCH(C32,STDMOTORS[Measure Name],0)))</f>
        <v/>
      </c>
      <c r="BN32" s="764" t="str">
        <f t="shared" si="3"/>
        <v/>
      </c>
      <c r="BO32" s="764" t="str">
        <f>IFERROR(IF(BM32 &lt;&gt; "", BM32, BL32) / M02S04F06 / AO32, "")</f>
        <v/>
      </c>
      <c r="BP32" s="879"/>
      <c r="BQ32" s="768" t="str">
        <f t="shared" ref="BQ32" si="31">IFERROR(ROUND(R32*T32*AM32, 2), "")</f>
        <v/>
      </c>
      <c r="BR32" s="765"/>
      <c r="BS32" s="765"/>
      <c r="BT32" s="765"/>
      <c r="BU32" s="758" t="str">
        <f t="shared" ref="BU32" si="32">IFERROR(IF(BP32="",IF(AR32 &lt; BQ32, "100% Total Cost", ""), ""), "")</f>
        <v/>
      </c>
      <c r="BV32" s="767" t="str">
        <f t="shared" si="4"/>
        <v/>
      </c>
      <c r="BW32" s="758" t="str">
        <f>IFERROR(IF(OR(C32="",O32="",R32="",T32="",AA32="",AE32="",AI32="",AK32=""),"",IF(BY32&lt;&gt;"", SPILLOVERNUMBER, INDEX(STDMOTORS[Measure Number],MATCH(C32,STDMOTORS[Measure Name],0)))),"Err")</f>
        <v/>
      </c>
      <c r="BX32" s="757" t="str" cm="1">
        <f t="array" ref="BX32">IFERROR(INDEX(_xlfn.SWITCH(Program_Banner,"Business Energy Savings",STDMOTORS[Primary Key WBE],"Small Business / Non-Profit",STDMOTORS[Primary Key HTRB],0),MATCH(BW32,STDMOTORS[Measure Number],0)),"")</f>
        <v/>
      </c>
      <c r="BY32" s="758" t="str">
        <f>IFERROR(IF(OR(C32="",O32="",R32="",T32="",AA32="",AE32="",AI32="",AK32=""),"",
IF(BP32&gt;0,"",
IF(EXPIRATION&lt;&gt;"",PROJSTATEXP,""))),"")</f>
        <v/>
      </c>
      <c r="BZ32" s="754"/>
      <c r="CA32" s="754"/>
      <c r="CB32" s="754"/>
      <c r="CC32" s="754"/>
    </row>
    <row r="33" spans="2:81" ht="15.95" customHeight="1">
      <c r="B33" s="785"/>
      <c r="C33" s="793"/>
      <c r="D33" s="795"/>
      <c r="E33" s="795"/>
      <c r="F33" s="795"/>
      <c r="G33" s="795"/>
      <c r="H33" s="795"/>
      <c r="I33" s="795"/>
      <c r="J33" s="795"/>
      <c r="K33" s="795"/>
      <c r="L33" s="795"/>
      <c r="M33" s="795"/>
      <c r="N33" s="794"/>
      <c r="O33" s="962"/>
      <c r="P33" s="963"/>
      <c r="Q33" s="964"/>
      <c r="R33" s="870"/>
      <c r="S33" s="871"/>
      <c r="T33" s="793"/>
      <c r="U33" s="795"/>
      <c r="V33" s="795"/>
      <c r="W33" s="793"/>
      <c r="X33" s="795"/>
      <c r="Y33" s="795"/>
      <c r="Z33" s="794"/>
      <c r="AA33" s="793"/>
      <c r="AB33" s="795"/>
      <c r="AC33" s="795"/>
      <c r="AD33" s="794"/>
      <c r="AE33" s="806"/>
      <c r="AF33" s="806"/>
      <c r="AG33" s="806"/>
      <c r="AH33" s="786"/>
      <c r="AI33" s="809"/>
      <c r="AJ33" s="810"/>
      <c r="AK33" s="810"/>
      <c r="AL33" s="812"/>
      <c r="AM33" s="901"/>
      <c r="AN33" s="816"/>
      <c r="AO33" s="818"/>
      <c r="AP33" s="818"/>
      <c r="AQ33" s="818"/>
      <c r="AR33" s="841"/>
      <c r="AS33" s="841"/>
      <c r="AT33" s="841"/>
      <c r="AU33" s="841"/>
      <c r="AV33" s="17"/>
      <c r="AX33" s="774"/>
      <c r="AY33" s="760"/>
      <c r="AZ33" s="760"/>
      <c r="BA33" s="898"/>
      <c r="BB33" s="898"/>
      <c r="BC33" s="774"/>
      <c r="BD33" s="758"/>
      <c r="BE33" s="762"/>
      <c r="BF33" s="762"/>
      <c r="BG33" s="762"/>
      <c r="BH33" s="776"/>
      <c r="BI33" s="776"/>
      <c r="BJ33" s="778"/>
      <c r="BK33" s="768"/>
      <c r="BL33" s="768"/>
      <c r="BM33" s="768"/>
      <c r="BN33" s="764"/>
      <c r="BO33" s="764"/>
      <c r="BP33" s="879"/>
      <c r="BQ33" s="768"/>
      <c r="BR33" s="766"/>
      <c r="BS33" s="766"/>
      <c r="BT33" s="766"/>
      <c r="BU33" s="758"/>
      <c r="BV33" s="768"/>
      <c r="BW33" s="758"/>
      <c r="BX33" s="758"/>
      <c r="BY33" s="758"/>
      <c r="BZ33" s="754"/>
      <c r="CA33" s="754"/>
      <c r="CB33" s="754"/>
      <c r="CC33" s="754"/>
    </row>
    <row r="34" spans="2:81" ht="15.95" customHeight="1">
      <c r="B34" s="785">
        <v>9</v>
      </c>
      <c r="C34" s="825"/>
      <c r="D34" s="826"/>
      <c r="E34" s="826"/>
      <c r="F34" s="826"/>
      <c r="G34" s="826"/>
      <c r="H34" s="826"/>
      <c r="I34" s="826"/>
      <c r="J34" s="826"/>
      <c r="K34" s="826"/>
      <c r="L34" s="826"/>
      <c r="M34" s="826"/>
      <c r="N34" s="827"/>
      <c r="O34" s="959" t="str">
        <f>IF(C34="","",INDEX(STDMOTORS[Current Unit],MATCH(C34,STDMOTORS[Measure Name],0)))</f>
        <v/>
      </c>
      <c r="P34" s="960"/>
      <c r="Q34" s="961"/>
      <c r="R34" s="868"/>
      <c r="S34" s="869"/>
      <c r="T34" s="825"/>
      <c r="U34" s="826"/>
      <c r="V34" s="826"/>
      <c r="W34" s="825"/>
      <c r="X34" s="826"/>
      <c r="Y34" s="826"/>
      <c r="Z34" s="827"/>
      <c r="AA34" s="825"/>
      <c r="AB34" s="826"/>
      <c r="AC34" s="826"/>
      <c r="AD34" s="827"/>
      <c r="AE34" s="806"/>
      <c r="AF34" s="806"/>
      <c r="AG34" s="806"/>
      <c r="AH34" s="786"/>
      <c r="AI34" s="809"/>
      <c r="AJ34" s="810"/>
      <c r="AK34" s="810"/>
      <c r="AL34" s="812"/>
      <c r="AM34" s="900" t="str" cm="1">
        <f t="array" ref="AM34">IFERROR(IF(C34="","",INDEX(IF(AND(ACTIVEBONUS = TRUE,INDEX(STDMOTORS[Bonus Incentive],MATCH(C34,STDMOTORS[Measure Name],0))&lt;&gt; ""),STDMOTORS[Bonus Incentive],_xlfn.SWITCH(Program_Banner,"Business Energy Savings",STDMOTORS[BESP Incentive],"Small Business / Non-Profit",STDMOTORS[SBNP Incentive],0)),MATCH(C34,STDMOTORS[Measure Name],0))),"")</f>
        <v/>
      </c>
      <c r="AN34" s="814"/>
      <c r="AO34" s="817" t="str">
        <f>IFERROR(IF(OR(C34="",O34="",R34="",T34="",AA34="",AE34="",AI34="",AK34=""),"",IF(BD34="Deemed",BH34,IF(BD34="Calculated",BE34,""))),"")</f>
        <v/>
      </c>
      <c r="AP34" s="817"/>
      <c r="AQ34" s="817"/>
      <c r="AR34" s="840" t="str">
        <f>IFERROR(IF(OR(C34="",O34="",R34="",T34="",AA34="",AE34="",AI34="",AK34=""),"",IF(BY34&lt;&gt;"",BY34,IF(BP34&gt;0,BP34,ROUND(IF(AO34&lt;=0,0,MIN(BL34,BQ34)),2)))),"")</f>
        <v/>
      </c>
      <c r="AS34" s="840"/>
      <c r="AT34" s="840"/>
      <c r="AU34" s="840"/>
      <c r="AV34" s="17"/>
      <c r="AX34" s="774" t="str">
        <f>IFERROR(IF(OR(C34="",O34="",R34="",T34="",AA34="",AE34="",AI34="",AK34=""),"",INDEX(STDMOTORS[Current Unit],MATCH(C34,STDMOTORS[Measure Name],0))),"Err")</f>
        <v/>
      </c>
      <c r="AY34" s="759" t="str">
        <f t="shared" ref="AY34" si="33">IF(OR(R34="", T34=""), "", R34*T34)</f>
        <v/>
      </c>
      <c r="AZ34" s="759" t="str">
        <f t="shared" ref="AZ34" si="34">IF(OR(R34="", T34=""), "", R34*T34)</f>
        <v/>
      </c>
      <c r="BA34" s="898"/>
      <c r="BB34" s="898"/>
      <c r="BC34" s="774" t="str">
        <f>IFERROR(IF(OR(C34="",O34="",R34="",T34="",AA34="",AE34="",AI34="",AK34=""),"",INDEX(STDMOTORS[End Use],MATCH(C34,STDMOTORS[Measure Name],0))),"Err")</f>
        <v/>
      </c>
      <c r="BD34" s="758" t="str">
        <f>IFERROR(IF(OR(C34="",O34="",R34="",T34="",AA34="",AE34="",AI34="",AK34=""),"",INDEX(STDMOTORS[Reporting Methodology],MATCH(C34,STDMOTORS[Measure Name],0))),"Err")</f>
        <v/>
      </c>
      <c r="BE34" s="762"/>
      <c r="BF34" s="762"/>
      <c r="BG34" s="761"/>
      <c r="BH34" s="775" t="str" cm="1">
        <f t="array" ref="BH34">IF(OR(C34="",O34="",R34="",T34="",AA34="",AE34="",AI34="",AK34=""),"",ROUND(R34*T34*INDEX(_xlfn.SWITCH(Program_Banner,"Business Energy Savings",STDMOTORS[Electric Energy Savings WBE (Annual kWh/unit)],"Small Business / Non-Profit",STDMOTORS[Electric Energy Savings HTRB (Annual kWh/unit)],0),MATCH(C34,STDMOTORS[Measure Name],0)),4))</f>
        <v/>
      </c>
      <c r="BI34" s="775" t="str" cm="1">
        <f t="array" ref="BI34">IF(OR(C34="",O34="",R34="",T34="",AA34="",AE34="",AI34="",AK34=""),"",ROUND(R34*T34*INDEX(_xlfn.SWITCH(Program_Banner,"Business Energy Savings",STDMOTORS[Coincident Peak Demand Savings WBE (kW/unit)],"Small Business / Non-Profit",STDMOTORS[Coincident Peak Demand Savings HTRB (kW/unit)],0),MATCH(C34,STDMOTORS[Measure Name],0)),4))</f>
        <v/>
      </c>
      <c r="BJ34" s="778" t="str">
        <f>IFERROR(INDEX(STDMOTORS[Measure Life (Years)],MATCH(C34,STDMOTORS[Measure Name],0)),"")</f>
        <v/>
      </c>
      <c r="BK34" s="768" t="str">
        <f>IFERROR(IF(OR(C34="",O34="",R34="",T34="",AA34="",AE34="",AI34="",AK34=""),"",
ROUND(((1+ELOSS)*((BH34*INDEX(ELECCB[NPV AEC $/kWh],MATCH(BJ34,ELECCB[Year Number],1)))+(BI34*INDEX(ELECCB[NPV ACC $/kW],MATCH(BJ34,ELECCB[Year Number],1))))),2)),0)</f>
        <v/>
      </c>
      <c r="BL34" s="768" t="str">
        <f t="shared" si="2"/>
        <v/>
      </c>
      <c r="BM34" s="768" t="str">
        <f>IF(OR(C34="", R34="", T34=""), "", R34 * T34 * INDEX(STDMOTORS[Incremental Measure Cost ($/Unit)],MATCH(C34,STDMOTORS[Measure Name],0)))</f>
        <v/>
      </c>
      <c r="BN34" s="764" t="str">
        <f t="shared" si="3"/>
        <v/>
      </c>
      <c r="BO34" s="764" t="str">
        <f>IFERROR(IF(BM34 &lt;&gt; "", BM34, BL34) / M02S04F06 / AO34, "")</f>
        <v/>
      </c>
      <c r="BP34" s="879"/>
      <c r="BQ34" s="768" t="str">
        <f t="shared" ref="BQ34" si="35">IFERROR(ROUND(R34*T34*AM34, 2), "")</f>
        <v/>
      </c>
      <c r="BR34" s="765"/>
      <c r="BS34" s="765"/>
      <c r="BT34" s="765"/>
      <c r="BU34" s="758" t="str">
        <f t="shared" ref="BU34" si="36">IFERROR(IF(BP34="",IF(AR34 &lt; BQ34, "100% Total Cost", ""), ""), "")</f>
        <v/>
      </c>
      <c r="BV34" s="767" t="str">
        <f t="shared" si="4"/>
        <v/>
      </c>
      <c r="BW34" s="758" t="str">
        <f>IFERROR(IF(OR(C34="",O34="",R34="",T34="",AA34="",AE34="",AI34="",AK34=""),"",IF(BY34&lt;&gt;"", SPILLOVERNUMBER, INDEX(STDMOTORS[Measure Number],MATCH(C34,STDMOTORS[Measure Name],0)))),"Err")</f>
        <v/>
      </c>
      <c r="BX34" s="757" t="str" cm="1">
        <f t="array" ref="BX34">IFERROR(INDEX(_xlfn.SWITCH(Program_Banner,"Business Energy Savings",STDMOTORS[Primary Key WBE],"Small Business / Non-Profit",STDMOTORS[Primary Key HTRB],0),MATCH(BW34,STDMOTORS[Measure Number],0)),"")</f>
        <v/>
      </c>
      <c r="BY34" s="758" t="str">
        <f>IFERROR(IF(OR(C34="",O34="",R34="",T34="",AA34="",AE34="",AI34="",AK34=""),"",
IF(BP34&gt;0,"",
IF(EXPIRATION&lt;&gt;"",PROJSTATEXP,""))),"")</f>
        <v/>
      </c>
      <c r="BZ34" s="754"/>
      <c r="CA34" s="754"/>
      <c r="CB34" s="754"/>
      <c r="CC34" s="754"/>
    </row>
    <row r="35" spans="2:81" ht="15.95" customHeight="1">
      <c r="B35" s="785"/>
      <c r="C35" s="793"/>
      <c r="D35" s="795"/>
      <c r="E35" s="795"/>
      <c r="F35" s="795"/>
      <c r="G35" s="795"/>
      <c r="H35" s="795"/>
      <c r="I35" s="795"/>
      <c r="J35" s="795"/>
      <c r="K35" s="795"/>
      <c r="L35" s="795"/>
      <c r="M35" s="795"/>
      <c r="N35" s="794"/>
      <c r="O35" s="962"/>
      <c r="P35" s="963"/>
      <c r="Q35" s="964"/>
      <c r="R35" s="870"/>
      <c r="S35" s="871"/>
      <c r="T35" s="793"/>
      <c r="U35" s="795"/>
      <c r="V35" s="795"/>
      <c r="W35" s="793"/>
      <c r="X35" s="795"/>
      <c r="Y35" s="795"/>
      <c r="Z35" s="794"/>
      <c r="AA35" s="793"/>
      <c r="AB35" s="795"/>
      <c r="AC35" s="795"/>
      <c r="AD35" s="794"/>
      <c r="AE35" s="806"/>
      <c r="AF35" s="806"/>
      <c r="AG35" s="806"/>
      <c r="AH35" s="786"/>
      <c r="AI35" s="809"/>
      <c r="AJ35" s="810"/>
      <c r="AK35" s="810"/>
      <c r="AL35" s="812"/>
      <c r="AM35" s="901"/>
      <c r="AN35" s="816"/>
      <c r="AO35" s="818"/>
      <c r="AP35" s="818"/>
      <c r="AQ35" s="818"/>
      <c r="AR35" s="841"/>
      <c r="AS35" s="841"/>
      <c r="AT35" s="841"/>
      <c r="AU35" s="841"/>
      <c r="AV35" s="17"/>
      <c r="AX35" s="774"/>
      <c r="AY35" s="760"/>
      <c r="AZ35" s="760"/>
      <c r="BA35" s="898"/>
      <c r="BB35" s="898"/>
      <c r="BC35" s="774"/>
      <c r="BD35" s="758"/>
      <c r="BE35" s="762"/>
      <c r="BF35" s="762"/>
      <c r="BG35" s="762"/>
      <c r="BH35" s="776"/>
      <c r="BI35" s="776"/>
      <c r="BJ35" s="778"/>
      <c r="BK35" s="768"/>
      <c r="BL35" s="768"/>
      <c r="BM35" s="768"/>
      <c r="BN35" s="764"/>
      <c r="BO35" s="764"/>
      <c r="BP35" s="879"/>
      <c r="BQ35" s="768"/>
      <c r="BR35" s="766"/>
      <c r="BS35" s="766"/>
      <c r="BT35" s="766"/>
      <c r="BU35" s="758"/>
      <c r="BV35" s="768"/>
      <c r="BW35" s="758"/>
      <c r="BX35" s="758"/>
      <c r="BY35" s="758"/>
      <c r="BZ35" s="754"/>
      <c r="CA35" s="754"/>
      <c r="CB35" s="754"/>
      <c r="CC35" s="754"/>
    </row>
    <row r="36" spans="2:81" ht="15.95" customHeight="1">
      <c r="B36" s="785">
        <v>10</v>
      </c>
      <c r="C36" s="825"/>
      <c r="D36" s="826"/>
      <c r="E36" s="826"/>
      <c r="F36" s="826"/>
      <c r="G36" s="826"/>
      <c r="H36" s="826"/>
      <c r="I36" s="826"/>
      <c r="J36" s="826"/>
      <c r="K36" s="826"/>
      <c r="L36" s="826"/>
      <c r="M36" s="826"/>
      <c r="N36" s="827"/>
      <c r="O36" s="959" t="str">
        <f>IF(C36="","",INDEX(STDMOTORS[Current Unit],MATCH(C36,STDMOTORS[Measure Name],0)))</f>
        <v/>
      </c>
      <c r="P36" s="960"/>
      <c r="Q36" s="961"/>
      <c r="R36" s="868"/>
      <c r="S36" s="869"/>
      <c r="T36" s="825"/>
      <c r="U36" s="826"/>
      <c r="V36" s="826"/>
      <c r="W36" s="825"/>
      <c r="X36" s="826"/>
      <c r="Y36" s="826"/>
      <c r="Z36" s="827"/>
      <c r="AA36" s="825"/>
      <c r="AB36" s="826"/>
      <c r="AC36" s="826"/>
      <c r="AD36" s="827"/>
      <c r="AE36" s="806"/>
      <c r="AF36" s="806"/>
      <c r="AG36" s="806"/>
      <c r="AH36" s="786"/>
      <c r="AI36" s="809"/>
      <c r="AJ36" s="810"/>
      <c r="AK36" s="810"/>
      <c r="AL36" s="812"/>
      <c r="AM36" s="900" t="str" cm="1">
        <f t="array" ref="AM36">IFERROR(IF(C36="","",INDEX(IF(AND(ACTIVEBONUS = TRUE,INDEX(STDMOTORS[Bonus Incentive],MATCH(C36,STDMOTORS[Measure Name],0))&lt;&gt; ""),STDMOTORS[Bonus Incentive],_xlfn.SWITCH(Program_Banner,"Business Energy Savings",STDMOTORS[BESP Incentive],"Small Business / Non-Profit",STDMOTORS[SBNP Incentive],0)),MATCH(C36,STDMOTORS[Measure Name],0))),"")</f>
        <v/>
      </c>
      <c r="AN36" s="814"/>
      <c r="AO36" s="817" t="str">
        <f>IFERROR(IF(OR(C36="",O36="",R36="",T36="",AA36="",AE36="",AI36="",AK36=""),"",IF(BD36="Deemed",BH36,IF(BD36="Calculated",BE36,""))),"")</f>
        <v/>
      </c>
      <c r="AP36" s="817"/>
      <c r="AQ36" s="817"/>
      <c r="AR36" s="840" t="str">
        <f>IFERROR(IF(OR(C36="",O36="",R36="",T36="",AA36="",AE36="",AI36="",AK36=""),"",IF(BY36&lt;&gt;"",BY36,IF(BP36&gt;0,BP36,ROUND(IF(AO36&lt;=0,0,MIN(BL36,BQ36)),2)))),"")</f>
        <v/>
      </c>
      <c r="AS36" s="840"/>
      <c r="AT36" s="840"/>
      <c r="AU36" s="840"/>
      <c r="AV36" s="17"/>
      <c r="AX36" s="774" t="str">
        <f>IFERROR(IF(OR(C36="",O36="",R36="",T36="",AA36="",AE36="",AI36="",AK36=""),"",INDEX(STDMOTORS[Current Unit],MATCH(C36,STDMOTORS[Measure Name],0))),"Err")</f>
        <v/>
      </c>
      <c r="AY36" s="759" t="str">
        <f t="shared" ref="AY36" si="37">IF(OR(R36="", T36=""), "", R36*T36)</f>
        <v/>
      </c>
      <c r="AZ36" s="759" t="str">
        <f t="shared" ref="AZ36" si="38">IF(OR(R36="", T36=""), "", R36*T36)</f>
        <v/>
      </c>
      <c r="BA36" s="898"/>
      <c r="BB36" s="898"/>
      <c r="BC36" s="774" t="str">
        <f>IFERROR(IF(OR(C36="",O36="",R36="",T36="",AA36="",AE36="",AI36="",AK36=""),"",INDEX(STDMOTORS[End Use],MATCH(C36,STDMOTORS[Measure Name],0))),"Err")</f>
        <v/>
      </c>
      <c r="BD36" s="758" t="str">
        <f>IFERROR(IF(OR(C36="",O36="",R36="",T36="",AA36="",AE36="",AI36="",AK36=""),"",INDEX(STDMOTORS[Reporting Methodology],MATCH(C36,STDMOTORS[Measure Name],0))),"Err")</f>
        <v/>
      </c>
      <c r="BE36" s="762"/>
      <c r="BF36" s="762"/>
      <c r="BG36" s="761"/>
      <c r="BH36" s="775" t="str" cm="1">
        <f t="array" ref="BH36">IF(OR(C36="",O36="",R36="",T36="",AA36="",AE36="",AI36="",AK36=""),"",ROUND(R36*T36*INDEX(_xlfn.SWITCH(Program_Banner,"Business Energy Savings",STDMOTORS[Electric Energy Savings WBE (Annual kWh/unit)],"Small Business / Non-Profit",STDMOTORS[Electric Energy Savings HTRB (Annual kWh/unit)],0),MATCH(C36,STDMOTORS[Measure Name],0)),4))</f>
        <v/>
      </c>
      <c r="BI36" s="775" t="str" cm="1">
        <f t="array" ref="BI36">IF(OR(C36="",O36="",R36="",T36="",AA36="",AE36="",AI36="",AK36=""),"",ROUND(R36*T36*INDEX(_xlfn.SWITCH(Program_Banner,"Business Energy Savings",STDMOTORS[Coincident Peak Demand Savings WBE (kW/unit)],"Small Business / Non-Profit",STDMOTORS[Coincident Peak Demand Savings HTRB (kW/unit)],0),MATCH(C36,STDMOTORS[Measure Name],0)),4))</f>
        <v/>
      </c>
      <c r="BJ36" s="778" t="str">
        <f>IFERROR(INDEX(STDMOTORS[Measure Life (Years)],MATCH(C36,STDMOTORS[Measure Name],0)),"")</f>
        <v/>
      </c>
      <c r="BK36" s="768" t="str">
        <f>IFERROR(IF(OR(C36="",O36="",R36="",T36="",AA36="",AE36="",AI36="",AK36=""),"",
ROUND(((1+ELOSS)*((BH36*INDEX(ELECCB[NPV AEC $/kWh],MATCH(BJ36,ELECCB[Year Number],1)))+(BI36*INDEX(ELECCB[NPV ACC $/kW],MATCH(BJ36,ELECCB[Year Number],1))))),2)),0)</f>
        <v/>
      </c>
      <c r="BL36" s="768" t="str">
        <f t="shared" si="2"/>
        <v/>
      </c>
      <c r="BM36" s="768" t="str">
        <f>IF(OR(C36="", R36="", T36=""), "", R36 * T36 * INDEX(STDMOTORS[Incremental Measure Cost ($/Unit)],MATCH(C36,STDMOTORS[Measure Name],0)))</f>
        <v/>
      </c>
      <c r="BN36" s="764" t="str">
        <f t="shared" si="3"/>
        <v/>
      </c>
      <c r="BO36" s="764" t="str">
        <f>IFERROR(IF(BM36 &lt;&gt; "", BM36, BL36) / M02S04F06 / AO36, "")</f>
        <v/>
      </c>
      <c r="BP36" s="879"/>
      <c r="BQ36" s="768" t="str">
        <f t="shared" ref="BQ36" si="39">IFERROR(ROUND(R36*T36*AM36, 2), "")</f>
        <v/>
      </c>
      <c r="BR36" s="765"/>
      <c r="BS36" s="765"/>
      <c r="BT36" s="765"/>
      <c r="BU36" s="758" t="str">
        <f t="shared" ref="BU36" si="40">IFERROR(IF(BP36="",IF(AR36 &lt; BQ36, "100% Total Cost", ""), ""), "")</f>
        <v/>
      </c>
      <c r="BV36" s="767" t="str">
        <f t="shared" si="4"/>
        <v/>
      </c>
      <c r="BW36" s="758" t="str">
        <f>IFERROR(IF(OR(C36="",O36="",R36="",T36="",AA36="",AE36="",AI36="",AK36=""),"",IF(BY36&lt;&gt;"", SPILLOVERNUMBER, INDEX(STDMOTORS[Measure Number],MATCH(C36,STDMOTORS[Measure Name],0)))),"Err")</f>
        <v/>
      </c>
      <c r="BX36" s="757" t="str" cm="1">
        <f t="array" ref="BX36">IFERROR(INDEX(_xlfn.SWITCH(Program_Banner,"Business Energy Savings",STDMOTORS[Primary Key WBE],"Small Business / Non-Profit",STDMOTORS[Primary Key HTRB],0),MATCH(BW36,STDMOTORS[Measure Number],0)),"")</f>
        <v/>
      </c>
      <c r="BY36" s="758" t="str">
        <f>IFERROR(IF(OR(C36="",O36="",R36="",T36="",AA36="",AE36="",AI36="",AK36=""),"",
IF(BP36&gt;0,"",
IF(EXPIRATION&lt;&gt;"",PROJSTATEXP,""))),"")</f>
        <v/>
      </c>
      <c r="BZ36" s="754"/>
      <c r="CA36" s="754"/>
      <c r="CB36" s="754"/>
      <c r="CC36" s="754"/>
    </row>
    <row r="37" spans="2:81" ht="15.95" customHeight="1">
      <c r="B37" s="785"/>
      <c r="C37" s="793"/>
      <c r="D37" s="795"/>
      <c r="E37" s="795"/>
      <c r="F37" s="795"/>
      <c r="G37" s="795"/>
      <c r="H37" s="795"/>
      <c r="I37" s="795"/>
      <c r="J37" s="795"/>
      <c r="K37" s="795"/>
      <c r="L37" s="795"/>
      <c r="M37" s="795"/>
      <c r="N37" s="794"/>
      <c r="O37" s="962"/>
      <c r="P37" s="963"/>
      <c r="Q37" s="964"/>
      <c r="R37" s="870"/>
      <c r="S37" s="871"/>
      <c r="T37" s="793"/>
      <c r="U37" s="795"/>
      <c r="V37" s="795"/>
      <c r="W37" s="793"/>
      <c r="X37" s="795"/>
      <c r="Y37" s="795"/>
      <c r="Z37" s="794"/>
      <c r="AA37" s="793"/>
      <c r="AB37" s="795"/>
      <c r="AC37" s="795"/>
      <c r="AD37" s="794"/>
      <c r="AE37" s="806"/>
      <c r="AF37" s="806"/>
      <c r="AG37" s="806"/>
      <c r="AH37" s="786"/>
      <c r="AI37" s="809"/>
      <c r="AJ37" s="810"/>
      <c r="AK37" s="810"/>
      <c r="AL37" s="812"/>
      <c r="AM37" s="901"/>
      <c r="AN37" s="816"/>
      <c r="AO37" s="818"/>
      <c r="AP37" s="818"/>
      <c r="AQ37" s="818"/>
      <c r="AR37" s="841"/>
      <c r="AS37" s="841"/>
      <c r="AT37" s="841"/>
      <c r="AU37" s="841"/>
      <c r="AV37" s="17"/>
      <c r="AX37" s="774"/>
      <c r="AY37" s="760"/>
      <c r="AZ37" s="760"/>
      <c r="BA37" s="898"/>
      <c r="BB37" s="898"/>
      <c r="BC37" s="774"/>
      <c r="BD37" s="758"/>
      <c r="BE37" s="762"/>
      <c r="BF37" s="762"/>
      <c r="BG37" s="762"/>
      <c r="BH37" s="776"/>
      <c r="BI37" s="776"/>
      <c r="BJ37" s="778"/>
      <c r="BK37" s="768"/>
      <c r="BL37" s="768"/>
      <c r="BM37" s="768"/>
      <c r="BN37" s="764"/>
      <c r="BO37" s="764"/>
      <c r="BP37" s="879"/>
      <c r="BQ37" s="768"/>
      <c r="BR37" s="766"/>
      <c r="BS37" s="766"/>
      <c r="BT37" s="766"/>
      <c r="BU37" s="758"/>
      <c r="BV37" s="768"/>
      <c r="BW37" s="758"/>
      <c r="BX37" s="758"/>
      <c r="BY37" s="758"/>
      <c r="BZ37" s="754"/>
      <c r="CA37" s="754"/>
      <c r="CB37" s="754"/>
      <c r="CC37" s="754"/>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64" ht="15.95" hidden="1" customHeight="1"/>
    <row r="194" spans="1:64" ht="15.95" hidden="1" customHeight="1"/>
    <row r="195" spans="1:64" ht="15.95" hidden="1" customHeight="1"/>
    <row r="196" spans="1:64" ht="15.95" hidden="1" customHeight="1"/>
    <row r="197" spans="1:64" ht="15.95" hidden="1" customHeight="1"/>
    <row r="198" spans="1:64" ht="15.95" hidden="1" customHeight="1"/>
    <row r="199" spans="1:64" ht="15.95" hidden="1" customHeight="1"/>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H200" s="863">
        <f>SUM(BH18:BH199)</f>
        <v>0</v>
      </c>
      <c r="BI200" s="861">
        <f>SUM(BI18:BI199)</f>
        <v>0</v>
      </c>
      <c r="BL200" s="862">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H201" s="863"/>
      <c r="BI201" s="861"/>
      <c r="BL201" s="862"/>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BOJ5ZZsgPMsUS5VCB+gEPFsmdlZg+1UmxwTrd++e4wtzibLNWYdeegULyjupPdgqzym9F4l6pMTkFQx9FWDJ8w==" saltValue="PDrhWYS0n4hwG9oMrLVeSQ==" spinCount="100000" sheet="1" objects="1" scenarios="1" selectLockedCells="1"/>
  <mergeCells count="524">
    <mergeCell ref="BN36:BN37"/>
    <mergeCell ref="BO36:BO37"/>
    <mergeCell ref="BR36:BR37"/>
    <mergeCell ref="BT36:BT37"/>
    <mergeCell ref="BV36:BV37"/>
    <mergeCell ref="BX36:BX37"/>
    <mergeCell ref="BL34:BL35"/>
    <mergeCell ref="BJ34:BJ35"/>
    <mergeCell ref="BJ36:BJ37"/>
    <mergeCell ref="BM36:BM37"/>
    <mergeCell ref="BN34:BN35"/>
    <mergeCell ref="BO34:BO35"/>
    <mergeCell ref="BK34:BK35"/>
    <mergeCell ref="BK36:BK37"/>
    <mergeCell ref="BW34:BW35"/>
    <mergeCell ref="BX26:BX27"/>
    <mergeCell ref="AY32:AY33"/>
    <mergeCell ref="AZ32:AZ33"/>
    <mergeCell ref="BG32:BG33"/>
    <mergeCell ref="BN32:BN33"/>
    <mergeCell ref="BO32:BO33"/>
    <mergeCell ref="BR32:BR33"/>
    <mergeCell ref="BT32:BT33"/>
    <mergeCell ref="BV32:BV33"/>
    <mergeCell ref="BX32:BX33"/>
    <mergeCell ref="BU32:BU33"/>
    <mergeCell ref="BB32:BB33"/>
    <mergeCell ref="BC32:BC33"/>
    <mergeCell ref="BJ32:BJ33"/>
    <mergeCell ref="BI32:BI33"/>
    <mergeCell ref="BA32:BA33"/>
    <mergeCell ref="BK32:BK33"/>
    <mergeCell ref="BF26:BF27"/>
    <mergeCell ref="BP30:BP31"/>
    <mergeCell ref="BP32:BP33"/>
    <mergeCell ref="BD28:BD29"/>
    <mergeCell ref="BD30:BD31"/>
    <mergeCell ref="BD32:BD33"/>
    <mergeCell ref="BH30:BH31"/>
    <mergeCell ref="BW22:BW23"/>
    <mergeCell ref="BL18:BL19"/>
    <mergeCell ref="BN28:BN29"/>
    <mergeCell ref="BO28:BO29"/>
    <mergeCell ref="BR28:BR29"/>
    <mergeCell ref="BT28:BT29"/>
    <mergeCell ref="BV28:BV29"/>
    <mergeCell ref="BX28:BX29"/>
    <mergeCell ref="BV30:BV31"/>
    <mergeCell ref="BX30:BX31"/>
    <mergeCell ref="BN30:BN31"/>
    <mergeCell ref="BO30:BO31"/>
    <mergeCell ref="BX20:BX21"/>
    <mergeCell ref="BM20:BM21"/>
    <mergeCell ref="BN20:BN21"/>
    <mergeCell ref="BN18:BN19"/>
    <mergeCell ref="BO18:BO19"/>
    <mergeCell ref="BR18:BR19"/>
    <mergeCell ref="BT18:BT19"/>
    <mergeCell ref="BV18:BV19"/>
    <mergeCell ref="BX18:BX19"/>
    <mergeCell ref="BT20:BT21"/>
    <mergeCell ref="BV20:BV21"/>
    <mergeCell ref="BV26:BV27"/>
    <mergeCell ref="BK20:BK21"/>
    <mergeCell ref="BU20:BU21"/>
    <mergeCell ref="BM30:BM31"/>
    <mergeCell ref="BM32:BM33"/>
    <mergeCell ref="AA18:AD19"/>
    <mergeCell ref="AA20:AD21"/>
    <mergeCell ref="R22:S23"/>
    <mergeCell ref="W32:Z33"/>
    <mergeCell ref="AA22:AD23"/>
    <mergeCell ref="T18:V19"/>
    <mergeCell ref="T20:V21"/>
    <mergeCell ref="T22:V23"/>
    <mergeCell ref="R18:S19"/>
    <mergeCell ref="R20:S21"/>
    <mergeCell ref="AA32:AD33"/>
    <mergeCell ref="AE30:AH31"/>
    <mergeCell ref="AI30:AJ31"/>
    <mergeCell ref="AK30:AL31"/>
    <mergeCell ref="AM30:AN31"/>
    <mergeCell ref="AO30:AQ31"/>
    <mergeCell ref="AE32:AH33"/>
    <mergeCell ref="AI32:AJ33"/>
    <mergeCell ref="BL22:BL23"/>
    <mergeCell ref="AY22:AY23"/>
    <mergeCell ref="AZ18:AZ19"/>
    <mergeCell ref="BG18:BG19"/>
    <mergeCell ref="W34:Z35"/>
    <mergeCell ref="W30:Z31"/>
    <mergeCell ref="BM34:BM35"/>
    <mergeCell ref="AI24:AJ25"/>
    <mergeCell ref="AE26:AH27"/>
    <mergeCell ref="AI26:AJ27"/>
    <mergeCell ref="AK26:AL27"/>
    <mergeCell ref="BJ18:BJ19"/>
    <mergeCell ref="BM18:BM19"/>
    <mergeCell ref="BK18:BK19"/>
    <mergeCell ref="AE20:AH21"/>
    <mergeCell ref="AI20:AJ21"/>
    <mergeCell ref="AK20:AL21"/>
    <mergeCell ref="AM20:AN21"/>
    <mergeCell ref="BI18:BI19"/>
    <mergeCell ref="BA18:BA19"/>
    <mergeCell ref="BB18:BB19"/>
    <mergeCell ref="BC18:BC19"/>
    <mergeCell ref="BE18:BE19"/>
    <mergeCell ref="BF18:BF19"/>
    <mergeCell ref="AX18:AX19"/>
    <mergeCell ref="BJ20:BJ21"/>
    <mergeCell ref="R28:S29"/>
    <mergeCell ref="AA28:AD29"/>
    <mergeCell ref="R34:S35"/>
    <mergeCell ref="AA34:AD35"/>
    <mergeCell ref="T34:V35"/>
    <mergeCell ref="R24:S25"/>
    <mergeCell ref="AA24:AD25"/>
    <mergeCell ref="R26:S27"/>
    <mergeCell ref="AA26:AD27"/>
    <mergeCell ref="R30:S31"/>
    <mergeCell ref="T24:V25"/>
    <mergeCell ref="T26:V27"/>
    <mergeCell ref="T28:V29"/>
    <mergeCell ref="T30:V31"/>
    <mergeCell ref="T32:V33"/>
    <mergeCell ref="AA30:AD31"/>
    <mergeCell ref="R32:S33"/>
    <mergeCell ref="O34:Q35"/>
    <mergeCell ref="O18:Q19"/>
    <mergeCell ref="O20:Q21"/>
    <mergeCell ref="O22:Q23"/>
    <mergeCell ref="O24:Q25"/>
    <mergeCell ref="O26:Q27"/>
    <mergeCell ref="O28:Q29"/>
    <mergeCell ref="O30:Q31"/>
    <mergeCell ref="O32:Q33"/>
    <mergeCell ref="C18:N19"/>
    <mergeCell ref="C20:N21"/>
    <mergeCell ref="C22:N23"/>
    <mergeCell ref="C24:N25"/>
    <mergeCell ref="C28:N29"/>
    <mergeCell ref="C26:N27"/>
    <mergeCell ref="C30:N31"/>
    <mergeCell ref="C32:N33"/>
    <mergeCell ref="C34:N35"/>
    <mergeCell ref="AP1:AS3"/>
    <mergeCell ref="AS5:AW6"/>
    <mergeCell ref="AL9:AO11"/>
    <mergeCell ref="T12:W13"/>
    <mergeCell ref="X12:AA13"/>
    <mergeCell ref="AB12:AE13"/>
    <mergeCell ref="AS7:AW7"/>
    <mergeCell ref="AS8:AW8"/>
    <mergeCell ref="AE18:AH19"/>
    <mergeCell ref="AI18:AJ19"/>
    <mergeCell ref="AK18:AL19"/>
    <mergeCell ref="AE16:AH17"/>
    <mergeCell ref="AT1:AW3"/>
    <mergeCell ref="T16:V17"/>
    <mergeCell ref="W18:Z19"/>
    <mergeCell ref="Z9:AC11"/>
    <mergeCell ref="AD9:AG11"/>
    <mergeCell ref="AH9:AK11"/>
    <mergeCell ref="AO16:AQ17"/>
    <mergeCell ref="AR16:AU17"/>
    <mergeCell ref="AM18:AN19"/>
    <mergeCell ref="AO18:AQ19"/>
    <mergeCell ref="AR18:AU19"/>
    <mergeCell ref="AX16:AX17"/>
    <mergeCell ref="AY16:AY17"/>
    <mergeCell ref="AZ16:AZ17"/>
    <mergeCell ref="BG16:BG17"/>
    <mergeCell ref="BN16:BN17"/>
    <mergeCell ref="BO16:BO17"/>
    <mergeCell ref="BR16:BR17"/>
    <mergeCell ref="BT16:BT17"/>
    <mergeCell ref="BM16:BM17"/>
    <mergeCell ref="BJ16:BJ17"/>
    <mergeCell ref="BK16:BK17"/>
    <mergeCell ref="BY16:BY17"/>
    <mergeCell ref="BH16:BI16"/>
    <mergeCell ref="BA16:BA17"/>
    <mergeCell ref="BB16:BB17"/>
    <mergeCell ref="BC16:BC17"/>
    <mergeCell ref="BE16:BF16"/>
    <mergeCell ref="BW16:BW17"/>
    <mergeCell ref="BV16:BV17"/>
    <mergeCell ref="BX16:BX17"/>
    <mergeCell ref="BL16:BL17"/>
    <mergeCell ref="BQ16:BQ17"/>
    <mergeCell ref="BU16:BU17"/>
    <mergeCell ref="BD16:BD17"/>
    <mergeCell ref="BP16:BP17"/>
    <mergeCell ref="BH18:BH19"/>
    <mergeCell ref="AY20:AY21"/>
    <mergeCell ref="AZ20:AZ21"/>
    <mergeCell ref="BG20:BG21"/>
    <mergeCell ref="AX22:AX23"/>
    <mergeCell ref="BH22:BH23"/>
    <mergeCell ref="BI22:BI23"/>
    <mergeCell ref="BA22:BA23"/>
    <mergeCell ref="BY20:BY21"/>
    <mergeCell ref="BF20:BF21"/>
    <mergeCell ref="BW20:BW21"/>
    <mergeCell ref="BQ20:BQ21"/>
    <mergeCell ref="BL20:BL21"/>
    <mergeCell ref="BH20:BH21"/>
    <mergeCell ref="BI20:BI21"/>
    <mergeCell ref="BQ22:BQ23"/>
    <mergeCell ref="BS18:BS19"/>
    <mergeCell ref="BD18:BD19"/>
    <mergeCell ref="BS20:BS21"/>
    <mergeCell ref="BO20:BO21"/>
    <mergeCell ref="BR20:BR21"/>
    <mergeCell ref="BP18:BP19"/>
    <mergeCell ref="BP20:BP21"/>
    <mergeCell ref="AY18:AY19"/>
    <mergeCell ref="BA20:BA21"/>
    <mergeCell ref="BB20:BB21"/>
    <mergeCell ref="BC20:BC21"/>
    <mergeCell ref="BE20:BE21"/>
    <mergeCell ref="AO20:AQ21"/>
    <mergeCell ref="AR20:AU21"/>
    <mergeCell ref="AX20:AX21"/>
    <mergeCell ref="BB22:BB23"/>
    <mergeCell ref="BD20:BD21"/>
    <mergeCell ref="BD22:BD23"/>
    <mergeCell ref="AZ22:AZ23"/>
    <mergeCell ref="BC22:BC23"/>
    <mergeCell ref="BE22:BE23"/>
    <mergeCell ref="BJ22:BJ23"/>
    <mergeCell ref="BK22:BK23"/>
    <mergeCell ref="BK24:BK25"/>
    <mergeCell ref="BU22:BU23"/>
    <mergeCell ref="BU24:BU25"/>
    <mergeCell ref="BM24:BM25"/>
    <mergeCell ref="BS22:BS23"/>
    <mergeCell ref="BP22:BP23"/>
    <mergeCell ref="AE22:AH23"/>
    <mergeCell ref="AI22:AJ23"/>
    <mergeCell ref="AK22:AL23"/>
    <mergeCell ref="AM22:AN23"/>
    <mergeCell ref="AO22:AQ23"/>
    <mergeCell ref="BG22:BG23"/>
    <mergeCell ref="BN22:BN23"/>
    <mergeCell ref="BO22:BO23"/>
    <mergeCell ref="BR22:BR23"/>
    <mergeCell ref="BT22:BT23"/>
    <mergeCell ref="BM22:BM23"/>
    <mergeCell ref="BF22:BF23"/>
    <mergeCell ref="BA24:BA25"/>
    <mergeCell ref="BB24:BB25"/>
    <mergeCell ref="BC24:BC25"/>
    <mergeCell ref="BE24:BE25"/>
    <mergeCell ref="BQ24:BQ25"/>
    <mergeCell ref="BQ26:BQ27"/>
    <mergeCell ref="BG26:BG27"/>
    <mergeCell ref="BN26:BN27"/>
    <mergeCell ref="BO26:BO27"/>
    <mergeCell ref="BD24:BD25"/>
    <mergeCell ref="BL26:BL27"/>
    <mergeCell ref="BL24:BL25"/>
    <mergeCell ref="BJ24:BJ25"/>
    <mergeCell ref="BJ26:BJ27"/>
    <mergeCell ref="BF24:BF25"/>
    <mergeCell ref="BM26:BM27"/>
    <mergeCell ref="BH24:BH25"/>
    <mergeCell ref="BI24:BI25"/>
    <mergeCell ref="BG24:BG25"/>
    <mergeCell ref="BN24:BN25"/>
    <mergeCell ref="BO24:BO25"/>
    <mergeCell ref="BD26:BD27"/>
    <mergeCell ref="AE24:AH25"/>
    <mergeCell ref="AE28:AH29"/>
    <mergeCell ref="AI28:AJ29"/>
    <mergeCell ref="AK28:AL29"/>
    <mergeCell ref="AM28:AN29"/>
    <mergeCell ref="BI26:BI27"/>
    <mergeCell ref="BA26:BA27"/>
    <mergeCell ref="BB26:BB27"/>
    <mergeCell ref="AM26:AN27"/>
    <mergeCell ref="AO26:AQ27"/>
    <mergeCell ref="AR26:AU27"/>
    <mergeCell ref="AX26:AX27"/>
    <mergeCell ref="BH26:BH27"/>
    <mergeCell ref="AK24:AL25"/>
    <mergeCell ref="AM24:AN25"/>
    <mergeCell ref="AO24:AQ25"/>
    <mergeCell ref="AR24:AU25"/>
    <mergeCell ref="AX24:AX25"/>
    <mergeCell ref="AY24:AY25"/>
    <mergeCell ref="AO28:AQ29"/>
    <mergeCell ref="AR28:AU29"/>
    <mergeCell ref="AZ24:AZ25"/>
    <mergeCell ref="AY26:AY27"/>
    <mergeCell ref="AZ26:AZ27"/>
    <mergeCell ref="AR30:AU31"/>
    <mergeCell ref="BL30:BL31"/>
    <mergeCell ref="AX32:AX33"/>
    <mergeCell ref="BF32:BF33"/>
    <mergeCell ref="BW32:BW33"/>
    <mergeCell ref="BY32:BY33"/>
    <mergeCell ref="BE32:BE33"/>
    <mergeCell ref="BQ30:BQ31"/>
    <mergeCell ref="BQ32:BQ33"/>
    <mergeCell ref="BU30:BU31"/>
    <mergeCell ref="BL32:BL33"/>
    <mergeCell ref="BE30:BE31"/>
    <mergeCell ref="BY34:BY35"/>
    <mergeCell ref="BF34:BF35"/>
    <mergeCell ref="BQ34:BQ35"/>
    <mergeCell ref="BU34:BU35"/>
    <mergeCell ref="BF30:BF31"/>
    <mergeCell ref="BW30:BW31"/>
    <mergeCell ref="BY30:BY31"/>
    <mergeCell ref="BR34:BR35"/>
    <mergeCell ref="BT34:BT35"/>
    <mergeCell ref="BV34:BV35"/>
    <mergeCell ref="BX34:BX35"/>
    <mergeCell ref="BH32:BH33"/>
    <mergeCell ref="AK34:AL35"/>
    <mergeCell ref="AY34:AY35"/>
    <mergeCell ref="AZ34:AZ35"/>
    <mergeCell ref="BG34:BG35"/>
    <mergeCell ref="BD34:BD35"/>
    <mergeCell ref="BD36:BD37"/>
    <mergeCell ref="AK32:AL33"/>
    <mergeCell ref="AM32:AN33"/>
    <mergeCell ref="AO32:AQ33"/>
    <mergeCell ref="AR32:AU33"/>
    <mergeCell ref="AY36:AY37"/>
    <mergeCell ref="AZ36:AZ37"/>
    <mergeCell ref="BG36:BG37"/>
    <mergeCell ref="O200:AI201"/>
    <mergeCell ref="BY36:BY37"/>
    <mergeCell ref="BA36:BA37"/>
    <mergeCell ref="BB36:BB37"/>
    <mergeCell ref="BC36:BC37"/>
    <mergeCell ref="BE36:BE37"/>
    <mergeCell ref="BF36:BF37"/>
    <mergeCell ref="BW36:BW37"/>
    <mergeCell ref="AO36:AQ37"/>
    <mergeCell ref="BL200:BL201"/>
    <mergeCell ref="BH200:BH201"/>
    <mergeCell ref="BI200:BI201"/>
    <mergeCell ref="BQ36:BQ37"/>
    <mergeCell ref="BU36:BU37"/>
    <mergeCell ref="AR36:AU37"/>
    <mergeCell ref="BL36:BL37"/>
    <mergeCell ref="AX36:AX37"/>
    <mergeCell ref="BH36:BH37"/>
    <mergeCell ref="BI36:BI37"/>
    <mergeCell ref="W36:Z37"/>
    <mergeCell ref="R36:S37"/>
    <mergeCell ref="AA36:AD37"/>
    <mergeCell ref="T36:V37"/>
    <mergeCell ref="AE36:AH37"/>
    <mergeCell ref="BL28:BL29"/>
    <mergeCell ref="BG30:BG31"/>
    <mergeCell ref="BP34:BP35"/>
    <mergeCell ref="BP36:BP37"/>
    <mergeCell ref="BJ28:BJ29"/>
    <mergeCell ref="BM28:BM29"/>
    <mergeCell ref="BG28:BG29"/>
    <mergeCell ref="O36:Q37"/>
    <mergeCell ref="AI36:AJ37"/>
    <mergeCell ref="AK36:AL37"/>
    <mergeCell ref="AM36:AN37"/>
    <mergeCell ref="BI34:BI35"/>
    <mergeCell ref="BA34:BA35"/>
    <mergeCell ref="BB34:BB35"/>
    <mergeCell ref="BC34:BC35"/>
    <mergeCell ref="BE34:BE35"/>
    <mergeCell ref="AM34:AN35"/>
    <mergeCell ref="AO34:AQ35"/>
    <mergeCell ref="AR34:AU35"/>
    <mergeCell ref="AX34:AX35"/>
    <mergeCell ref="BH34:BH35"/>
    <mergeCell ref="AE34:AH35"/>
    <mergeCell ref="AI34:AJ35"/>
    <mergeCell ref="AX28:AX29"/>
    <mergeCell ref="BH28:BH29"/>
    <mergeCell ref="BI28:BI29"/>
    <mergeCell ref="BK26:BK27"/>
    <mergeCell ref="BK28:BK29"/>
    <mergeCell ref="BK30:BK31"/>
    <mergeCell ref="AX30:AX31"/>
    <mergeCell ref="BA30:BA31"/>
    <mergeCell ref="AY28:AY29"/>
    <mergeCell ref="AZ28:AZ29"/>
    <mergeCell ref="BJ30:BJ31"/>
    <mergeCell ref="AY30:AY31"/>
    <mergeCell ref="AZ30:AZ31"/>
    <mergeCell ref="BF28:BF29"/>
    <mergeCell ref="BB30:BB31"/>
    <mergeCell ref="BC30:BC31"/>
    <mergeCell ref="BI30:BI31"/>
    <mergeCell ref="A4:E6"/>
    <mergeCell ref="N1:T3"/>
    <mergeCell ref="U1:AK3"/>
    <mergeCell ref="T14:W14"/>
    <mergeCell ref="X14:AA14"/>
    <mergeCell ref="AB14:AE14"/>
    <mergeCell ref="AM13:AU14"/>
    <mergeCell ref="C16:N17"/>
    <mergeCell ref="O16:Q17"/>
    <mergeCell ref="R16:S17"/>
    <mergeCell ref="AA16:AD17"/>
    <mergeCell ref="F1:I3"/>
    <mergeCell ref="J1:M3"/>
    <mergeCell ref="AL1:AO3"/>
    <mergeCell ref="A7:E8"/>
    <mergeCell ref="W16:Z17"/>
    <mergeCell ref="J9:M11"/>
    <mergeCell ref="N9:Q11"/>
    <mergeCell ref="R9:U11"/>
    <mergeCell ref="V9:Y11"/>
    <mergeCell ref="AI17:AJ17"/>
    <mergeCell ref="AK17:AL17"/>
    <mergeCell ref="AI16:AL16"/>
    <mergeCell ref="AM16:AN17"/>
    <mergeCell ref="B36:B37"/>
    <mergeCell ref="B18:B19"/>
    <mergeCell ref="B20:B21"/>
    <mergeCell ref="B22:B23"/>
    <mergeCell ref="B24:B25"/>
    <mergeCell ref="B26:B27"/>
    <mergeCell ref="B28:B29"/>
    <mergeCell ref="B30:B31"/>
    <mergeCell ref="B32:B33"/>
    <mergeCell ref="B34:B35"/>
    <mergeCell ref="C36:N37"/>
    <mergeCell ref="BS34:BS35"/>
    <mergeCell ref="BS36:BS37"/>
    <mergeCell ref="BS16:BS17"/>
    <mergeCell ref="BS26:BS27"/>
    <mergeCell ref="BS28:BS29"/>
    <mergeCell ref="BS30:BS31"/>
    <mergeCell ref="BS32:BS33"/>
    <mergeCell ref="BQ28:BQ29"/>
    <mergeCell ref="BC26:BC27"/>
    <mergeCell ref="BE26:BE27"/>
    <mergeCell ref="W20:Z21"/>
    <mergeCell ref="W22:Z23"/>
    <mergeCell ref="W24:Z25"/>
    <mergeCell ref="W26:Z27"/>
    <mergeCell ref="W28:Z29"/>
    <mergeCell ref="AR22:AU23"/>
    <mergeCell ref="BP24:BP25"/>
    <mergeCell ref="BP26:BP27"/>
    <mergeCell ref="BP28:BP29"/>
    <mergeCell ref="BA28:BA29"/>
    <mergeCell ref="BB28:BB29"/>
    <mergeCell ref="BC28:BC29"/>
    <mergeCell ref="BE28:BE29"/>
    <mergeCell ref="BW26:BW27"/>
    <mergeCell ref="BY26:BY27"/>
    <mergeCell ref="BY18:BY19"/>
    <mergeCell ref="BQ18:BQ19"/>
    <mergeCell ref="BU18:BU19"/>
    <mergeCell ref="BW18:BW19"/>
    <mergeCell ref="BR30:BR31"/>
    <mergeCell ref="BT30:BT31"/>
    <mergeCell ref="BY28:BY29"/>
    <mergeCell ref="BW28:BW29"/>
    <mergeCell ref="BR26:BR27"/>
    <mergeCell ref="BT26:BT27"/>
    <mergeCell ref="BW24:BW25"/>
    <mergeCell ref="BS24:BS25"/>
    <mergeCell ref="BU26:BU27"/>
    <mergeCell ref="BU28:BU29"/>
    <mergeCell ref="BY24:BY25"/>
    <mergeCell ref="BY22:BY23"/>
    <mergeCell ref="BR24:BR25"/>
    <mergeCell ref="BT24:BT25"/>
    <mergeCell ref="BV24:BV25"/>
    <mergeCell ref="BX24:BX25"/>
    <mergeCell ref="BV22:BV23"/>
    <mergeCell ref="BX22:BX23"/>
    <mergeCell ref="CA16:CA17"/>
    <mergeCell ref="CB16:CB17"/>
    <mergeCell ref="CC16:CC17"/>
    <mergeCell ref="BZ18:BZ19"/>
    <mergeCell ref="CA18:CA19"/>
    <mergeCell ref="CB18:CB19"/>
    <mergeCell ref="CC18:CC19"/>
    <mergeCell ref="BZ20:BZ21"/>
    <mergeCell ref="CA20:CA21"/>
    <mergeCell ref="CB20:CB21"/>
    <mergeCell ref="CC20:CC21"/>
    <mergeCell ref="BZ16:BZ17"/>
    <mergeCell ref="CA22:CA23"/>
    <mergeCell ref="CB22:CB23"/>
    <mergeCell ref="CC22:CC23"/>
    <mergeCell ref="BZ24:BZ25"/>
    <mergeCell ref="CA24:CA25"/>
    <mergeCell ref="CB24:CB25"/>
    <mergeCell ref="CC24:CC25"/>
    <mergeCell ref="BZ26:BZ27"/>
    <mergeCell ref="CA26:CA27"/>
    <mergeCell ref="CB26:CB27"/>
    <mergeCell ref="CC26:CC27"/>
    <mergeCell ref="BZ22:BZ23"/>
    <mergeCell ref="CA34:CA35"/>
    <mergeCell ref="CB34:CB35"/>
    <mergeCell ref="CC34:CC35"/>
    <mergeCell ref="BZ36:BZ37"/>
    <mergeCell ref="CA36:CA37"/>
    <mergeCell ref="CB36:CB37"/>
    <mergeCell ref="CC36:CC37"/>
    <mergeCell ref="CA28:CA29"/>
    <mergeCell ref="CB28:CB29"/>
    <mergeCell ref="CC28:CC29"/>
    <mergeCell ref="BZ30:BZ31"/>
    <mergeCell ref="CA30:CA31"/>
    <mergeCell ref="CB30:CB31"/>
    <mergeCell ref="CC30:CC31"/>
    <mergeCell ref="BZ32:BZ33"/>
    <mergeCell ref="CA32:CA33"/>
    <mergeCell ref="CB32:CB33"/>
    <mergeCell ref="CC32:CC33"/>
    <mergeCell ref="BZ28:BZ29"/>
    <mergeCell ref="BZ34:BZ35"/>
  </mergeCells>
  <conditionalFormatting sqref="R18:V37 AA18:AL37">
    <cfRule type="expression" dxfId="109" priority="23">
      <formula>AND(ISBLANK($C18)=FALSE,OR(ISBLANK(R18)=TRUE,R18=""))</formula>
    </cfRule>
  </conditionalFormatting>
  <conditionalFormatting sqref="AM18:AN37">
    <cfRule type="expression" dxfId="108" priority="1">
      <formula>AM18 &lt;&gt; INDEX(STDMOTORSINC, MATCH(C18, STDMOTORSLIST,0))</formula>
    </cfRule>
  </conditionalFormatting>
  <conditionalFormatting sqref="AR18:AU37">
    <cfRule type="expression" dxfId="107" priority="1898" stopIfTrue="1">
      <formula>ISNUMBER($AR18)=FALSE</formula>
    </cfRule>
    <cfRule type="expression" dxfId="106" priority="1899">
      <formula>$AR18 &lt;&gt; $BQ18</formula>
    </cfRule>
  </conditionalFormatting>
  <conditionalFormatting sqref="AS8:AW8">
    <cfRule type="expression" dxfId="105" priority="24">
      <formula>IF($AS$8=PROJSTATMEASURE,FALSE,TRUE)</formula>
    </cfRule>
  </conditionalFormatting>
  <dataValidations count="8">
    <dataValidation type="list" allowBlank="1" showInputMessage="1" showErrorMessage="1" prompt="Select Efficient Measure. If you do not see your equipment listed, it may qualify as a Custom Measure." sqref="C28 C18 C20 C22 C24 C34 C26 C30 C32 C36" xr:uid="{2B2E0F67-4AA1-4FD6-BE65-294D34A34404}">
      <formula1>STDMOTORSLIST</formula1>
    </dataValidation>
    <dataValidation type="decimal" allowBlank="1" showInputMessage="1" showErrorMessage="1" prompt="This is the TOTAL Labor Cost of the measure, NOT a per unit basis." sqref="AK18:AL37" xr:uid="{E71ABFEA-DDD9-4070-A2F1-66194B4DA9F6}">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R18 R20 R22 R24 R26 R28 R30 R32 R34 R36" xr:uid="{465501A8-A4DE-4332-977A-11F18671AAC6}">
      <formula1>0</formula1>
    </dataValidation>
    <dataValidation type="decimal" allowBlank="1" showInputMessage="1" showErrorMessage="1" prompt="This is the TOTAL Material Cost of the measure, NOT a per unit basis." sqref="AI18:AJ37" xr:uid="{345966F6-1B72-491C-93D4-D0D6BE62F047}">
      <formula1>0</formula1>
      <formula2>999999</formula2>
    </dataValidation>
    <dataValidation allowBlank="1" showInputMessage="1" showErrorMessage="1" prompt="Install Location should describe the area where the equipment installed. (e.g. Room 201, Garage, Mechanical Room)" sqref="AE18:AH37" xr:uid="{8E1A941F-FB2A-431F-8A95-25359090C596}"/>
    <dataValidation allowBlank="1" showInputMessage="1" showErrorMessage="1" prompt="Enter the Brand and Model # as it appears in technical documents and invoices." sqref="AA18 AA20 AA22 AA24 AA26 AA28 AA30 AA32 AA34 AA36 W18 W20 W22 W24 W26 W28 W30 W32 W34 W36" xr:uid="{7A085D4D-C26D-4484-90F7-26EC069014D1}"/>
    <dataValidation type="decimal" showInputMessage="1" showErrorMessage="1" errorTitle="Undefined Value" error="Enter a value in the defined range of &quot;Quantity Type&quot; for this measure." sqref="T18:V37" xr:uid="{6B68C986-CC85-475E-A33F-ECBC4FECD5B0}">
      <formula1>INDEX( STDMOTORSHPMIN, MATCH(C18, STDMOTORSLIST, 0), 0)</formula1>
      <formula2>INDEX( STDMOTORSHPMAX, MATCH(C18, STDMOTORSLIST, 0), 0)</formula2>
    </dataValidation>
    <dataValidation type="list" allowBlank="1" showInputMessage="1" showErrorMessage="1" sqref="BC18:BC37" xr:uid="{01C278F0-7DF3-492A-BB5A-DD970C740183}">
      <formula1>ENDUSECAT</formula1>
    </dataValidation>
  </dataValidations>
  <hyperlinks>
    <hyperlink ref="B202" r:id="rId1" display="businessrebates@evergy.com" xr:uid="{15F2ABED-2551-4A9F-93A2-DEE990590A99}"/>
    <hyperlink ref="J1:M3" location="'M01-S02'!J1" tooltip="Instructions" display="'M01-S02'!J1" xr:uid="{0EACA488-E2A0-4DE0-A565-737DB8FAF2D4}"/>
    <hyperlink ref="AP1:AS3" location="'M05-S05'!AL1" tooltip=" " display="'M05-S05'!AL1" xr:uid="{9A68F92B-4161-4B73-A9BC-223149D81D7D}"/>
    <hyperlink ref="AL1:AO3" location="'M05-S04'!AH1" tooltip=" " display="'M05-S04'!AH1" xr:uid="{FEDE2F35-FA59-4C2A-94DC-DDFBD99DCBC1}"/>
    <hyperlink ref="AT1:AW3" location="'M01-S03'!AP1" tooltip="Contact" display="'M01-S03'!AP1" xr:uid="{FD664B95-912E-498D-9EE3-D80DC840F59A}"/>
    <hyperlink ref="J9:M11" location="'M03-S02'!C18" tooltip="Lighting" display="'M03-S02'!C18" xr:uid="{D4DC772D-31D0-4905-9010-B7BCA3BE0A9C}"/>
    <hyperlink ref="N9:Q11" location="'M03-S03'!C18" tooltip="Lighting Controls" display="'M03-S03'!C18" xr:uid="{F3429555-0C94-4F3A-B0F0-341B95663028}"/>
    <hyperlink ref="R9:U11" location="'M03-S04'!C18" tooltip="Refrigeration" display="'M03-S04'!C18" xr:uid="{8B60E1BE-E638-4B8A-B8C8-FD1665E18621}"/>
    <hyperlink ref="AD9:AG11" location="'M03-S06'!C18" tooltip="Compressed Air / Process" display="'M03-S06'!C18" xr:uid="{2BBC8FB1-C0C1-4F71-8207-705B719D0C0B}"/>
    <hyperlink ref="AH9:AK11" location="'M03-S07'!C18" tooltip="Water Heating / Cooking" display="'M03-S07'!C18" xr:uid="{7D979C31-8791-4E2C-8D3B-767A1F6AB5D2}"/>
    <hyperlink ref="Z9:AC11" location="'M03-S08'!C18" tooltip="Motors and Drives" display="'M03-S08'!C18" xr:uid="{90C7FFC8-005B-4639-BCE9-4894223CD5F8}"/>
  </hyperlinks>
  <printOptions horizontalCentered="1"/>
  <pageMargins left="0" right="0" top="0" bottom="0" header="0" footer="0"/>
  <pageSetup scale="43"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tabColor theme="8" tint="0.59999389629810485"/>
    <pageSetUpPr fitToPage="1"/>
  </sheetPr>
  <dimension ref="A1:CW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2"/>
      <c r="G5" s="372"/>
      <c r="H5" s="372"/>
      <c r="I5" s="372"/>
      <c r="AS5" s="663">
        <f ca="1">PROGRESSSTATUS</f>
        <v>0</v>
      </c>
      <c r="AT5" s="663"/>
      <c r="AU5" s="663"/>
      <c r="AV5" s="663"/>
      <c r="AW5" s="663"/>
      <c r="AY5" s="17"/>
      <c r="AZ5" s="108" t="s">
        <v>933</v>
      </c>
      <c r="BA5" s="108" t="s">
        <v>325</v>
      </c>
    </row>
    <row r="6" spans="1:81" ht="15.95" customHeight="1">
      <c r="A6" s="692"/>
      <c r="B6" s="692"/>
      <c r="C6" s="692"/>
      <c r="D6" s="692"/>
      <c r="E6" s="692"/>
      <c r="F6" s="372"/>
      <c r="G6" s="372"/>
      <c r="H6" s="372"/>
      <c r="I6" s="372"/>
      <c r="AS6" s="663"/>
      <c r="AT6" s="663"/>
      <c r="AU6" s="663"/>
      <c r="AV6" s="663"/>
      <c r="AW6" s="663"/>
      <c r="AY6" s="107" t="s">
        <v>938</v>
      </c>
      <c r="AZ6" s="106" t="str">
        <f>CBPRESE</f>
        <v>NA</v>
      </c>
      <c r="BA6" s="106" t="str">
        <f>PAYPRESE</f>
        <v>NA</v>
      </c>
    </row>
    <row r="7" spans="1:81" ht="15.95" customHeight="1">
      <c r="A7" s="662" t="s">
        <v>83</v>
      </c>
      <c r="B7" s="662"/>
      <c r="C7" s="662"/>
      <c r="D7" s="662"/>
      <c r="E7" s="662"/>
      <c r="F7" s="75"/>
      <c r="G7" s="75"/>
      <c r="H7" s="75"/>
      <c r="I7" s="75"/>
      <c r="AS7" s="662" t="s">
        <v>299</v>
      </c>
      <c r="AT7" s="662"/>
      <c r="AU7" s="662"/>
      <c r="AV7" s="662"/>
      <c r="AW7" s="662"/>
      <c r="AY7" s="107" t="s">
        <v>135</v>
      </c>
      <c r="AZ7" s="106" t="str">
        <f>CBCUSE</f>
        <v>NA</v>
      </c>
      <c r="BA7" s="106" t="str">
        <f>PAYCUSE</f>
        <v>NA</v>
      </c>
    </row>
    <row r="8" spans="1:81" ht="15.95" customHeight="1" thickBot="1">
      <c r="A8" s="665"/>
      <c r="B8" s="665"/>
      <c r="C8" s="665"/>
      <c r="D8" s="665"/>
      <c r="E8" s="665"/>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61" t="str">
        <f ca="1">PROJSTATUS</f>
        <v>Enter Measures</v>
      </c>
      <c r="AT8" s="661"/>
      <c r="AU8" s="661"/>
      <c r="AV8" s="661"/>
      <c r="AW8" s="661"/>
      <c r="AY8" s="107" t="s">
        <v>596</v>
      </c>
      <c r="AZ8" s="106" t="str">
        <f>CBALL</f>
        <v>NA</v>
      </c>
      <c r="BA8" s="106" t="str">
        <f>PAYALL</f>
        <v>NA</v>
      </c>
    </row>
    <row r="9" spans="1:81" s="78" customFormat="1" ht="15.95" customHeight="1">
      <c r="B9" s="79"/>
      <c r="C9" s="79"/>
      <c r="D9" s="79"/>
      <c r="E9" s="79"/>
      <c r="F9" s="79"/>
      <c r="G9"/>
      <c r="J9" s="829" t="str">
        <f>M3S2</f>
        <v>Lighting</v>
      </c>
      <c r="K9" s="830"/>
      <c r="L9" s="830"/>
      <c r="M9" s="830"/>
      <c r="N9" s="829" t="str">
        <f>M3S3</f>
        <v>Lighting Controls</v>
      </c>
      <c r="O9" s="830"/>
      <c r="P9" s="830"/>
      <c r="Q9" s="830"/>
      <c r="R9" s="829" t="str">
        <f>M3S4</f>
        <v>Refrigeration</v>
      </c>
      <c r="S9" s="830"/>
      <c r="T9" s="830"/>
      <c r="U9" s="830"/>
      <c r="V9" s="834" t="str">
        <f>M3S5</f>
        <v>HVAC</v>
      </c>
      <c r="W9" s="834"/>
      <c r="X9" s="834"/>
      <c r="Y9" s="834"/>
      <c r="Z9" s="829" t="str">
        <f>M4S8</f>
        <v>Motors and Drives</v>
      </c>
      <c r="AA9" s="830"/>
      <c r="AB9" s="830"/>
      <c r="AC9" s="830"/>
      <c r="AD9" s="842" t="str">
        <f>M3S6</f>
        <v>Compressed Air / Process</v>
      </c>
      <c r="AE9" s="842"/>
      <c r="AF9" s="842"/>
      <c r="AG9" s="842"/>
      <c r="AH9" s="829" t="str">
        <f>M3S7</f>
        <v>Water Heating / Food Services</v>
      </c>
      <c r="AI9" s="830"/>
      <c r="AJ9" s="830"/>
      <c r="AK9" s="830"/>
      <c r="AL9" s="834" t="str">
        <f>M4S9</f>
        <v>Miscellaneous</v>
      </c>
      <c r="AM9" s="834"/>
      <c r="AN9" s="834"/>
      <c r="AO9" s="834"/>
      <c r="AP9" s="79"/>
      <c r="AQ9" s="79"/>
      <c r="AR9" s="79"/>
      <c r="AS9"/>
      <c r="AT9"/>
      <c r="AU9" s="79"/>
      <c r="AV9" s="79"/>
    </row>
    <row r="10" spans="1:81" s="78" customFormat="1" ht="15.95" customHeight="1">
      <c r="B10" s="79"/>
      <c r="C10" s="79"/>
      <c r="D10" s="79"/>
      <c r="E10" s="79"/>
      <c r="F10" s="79"/>
      <c r="G10"/>
      <c r="J10" s="831"/>
      <c r="K10" s="831"/>
      <c r="L10" s="831"/>
      <c r="M10" s="831"/>
      <c r="N10" s="831"/>
      <c r="O10" s="831"/>
      <c r="P10" s="831"/>
      <c r="Q10" s="831"/>
      <c r="R10" s="831"/>
      <c r="S10" s="831"/>
      <c r="T10" s="831"/>
      <c r="U10" s="831"/>
      <c r="V10" s="835"/>
      <c r="W10" s="835"/>
      <c r="X10" s="835"/>
      <c r="Y10" s="835"/>
      <c r="Z10" s="831"/>
      <c r="AA10" s="831"/>
      <c r="AB10" s="831"/>
      <c r="AC10" s="831"/>
      <c r="AD10" s="843"/>
      <c r="AE10" s="843"/>
      <c r="AF10" s="843"/>
      <c r="AG10" s="843"/>
      <c r="AH10" s="831"/>
      <c r="AI10" s="831"/>
      <c r="AJ10" s="831"/>
      <c r="AK10" s="831"/>
      <c r="AL10" s="835"/>
      <c r="AM10" s="835"/>
      <c r="AN10" s="835"/>
      <c r="AO10" s="835"/>
      <c r="AP10" s="79"/>
      <c r="AQ10" s="79"/>
      <c r="AR10" s="79"/>
      <c r="AS10"/>
      <c r="AT10"/>
      <c r="AU10" s="79"/>
      <c r="AV10" s="79"/>
    </row>
    <row r="11" spans="1:81" ht="15.95" customHeight="1">
      <c r="B11" s="96"/>
      <c r="C11" s="96"/>
      <c r="D11" s="96"/>
      <c r="E11" s="96"/>
      <c r="F11" s="96"/>
      <c r="J11" s="831"/>
      <c r="K11" s="831"/>
      <c r="L11" s="831"/>
      <c r="M11" s="831"/>
      <c r="N11" s="831"/>
      <c r="O11" s="831"/>
      <c r="P11" s="831"/>
      <c r="Q11" s="831"/>
      <c r="R11" s="831"/>
      <c r="S11" s="831"/>
      <c r="T11" s="831"/>
      <c r="U11" s="831"/>
      <c r="V11" s="835"/>
      <c r="W11" s="835"/>
      <c r="X11" s="835"/>
      <c r="Y11" s="835"/>
      <c r="Z11" s="831"/>
      <c r="AA11" s="831"/>
      <c r="AB11" s="831"/>
      <c r="AC11" s="831"/>
      <c r="AD11" s="843"/>
      <c r="AE11" s="843"/>
      <c r="AF11" s="843"/>
      <c r="AG11" s="843"/>
      <c r="AH11" s="831"/>
      <c r="AI11" s="831"/>
      <c r="AJ11" s="831"/>
      <c r="AK11" s="831"/>
      <c r="AL11" s="835"/>
      <c r="AM11" s="835"/>
      <c r="AN11" s="835"/>
      <c r="AO11" s="835"/>
      <c r="AP11" s="96"/>
      <c r="AQ11" s="96"/>
      <c r="AR11" s="96"/>
      <c r="AU11" s="96"/>
      <c r="AV11" s="96"/>
    </row>
    <row r="12" spans="1:81" ht="15.95" customHeight="1">
      <c r="A12" s="76"/>
      <c r="B12" s="76"/>
      <c r="C12" s="76"/>
      <c r="D12" s="76"/>
      <c r="E12" s="76"/>
      <c r="F12" s="76"/>
      <c r="G12" s="76"/>
      <c r="T12" s="837">
        <f>SUM(AR18:AU199)</f>
        <v>0</v>
      </c>
      <c r="U12" s="837"/>
      <c r="V12" s="837"/>
      <c r="W12" s="837"/>
      <c r="X12" s="837">
        <f>SUM(BL18:BL199)</f>
        <v>0</v>
      </c>
      <c r="Y12" s="837"/>
      <c r="Z12" s="837"/>
      <c r="AA12" s="837"/>
      <c r="AB12" s="836">
        <f ca="1">SUMIF(AR18:AU199,"&gt;0",AO18:AQ199)</f>
        <v>0</v>
      </c>
      <c r="AC12" s="836"/>
      <c r="AD12" s="836"/>
      <c r="AE12" s="836"/>
    </row>
    <row r="13" spans="1:81" ht="15.95" customHeight="1">
      <c r="A13" s="76"/>
      <c r="B13" s="76"/>
      <c r="C13" s="76"/>
      <c r="D13" s="76"/>
      <c r="T13" s="837"/>
      <c r="U13" s="837"/>
      <c r="V13" s="837"/>
      <c r="W13" s="837"/>
      <c r="X13" s="837"/>
      <c r="Y13" s="837"/>
      <c r="Z13" s="837"/>
      <c r="AA13" s="837"/>
      <c r="AB13" s="836"/>
      <c r="AC13" s="836"/>
      <c r="AD13" s="836"/>
      <c r="AE13" s="836"/>
      <c r="AM13" s="839" t="str">
        <f>IF(IFERROR(MATCH("100% Total Cost", BI:BI,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L14" s="51" t="s">
        <v>3048</v>
      </c>
      <c r="BM14" s="51" t="s">
        <v>3048</v>
      </c>
      <c r="BN14" s="542" t="s">
        <v>2112</v>
      </c>
      <c r="BO14" s="542" t="s">
        <v>2112</v>
      </c>
      <c r="BV14" s="542" t="s">
        <v>2112</v>
      </c>
      <c r="BX14" s="542" t="s">
        <v>2112</v>
      </c>
    </row>
    <row r="15" spans="1:81" ht="15.95" customHeight="1"/>
    <row r="16" spans="1:81" ht="15.95" customHeight="1">
      <c r="C16" s="832" t="s">
        <v>870</v>
      </c>
      <c r="D16" s="832"/>
      <c r="E16" s="832"/>
      <c r="F16" s="832"/>
      <c r="G16" s="832"/>
      <c r="H16" s="832"/>
      <c r="I16" s="832"/>
      <c r="J16" s="832"/>
      <c r="K16" s="832"/>
      <c r="L16" s="832"/>
      <c r="M16" s="832"/>
      <c r="N16" s="832"/>
      <c r="O16" s="832"/>
      <c r="P16" s="832"/>
      <c r="Q16" s="832"/>
      <c r="R16" s="832" t="s">
        <v>880</v>
      </c>
      <c r="S16" s="832"/>
      <c r="T16" s="832"/>
      <c r="U16" s="832" t="s">
        <v>74</v>
      </c>
      <c r="V16" s="832"/>
      <c r="W16" s="832" t="s">
        <v>2170</v>
      </c>
      <c r="X16" s="832"/>
      <c r="Y16" s="832"/>
      <c r="Z16" s="832"/>
      <c r="AA16" s="832" t="s">
        <v>2171</v>
      </c>
      <c r="AB16" s="832"/>
      <c r="AC16" s="832"/>
      <c r="AD16" s="832"/>
      <c r="AE16" s="832" t="s">
        <v>869</v>
      </c>
      <c r="AF16" s="832"/>
      <c r="AG16" s="832"/>
      <c r="AH16" s="832"/>
      <c r="AI16" s="860" t="s">
        <v>864</v>
      </c>
      <c r="AJ16" s="860"/>
      <c r="AK16" s="860"/>
      <c r="AL16" s="860"/>
      <c r="AM16" s="832" t="s">
        <v>1227</v>
      </c>
      <c r="AN16" s="832"/>
      <c r="AO16" s="832" t="s">
        <v>735</v>
      </c>
      <c r="AP16" s="832"/>
      <c r="AQ16" s="832"/>
      <c r="AR16" s="832" t="s">
        <v>83</v>
      </c>
      <c r="AS16" s="832"/>
      <c r="AT16" s="832"/>
      <c r="AU16" s="832"/>
      <c r="AX16" s="783" t="s">
        <v>743</v>
      </c>
      <c r="AY16" s="779" t="s">
        <v>1985</v>
      </c>
      <c r="AZ16" s="779" t="s">
        <v>942</v>
      </c>
      <c r="BA16" s="779"/>
      <c r="BB16" s="783"/>
      <c r="BC16" s="783" t="s">
        <v>924</v>
      </c>
      <c r="BD16" s="781" t="s">
        <v>1701</v>
      </c>
      <c r="BE16" s="828"/>
      <c r="BF16" s="828"/>
      <c r="BG16" s="779"/>
      <c r="BH16" s="828" t="s">
        <v>873</v>
      </c>
      <c r="BI16" s="828"/>
      <c r="BJ16" s="781" t="s">
        <v>88</v>
      </c>
      <c r="BK16" s="781" t="s">
        <v>1619</v>
      </c>
      <c r="BL16" s="783" t="s">
        <v>876</v>
      </c>
      <c r="BM16" s="781" t="s">
        <v>922</v>
      </c>
      <c r="BN16" s="779" t="s">
        <v>132</v>
      </c>
      <c r="BO16" s="779" t="s">
        <v>325</v>
      </c>
      <c r="BP16" s="781" t="s">
        <v>1833</v>
      </c>
      <c r="BQ16" s="783" t="s">
        <v>2107</v>
      </c>
      <c r="BR16" s="781"/>
      <c r="BS16" s="783"/>
      <c r="BT16" s="779"/>
      <c r="BU16" s="783" t="s">
        <v>925</v>
      </c>
      <c r="BV16" s="781" t="s">
        <v>691</v>
      </c>
      <c r="BW16" s="783" t="s">
        <v>85</v>
      </c>
      <c r="BX16" s="783" t="s">
        <v>840</v>
      </c>
      <c r="BY16" s="783" t="s">
        <v>309</v>
      </c>
      <c r="BZ16" s="755"/>
      <c r="CA16" s="755"/>
      <c r="CB16" s="755"/>
      <c r="CC16" s="755"/>
    </row>
    <row r="17" spans="1:81" ht="15.95" customHeight="1" thickBot="1">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t="s">
        <v>862</v>
      </c>
      <c r="AJ17" s="833"/>
      <c r="AK17" s="833" t="s">
        <v>863</v>
      </c>
      <c r="AL17" s="833"/>
      <c r="AM17" s="833"/>
      <c r="AN17" s="833"/>
      <c r="AO17" s="833"/>
      <c r="AP17" s="833"/>
      <c r="AQ17" s="833"/>
      <c r="AR17" s="833"/>
      <c r="AS17" s="833"/>
      <c r="AT17" s="833"/>
      <c r="AU17" s="833"/>
      <c r="AX17" s="784"/>
      <c r="AY17" s="780"/>
      <c r="AZ17" s="780"/>
      <c r="BA17" s="780"/>
      <c r="BB17" s="784"/>
      <c r="BC17" s="784"/>
      <c r="BD17" s="782"/>
      <c r="BE17" s="97"/>
      <c r="BF17" s="97"/>
      <c r="BG17" s="780"/>
      <c r="BH17" s="97" t="s">
        <v>871</v>
      </c>
      <c r="BI17" s="97" t="s">
        <v>872</v>
      </c>
      <c r="BJ17" s="782"/>
      <c r="BK17" s="782"/>
      <c r="BL17" s="784"/>
      <c r="BM17" s="782"/>
      <c r="BN17" s="780"/>
      <c r="BO17" s="780"/>
      <c r="BP17" s="782"/>
      <c r="BQ17" s="784"/>
      <c r="BR17" s="782"/>
      <c r="BS17" s="784"/>
      <c r="BT17" s="780"/>
      <c r="BU17" s="784"/>
      <c r="BV17" s="782"/>
      <c r="BW17" s="784"/>
      <c r="BX17" s="784"/>
      <c r="BY17" s="784"/>
      <c r="BZ17" s="756"/>
      <c r="CA17" s="756"/>
      <c r="CB17" s="756"/>
      <c r="CC17" s="756"/>
    </row>
    <row r="18" spans="1:81" ht="15.95" customHeight="1">
      <c r="B18" s="785">
        <v>1</v>
      </c>
      <c r="C18" s="805"/>
      <c r="D18" s="805"/>
      <c r="E18" s="805"/>
      <c r="F18" s="805"/>
      <c r="G18" s="805"/>
      <c r="H18" s="805"/>
      <c r="I18" s="805"/>
      <c r="J18" s="805"/>
      <c r="K18" s="805"/>
      <c r="L18" s="805"/>
      <c r="M18" s="805"/>
      <c r="N18" s="805"/>
      <c r="O18" s="805"/>
      <c r="P18" s="805"/>
      <c r="Q18" s="805"/>
      <c r="R18" s="902" t="str">
        <f>IF(C18="","",INDEX(STDCOMPRESS[Current Unit],MATCH(C18,STDCOMPRESS[Measure Name],0)))</f>
        <v/>
      </c>
      <c r="S18" s="902"/>
      <c r="T18" s="902"/>
      <c r="U18" s="801"/>
      <c r="V18" s="801"/>
      <c r="W18" s="805"/>
      <c r="X18" s="805"/>
      <c r="Y18" s="805"/>
      <c r="Z18" s="805"/>
      <c r="AA18" s="805"/>
      <c r="AB18" s="805"/>
      <c r="AC18" s="805"/>
      <c r="AD18" s="805"/>
      <c r="AE18" s="805"/>
      <c r="AF18" s="805"/>
      <c r="AG18" s="805"/>
      <c r="AH18" s="793"/>
      <c r="AI18" s="972"/>
      <c r="AJ18" s="970"/>
      <c r="AK18" s="970"/>
      <c r="AL18" s="971"/>
      <c r="AM18" s="973" t="str" cm="1">
        <f t="array" ref="AM18">IFERROR(IF(C18="","",INDEX(IF(AND(ACTIVEBONUS = TRUE,INDEX(STDCOMPRESS[Bonus Incentive],MATCH(C18,STDCOMPRESS[Measure Name],0))&lt;&gt; ""),STDCOMPRESS[Bonus Incentive],_xlfn.SWITCH(Program_Banner,"Business Energy Savings",STDCOMPRESS[BESP Incentive],"Small Business / Non-Profit",STDCOMPRESS[SBNP Incentive],0)),MATCH(C18,STDCOMPRESS[Measure Name],0))),"")</f>
        <v/>
      </c>
      <c r="AN18" s="974"/>
      <c r="AO18" s="975" t="str">
        <f>IFERROR(IF(OR(C18="",U18="",R18="",AA18="",AE18="",AI18="",AK18=""),"",IF(BD18="Deemed",BH18,IF(BD18="Calculated",BE18,""))),"")</f>
        <v/>
      </c>
      <c r="AP18" s="975"/>
      <c r="AQ18" s="975"/>
      <c r="AR18" s="976" t="str">
        <f>IFERROR(IF(OR(C18="",U18="",R18="",AA18="",AE18="",AI18="",AK18=""),"",IF(BY18&lt;&gt;"",BY18,IF(BP18&gt;0,BP18,ROUND(IF(AO18&lt;=0,0,MIN(BL18,BQ18)),2)))),"")</f>
        <v/>
      </c>
      <c r="AS18" s="977"/>
      <c r="AT18" s="977"/>
      <c r="AU18" s="978"/>
      <c r="AV18" s="17"/>
      <c r="AX18" s="773" t="str">
        <f>IFERROR(IF(OR(C18="",U18="",R18="",AA18="",AE18="",AI18="",AK18=""),"",INDEX(STDCOMPRESS[Current Unit],MATCH(C18,STDCOMPRESS[Measure Name],0))),"Err")</f>
        <v/>
      </c>
      <c r="AY18" s="759" t="str">
        <f t="shared" ref="AY18" si="0">IF(U18="", "", U18)</f>
        <v/>
      </c>
      <c r="AZ18" s="759" t="str">
        <f t="shared" ref="AZ18" si="1">IF(U18="", "", U18)</f>
        <v/>
      </c>
      <c r="BA18" s="903"/>
      <c r="BB18" s="903"/>
      <c r="BC18" s="773" t="str">
        <f>IFERROR(IF(OR(C18="",U18="",R18="",AA18="",AE18="",AI18="",AK18=""),"",INDEX(STDCOMPRESS[End Use],MATCH(C18,STDCOMPRESS[Measure Name],0))),"Err")</f>
        <v/>
      </c>
      <c r="BD18" s="757" t="str">
        <f>IFERROR(IF(OR(C18="",U18="",R18="",AA18="",AE18="",AI18="",AK18=""),"",INDEX(STDCOMPRESS[Reporting Methodology],MATCH(C18,STDCOMPRESS[Measure Name],0))),"Err")</f>
        <v/>
      </c>
      <c r="BE18" s="761"/>
      <c r="BF18" s="761"/>
      <c r="BG18" s="761"/>
      <c r="BH18" s="775" t="str" cm="1">
        <f t="array" ref="BH18">IF(OR(C18="",U18="",R18="",AA18="",AE18="",AI18="",AK18=""),"",ROUND(U18*INDEX(_xlfn.SWITCH(Program_Banner,"Business Energy Savings",STDCOMPRESS[Electric Energy Savings WBE (Annual kWh/unit)],"Small Business / Non-Profit",STDCOMPRESS[Electric Energy Savings HTRB (Annual kWh/unit)],0),MATCH(C18,STDCOMPRESS[Measure Name],0)),4))</f>
        <v/>
      </c>
      <c r="BI18" s="775" t="str" cm="1">
        <f t="array" ref="BI18">IF(OR(C18="",U18="",R18="",AA18="",AE18="",AI18="",AK18=""),"",ROUND(U18*INDEX(_xlfn.SWITCH(Program_Banner,"Business Energy Savings",STDCOMPRESS[Coincident Peak Demand Savings WBE (kW/unit)],"Small Business / Non-Profit",STDCOMPRESS[Coincident Peak Demand Savings HTRB (kW/unit)],0),MATCH(C18,STDCOMPRESS[Measure Name],0)),4))</f>
        <v/>
      </c>
      <c r="BJ18" s="777" t="str">
        <f>IFERROR(INDEX(STDCOMPRESS[Measure Life (Years)],MATCH(C18,STDCOMPRESS[Measure Name],0)),"")</f>
        <v/>
      </c>
      <c r="BK18" s="767" t="str">
        <f>IFERROR(IF(OR(C18="",U18="",R18="",AA18="",AE18="",AI18="",AK18=""),"",
ROUND(((1+ELOSS)*((BH18*INDEX(ELECCB[NPV AEC $/kWh],MATCH(BJ18,ELECCB[Year Number],1)))+(BI18*INDEX(ELECCB[NPV ACC $/kW],MATCH(BJ18,ELECCB[Year Number],1))))),2)),0)</f>
        <v/>
      </c>
      <c r="BL18" s="767" t="str">
        <f t="shared" ref="BL18:BL36" si="2">IF(OR(AI18="", AK18=""), "", AI18+AK18)</f>
        <v/>
      </c>
      <c r="BM18" s="767" t="str">
        <f>IF(OR(C18="", U18=""), "", U18 * INDEX(STDCOMPRESS[Incremental Measure Cost ($/Unit)],MATCH(C18,STDCOMPRESS[Measure Name],0)))</f>
        <v/>
      </c>
      <c r="BN18" s="763" t="str">
        <f t="shared" ref="BN18:BN36" si="3">IFERROR( BK18 / IF(BM18 &lt;&gt; "", BM18, BL18), "")</f>
        <v/>
      </c>
      <c r="BO18" s="763" t="str">
        <f>IFERROR(IF(BM18 &lt;&gt; "", BM18, BL18) / M02S04F06 / AO18, "")</f>
        <v/>
      </c>
      <c r="BP18" s="770"/>
      <c r="BQ18" s="767" t="str">
        <f>IFERROR(ROUND(U18*AM18, 2), "")</f>
        <v/>
      </c>
      <c r="BR18" s="765"/>
      <c r="BS18" s="765"/>
      <c r="BT18" s="765"/>
      <c r="BU18" s="757" t="str">
        <f>IFERROR(IF(BP18="",IF(AR18 &lt; BQ18, "100% Total Cost", ""), ""), "")</f>
        <v/>
      </c>
      <c r="BV18" s="767" t="str">
        <f t="shared" ref="BV18:BV36" si="4">IF(OR(AO18="", AR18=""), "", AR18/AO18)</f>
        <v/>
      </c>
      <c r="BW18" s="757" t="str">
        <f>IFERROR(IF(OR(C18="",U18="",R18="",AA18="",AE18="",AI18="",AK18=""),"",IF(BY18&lt;&gt;"", SPILLOVERNUMBER, INDEX(STDCOMPRESS[Measure Number],MATCH(C18,STDCOMPRESS[Measure Name],0)))),"Err")</f>
        <v/>
      </c>
      <c r="BX18" s="757" t="str" cm="1">
        <f t="array" ref="BX18">IFERROR(INDEX(_xlfn.SWITCH(Program_Banner,"Business Energy Savings",STDCOMPRESS[Primary Key WBE],"Small Business / Non-Profit",STDCOMPRESS[Primary Key HTRB],0),MATCH(BW18,STDCOMPRESS[Measure Number],0)),"")</f>
        <v/>
      </c>
      <c r="BY18" s="757" t="str">
        <f>IFERROR(IF(OR(C18="",U18="",AA18="",AE18="",AI18="",AK18=""),"",
IF(BP18&gt;0,"",
IF(EXPIRATION&lt;&gt;"",PROJSTATEXP,""))),"")</f>
        <v/>
      </c>
      <c r="BZ18" s="753"/>
      <c r="CA18" s="753"/>
      <c r="CB18" s="753"/>
      <c r="CC18" s="753"/>
    </row>
    <row r="19" spans="1:81" ht="15.95" customHeight="1">
      <c r="B19" s="785"/>
      <c r="C19" s="806"/>
      <c r="D19" s="806"/>
      <c r="E19" s="806"/>
      <c r="F19" s="806"/>
      <c r="G19" s="806"/>
      <c r="H19" s="806"/>
      <c r="I19" s="806"/>
      <c r="J19" s="806"/>
      <c r="K19" s="806"/>
      <c r="L19" s="806"/>
      <c r="M19" s="806"/>
      <c r="N19" s="806"/>
      <c r="O19" s="806"/>
      <c r="P19" s="806"/>
      <c r="Q19" s="806"/>
      <c r="R19" s="899"/>
      <c r="S19" s="899"/>
      <c r="T19" s="899"/>
      <c r="U19" s="802"/>
      <c r="V19" s="802"/>
      <c r="W19" s="806"/>
      <c r="X19" s="806"/>
      <c r="Y19" s="806"/>
      <c r="Z19" s="806"/>
      <c r="AA19" s="806"/>
      <c r="AB19" s="806"/>
      <c r="AC19" s="806"/>
      <c r="AD19" s="806"/>
      <c r="AE19" s="806"/>
      <c r="AF19" s="806"/>
      <c r="AG19" s="806"/>
      <c r="AH19" s="786"/>
      <c r="AI19" s="809"/>
      <c r="AJ19" s="810"/>
      <c r="AK19" s="810"/>
      <c r="AL19" s="812"/>
      <c r="AM19" s="901"/>
      <c r="AN19" s="816"/>
      <c r="AO19" s="818"/>
      <c r="AP19" s="818"/>
      <c r="AQ19" s="818"/>
      <c r="AR19" s="822"/>
      <c r="AS19" s="823"/>
      <c r="AT19" s="823"/>
      <c r="AU19" s="824"/>
      <c r="AV19" s="17"/>
      <c r="AX19" s="774"/>
      <c r="AY19" s="760"/>
      <c r="AZ19" s="760"/>
      <c r="BA19" s="898"/>
      <c r="BB19" s="898"/>
      <c r="BC19" s="774"/>
      <c r="BD19" s="758"/>
      <c r="BE19" s="762"/>
      <c r="BF19" s="762"/>
      <c r="BG19" s="762"/>
      <c r="BH19" s="776"/>
      <c r="BI19" s="776"/>
      <c r="BJ19" s="778"/>
      <c r="BK19" s="768"/>
      <c r="BL19" s="768"/>
      <c r="BM19" s="768"/>
      <c r="BN19" s="764"/>
      <c r="BO19" s="764"/>
      <c r="BP19" s="879"/>
      <c r="BQ19" s="768"/>
      <c r="BR19" s="766"/>
      <c r="BS19" s="766"/>
      <c r="BT19" s="766"/>
      <c r="BU19" s="758"/>
      <c r="BV19" s="768"/>
      <c r="BW19" s="758"/>
      <c r="BX19" s="758"/>
      <c r="BY19" s="758"/>
      <c r="BZ19" s="754"/>
      <c r="CA19" s="754"/>
      <c r="CB19" s="754"/>
      <c r="CC19" s="754"/>
    </row>
    <row r="20" spans="1:81" ht="15.95" customHeight="1">
      <c r="A20" s="75"/>
      <c r="B20" s="785">
        <v>2</v>
      </c>
      <c r="C20" s="806"/>
      <c r="D20" s="806"/>
      <c r="E20" s="806"/>
      <c r="F20" s="806"/>
      <c r="G20" s="806"/>
      <c r="H20" s="806"/>
      <c r="I20" s="806"/>
      <c r="J20" s="806"/>
      <c r="K20" s="806"/>
      <c r="L20" s="806"/>
      <c r="M20" s="806"/>
      <c r="N20" s="806"/>
      <c r="O20" s="806"/>
      <c r="P20" s="806"/>
      <c r="Q20" s="806"/>
      <c r="R20" s="899" t="str">
        <f>IF(C20="","",INDEX(STDCOMPRESS[Current Unit],MATCH(C20,STDCOMPRESS[Measure Name],0)))</f>
        <v/>
      </c>
      <c r="S20" s="899"/>
      <c r="T20" s="899"/>
      <c r="U20" s="802"/>
      <c r="V20" s="802"/>
      <c r="W20" s="806"/>
      <c r="X20" s="806"/>
      <c r="Y20" s="806"/>
      <c r="Z20" s="806"/>
      <c r="AA20" s="806"/>
      <c r="AB20" s="806"/>
      <c r="AC20" s="806"/>
      <c r="AD20" s="806"/>
      <c r="AE20" s="806"/>
      <c r="AF20" s="806"/>
      <c r="AG20" s="806"/>
      <c r="AH20" s="786"/>
      <c r="AI20" s="809"/>
      <c r="AJ20" s="810"/>
      <c r="AK20" s="810"/>
      <c r="AL20" s="812"/>
      <c r="AM20" s="979" t="str" cm="1">
        <f t="array" ref="AM20">IFERROR(IF(C20="","",INDEX(IF(AND(ACTIVEBONUS = TRUE,INDEX(STDCOMPRESS[Bonus Incentive],MATCH(C20,STDCOMPRESS[Measure Name],0))&lt;&gt; ""),STDCOMPRESS[Bonus Incentive],_xlfn.SWITCH(Program_Banner,"Business Energy Savings",STDCOMPRESS[BESP Incentive],"Small Business / Non-Profit",STDCOMPRESS[SBNP Incentive],0)),MATCH(C20,STDCOMPRESS[Measure Name],0))),"")</f>
        <v/>
      </c>
      <c r="AN20" s="924"/>
      <c r="AO20" s="818" t="str">
        <f>IFERROR(IF(OR(C20="",U20="",R20="",AA20="",AE20="",AI20="",AK20=""),"",IF(BD20="Deemed",BH20,IF(BD20="Calculated",BE20,""))),"")</f>
        <v/>
      </c>
      <c r="AP20" s="818"/>
      <c r="AQ20" s="818"/>
      <c r="AR20" s="819" t="str">
        <f>IFERROR(IF(OR(C20="",U20="",R20="",AA20="",AE20="",AI20="",AK20=""),"",IF(BY20&lt;&gt;"",BY20,IF(BP20&gt;0,BP20,ROUND(IF(AO20&lt;=0,0,MIN(BL20,BQ20)),2)))),"")</f>
        <v/>
      </c>
      <c r="AS20" s="820"/>
      <c r="AT20" s="820"/>
      <c r="AU20" s="821"/>
      <c r="AV20" s="17"/>
      <c r="AX20" s="774" t="str">
        <f>IFERROR(IF(OR(C20="",U20="",R20="",AA20="",AE20="",AI20="",AK20=""),"",INDEX(STDCOMPRESS[Current Unit],MATCH(C20,STDCOMPRESS[Measure Name],0))),"Err")</f>
        <v/>
      </c>
      <c r="AY20" s="759" t="str">
        <f t="shared" ref="AY20" si="5">IF(U20="", "", U20)</f>
        <v/>
      </c>
      <c r="AZ20" s="759" t="str">
        <f t="shared" ref="AZ20" si="6">IF(U20="", "", U20)</f>
        <v/>
      </c>
      <c r="BA20" s="898"/>
      <c r="BB20" s="898"/>
      <c r="BC20" s="774" t="str">
        <f>IFERROR(IF(OR(C20="",U20="",R20="",AA20="",AE20="",AI20="",AK20=""),"",INDEX(STDCOMPRESS[End Use],MATCH(C20,STDCOMPRESS[Measure Name],0))),"Err")</f>
        <v/>
      </c>
      <c r="BD20" s="758" t="str">
        <f>IFERROR(IF(OR(C20="",U20="",R20="",AA20="",AE20="",AI20="",AK20=""),"",INDEX(STDCOMPRESS[Reporting Methodology],MATCH(C20,STDCOMPRESS[Measure Name],0))),"Err")</f>
        <v/>
      </c>
      <c r="BE20" s="762"/>
      <c r="BF20" s="762"/>
      <c r="BG20" s="761"/>
      <c r="BH20" s="775" t="str" cm="1">
        <f t="array" ref="BH20">IF(OR(C20="",U20="",R20="",AA20="",AE20="",AI20="",AK20=""),"",ROUND(U20*INDEX(_xlfn.SWITCH(Program_Banner,"Business Energy Savings",STDCOMPRESS[Electric Energy Savings WBE (Annual kWh/unit)],"Small Business / Non-Profit",STDCOMPRESS[Electric Energy Savings HTRB (Annual kWh/unit)],0),MATCH(C20,STDCOMPRESS[Measure Name],0)),4))</f>
        <v/>
      </c>
      <c r="BI20" s="775" t="str" cm="1">
        <f t="array" ref="BI20">IF(OR(C20="",U20="",R20="",AA20="",AE20="",AI20="",AK20=""),"",ROUND(U20*INDEX(_xlfn.SWITCH(Program_Banner,"Business Energy Savings",STDCOMPRESS[Coincident Peak Demand Savings WBE (kW/unit)],"Small Business / Non-Profit",STDCOMPRESS[Coincident Peak Demand Savings HTRB (kW/unit)],0),MATCH(C20,STDCOMPRESS[Measure Name],0)),4))</f>
        <v/>
      </c>
      <c r="BJ20" s="778" t="str">
        <f>IFERROR(INDEX(STDCOMPRESS[Measure Life (Years)],MATCH(C20,STDCOMPRESS[Measure Name],0)),"")</f>
        <v/>
      </c>
      <c r="BK20" s="768" t="str">
        <f>IFERROR(IF(OR(C20="",U20="",R20="",AA20="",AE20="",AI20="",AK20=""),"",
ROUND(((1+ELOSS)*((BH20*INDEX(ELECCB[NPV AEC $/kWh],MATCH(BJ20,ELECCB[Year Number],1)))+(BI20*INDEX(ELECCB[NPV ACC $/kW],MATCH(BJ20,ELECCB[Year Number],1))))),2)),0)</f>
        <v/>
      </c>
      <c r="BL20" s="768" t="str">
        <f t="shared" si="2"/>
        <v/>
      </c>
      <c r="BM20" s="768" t="str">
        <f>IF(OR(C20="", U20=""), "", U20 * INDEX(STDCOMPRESS[Incremental Measure Cost ($/Unit)],MATCH(C20,STDCOMPRESS[Measure Name],0)))</f>
        <v/>
      </c>
      <c r="BN20" s="764" t="str">
        <f t="shared" si="3"/>
        <v/>
      </c>
      <c r="BO20" s="764" t="str">
        <f>IFERROR(IF(BM20 &lt;&gt; "", BM20, BL20) / M02S04F06 / AO20, "")</f>
        <v/>
      </c>
      <c r="BP20" s="879"/>
      <c r="BQ20" s="768" t="str">
        <f t="shared" ref="BQ20" si="7">IFERROR(ROUND(U20*AM20, 2), "")</f>
        <v/>
      </c>
      <c r="BR20" s="765"/>
      <c r="BS20" s="765"/>
      <c r="BT20" s="765"/>
      <c r="BU20" s="758" t="str">
        <f t="shared" ref="BU20" si="8">IFERROR(IF(BP20="",IF(AR20 &lt; BQ20, "100% Total Cost", ""), ""), "")</f>
        <v/>
      </c>
      <c r="BV20" s="767" t="str">
        <f t="shared" si="4"/>
        <v/>
      </c>
      <c r="BW20" s="758" t="str">
        <f>IFERROR(IF(OR(C20="",U20="",R20="",AA20="",AE20="",AI20="",AK20=""),"",IF(BY20&lt;&gt;"", SPILLOVERNUMBER, INDEX(STDCOMPRESS[Measure Number],MATCH(C20,STDCOMPRESS[Measure Name],0)))),"Err")</f>
        <v/>
      </c>
      <c r="BX20" s="757" t="str" cm="1">
        <f t="array" ref="BX20">IFERROR(INDEX(_xlfn.SWITCH(Program_Banner,"Business Energy Savings",STDCOMPRESS[Primary Key WBE],"Small Business / Non-Profit",STDCOMPRESS[Primary Key HTRB],0),MATCH(BW20,STDCOMPRESS[Measure Number],0)),"")</f>
        <v/>
      </c>
      <c r="BY20" s="758" t="str">
        <f>IFERROR(IF(OR(C20="",U20="",AA20="",AE20="",AI20="",AK20=""),"",
IF(BP20&gt;0,"",
IF(EXPIRATION&lt;&gt;"",PROJSTATEXP,""))),"")</f>
        <v/>
      </c>
      <c r="BZ20" s="754"/>
      <c r="CA20" s="754"/>
      <c r="CB20" s="754"/>
      <c r="CC20" s="754"/>
    </row>
    <row r="21" spans="1:81" ht="15.95" customHeight="1">
      <c r="B21" s="785"/>
      <c r="C21" s="806"/>
      <c r="D21" s="806"/>
      <c r="E21" s="806"/>
      <c r="F21" s="806"/>
      <c r="G21" s="806"/>
      <c r="H21" s="806"/>
      <c r="I21" s="806"/>
      <c r="J21" s="806"/>
      <c r="K21" s="806"/>
      <c r="L21" s="806"/>
      <c r="M21" s="806"/>
      <c r="N21" s="806"/>
      <c r="O21" s="806"/>
      <c r="P21" s="806"/>
      <c r="Q21" s="806"/>
      <c r="R21" s="899"/>
      <c r="S21" s="899"/>
      <c r="T21" s="899"/>
      <c r="U21" s="802"/>
      <c r="V21" s="802"/>
      <c r="W21" s="806"/>
      <c r="X21" s="806"/>
      <c r="Y21" s="806"/>
      <c r="Z21" s="806"/>
      <c r="AA21" s="806"/>
      <c r="AB21" s="806"/>
      <c r="AC21" s="806"/>
      <c r="AD21" s="806"/>
      <c r="AE21" s="806"/>
      <c r="AF21" s="806"/>
      <c r="AG21" s="806"/>
      <c r="AH21" s="786"/>
      <c r="AI21" s="809"/>
      <c r="AJ21" s="810"/>
      <c r="AK21" s="810"/>
      <c r="AL21" s="812"/>
      <c r="AM21" s="980"/>
      <c r="AN21" s="900"/>
      <c r="AO21" s="818"/>
      <c r="AP21" s="818"/>
      <c r="AQ21" s="818"/>
      <c r="AR21" s="822"/>
      <c r="AS21" s="823"/>
      <c r="AT21" s="823"/>
      <c r="AU21" s="824"/>
      <c r="AV21" s="17"/>
      <c r="AX21" s="774"/>
      <c r="AY21" s="760"/>
      <c r="AZ21" s="760"/>
      <c r="BA21" s="898"/>
      <c r="BB21" s="898"/>
      <c r="BC21" s="774"/>
      <c r="BD21" s="758"/>
      <c r="BE21" s="762"/>
      <c r="BF21" s="762"/>
      <c r="BG21" s="762"/>
      <c r="BH21" s="776"/>
      <c r="BI21" s="776"/>
      <c r="BJ21" s="778"/>
      <c r="BK21" s="768"/>
      <c r="BL21" s="768"/>
      <c r="BM21" s="768"/>
      <c r="BN21" s="764"/>
      <c r="BO21" s="764"/>
      <c r="BP21" s="879"/>
      <c r="BQ21" s="768"/>
      <c r="BR21" s="766"/>
      <c r="BS21" s="766"/>
      <c r="BT21" s="766"/>
      <c r="BU21" s="758"/>
      <c r="BV21" s="768"/>
      <c r="BW21" s="758"/>
      <c r="BX21" s="758"/>
      <c r="BY21" s="758"/>
      <c r="BZ21" s="754"/>
      <c r="CA21" s="754"/>
      <c r="CB21" s="754"/>
      <c r="CC21" s="754"/>
    </row>
    <row r="22" spans="1:81" ht="15.95" customHeight="1">
      <c r="A22" s="75"/>
      <c r="B22" s="785">
        <v>3</v>
      </c>
      <c r="C22" s="806"/>
      <c r="D22" s="806"/>
      <c r="E22" s="806"/>
      <c r="F22" s="806"/>
      <c r="G22" s="806"/>
      <c r="H22" s="806"/>
      <c r="I22" s="806"/>
      <c r="J22" s="806"/>
      <c r="K22" s="806"/>
      <c r="L22" s="806"/>
      <c r="M22" s="806"/>
      <c r="N22" s="806"/>
      <c r="O22" s="806"/>
      <c r="P22" s="806"/>
      <c r="Q22" s="806"/>
      <c r="R22" s="899" t="str">
        <f>IF(C22="","",INDEX(STDCOMPRESS[Current Unit],MATCH(C22,STDCOMPRESS[Measure Name],0)))</f>
        <v/>
      </c>
      <c r="S22" s="899"/>
      <c r="T22" s="899"/>
      <c r="U22" s="802"/>
      <c r="V22" s="802"/>
      <c r="W22" s="806"/>
      <c r="X22" s="806"/>
      <c r="Y22" s="806"/>
      <c r="Z22" s="806"/>
      <c r="AA22" s="806"/>
      <c r="AB22" s="806"/>
      <c r="AC22" s="806"/>
      <c r="AD22" s="806"/>
      <c r="AE22" s="806"/>
      <c r="AF22" s="806"/>
      <c r="AG22" s="806"/>
      <c r="AH22" s="786"/>
      <c r="AI22" s="809"/>
      <c r="AJ22" s="810"/>
      <c r="AK22" s="810"/>
      <c r="AL22" s="812"/>
      <c r="AM22" s="979" t="str" cm="1">
        <f t="array" ref="AM22">IFERROR(IF(C22="","",INDEX(IF(AND(ACTIVEBONUS = TRUE,INDEX(STDCOMPRESS[Bonus Incentive],MATCH(C22,STDCOMPRESS[Measure Name],0))&lt;&gt; ""),STDCOMPRESS[Bonus Incentive],_xlfn.SWITCH(Program_Banner,"Business Energy Savings",STDCOMPRESS[BESP Incentive],"Small Business / Non-Profit",STDCOMPRESS[SBNP Incentive],0)),MATCH(C22,STDCOMPRESS[Measure Name],0))),"")</f>
        <v/>
      </c>
      <c r="AN22" s="924"/>
      <c r="AO22" s="818" t="str">
        <f>IFERROR(IF(OR(C22="",U22="",R22="",AA22="",AE22="",AI22="",AK22=""),"",IF(BD22="Deemed",BH22,IF(BD22="Calculated",BE22,""))),"")</f>
        <v/>
      </c>
      <c r="AP22" s="818"/>
      <c r="AQ22" s="818"/>
      <c r="AR22" s="819" t="str">
        <f>IFERROR(IF(OR(C22="",U22="",R22="",AA22="",AE22="",AI22="",AK22=""),"",IF(BY22&lt;&gt;"",BY22,IF(BP22&gt;0,BP22,ROUND(IF(AO22&lt;=0,0,MIN(BL22,BQ22)),2)))),"")</f>
        <v/>
      </c>
      <c r="AS22" s="820"/>
      <c r="AT22" s="820"/>
      <c r="AU22" s="821"/>
      <c r="AV22" s="17"/>
      <c r="AX22" s="774" t="str">
        <f>IFERROR(IF(OR(C22="",U22="",R22="",AA22="",AE22="",AI22="",AK22=""),"",INDEX(STDCOMPRESS[Current Unit],MATCH(C22,STDCOMPRESS[Measure Name],0))),"Err")</f>
        <v/>
      </c>
      <c r="AY22" s="759" t="str">
        <f t="shared" ref="AY22" si="9">IF(U22="", "", U22)</f>
        <v/>
      </c>
      <c r="AZ22" s="759" t="str">
        <f t="shared" ref="AZ22" si="10">IF(U22="", "", U22)</f>
        <v/>
      </c>
      <c r="BA22" s="898"/>
      <c r="BB22" s="898"/>
      <c r="BC22" s="774" t="str">
        <f>IFERROR(IF(OR(C22="",U22="",R22="",AA22="",AE22="",AI22="",AK22=""),"",INDEX(STDCOMPRESS[End Use],MATCH(C22,STDCOMPRESS[Measure Name],0))),"Err")</f>
        <v/>
      </c>
      <c r="BD22" s="758" t="str">
        <f>IFERROR(IF(OR(C22="",U22="",R22="",AA22="",AE22="",AI22="",AK22=""),"",INDEX(STDCOMPRESS[Reporting Methodology],MATCH(C22,STDCOMPRESS[Measure Name],0))),"Err")</f>
        <v/>
      </c>
      <c r="BE22" s="762"/>
      <c r="BF22" s="762"/>
      <c r="BG22" s="761"/>
      <c r="BH22" s="775" t="str" cm="1">
        <f t="array" ref="BH22">IF(OR(C22="",U22="",R22="",AA22="",AE22="",AI22="",AK22=""),"",ROUND(U22*INDEX(_xlfn.SWITCH(Program_Banner,"Business Energy Savings",STDCOMPRESS[Electric Energy Savings WBE (Annual kWh/unit)],"Small Business / Non-Profit",STDCOMPRESS[Electric Energy Savings HTRB (Annual kWh/unit)],0),MATCH(C22,STDCOMPRESS[Measure Name],0)),4))</f>
        <v/>
      </c>
      <c r="BI22" s="775" t="str" cm="1">
        <f t="array" ref="BI22">IF(OR(C22="",U22="",R22="",AA22="",AE22="",AI22="",AK22=""),"",ROUND(U22*INDEX(_xlfn.SWITCH(Program_Banner,"Business Energy Savings",STDCOMPRESS[Coincident Peak Demand Savings WBE (kW/unit)],"Small Business / Non-Profit",STDCOMPRESS[Coincident Peak Demand Savings HTRB (kW/unit)],0),MATCH(C22,STDCOMPRESS[Measure Name],0)),4))</f>
        <v/>
      </c>
      <c r="BJ22" s="778" t="str">
        <f>IFERROR(INDEX(STDCOMPRESS[Measure Life (Years)],MATCH(C22,STDCOMPRESS[Measure Name],0)),"")</f>
        <v/>
      </c>
      <c r="BK22" s="768" t="str">
        <f>IFERROR(IF(OR(C22="",U22="",R22="",AA22="",AE22="",AI22="",AK22=""),"",
ROUND(((1+ELOSS)*((BH22*INDEX(ELECCB[NPV AEC $/kWh],MATCH(BJ22,ELECCB[Year Number],1)))+(BI22*INDEX(ELECCB[NPV ACC $/kW],MATCH(BJ22,ELECCB[Year Number],1))))),2)),0)</f>
        <v/>
      </c>
      <c r="BL22" s="768" t="str">
        <f t="shared" si="2"/>
        <v/>
      </c>
      <c r="BM22" s="768" t="str">
        <f>IF(OR(C22="", U22=""), "", U22 * INDEX(STDCOMPRESS[Incremental Measure Cost ($/Unit)],MATCH(C22,STDCOMPRESS[Measure Name],0)))</f>
        <v/>
      </c>
      <c r="BN22" s="764" t="str">
        <f t="shared" si="3"/>
        <v/>
      </c>
      <c r="BO22" s="764" t="str">
        <f>IFERROR(IF(BM22 &lt;&gt; "", BM22, BL22) / M02S04F06 / AO22, "")</f>
        <v/>
      </c>
      <c r="BP22" s="879"/>
      <c r="BQ22" s="768" t="str">
        <f t="shared" ref="BQ22" si="11">IFERROR(ROUND(U22*AM22, 2), "")</f>
        <v/>
      </c>
      <c r="BR22" s="765"/>
      <c r="BS22" s="765"/>
      <c r="BT22" s="765"/>
      <c r="BU22" s="758" t="str">
        <f t="shared" ref="BU22" si="12">IFERROR(IF(BP22="",IF(AR22 &lt; BQ22, "100% Total Cost", ""), ""), "")</f>
        <v/>
      </c>
      <c r="BV22" s="767" t="str">
        <f t="shared" si="4"/>
        <v/>
      </c>
      <c r="BW22" s="758" t="str">
        <f>IFERROR(IF(OR(C22="",U22="",R22="",AA22="",AE22="",AI22="",AK22=""),"",IF(BY22&lt;&gt;"", SPILLOVERNUMBER, INDEX(STDCOMPRESS[Measure Number],MATCH(C22,STDCOMPRESS[Measure Name],0)))),"Err")</f>
        <v/>
      </c>
      <c r="BX22" s="757" t="str" cm="1">
        <f t="array" ref="BX22">IFERROR(INDEX(_xlfn.SWITCH(Program_Banner,"Business Energy Savings",STDCOMPRESS[Primary Key WBE],"Small Business / Non-Profit",STDCOMPRESS[Primary Key HTRB],0),MATCH(BW22,STDCOMPRESS[Measure Number],0)),"")</f>
        <v/>
      </c>
      <c r="BY22" s="758" t="str">
        <f>IFERROR(IF(OR(C22="",U22="",AA22="",AE22="",AI22="",AK22=""),"",
IF(BP22&gt;0,"",
IF(EXPIRATION&lt;&gt;"",PROJSTATEXP,""))),"")</f>
        <v/>
      </c>
      <c r="BZ22" s="754"/>
      <c r="CA22" s="754"/>
      <c r="CB22" s="754"/>
      <c r="CC22" s="754"/>
    </row>
    <row r="23" spans="1:81" ht="15.95" customHeight="1">
      <c r="B23" s="785"/>
      <c r="C23" s="806"/>
      <c r="D23" s="806"/>
      <c r="E23" s="806"/>
      <c r="F23" s="806"/>
      <c r="G23" s="806"/>
      <c r="H23" s="806"/>
      <c r="I23" s="806"/>
      <c r="J23" s="806"/>
      <c r="K23" s="806"/>
      <c r="L23" s="806"/>
      <c r="M23" s="806"/>
      <c r="N23" s="806"/>
      <c r="O23" s="806"/>
      <c r="P23" s="806"/>
      <c r="Q23" s="806"/>
      <c r="R23" s="899"/>
      <c r="S23" s="899"/>
      <c r="T23" s="899"/>
      <c r="U23" s="802"/>
      <c r="V23" s="802"/>
      <c r="W23" s="806"/>
      <c r="X23" s="806"/>
      <c r="Y23" s="806"/>
      <c r="Z23" s="806"/>
      <c r="AA23" s="806"/>
      <c r="AB23" s="806"/>
      <c r="AC23" s="806"/>
      <c r="AD23" s="806"/>
      <c r="AE23" s="806"/>
      <c r="AF23" s="806"/>
      <c r="AG23" s="806"/>
      <c r="AH23" s="786"/>
      <c r="AI23" s="809"/>
      <c r="AJ23" s="810"/>
      <c r="AK23" s="810"/>
      <c r="AL23" s="812"/>
      <c r="AM23" s="980"/>
      <c r="AN23" s="900"/>
      <c r="AO23" s="818"/>
      <c r="AP23" s="818"/>
      <c r="AQ23" s="818"/>
      <c r="AR23" s="822"/>
      <c r="AS23" s="823"/>
      <c r="AT23" s="823"/>
      <c r="AU23" s="824"/>
      <c r="AV23" s="17"/>
      <c r="AX23" s="774"/>
      <c r="AY23" s="760"/>
      <c r="AZ23" s="760"/>
      <c r="BA23" s="898"/>
      <c r="BB23" s="898"/>
      <c r="BC23" s="774"/>
      <c r="BD23" s="758"/>
      <c r="BE23" s="762"/>
      <c r="BF23" s="762"/>
      <c r="BG23" s="762"/>
      <c r="BH23" s="776"/>
      <c r="BI23" s="776"/>
      <c r="BJ23" s="778"/>
      <c r="BK23" s="768"/>
      <c r="BL23" s="768"/>
      <c r="BM23" s="768"/>
      <c r="BN23" s="764"/>
      <c r="BO23" s="764"/>
      <c r="BP23" s="879"/>
      <c r="BQ23" s="768"/>
      <c r="BR23" s="766"/>
      <c r="BS23" s="766"/>
      <c r="BT23" s="766"/>
      <c r="BU23" s="758"/>
      <c r="BV23" s="768"/>
      <c r="BW23" s="758"/>
      <c r="BX23" s="758"/>
      <c r="BY23" s="758"/>
      <c r="BZ23" s="754"/>
      <c r="CA23" s="754"/>
      <c r="CB23" s="754"/>
      <c r="CC23" s="754"/>
    </row>
    <row r="24" spans="1:81" ht="15.95" customHeight="1">
      <c r="B24" s="785">
        <v>4</v>
      </c>
      <c r="C24" s="806"/>
      <c r="D24" s="806"/>
      <c r="E24" s="806"/>
      <c r="F24" s="806"/>
      <c r="G24" s="806"/>
      <c r="H24" s="806"/>
      <c r="I24" s="806"/>
      <c r="J24" s="806"/>
      <c r="K24" s="806"/>
      <c r="L24" s="806"/>
      <c r="M24" s="806"/>
      <c r="N24" s="806"/>
      <c r="O24" s="806"/>
      <c r="P24" s="806"/>
      <c r="Q24" s="806"/>
      <c r="R24" s="899" t="str">
        <f>IF(C24="","",INDEX(STDCOMPRESS[Current Unit],MATCH(C24,STDCOMPRESS[Measure Name],0)))</f>
        <v/>
      </c>
      <c r="S24" s="899"/>
      <c r="T24" s="899"/>
      <c r="U24" s="802"/>
      <c r="V24" s="802"/>
      <c r="W24" s="806"/>
      <c r="X24" s="806"/>
      <c r="Y24" s="806"/>
      <c r="Z24" s="806"/>
      <c r="AA24" s="806"/>
      <c r="AB24" s="806"/>
      <c r="AC24" s="806"/>
      <c r="AD24" s="806"/>
      <c r="AE24" s="806"/>
      <c r="AF24" s="806"/>
      <c r="AG24" s="806"/>
      <c r="AH24" s="786"/>
      <c r="AI24" s="809"/>
      <c r="AJ24" s="810"/>
      <c r="AK24" s="810"/>
      <c r="AL24" s="812"/>
      <c r="AM24" s="979" t="str" cm="1">
        <f t="array" ref="AM24">IFERROR(IF(C24="","",INDEX(IF(AND(ACTIVEBONUS = TRUE,INDEX(STDCOMPRESS[Bonus Incentive],MATCH(C24,STDCOMPRESS[Measure Name],0))&lt;&gt; ""),STDCOMPRESS[Bonus Incentive],_xlfn.SWITCH(Program_Banner,"Business Energy Savings",STDCOMPRESS[BESP Incentive],"Small Business / Non-Profit",STDCOMPRESS[SBNP Incentive],0)),MATCH(C24,STDCOMPRESS[Measure Name],0))),"")</f>
        <v/>
      </c>
      <c r="AN24" s="924"/>
      <c r="AO24" s="818" t="str">
        <f>IFERROR(IF(OR(C24="",U24="",R24="",AA24="",AE24="",AI24="",AK24=""),"",IF(BD24="Deemed",BH24,IF(BD24="Calculated",BE24,""))),"")</f>
        <v/>
      </c>
      <c r="AP24" s="818"/>
      <c r="AQ24" s="818"/>
      <c r="AR24" s="819" t="str">
        <f>IFERROR(IF(OR(C24="",U24="",R24="",AA24="",AE24="",AI24="",AK24=""),"",IF(BY24&lt;&gt;"",BY24,IF(BP24&gt;0,BP24,ROUND(IF(AO24&lt;=0,0,MIN(BL24,BQ24)),2)))),"")</f>
        <v/>
      </c>
      <c r="AS24" s="820"/>
      <c r="AT24" s="820"/>
      <c r="AU24" s="821"/>
      <c r="AV24" s="17"/>
      <c r="AX24" s="774" t="str">
        <f>IFERROR(IF(OR(C24="",U24="",R24="",AA24="",AE24="",AI24="",AK24=""),"",INDEX(STDCOMPRESS[Current Unit],MATCH(C24,STDCOMPRESS[Measure Name],0))),"Err")</f>
        <v/>
      </c>
      <c r="AY24" s="759" t="str">
        <f t="shared" ref="AY24" si="13">IF(U24="", "", U24)</f>
        <v/>
      </c>
      <c r="AZ24" s="759" t="str">
        <f t="shared" ref="AZ24" si="14">IF(U24="", "", U24)</f>
        <v/>
      </c>
      <c r="BA24" s="898"/>
      <c r="BB24" s="898"/>
      <c r="BC24" s="774" t="str">
        <f>IFERROR(IF(OR(C24="",U24="",R24="",AA24="",AE24="",AI24="",AK24=""),"",INDEX(STDCOMPRESS[End Use],MATCH(C24,STDCOMPRESS[Measure Name],0))),"Err")</f>
        <v/>
      </c>
      <c r="BD24" s="758" t="str">
        <f>IFERROR(IF(OR(C24="",U24="",R24="",AA24="",AE24="",AI24="",AK24=""),"",INDEX(STDCOMPRESS[Reporting Methodology],MATCH(C24,STDCOMPRESS[Measure Name],0))),"Err")</f>
        <v/>
      </c>
      <c r="BE24" s="762"/>
      <c r="BF24" s="762"/>
      <c r="BG24" s="761"/>
      <c r="BH24" s="775" t="str" cm="1">
        <f t="array" ref="BH24">IF(OR(C24="",U24="",R24="",AA24="",AE24="",AI24="",AK24=""),"",ROUND(U24*INDEX(_xlfn.SWITCH(Program_Banner,"Business Energy Savings",STDCOMPRESS[Electric Energy Savings WBE (Annual kWh/unit)],"Small Business / Non-Profit",STDCOMPRESS[Electric Energy Savings HTRB (Annual kWh/unit)],0),MATCH(C24,STDCOMPRESS[Measure Name],0)),4))</f>
        <v/>
      </c>
      <c r="BI24" s="775" t="str" cm="1">
        <f t="array" ref="BI24">IF(OR(C24="",U24="",R24="",AA24="",AE24="",AI24="",AK24=""),"",ROUND(U24*INDEX(_xlfn.SWITCH(Program_Banner,"Business Energy Savings",STDCOMPRESS[Coincident Peak Demand Savings WBE (kW/unit)],"Small Business / Non-Profit",STDCOMPRESS[Coincident Peak Demand Savings HTRB (kW/unit)],0),MATCH(C24,STDCOMPRESS[Measure Name],0)),4))</f>
        <v/>
      </c>
      <c r="BJ24" s="778" t="str">
        <f>IFERROR(INDEX(STDCOMPRESS[Measure Life (Years)],MATCH(C24,STDCOMPRESS[Measure Name],0)),"")</f>
        <v/>
      </c>
      <c r="BK24" s="768" t="str">
        <f>IFERROR(IF(OR(C24="",U24="",R24="",AA24="",AE24="",AI24="",AK24=""),"",
ROUND(((1+ELOSS)*((BH24*INDEX(ELECCB[NPV AEC $/kWh],MATCH(BJ24,ELECCB[Year Number],1)))+(BI24*INDEX(ELECCB[NPV ACC $/kW],MATCH(BJ24,ELECCB[Year Number],1))))),2)),0)</f>
        <v/>
      </c>
      <c r="BL24" s="768" t="str">
        <f t="shared" si="2"/>
        <v/>
      </c>
      <c r="BM24" s="768" t="str">
        <f>IF(OR(C24="", U24=""), "", U24 * INDEX(STDCOMPRESS[Incremental Measure Cost ($/Unit)],MATCH(C24,STDCOMPRESS[Measure Name],0)))</f>
        <v/>
      </c>
      <c r="BN24" s="764" t="str">
        <f t="shared" si="3"/>
        <v/>
      </c>
      <c r="BO24" s="764" t="str">
        <f>IFERROR(IF(BM24 &lt;&gt; "", BM24, BL24) / M02S04F06 / AO24, "")</f>
        <v/>
      </c>
      <c r="BP24" s="879"/>
      <c r="BQ24" s="768" t="str">
        <f t="shared" ref="BQ24" si="15">IFERROR(ROUND(U24*AM24, 2), "")</f>
        <v/>
      </c>
      <c r="BR24" s="765"/>
      <c r="BS24" s="765"/>
      <c r="BT24" s="765"/>
      <c r="BU24" s="758" t="str">
        <f t="shared" ref="BU24" si="16">IFERROR(IF(BP24="",IF(AR24 &lt; BQ24, "100% Total Cost", ""), ""), "")</f>
        <v/>
      </c>
      <c r="BV24" s="767" t="str">
        <f t="shared" si="4"/>
        <v/>
      </c>
      <c r="BW24" s="758" t="str">
        <f>IFERROR(IF(OR(C24="",U24="",R24="",AA24="",AE24="",AI24="",AK24=""),"",IF(BY24&lt;&gt;"", SPILLOVERNUMBER, INDEX(STDCOMPRESS[Measure Number],MATCH(C24,STDCOMPRESS[Measure Name],0)))),"Err")</f>
        <v/>
      </c>
      <c r="BX24" s="757" t="str" cm="1">
        <f t="array" ref="BX24">IFERROR(INDEX(_xlfn.SWITCH(Program_Banner,"Business Energy Savings",STDCOMPRESS[Primary Key WBE],"Small Business / Non-Profit",STDCOMPRESS[Primary Key HTRB],0),MATCH(BW24,STDCOMPRESS[Measure Number],0)),"")</f>
        <v/>
      </c>
      <c r="BY24" s="758" t="str">
        <f>IFERROR(IF(OR(C24="",U24="",AA24="",AE24="",AI24="",AK24=""),"",
IF(BP24&gt;0,"",
IF(EXPIRATION&lt;&gt;"",PROJSTATEXP,""))),"")</f>
        <v/>
      </c>
      <c r="BZ24" s="754"/>
      <c r="CA24" s="754"/>
      <c r="CB24" s="754"/>
      <c r="CC24" s="754"/>
    </row>
    <row r="25" spans="1:81" ht="15.95" customHeight="1">
      <c r="A25" s="75"/>
      <c r="B25" s="785"/>
      <c r="C25" s="806"/>
      <c r="D25" s="806"/>
      <c r="E25" s="806"/>
      <c r="F25" s="806"/>
      <c r="G25" s="806"/>
      <c r="H25" s="806"/>
      <c r="I25" s="806"/>
      <c r="J25" s="806"/>
      <c r="K25" s="806"/>
      <c r="L25" s="806"/>
      <c r="M25" s="806"/>
      <c r="N25" s="806"/>
      <c r="O25" s="806"/>
      <c r="P25" s="806"/>
      <c r="Q25" s="806"/>
      <c r="R25" s="899"/>
      <c r="S25" s="899"/>
      <c r="T25" s="899"/>
      <c r="U25" s="802"/>
      <c r="V25" s="802"/>
      <c r="W25" s="806"/>
      <c r="X25" s="806"/>
      <c r="Y25" s="806"/>
      <c r="Z25" s="806"/>
      <c r="AA25" s="806"/>
      <c r="AB25" s="806"/>
      <c r="AC25" s="806"/>
      <c r="AD25" s="806"/>
      <c r="AE25" s="806"/>
      <c r="AF25" s="806"/>
      <c r="AG25" s="806"/>
      <c r="AH25" s="786"/>
      <c r="AI25" s="809"/>
      <c r="AJ25" s="810"/>
      <c r="AK25" s="810"/>
      <c r="AL25" s="812"/>
      <c r="AM25" s="980"/>
      <c r="AN25" s="900"/>
      <c r="AO25" s="818"/>
      <c r="AP25" s="818"/>
      <c r="AQ25" s="818"/>
      <c r="AR25" s="822"/>
      <c r="AS25" s="823"/>
      <c r="AT25" s="823"/>
      <c r="AU25" s="824"/>
      <c r="AV25" s="17"/>
      <c r="AX25" s="774"/>
      <c r="AY25" s="760"/>
      <c r="AZ25" s="760"/>
      <c r="BA25" s="898"/>
      <c r="BB25" s="898"/>
      <c r="BC25" s="774"/>
      <c r="BD25" s="758"/>
      <c r="BE25" s="762"/>
      <c r="BF25" s="762"/>
      <c r="BG25" s="762"/>
      <c r="BH25" s="776"/>
      <c r="BI25" s="776"/>
      <c r="BJ25" s="778"/>
      <c r="BK25" s="768"/>
      <c r="BL25" s="768"/>
      <c r="BM25" s="768"/>
      <c r="BN25" s="764"/>
      <c r="BO25" s="764"/>
      <c r="BP25" s="879"/>
      <c r="BQ25" s="768"/>
      <c r="BR25" s="766"/>
      <c r="BS25" s="766"/>
      <c r="BT25" s="766"/>
      <c r="BU25" s="758"/>
      <c r="BV25" s="768"/>
      <c r="BW25" s="758"/>
      <c r="BX25" s="758"/>
      <c r="BY25" s="758"/>
      <c r="BZ25" s="754"/>
      <c r="CA25" s="754"/>
      <c r="CB25" s="754"/>
      <c r="CC25" s="754"/>
    </row>
    <row r="26" spans="1:81" ht="15.95" customHeight="1">
      <c r="B26" s="785">
        <v>5</v>
      </c>
      <c r="C26" s="806"/>
      <c r="D26" s="806"/>
      <c r="E26" s="806"/>
      <c r="F26" s="806"/>
      <c r="G26" s="806"/>
      <c r="H26" s="806"/>
      <c r="I26" s="806"/>
      <c r="J26" s="806"/>
      <c r="K26" s="806"/>
      <c r="L26" s="806"/>
      <c r="M26" s="806"/>
      <c r="N26" s="806"/>
      <c r="O26" s="806"/>
      <c r="P26" s="806"/>
      <c r="Q26" s="806"/>
      <c r="R26" s="899" t="str">
        <f>IF(C26="","",INDEX(STDCOMPRESS[Current Unit],MATCH(C26,STDCOMPRESS[Measure Name],0)))</f>
        <v/>
      </c>
      <c r="S26" s="899"/>
      <c r="T26" s="899"/>
      <c r="U26" s="802"/>
      <c r="V26" s="802"/>
      <c r="W26" s="806"/>
      <c r="X26" s="806"/>
      <c r="Y26" s="806"/>
      <c r="Z26" s="806"/>
      <c r="AA26" s="806"/>
      <c r="AB26" s="806"/>
      <c r="AC26" s="806"/>
      <c r="AD26" s="806"/>
      <c r="AE26" s="806"/>
      <c r="AF26" s="806"/>
      <c r="AG26" s="806"/>
      <c r="AH26" s="786"/>
      <c r="AI26" s="809"/>
      <c r="AJ26" s="810"/>
      <c r="AK26" s="810"/>
      <c r="AL26" s="812"/>
      <c r="AM26" s="979" t="str" cm="1">
        <f t="array" ref="AM26">IFERROR(IF(C26="","",INDEX(IF(AND(ACTIVEBONUS = TRUE,INDEX(STDCOMPRESS[Bonus Incentive],MATCH(C26,STDCOMPRESS[Measure Name],0))&lt;&gt; ""),STDCOMPRESS[Bonus Incentive],_xlfn.SWITCH(Program_Banner,"Business Energy Savings",STDCOMPRESS[BESP Incentive],"Small Business / Non-Profit",STDCOMPRESS[SBNP Incentive],0)),MATCH(C26,STDCOMPRESS[Measure Name],0))),"")</f>
        <v/>
      </c>
      <c r="AN26" s="924"/>
      <c r="AO26" s="818" t="str">
        <f>IFERROR(IF(OR(C26="",U26="",R26="",AA26="",AE26="",AI26="",AK26=""),"",IF(BD26="Deemed",BH26,IF(BD26="Calculated",BE26,""))),"")</f>
        <v/>
      </c>
      <c r="AP26" s="818"/>
      <c r="AQ26" s="818"/>
      <c r="AR26" s="819" t="str">
        <f>IFERROR(IF(OR(C26="",U26="",R26="",AA26="",AE26="",AI26="",AK26=""),"",IF(BY26&lt;&gt;"",BY26,IF(BP26&gt;0,BP26,ROUND(IF(AO26&lt;=0,0,MIN(BL26,BQ26)),2)))),"")</f>
        <v/>
      </c>
      <c r="AS26" s="820"/>
      <c r="AT26" s="820"/>
      <c r="AU26" s="821"/>
      <c r="AV26" s="17"/>
      <c r="AX26" s="774" t="str">
        <f>IFERROR(IF(OR(C26="",U26="",R26="",AA26="",AE26="",AI26="",AK26=""),"",INDEX(STDCOMPRESS[Current Unit],MATCH(C26,STDCOMPRESS[Measure Name],0))),"Err")</f>
        <v/>
      </c>
      <c r="AY26" s="759" t="str">
        <f t="shared" ref="AY26" si="17">IF(U26="", "", U26)</f>
        <v/>
      </c>
      <c r="AZ26" s="759" t="str">
        <f t="shared" ref="AZ26" si="18">IF(U26="", "", U26)</f>
        <v/>
      </c>
      <c r="BA26" s="898"/>
      <c r="BB26" s="898"/>
      <c r="BC26" s="774" t="str">
        <f>IFERROR(IF(OR(C26="",U26="",R26="",AA26="",AE26="",AI26="",AK26=""),"",INDEX(STDCOMPRESS[End Use],MATCH(C26,STDCOMPRESS[Measure Name],0))),"Err")</f>
        <v/>
      </c>
      <c r="BD26" s="758" t="str">
        <f>IFERROR(IF(OR(C26="",U26="",R26="",AA26="",AE26="",AI26="",AK26=""),"",INDEX(STDCOMPRESS[Reporting Methodology],MATCH(C26,STDCOMPRESS[Measure Name],0))),"Err")</f>
        <v/>
      </c>
      <c r="BE26" s="762"/>
      <c r="BF26" s="762"/>
      <c r="BG26" s="761"/>
      <c r="BH26" s="775" t="str" cm="1">
        <f t="array" ref="BH26">IF(OR(C26="",U26="",R26="",AA26="",AE26="",AI26="",AK26=""),"",ROUND(U26*INDEX(_xlfn.SWITCH(Program_Banner,"Business Energy Savings",STDCOMPRESS[Electric Energy Savings WBE (Annual kWh/unit)],"Small Business / Non-Profit",STDCOMPRESS[Electric Energy Savings HTRB (Annual kWh/unit)],0),MATCH(C26,STDCOMPRESS[Measure Name],0)),4))</f>
        <v/>
      </c>
      <c r="BI26" s="775" t="str" cm="1">
        <f t="array" ref="BI26">IF(OR(C26="",U26="",R26="",AA26="",AE26="",AI26="",AK26=""),"",ROUND(U26*INDEX(_xlfn.SWITCH(Program_Banner,"Business Energy Savings",STDCOMPRESS[Coincident Peak Demand Savings WBE (kW/unit)],"Small Business / Non-Profit",STDCOMPRESS[Coincident Peak Demand Savings HTRB (kW/unit)],0),MATCH(C26,STDCOMPRESS[Measure Name],0)),4))</f>
        <v/>
      </c>
      <c r="BJ26" s="778" t="str">
        <f>IFERROR(INDEX(STDCOMPRESS[Measure Life (Years)],MATCH(C26,STDCOMPRESS[Measure Name],0)),"")</f>
        <v/>
      </c>
      <c r="BK26" s="768" t="str">
        <f>IFERROR(IF(OR(C26="",U26="",R26="",AA26="",AE26="",AI26="",AK26=""),"",
ROUND(((1+ELOSS)*((BH26*INDEX(ELECCB[NPV AEC $/kWh],MATCH(BJ26,ELECCB[Year Number],1)))+(BI26*INDEX(ELECCB[NPV ACC $/kW],MATCH(BJ26,ELECCB[Year Number],1))))),2)),0)</f>
        <v/>
      </c>
      <c r="BL26" s="768" t="str">
        <f t="shared" si="2"/>
        <v/>
      </c>
      <c r="BM26" s="768" t="str">
        <f>IF(OR(C26="", U26=""), "", U26 * INDEX(STDCOMPRESS[Incremental Measure Cost ($/Unit)],MATCH(C26,STDCOMPRESS[Measure Name],0)))</f>
        <v/>
      </c>
      <c r="BN26" s="764" t="str">
        <f t="shared" si="3"/>
        <v/>
      </c>
      <c r="BO26" s="764" t="str">
        <f>IFERROR(IF(BM26 &lt;&gt; "", BM26, BL26) / M02S04F06 / AO26, "")</f>
        <v/>
      </c>
      <c r="BP26" s="879"/>
      <c r="BQ26" s="768" t="str">
        <f t="shared" ref="BQ26" si="19">IFERROR(ROUND(U26*AM26, 2), "")</f>
        <v/>
      </c>
      <c r="BR26" s="765"/>
      <c r="BS26" s="765"/>
      <c r="BT26" s="765"/>
      <c r="BU26" s="758" t="str">
        <f t="shared" ref="BU26" si="20">IFERROR(IF(BP26="",IF(AR26 &lt; BQ26, "100% Total Cost", ""), ""), "")</f>
        <v/>
      </c>
      <c r="BV26" s="767" t="str">
        <f t="shared" si="4"/>
        <v/>
      </c>
      <c r="BW26" s="758" t="str">
        <f>IFERROR(IF(OR(C26="",U26="",R26="",AA26="",AE26="",AI26="",AK26=""),"",IF(BY26&lt;&gt;"", SPILLOVERNUMBER, INDEX(STDCOMPRESS[Measure Number],MATCH(C26,STDCOMPRESS[Measure Name],0)))),"Err")</f>
        <v/>
      </c>
      <c r="BX26" s="757" t="str" cm="1">
        <f t="array" ref="BX26">IFERROR(INDEX(_xlfn.SWITCH(Program_Banner,"Business Energy Savings",STDCOMPRESS[Primary Key WBE],"Small Business / Non-Profit",STDCOMPRESS[Primary Key HTRB],0),MATCH(BW26,STDCOMPRESS[Measure Number],0)),"")</f>
        <v/>
      </c>
      <c r="BY26" s="758" t="str">
        <f>IFERROR(IF(OR(C26="",U26="",AA26="",AE26="",AI26="",AK26=""),"",
IF(BP26&gt;0,"",
IF(EXPIRATION&lt;&gt;"",PROJSTATEXP,""))),"")</f>
        <v/>
      </c>
      <c r="BZ26" s="754"/>
      <c r="CA26" s="754"/>
      <c r="CB26" s="754"/>
      <c r="CC26" s="754"/>
    </row>
    <row r="27" spans="1:81" ht="15.95" customHeight="1">
      <c r="B27" s="785"/>
      <c r="C27" s="806"/>
      <c r="D27" s="806"/>
      <c r="E27" s="806"/>
      <c r="F27" s="806"/>
      <c r="G27" s="806"/>
      <c r="H27" s="806"/>
      <c r="I27" s="806"/>
      <c r="J27" s="806"/>
      <c r="K27" s="806"/>
      <c r="L27" s="806"/>
      <c r="M27" s="806"/>
      <c r="N27" s="806"/>
      <c r="O27" s="806"/>
      <c r="P27" s="806"/>
      <c r="Q27" s="806"/>
      <c r="R27" s="899"/>
      <c r="S27" s="899"/>
      <c r="T27" s="899"/>
      <c r="U27" s="802"/>
      <c r="V27" s="802"/>
      <c r="W27" s="806"/>
      <c r="X27" s="806"/>
      <c r="Y27" s="806"/>
      <c r="Z27" s="806"/>
      <c r="AA27" s="806"/>
      <c r="AB27" s="806"/>
      <c r="AC27" s="806"/>
      <c r="AD27" s="806"/>
      <c r="AE27" s="806"/>
      <c r="AF27" s="806"/>
      <c r="AG27" s="806"/>
      <c r="AH27" s="786"/>
      <c r="AI27" s="809"/>
      <c r="AJ27" s="810"/>
      <c r="AK27" s="810"/>
      <c r="AL27" s="812"/>
      <c r="AM27" s="980"/>
      <c r="AN27" s="900"/>
      <c r="AO27" s="818"/>
      <c r="AP27" s="818"/>
      <c r="AQ27" s="818"/>
      <c r="AR27" s="822"/>
      <c r="AS27" s="823"/>
      <c r="AT27" s="823"/>
      <c r="AU27" s="824"/>
      <c r="AV27" s="17"/>
      <c r="AX27" s="774"/>
      <c r="AY27" s="760"/>
      <c r="AZ27" s="760"/>
      <c r="BA27" s="898"/>
      <c r="BB27" s="898"/>
      <c r="BC27" s="774"/>
      <c r="BD27" s="758"/>
      <c r="BE27" s="762"/>
      <c r="BF27" s="762"/>
      <c r="BG27" s="762"/>
      <c r="BH27" s="776"/>
      <c r="BI27" s="776"/>
      <c r="BJ27" s="778"/>
      <c r="BK27" s="768"/>
      <c r="BL27" s="768"/>
      <c r="BM27" s="768"/>
      <c r="BN27" s="764"/>
      <c r="BO27" s="764"/>
      <c r="BP27" s="879"/>
      <c r="BQ27" s="768"/>
      <c r="BR27" s="766"/>
      <c r="BS27" s="766"/>
      <c r="BT27" s="766"/>
      <c r="BU27" s="758"/>
      <c r="BV27" s="768"/>
      <c r="BW27" s="758"/>
      <c r="BX27" s="758"/>
      <c r="BY27" s="758"/>
      <c r="BZ27" s="754"/>
      <c r="CA27" s="754"/>
      <c r="CB27" s="754"/>
      <c r="CC27" s="754"/>
    </row>
    <row r="28" spans="1:81" ht="15.95" customHeight="1">
      <c r="B28" s="785">
        <v>6</v>
      </c>
      <c r="C28" s="806"/>
      <c r="D28" s="806"/>
      <c r="E28" s="806"/>
      <c r="F28" s="806"/>
      <c r="G28" s="806"/>
      <c r="H28" s="806"/>
      <c r="I28" s="806"/>
      <c r="J28" s="806"/>
      <c r="K28" s="806"/>
      <c r="L28" s="806"/>
      <c r="M28" s="806"/>
      <c r="N28" s="806"/>
      <c r="O28" s="806"/>
      <c r="P28" s="806"/>
      <c r="Q28" s="806"/>
      <c r="R28" s="899" t="str">
        <f>IF(C28="","",INDEX(STDCOMPRESS[Current Unit],MATCH(C28,STDCOMPRESS[Measure Name],0)))</f>
        <v/>
      </c>
      <c r="S28" s="899"/>
      <c r="T28" s="899"/>
      <c r="U28" s="802"/>
      <c r="V28" s="802"/>
      <c r="W28" s="806"/>
      <c r="X28" s="806"/>
      <c r="Y28" s="806"/>
      <c r="Z28" s="806"/>
      <c r="AA28" s="806"/>
      <c r="AB28" s="806"/>
      <c r="AC28" s="806"/>
      <c r="AD28" s="806"/>
      <c r="AE28" s="806"/>
      <c r="AF28" s="806"/>
      <c r="AG28" s="806"/>
      <c r="AH28" s="786"/>
      <c r="AI28" s="809"/>
      <c r="AJ28" s="810"/>
      <c r="AK28" s="810"/>
      <c r="AL28" s="812"/>
      <c r="AM28" s="979" t="str" cm="1">
        <f t="array" ref="AM28">IFERROR(IF(C28="","",INDEX(IF(AND(ACTIVEBONUS = TRUE,INDEX(STDCOMPRESS[Bonus Incentive],MATCH(C28,STDCOMPRESS[Measure Name],0))&lt;&gt; ""),STDCOMPRESS[Bonus Incentive],_xlfn.SWITCH(Program_Banner,"Business Energy Savings",STDCOMPRESS[BESP Incentive],"Small Business / Non-Profit",STDCOMPRESS[SBNP Incentive],0)),MATCH(C28,STDCOMPRESS[Measure Name],0))),"")</f>
        <v/>
      </c>
      <c r="AN28" s="924"/>
      <c r="AO28" s="818" t="str">
        <f>IFERROR(IF(OR(C28="",U28="",R28="",AA28="",AE28="",AI28="",AK28=""),"",IF(BD28="Deemed",BH28,IF(BD28="Calculated",BE28,""))),"")</f>
        <v/>
      </c>
      <c r="AP28" s="818"/>
      <c r="AQ28" s="818"/>
      <c r="AR28" s="819" t="str">
        <f>IFERROR(IF(OR(C28="",U28="",R28="",AA28="",AE28="",AI28="",AK28=""),"",IF(BY28&lt;&gt;"",BY28,IF(BP28&gt;0,BP28,ROUND(IF(AO28&lt;=0,0,MIN(BL28,BQ28)),2)))),"")</f>
        <v/>
      </c>
      <c r="AS28" s="820"/>
      <c r="AT28" s="820"/>
      <c r="AU28" s="821"/>
      <c r="AV28" s="17"/>
      <c r="AX28" s="774" t="str">
        <f>IFERROR(IF(OR(C28="",U28="",R28="",AA28="",AE28="",AI28="",AK28=""),"",INDEX(STDCOMPRESS[Current Unit],MATCH(C28,STDCOMPRESS[Measure Name],0))),"Err")</f>
        <v/>
      </c>
      <c r="AY28" s="759" t="str">
        <f t="shared" ref="AY28" si="21">IF(U28="", "", U28)</f>
        <v/>
      </c>
      <c r="AZ28" s="759" t="str">
        <f t="shared" ref="AZ28" si="22">IF(U28="", "", U28)</f>
        <v/>
      </c>
      <c r="BA28" s="898"/>
      <c r="BB28" s="898"/>
      <c r="BC28" s="774" t="str">
        <f>IFERROR(IF(OR(C28="",U28="",R28="",AA28="",AE28="",AI28="",AK28=""),"",INDEX(STDCOMPRESS[End Use],MATCH(C28,STDCOMPRESS[Measure Name],0))),"Err")</f>
        <v/>
      </c>
      <c r="BD28" s="758" t="str">
        <f>IFERROR(IF(OR(C28="",U28="",R28="",AA28="",AE28="",AI28="",AK28=""),"",INDEX(STDCOMPRESS[Reporting Methodology],MATCH(C28,STDCOMPRESS[Measure Name],0))),"Err")</f>
        <v/>
      </c>
      <c r="BE28" s="762"/>
      <c r="BF28" s="762"/>
      <c r="BG28" s="761"/>
      <c r="BH28" s="775" t="str" cm="1">
        <f t="array" ref="BH28">IF(OR(C28="",U28="",R28="",AA28="",AE28="",AI28="",AK28=""),"",ROUND(U28*INDEX(_xlfn.SWITCH(Program_Banner,"Business Energy Savings",STDCOMPRESS[Electric Energy Savings WBE (Annual kWh/unit)],"Small Business / Non-Profit",STDCOMPRESS[Electric Energy Savings HTRB (Annual kWh/unit)],0),MATCH(C28,STDCOMPRESS[Measure Name],0)),4))</f>
        <v/>
      </c>
      <c r="BI28" s="775" t="str" cm="1">
        <f t="array" ref="BI28">IF(OR(C28="",U28="",R28="",AA28="",AE28="",AI28="",AK28=""),"",ROUND(U28*INDEX(_xlfn.SWITCH(Program_Banner,"Business Energy Savings",STDCOMPRESS[Coincident Peak Demand Savings WBE (kW/unit)],"Small Business / Non-Profit",STDCOMPRESS[Coincident Peak Demand Savings HTRB (kW/unit)],0),MATCH(C28,STDCOMPRESS[Measure Name],0)),4))</f>
        <v/>
      </c>
      <c r="BJ28" s="778" t="str">
        <f>IFERROR(INDEX(STDCOMPRESS[Measure Life (Years)],MATCH(C28,STDCOMPRESS[Measure Name],0)),"")</f>
        <v/>
      </c>
      <c r="BK28" s="768" t="str">
        <f>IFERROR(IF(OR(C28="",U28="",R28="",AA28="",AE28="",AI28="",AK28=""),"",
ROUND(((1+ELOSS)*((BH28*INDEX(ELECCB[NPV AEC $/kWh],MATCH(BJ28,ELECCB[Year Number],1)))+(BI28*INDEX(ELECCB[NPV ACC $/kW],MATCH(BJ28,ELECCB[Year Number],1))))),2)),0)</f>
        <v/>
      </c>
      <c r="BL28" s="768" t="str">
        <f t="shared" si="2"/>
        <v/>
      </c>
      <c r="BM28" s="768" t="str">
        <f>IF(OR(C28="", U28=""), "", U28 * INDEX(STDCOMPRESS[Incremental Measure Cost ($/Unit)],MATCH(C28,STDCOMPRESS[Measure Name],0)))</f>
        <v/>
      </c>
      <c r="BN28" s="764" t="str">
        <f t="shared" si="3"/>
        <v/>
      </c>
      <c r="BO28" s="764" t="str">
        <f>IFERROR(IF(BM28 &lt;&gt; "", BM28, BL28) / M02S04F06 / AO28, "")</f>
        <v/>
      </c>
      <c r="BP28" s="879"/>
      <c r="BQ28" s="768" t="str">
        <f t="shared" ref="BQ28" si="23">IFERROR(ROUND(U28*AM28, 2), "")</f>
        <v/>
      </c>
      <c r="BR28" s="765"/>
      <c r="BS28" s="765"/>
      <c r="BT28" s="765"/>
      <c r="BU28" s="758" t="str">
        <f t="shared" ref="BU28" si="24">IFERROR(IF(BP28="",IF(AR28 &lt; BQ28, "100% Total Cost", ""), ""), "")</f>
        <v/>
      </c>
      <c r="BV28" s="767" t="str">
        <f t="shared" si="4"/>
        <v/>
      </c>
      <c r="BW28" s="758" t="str">
        <f>IFERROR(IF(OR(C28="",U28="",R28="",AA28="",AE28="",AI28="",AK28=""),"",IF(BY28&lt;&gt;"", SPILLOVERNUMBER, INDEX(STDCOMPRESS[Measure Number],MATCH(C28,STDCOMPRESS[Measure Name],0)))),"Err")</f>
        <v/>
      </c>
      <c r="BX28" s="757" t="str" cm="1">
        <f t="array" ref="BX28">IFERROR(INDEX(_xlfn.SWITCH(Program_Banner,"Business Energy Savings",STDCOMPRESS[Primary Key WBE],"Small Business / Non-Profit",STDCOMPRESS[Primary Key HTRB],0),MATCH(BW28,STDCOMPRESS[Measure Number],0)),"")</f>
        <v/>
      </c>
      <c r="BY28" s="758" t="str">
        <f>IFERROR(IF(OR(C28="",U28="",AA28="",AE28="",AI28="",AK28=""),"",
IF(BP28&gt;0,"",
IF(EXPIRATION&lt;&gt;"",PROJSTATEXP,""))),"")</f>
        <v/>
      </c>
      <c r="BZ28" s="754"/>
      <c r="CA28" s="754"/>
      <c r="CB28" s="754"/>
      <c r="CC28" s="754"/>
    </row>
    <row r="29" spans="1:81" ht="15.95" customHeight="1">
      <c r="B29" s="785"/>
      <c r="C29" s="806"/>
      <c r="D29" s="806"/>
      <c r="E29" s="806"/>
      <c r="F29" s="806"/>
      <c r="G29" s="806"/>
      <c r="H29" s="806"/>
      <c r="I29" s="806"/>
      <c r="J29" s="806"/>
      <c r="K29" s="806"/>
      <c r="L29" s="806"/>
      <c r="M29" s="806"/>
      <c r="N29" s="806"/>
      <c r="O29" s="806"/>
      <c r="P29" s="806"/>
      <c r="Q29" s="806"/>
      <c r="R29" s="899"/>
      <c r="S29" s="899"/>
      <c r="T29" s="899"/>
      <c r="U29" s="802"/>
      <c r="V29" s="802"/>
      <c r="W29" s="806"/>
      <c r="X29" s="806"/>
      <c r="Y29" s="806"/>
      <c r="Z29" s="806"/>
      <c r="AA29" s="806"/>
      <c r="AB29" s="806"/>
      <c r="AC29" s="806"/>
      <c r="AD29" s="806"/>
      <c r="AE29" s="806"/>
      <c r="AF29" s="806"/>
      <c r="AG29" s="806"/>
      <c r="AH29" s="786"/>
      <c r="AI29" s="809"/>
      <c r="AJ29" s="810"/>
      <c r="AK29" s="810"/>
      <c r="AL29" s="812"/>
      <c r="AM29" s="980"/>
      <c r="AN29" s="900"/>
      <c r="AO29" s="818"/>
      <c r="AP29" s="818"/>
      <c r="AQ29" s="818"/>
      <c r="AR29" s="822"/>
      <c r="AS29" s="823"/>
      <c r="AT29" s="823"/>
      <c r="AU29" s="824"/>
      <c r="AV29" s="17"/>
      <c r="AX29" s="774"/>
      <c r="AY29" s="760"/>
      <c r="AZ29" s="760"/>
      <c r="BA29" s="898"/>
      <c r="BB29" s="898"/>
      <c r="BC29" s="774"/>
      <c r="BD29" s="758"/>
      <c r="BE29" s="762"/>
      <c r="BF29" s="762"/>
      <c r="BG29" s="762"/>
      <c r="BH29" s="776"/>
      <c r="BI29" s="776"/>
      <c r="BJ29" s="778"/>
      <c r="BK29" s="768"/>
      <c r="BL29" s="768"/>
      <c r="BM29" s="768"/>
      <c r="BN29" s="764"/>
      <c r="BO29" s="764"/>
      <c r="BP29" s="879"/>
      <c r="BQ29" s="768"/>
      <c r="BR29" s="766"/>
      <c r="BS29" s="766"/>
      <c r="BT29" s="766"/>
      <c r="BU29" s="758"/>
      <c r="BV29" s="768"/>
      <c r="BW29" s="758"/>
      <c r="BX29" s="758"/>
      <c r="BY29" s="758"/>
      <c r="BZ29" s="754"/>
      <c r="CA29" s="754"/>
      <c r="CB29" s="754"/>
      <c r="CC29" s="754"/>
    </row>
    <row r="30" spans="1:81" ht="15.95" customHeight="1">
      <c r="B30" s="785">
        <v>7</v>
      </c>
      <c r="C30" s="806"/>
      <c r="D30" s="806"/>
      <c r="E30" s="806"/>
      <c r="F30" s="806"/>
      <c r="G30" s="806"/>
      <c r="H30" s="806"/>
      <c r="I30" s="806"/>
      <c r="J30" s="806"/>
      <c r="K30" s="806"/>
      <c r="L30" s="806"/>
      <c r="M30" s="806"/>
      <c r="N30" s="806"/>
      <c r="O30" s="806"/>
      <c r="P30" s="806"/>
      <c r="Q30" s="806"/>
      <c r="R30" s="899" t="str">
        <f>IF(C30="","",INDEX(STDCOMPRESS[Current Unit],MATCH(C30,STDCOMPRESS[Measure Name],0)))</f>
        <v/>
      </c>
      <c r="S30" s="899"/>
      <c r="T30" s="899"/>
      <c r="U30" s="802"/>
      <c r="V30" s="802"/>
      <c r="W30" s="806"/>
      <c r="X30" s="806"/>
      <c r="Y30" s="806"/>
      <c r="Z30" s="806"/>
      <c r="AA30" s="806"/>
      <c r="AB30" s="806"/>
      <c r="AC30" s="806"/>
      <c r="AD30" s="806"/>
      <c r="AE30" s="806"/>
      <c r="AF30" s="806"/>
      <c r="AG30" s="806"/>
      <c r="AH30" s="786"/>
      <c r="AI30" s="809"/>
      <c r="AJ30" s="810"/>
      <c r="AK30" s="810"/>
      <c r="AL30" s="812"/>
      <c r="AM30" s="979" t="str" cm="1">
        <f t="array" ref="AM30">IFERROR(IF(C30="","",INDEX(IF(AND(ACTIVEBONUS = TRUE,INDEX(STDCOMPRESS[Bonus Incentive],MATCH(C30,STDCOMPRESS[Measure Name],0))&lt;&gt; ""),STDCOMPRESS[Bonus Incentive],_xlfn.SWITCH(Program_Banner,"Business Energy Savings",STDCOMPRESS[BESP Incentive],"Small Business / Non-Profit",STDCOMPRESS[SBNP Incentive],0)),MATCH(C30,STDCOMPRESS[Measure Name],0))),"")</f>
        <v/>
      </c>
      <c r="AN30" s="924"/>
      <c r="AO30" s="818" t="str">
        <f>IFERROR(IF(OR(C30="",U30="",R30="",AA30="",AE30="",AI30="",AK30=""),"",IF(BD30="Deemed",BH30,IF(BD30="Calculated",BE30,""))),"")</f>
        <v/>
      </c>
      <c r="AP30" s="818"/>
      <c r="AQ30" s="818"/>
      <c r="AR30" s="819" t="str">
        <f>IFERROR(IF(OR(C30="",U30="",R30="",AA30="",AE30="",AI30="",AK30=""),"",IF(BY30&lt;&gt;"",BY30,IF(BP30&gt;0,BP30,ROUND(IF(AO30&lt;=0,0,MIN(BL30,BQ30)),2)))),"")</f>
        <v/>
      </c>
      <c r="AS30" s="820"/>
      <c r="AT30" s="820"/>
      <c r="AU30" s="821"/>
      <c r="AV30" s="17"/>
      <c r="AX30" s="774" t="str">
        <f>IFERROR(IF(OR(C30="",U30="",R30="",AA30="",AE30="",AI30="",AK30=""),"",INDEX(STDCOMPRESS[Current Unit],MATCH(C30,STDCOMPRESS[Measure Name],0))),"Err")</f>
        <v/>
      </c>
      <c r="AY30" s="759" t="str">
        <f t="shared" ref="AY30" si="25">IF(U30="", "", U30)</f>
        <v/>
      </c>
      <c r="AZ30" s="759" t="str">
        <f t="shared" ref="AZ30" si="26">IF(U30="", "", U30)</f>
        <v/>
      </c>
      <c r="BA30" s="898"/>
      <c r="BB30" s="898"/>
      <c r="BC30" s="774" t="str">
        <f>IFERROR(IF(OR(C30="",U30="",R30="",AA30="",AE30="",AI30="",AK30=""),"",INDEX(STDCOMPRESS[End Use],MATCH(C30,STDCOMPRESS[Measure Name],0))),"Err")</f>
        <v/>
      </c>
      <c r="BD30" s="758" t="str">
        <f>IFERROR(IF(OR(C30="",U30="",R30="",AA30="",AE30="",AI30="",AK30=""),"",INDEX(STDCOMPRESS[Reporting Methodology],MATCH(C30,STDCOMPRESS[Measure Name],0))),"Err")</f>
        <v/>
      </c>
      <c r="BE30" s="762"/>
      <c r="BF30" s="762"/>
      <c r="BG30" s="761"/>
      <c r="BH30" s="775" t="str" cm="1">
        <f t="array" ref="BH30">IF(OR(C30="",U30="",R30="",AA30="",AE30="",AI30="",AK30=""),"",ROUND(U30*INDEX(_xlfn.SWITCH(Program_Banner,"Business Energy Savings",STDCOMPRESS[Electric Energy Savings WBE (Annual kWh/unit)],"Small Business / Non-Profit",STDCOMPRESS[Electric Energy Savings HTRB (Annual kWh/unit)],0),MATCH(C30,STDCOMPRESS[Measure Name],0)),4))</f>
        <v/>
      </c>
      <c r="BI30" s="775" t="str" cm="1">
        <f t="array" ref="BI30">IF(OR(C30="",U30="",R30="",AA30="",AE30="",AI30="",AK30=""),"",ROUND(U30*INDEX(_xlfn.SWITCH(Program_Banner,"Business Energy Savings",STDCOMPRESS[Coincident Peak Demand Savings WBE (kW/unit)],"Small Business / Non-Profit",STDCOMPRESS[Coincident Peak Demand Savings HTRB (kW/unit)],0),MATCH(C30,STDCOMPRESS[Measure Name],0)),4))</f>
        <v/>
      </c>
      <c r="BJ30" s="778" t="str">
        <f>IFERROR(INDEX(STDCOMPRESS[Measure Life (Years)],MATCH(C30,STDCOMPRESS[Measure Name],0)),"")</f>
        <v/>
      </c>
      <c r="BK30" s="768" t="str">
        <f>IFERROR(IF(OR(C30="",U30="",R30="",AA30="",AE30="",AI30="",AK30=""),"",
ROUND(((1+ELOSS)*((BH30*INDEX(ELECCB[NPV AEC $/kWh],MATCH(BJ30,ELECCB[Year Number],1)))+(BI30*INDEX(ELECCB[NPV ACC $/kW],MATCH(BJ30,ELECCB[Year Number],1))))),2)),0)</f>
        <v/>
      </c>
      <c r="BL30" s="768" t="str">
        <f t="shared" si="2"/>
        <v/>
      </c>
      <c r="BM30" s="768" t="str">
        <f>IF(OR(C30="", U30=""), "", U30 * INDEX(STDCOMPRESS[Incremental Measure Cost ($/Unit)],MATCH(C30,STDCOMPRESS[Measure Name],0)))</f>
        <v/>
      </c>
      <c r="BN30" s="764" t="str">
        <f t="shared" si="3"/>
        <v/>
      </c>
      <c r="BO30" s="764" t="str">
        <f>IFERROR(IF(BM30 &lt;&gt; "", BM30, BL30) / M02S04F06 / AO30, "")</f>
        <v/>
      </c>
      <c r="BP30" s="879"/>
      <c r="BQ30" s="768" t="str">
        <f t="shared" ref="BQ30" si="27">IFERROR(ROUND(U30*AM30, 2), "")</f>
        <v/>
      </c>
      <c r="BR30" s="765"/>
      <c r="BS30" s="765"/>
      <c r="BT30" s="765"/>
      <c r="BU30" s="758" t="str">
        <f t="shared" ref="BU30" si="28">IFERROR(IF(BP30="",IF(AR30 &lt; BQ30, "100% Total Cost", ""), ""), "")</f>
        <v/>
      </c>
      <c r="BV30" s="767" t="str">
        <f t="shared" si="4"/>
        <v/>
      </c>
      <c r="BW30" s="758" t="str">
        <f>IFERROR(IF(OR(C30="",U30="",R30="",AA30="",AE30="",AI30="",AK30=""),"",IF(BY30&lt;&gt;"", SPILLOVERNUMBER, INDEX(STDCOMPRESS[Measure Number],MATCH(C30,STDCOMPRESS[Measure Name],0)))),"Err")</f>
        <v/>
      </c>
      <c r="BX30" s="757" t="str" cm="1">
        <f t="array" ref="BX30">IFERROR(INDEX(_xlfn.SWITCH(Program_Banner,"Business Energy Savings",STDCOMPRESS[Primary Key WBE],"Small Business / Non-Profit",STDCOMPRESS[Primary Key HTRB],0),MATCH(BW30,STDCOMPRESS[Measure Number],0)),"")</f>
        <v/>
      </c>
      <c r="BY30" s="758" t="str">
        <f>IFERROR(IF(OR(C30="",U30="",AA30="",AE30="",AI30="",AK30=""),"",
IF(BP30&gt;0,"",
IF(EXPIRATION&lt;&gt;"",PROJSTATEXP,""))),"")</f>
        <v/>
      </c>
      <c r="BZ30" s="754"/>
      <c r="CA30" s="754"/>
      <c r="CB30" s="754"/>
      <c r="CC30" s="754"/>
    </row>
    <row r="31" spans="1:81" ht="15.95" customHeight="1">
      <c r="B31" s="785"/>
      <c r="C31" s="806"/>
      <c r="D31" s="806"/>
      <c r="E31" s="806"/>
      <c r="F31" s="806"/>
      <c r="G31" s="806"/>
      <c r="H31" s="806"/>
      <c r="I31" s="806"/>
      <c r="J31" s="806"/>
      <c r="K31" s="806"/>
      <c r="L31" s="806"/>
      <c r="M31" s="806"/>
      <c r="N31" s="806"/>
      <c r="O31" s="806"/>
      <c r="P31" s="806"/>
      <c r="Q31" s="806"/>
      <c r="R31" s="899"/>
      <c r="S31" s="899"/>
      <c r="T31" s="899"/>
      <c r="U31" s="802"/>
      <c r="V31" s="802"/>
      <c r="W31" s="806"/>
      <c r="X31" s="806"/>
      <c r="Y31" s="806"/>
      <c r="Z31" s="806"/>
      <c r="AA31" s="806"/>
      <c r="AB31" s="806"/>
      <c r="AC31" s="806"/>
      <c r="AD31" s="806"/>
      <c r="AE31" s="806"/>
      <c r="AF31" s="806"/>
      <c r="AG31" s="806"/>
      <c r="AH31" s="786"/>
      <c r="AI31" s="809"/>
      <c r="AJ31" s="810"/>
      <c r="AK31" s="810"/>
      <c r="AL31" s="812"/>
      <c r="AM31" s="980"/>
      <c r="AN31" s="900"/>
      <c r="AO31" s="818"/>
      <c r="AP31" s="818"/>
      <c r="AQ31" s="818"/>
      <c r="AR31" s="822"/>
      <c r="AS31" s="823"/>
      <c r="AT31" s="823"/>
      <c r="AU31" s="824"/>
      <c r="AV31" s="17"/>
      <c r="AX31" s="774"/>
      <c r="AY31" s="760"/>
      <c r="AZ31" s="760"/>
      <c r="BA31" s="898"/>
      <c r="BB31" s="898"/>
      <c r="BC31" s="774"/>
      <c r="BD31" s="758"/>
      <c r="BE31" s="762"/>
      <c r="BF31" s="762"/>
      <c r="BG31" s="762"/>
      <c r="BH31" s="776"/>
      <c r="BI31" s="776"/>
      <c r="BJ31" s="778"/>
      <c r="BK31" s="768"/>
      <c r="BL31" s="768"/>
      <c r="BM31" s="768"/>
      <c r="BN31" s="764"/>
      <c r="BO31" s="764"/>
      <c r="BP31" s="879"/>
      <c r="BQ31" s="768"/>
      <c r="BR31" s="766"/>
      <c r="BS31" s="766"/>
      <c r="BT31" s="766"/>
      <c r="BU31" s="758"/>
      <c r="BV31" s="768"/>
      <c r="BW31" s="758"/>
      <c r="BX31" s="758"/>
      <c r="BY31" s="758"/>
      <c r="BZ31" s="754"/>
      <c r="CA31" s="754"/>
      <c r="CB31" s="754"/>
      <c r="CC31" s="754"/>
    </row>
    <row r="32" spans="1:81" ht="15.95" customHeight="1">
      <c r="B32" s="785">
        <v>8</v>
      </c>
      <c r="C32" s="806"/>
      <c r="D32" s="806"/>
      <c r="E32" s="806"/>
      <c r="F32" s="806"/>
      <c r="G32" s="806"/>
      <c r="H32" s="806"/>
      <c r="I32" s="806"/>
      <c r="J32" s="806"/>
      <c r="K32" s="806"/>
      <c r="L32" s="806"/>
      <c r="M32" s="806"/>
      <c r="N32" s="806"/>
      <c r="O32" s="806"/>
      <c r="P32" s="806"/>
      <c r="Q32" s="806"/>
      <c r="R32" s="899" t="str">
        <f>IF(C32="","",INDEX(STDCOMPRESS[Current Unit],MATCH(C32,STDCOMPRESS[Measure Name],0)))</f>
        <v/>
      </c>
      <c r="S32" s="899"/>
      <c r="T32" s="899"/>
      <c r="U32" s="802"/>
      <c r="V32" s="802"/>
      <c r="W32" s="806"/>
      <c r="X32" s="806"/>
      <c r="Y32" s="806"/>
      <c r="Z32" s="806"/>
      <c r="AA32" s="806"/>
      <c r="AB32" s="806"/>
      <c r="AC32" s="806"/>
      <c r="AD32" s="806"/>
      <c r="AE32" s="806"/>
      <c r="AF32" s="806"/>
      <c r="AG32" s="806"/>
      <c r="AH32" s="786"/>
      <c r="AI32" s="809"/>
      <c r="AJ32" s="810"/>
      <c r="AK32" s="810"/>
      <c r="AL32" s="812"/>
      <c r="AM32" s="979" t="str" cm="1">
        <f t="array" ref="AM32">IFERROR(IF(C32="","",INDEX(IF(AND(ACTIVEBONUS = TRUE,INDEX(STDCOMPRESS[Bonus Incentive],MATCH(C32,STDCOMPRESS[Measure Name],0))&lt;&gt; ""),STDCOMPRESS[Bonus Incentive],_xlfn.SWITCH(Program_Banner,"Business Energy Savings",STDCOMPRESS[BESP Incentive],"Small Business / Non-Profit",STDCOMPRESS[SBNP Incentive],0)),MATCH(C32,STDCOMPRESS[Measure Name],0))),"")</f>
        <v/>
      </c>
      <c r="AN32" s="924"/>
      <c r="AO32" s="818" t="str">
        <f>IFERROR(IF(OR(C32="",U32="",R32="",AA32="",AE32="",AI32="",AK32=""),"",IF(BD32="Deemed",BH32,IF(BD32="Calculated",BE32,""))),"")</f>
        <v/>
      </c>
      <c r="AP32" s="818"/>
      <c r="AQ32" s="818"/>
      <c r="AR32" s="819" t="str">
        <f>IFERROR(IF(OR(C32="",U32="",R32="",AA32="",AE32="",AI32="",AK32=""),"",IF(BY32&lt;&gt;"",BY32,IF(BP32&gt;0,BP32,ROUND(IF(AO32&lt;=0,0,MIN(BL32,BQ32)),2)))),"")</f>
        <v/>
      </c>
      <c r="AS32" s="820"/>
      <c r="AT32" s="820"/>
      <c r="AU32" s="821"/>
      <c r="AV32" s="17"/>
      <c r="AX32" s="774" t="str">
        <f>IFERROR(IF(OR(C32="",U32="",R32="",AA32="",AE32="",AI32="",AK32=""),"",INDEX(STDCOMPRESS[Current Unit],MATCH(C32,STDCOMPRESS[Measure Name],0))),"Err")</f>
        <v/>
      </c>
      <c r="AY32" s="759" t="str">
        <f t="shared" ref="AY32" si="29">IF(U32="", "", U32)</f>
        <v/>
      </c>
      <c r="AZ32" s="759" t="str">
        <f t="shared" ref="AZ32" si="30">IF(U32="", "", U32)</f>
        <v/>
      </c>
      <c r="BA32" s="898"/>
      <c r="BB32" s="898"/>
      <c r="BC32" s="774" t="str">
        <f>IFERROR(IF(OR(C32="",U32="",R32="",AA32="",AE32="",AI32="",AK32=""),"",INDEX(STDCOMPRESS[End Use],MATCH(C32,STDCOMPRESS[Measure Name],0))),"Err")</f>
        <v/>
      </c>
      <c r="BD32" s="758" t="str">
        <f>IFERROR(IF(OR(C32="",U32="",R32="",AA32="",AE32="",AI32="",AK32=""),"",INDEX(STDCOMPRESS[Reporting Methodology],MATCH(C32,STDCOMPRESS[Measure Name],0))),"Err")</f>
        <v/>
      </c>
      <c r="BE32" s="762"/>
      <c r="BF32" s="762"/>
      <c r="BG32" s="761"/>
      <c r="BH32" s="775" t="str" cm="1">
        <f t="array" ref="BH32">IF(OR(C32="",U32="",R32="",AA32="",AE32="",AI32="",AK32=""),"",ROUND(U32*INDEX(_xlfn.SWITCH(Program_Banner,"Business Energy Savings",STDCOMPRESS[Electric Energy Savings WBE (Annual kWh/unit)],"Small Business / Non-Profit",STDCOMPRESS[Electric Energy Savings HTRB (Annual kWh/unit)],0),MATCH(C32,STDCOMPRESS[Measure Name],0)),4))</f>
        <v/>
      </c>
      <c r="BI32" s="775" t="str" cm="1">
        <f t="array" ref="BI32">IF(OR(C32="",U32="",R32="",AA32="",AE32="",AI32="",AK32=""),"",ROUND(U32*INDEX(_xlfn.SWITCH(Program_Banner,"Business Energy Savings",STDCOMPRESS[Coincident Peak Demand Savings WBE (kW/unit)],"Small Business / Non-Profit",STDCOMPRESS[Coincident Peak Demand Savings HTRB (kW/unit)],0),MATCH(C32,STDCOMPRESS[Measure Name],0)),4))</f>
        <v/>
      </c>
      <c r="BJ32" s="778" t="str">
        <f>IFERROR(INDEX(STDCOMPRESS[Measure Life (Years)],MATCH(C32,STDCOMPRESS[Measure Name],0)),"")</f>
        <v/>
      </c>
      <c r="BK32" s="768" t="str">
        <f>IFERROR(IF(OR(C32="",U32="",R32="",AA32="",AE32="",AI32="",AK32=""),"",
ROUND(((1+ELOSS)*((BH32*INDEX(ELECCB[NPV AEC $/kWh],MATCH(BJ32,ELECCB[Year Number],1)))+(BI32*INDEX(ELECCB[NPV ACC $/kW],MATCH(BJ32,ELECCB[Year Number],1))))),2)),0)</f>
        <v/>
      </c>
      <c r="BL32" s="768" t="str">
        <f t="shared" si="2"/>
        <v/>
      </c>
      <c r="BM32" s="768" t="str">
        <f>IF(OR(C32="", U32=""), "", U32 * INDEX(STDCOMPRESS[Incremental Measure Cost ($/Unit)],MATCH(C32,STDCOMPRESS[Measure Name],0)))</f>
        <v/>
      </c>
      <c r="BN32" s="764" t="str">
        <f t="shared" si="3"/>
        <v/>
      </c>
      <c r="BO32" s="764" t="str">
        <f>IFERROR(IF(BM32 &lt;&gt; "", BM32, BL32) / M02S04F06 / AO32, "")</f>
        <v/>
      </c>
      <c r="BP32" s="879"/>
      <c r="BQ32" s="768" t="str">
        <f t="shared" ref="BQ32" si="31">IFERROR(ROUND(U32*AM32, 2), "")</f>
        <v/>
      </c>
      <c r="BR32" s="765"/>
      <c r="BS32" s="765"/>
      <c r="BT32" s="765"/>
      <c r="BU32" s="758" t="str">
        <f t="shared" ref="BU32" si="32">IFERROR(IF(BP32="",IF(AR32 &lt; BQ32, "100% Total Cost", ""), ""), "")</f>
        <v/>
      </c>
      <c r="BV32" s="767" t="str">
        <f t="shared" si="4"/>
        <v/>
      </c>
      <c r="BW32" s="758" t="str">
        <f>IFERROR(IF(OR(C32="",U32="",R32="",AA32="",AE32="",AI32="",AK32=""),"",IF(BY32&lt;&gt;"", SPILLOVERNUMBER, INDEX(STDCOMPRESS[Measure Number],MATCH(C32,STDCOMPRESS[Measure Name],0)))),"Err")</f>
        <v/>
      </c>
      <c r="BX32" s="757" t="str" cm="1">
        <f t="array" ref="BX32">IFERROR(INDEX(_xlfn.SWITCH(Program_Banner,"Business Energy Savings",STDCOMPRESS[Primary Key WBE],"Small Business / Non-Profit",STDCOMPRESS[Primary Key HTRB],0),MATCH(BW32,STDCOMPRESS[Measure Number],0)),"")</f>
        <v/>
      </c>
      <c r="BY32" s="758" t="str">
        <f>IFERROR(IF(OR(C32="",U32="",AA32="",AE32="",AI32="",AK32=""),"",
IF(BP32&gt;0,"",
IF(EXPIRATION&lt;&gt;"",PROJSTATEXP,""))),"")</f>
        <v/>
      </c>
      <c r="BZ32" s="754"/>
      <c r="CA32" s="754"/>
      <c r="CB32" s="754"/>
      <c r="CC32" s="754"/>
    </row>
    <row r="33" spans="2:81" ht="15.95" customHeight="1">
      <c r="B33" s="785"/>
      <c r="C33" s="806"/>
      <c r="D33" s="806"/>
      <c r="E33" s="806"/>
      <c r="F33" s="806"/>
      <c r="G33" s="806"/>
      <c r="H33" s="806"/>
      <c r="I33" s="806"/>
      <c r="J33" s="806"/>
      <c r="K33" s="806"/>
      <c r="L33" s="806"/>
      <c r="M33" s="806"/>
      <c r="N33" s="806"/>
      <c r="O33" s="806"/>
      <c r="P33" s="806"/>
      <c r="Q33" s="806"/>
      <c r="R33" s="899"/>
      <c r="S33" s="899"/>
      <c r="T33" s="899"/>
      <c r="U33" s="802"/>
      <c r="V33" s="802"/>
      <c r="W33" s="806"/>
      <c r="X33" s="806"/>
      <c r="Y33" s="806"/>
      <c r="Z33" s="806"/>
      <c r="AA33" s="806"/>
      <c r="AB33" s="806"/>
      <c r="AC33" s="806"/>
      <c r="AD33" s="806"/>
      <c r="AE33" s="806"/>
      <c r="AF33" s="806"/>
      <c r="AG33" s="806"/>
      <c r="AH33" s="786"/>
      <c r="AI33" s="809"/>
      <c r="AJ33" s="810"/>
      <c r="AK33" s="810"/>
      <c r="AL33" s="812"/>
      <c r="AM33" s="980"/>
      <c r="AN33" s="900"/>
      <c r="AO33" s="818"/>
      <c r="AP33" s="818"/>
      <c r="AQ33" s="818"/>
      <c r="AR33" s="822"/>
      <c r="AS33" s="823"/>
      <c r="AT33" s="823"/>
      <c r="AU33" s="824"/>
      <c r="AV33" s="17"/>
      <c r="AX33" s="774"/>
      <c r="AY33" s="760"/>
      <c r="AZ33" s="760"/>
      <c r="BA33" s="898"/>
      <c r="BB33" s="898"/>
      <c r="BC33" s="774"/>
      <c r="BD33" s="758"/>
      <c r="BE33" s="762"/>
      <c r="BF33" s="762"/>
      <c r="BG33" s="762"/>
      <c r="BH33" s="776"/>
      <c r="BI33" s="776"/>
      <c r="BJ33" s="778"/>
      <c r="BK33" s="768"/>
      <c r="BL33" s="768"/>
      <c r="BM33" s="768"/>
      <c r="BN33" s="764"/>
      <c r="BO33" s="764"/>
      <c r="BP33" s="879"/>
      <c r="BQ33" s="768"/>
      <c r="BR33" s="766"/>
      <c r="BS33" s="766"/>
      <c r="BT33" s="766"/>
      <c r="BU33" s="758"/>
      <c r="BV33" s="768"/>
      <c r="BW33" s="758"/>
      <c r="BX33" s="758"/>
      <c r="BY33" s="758"/>
      <c r="BZ33" s="754"/>
      <c r="CA33" s="754"/>
      <c r="CB33" s="754"/>
      <c r="CC33" s="754"/>
    </row>
    <row r="34" spans="2:81" ht="15.95" customHeight="1">
      <c r="B34" s="785">
        <v>9</v>
      </c>
      <c r="C34" s="806"/>
      <c r="D34" s="806"/>
      <c r="E34" s="806"/>
      <c r="F34" s="806"/>
      <c r="G34" s="806"/>
      <c r="H34" s="806"/>
      <c r="I34" s="806"/>
      <c r="J34" s="806"/>
      <c r="K34" s="806"/>
      <c r="L34" s="806"/>
      <c r="M34" s="806"/>
      <c r="N34" s="806"/>
      <c r="O34" s="806"/>
      <c r="P34" s="806"/>
      <c r="Q34" s="806"/>
      <c r="R34" s="899" t="str">
        <f>IF(C34="","",INDEX(STDCOMPRESS[Current Unit],MATCH(C34,STDCOMPRESS[Measure Name],0)))</f>
        <v/>
      </c>
      <c r="S34" s="899"/>
      <c r="T34" s="899"/>
      <c r="U34" s="802"/>
      <c r="V34" s="802"/>
      <c r="W34" s="806"/>
      <c r="X34" s="806"/>
      <c r="Y34" s="806"/>
      <c r="Z34" s="806"/>
      <c r="AA34" s="806"/>
      <c r="AB34" s="806"/>
      <c r="AC34" s="806"/>
      <c r="AD34" s="806"/>
      <c r="AE34" s="806"/>
      <c r="AF34" s="806"/>
      <c r="AG34" s="806"/>
      <c r="AH34" s="786"/>
      <c r="AI34" s="809"/>
      <c r="AJ34" s="810"/>
      <c r="AK34" s="810"/>
      <c r="AL34" s="812"/>
      <c r="AM34" s="979" t="str" cm="1">
        <f t="array" ref="AM34">IFERROR(IF(C34="","",INDEX(IF(AND(ACTIVEBONUS = TRUE,INDEX(STDCOMPRESS[Bonus Incentive],MATCH(C34,STDCOMPRESS[Measure Name],0))&lt;&gt; ""),STDCOMPRESS[Bonus Incentive],_xlfn.SWITCH(Program_Banner,"Business Energy Savings",STDCOMPRESS[BESP Incentive],"Small Business / Non-Profit",STDCOMPRESS[SBNP Incentive],0)),MATCH(C34,STDCOMPRESS[Measure Name],0))),"")</f>
        <v/>
      </c>
      <c r="AN34" s="924"/>
      <c r="AO34" s="818" t="str">
        <f>IFERROR(IF(OR(C34="",U34="",R34="",AA34="",AE34="",AI34="",AK34=""),"",IF(BD34="Deemed",BH34,IF(BD34="Calculated",BE34,""))),"")</f>
        <v/>
      </c>
      <c r="AP34" s="818"/>
      <c r="AQ34" s="818"/>
      <c r="AR34" s="819" t="str">
        <f>IFERROR(IF(OR(C34="",U34="",R34="",AA34="",AE34="",AI34="",AK34=""),"",IF(BY34&lt;&gt;"",BY34,IF(BP34&gt;0,BP34,ROUND(IF(AO34&lt;=0,0,MIN(BL34,BQ34)),2)))),"")</f>
        <v/>
      </c>
      <c r="AS34" s="820"/>
      <c r="AT34" s="820"/>
      <c r="AU34" s="821"/>
      <c r="AV34" s="17"/>
      <c r="AX34" s="774" t="str">
        <f>IFERROR(IF(OR(C34="",U34="",R34="",AA34="",AE34="",AI34="",AK34=""),"",INDEX(STDCOMPRESS[Current Unit],MATCH(C34,STDCOMPRESS[Measure Name],0))),"Err")</f>
        <v/>
      </c>
      <c r="AY34" s="759" t="str">
        <f t="shared" ref="AY34" si="33">IF(U34="", "", U34)</f>
        <v/>
      </c>
      <c r="AZ34" s="759" t="str">
        <f t="shared" ref="AZ34" si="34">IF(U34="", "", U34)</f>
        <v/>
      </c>
      <c r="BA34" s="898"/>
      <c r="BB34" s="898"/>
      <c r="BC34" s="774" t="str">
        <f>IFERROR(IF(OR(C34="",U34="",R34="",AA34="",AE34="",AI34="",AK34=""),"",INDEX(STDCOMPRESS[End Use],MATCH(C34,STDCOMPRESS[Measure Name],0))),"Err")</f>
        <v/>
      </c>
      <c r="BD34" s="758" t="str">
        <f>IFERROR(IF(OR(C34="",U34="",R34="",AA34="",AE34="",AI34="",AK34=""),"",INDEX(STDCOMPRESS[Reporting Methodology],MATCH(C34,STDCOMPRESS[Measure Name],0))),"Err")</f>
        <v/>
      </c>
      <c r="BE34" s="762"/>
      <c r="BF34" s="762"/>
      <c r="BG34" s="761"/>
      <c r="BH34" s="775" t="str" cm="1">
        <f t="array" ref="BH34">IF(OR(C34="",U34="",R34="",AA34="",AE34="",AI34="",AK34=""),"",ROUND(U34*INDEX(_xlfn.SWITCH(Program_Banner,"Business Energy Savings",STDCOMPRESS[Electric Energy Savings WBE (Annual kWh/unit)],"Small Business / Non-Profit",STDCOMPRESS[Electric Energy Savings HTRB (Annual kWh/unit)],0),MATCH(C34,STDCOMPRESS[Measure Name],0)),4))</f>
        <v/>
      </c>
      <c r="BI34" s="775" t="str" cm="1">
        <f t="array" ref="BI34">IF(OR(C34="",U34="",R34="",AA34="",AE34="",AI34="",AK34=""),"",ROUND(U34*INDEX(_xlfn.SWITCH(Program_Banner,"Business Energy Savings",STDCOMPRESS[Coincident Peak Demand Savings WBE (kW/unit)],"Small Business / Non-Profit",STDCOMPRESS[Coincident Peak Demand Savings HTRB (kW/unit)],0),MATCH(C34,STDCOMPRESS[Measure Name],0)),4))</f>
        <v/>
      </c>
      <c r="BJ34" s="778" t="str">
        <f>IFERROR(INDEX(STDCOMPRESS[Measure Life (Years)],MATCH(C34,STDCOMPRESS[Measure Name],0)),"")</f>
        <v/>
      </c>
      <c r="BK34" s="768" t="str">
        <f>IFERROR(IF(OR(C34="",U34="",R34="",AA34="",AE34="",AI34="",AK34=""),"",
ROUND(((1+ELOSS)*((BH34*INDEX(ELECCB[NPV AEC $/kWh],MATCH(BJ34,ELECCB[Year Number],1)))+(BI34*INDEX(ELECCB[NPV ACC $/kW],MATCH(BJ34,ELECCB[Year Number],1))))),2)),0)</f>
        <v/>
      </c>
      <c r="BL34" s="768" t="str">
        <f t="shared" si="2"/>
        <v/>
      </c>
      <c r="BM34" s="768" t="str">
        <f>IF(OR(C34="", U34=""), "", U34 * INDEX(STDCOMPRESS[Incremental Measure Cost ($/Unit)],MATCH(C34,STDCOMPRESS[Measure Name],0)))</f>
        <v/>
      </c>
      <c r="BN34" s="764" t="str">
        <f t="shared" si="3"/>
        <v/>
      </c>
      <c r="BO34" s="764" t="str">
        <f>IFERROR(IF(BM34 &lt;&gt; "", BM34, BL34) / M02S04F06 / AO34, "")</f>
        <v/>
      </c>
      <c r="BP34" s="879"/>
      <c r="BQ34" s="768" t="str">
        <f t="shared" ref="BQ34" si="35">IFERROR(ROUND(U34*AM34, 2), "")</f>
        <v/>
      </c>
      <c r="BR34" s="765"/>
      <c r="BS34" s="765"/>
      <c r="BT34" s="765"/>
      <c r="BU34" s="758" t="str">
        <f t="shared" ref="BU34" si="36">IFERROR(IF(BP34="",IF(AR34 &lt; BQ34, "100% Total Cost", ""), ""), "")</f>
        <v/>
      </c>
      <c r="BV34" s="767" t="str">
        <f t="shared" si="4"/>
        <v/>
      </c>
      <c r="BW34" s="758" t="str">
        <f>IFERROR(IF(OR(C34="",U34="",R34="",AA34="",AE34="",AI34="",AK34=""),"",IF(BY34&lt;&gt;"", SPILLOVERNUMBER, INDEX(STDCOMPRESS[Measure Number],MATCH(C34,STDCOMPRESS[Measure Name],0)))),"Err")</f>
        <v/>
      </c>
      <c r="BX34" s="757" t="str" cm="1">
        <f t="array" ref="BX34">IFERROR(INDEX(_xlfn.SWITCH(Program_Banner,"Business Energy Savings",STDCOMPRESS[Primary Key WBE],"Small Business / Non-Profit",STDCOMPRESS[Primary Key HTRB],0),MATCH(BW34,STDCOMPRESS[Measure Number],0)),"")</f>
        <v/>
      </c>
      <c r="BY34" s="758" t="str">
        <f>IFERROR(IF(OR(C34="",U34="",AA34="",AE34="",AI34="",AK34=""),"",
IF(BP34&gt;0,"",
IF(EXPIRATION&lt;&gt;"",PROJSTATEXP,""))),"")</f>
        <v/>
      </c>
      <c r="BZ34" s="754"/>
      <c r="CA34" s="754"/>
      <c r="CB34" s="754"/>
      <c r="CC34" s="754"/>
    </row>
    <row r="35" spans="2:81" ht="15.95" customHeight="1">
      <c r="B35" s="785"/>
      <c r="C35" s="806"/>
      <c r="D35" s="806"/>
      <c r="E35" s="806"/>
      <c r="F35" s="806"/>
      <c r="G35" s="806"/>
      <c r="H35" s="806"/>
      <c r="I35" s="806"/>
      <c r="J35" s="806"/>
      <c r="K35" s="806"/>
      <c r="L35" s="806"/>
      <c r="M35" s="806"/>
      <c r="N35" s="806"/>
      <c r="O35" s="806"/>
      <c r="P35" s="806"/>
      <c r="Q35" s="806"/>
      <c r="R35" s="899"/>
      <c r="S35" s="899"/>
      <c r="T35" s="899"/>
      <c r="U35" s="802"/>
      <c r="V35" s="802"/>
      <c r="W35" s="806"/>
      <c r="X35" s="806"/>
      <c r="Y35" s="806"/>
      <c r="Z35" s="806"/>
      <c r="AA35" s="806"/>
      <c r="AB35" s="806"/>
      <c r="AC35" s="806"/>
      <c r="AD35" s="806"/>
      <c r="AE35" s="806"/>
      <c r="AF35" s="806"/>
      <c r="AG35" s="806"/>
      <c r="AH35" s="786"/>
      <c r="AI35" s="809"/>
      <c r="AJ35" s="810"/>
      <c r="AK35" s="810"/>
      <c r="AL35" s="812"/>
      <c r="AM35" s="980"/>
      <c r="AN35" s="900"/>
      <c r="AO35" s="818"/>
      <c r="AP35" s="818"/>
      <c r="AQ35" s="818"/>
      <c r="AR35" s="822"/>
      <c r="AS35" s="823"/>
      <c r="AT35" s="823"/>
      <c r="AU35" s="824"/>
      <c r="AV35" s="17"/>
      <c r="AX35" s="774"/>
      <c r="AY35" s="760"/>
      <c r="AZ35" s="760"/>
      <c r="BA35" s="898"/>
      <c r="BB35" s="898"/>
      <c r="BC35" s="774"/>
      <c r="BD35" s="758"/>
      <c r="BE35" s="762"/>
      <c r="BF35" s="762"/>
      <c r="BG35" s="762"/>
      <c r="BH35" s="776"/>
      <c r="BI35" s="776"/>
      <c r="BJ35" s="778"/>
      <c r="BK35" s="768"/>
      <c r="BL35" s="768"/>
      <c r="BM35" s="768"/>
      <c r="BN35" s="764"/>
      <c r="BO35" s="764"/>
      <c r="BP35" s="879"/>
      <c r="BQ35" s="768"/>
      <c r="BR35" s="766"/>
      <c r="BS35" s="766"/>
      <c r="BT35" s="766"/>
      <c r="BU35" s="758"/>
      <c r="BV35" s="768"/>
      <c r="BW35" s="758"/>
      <c r="BX35" s="758"/>
      <c r="BY35" s="758"/>
      <c r="BZ35" s="754"/>
      <c r="CA35" s="754"/>
      <c r="CB35" s="754"/>
      <c r="CC35" s="754"/>
    </row>
    <row r="36" spans="2:81" ht="15.95" customHeight="1">
      <c r="B36" s="785">
        <v>10</v>
      </c>
      <c r="C36" s="806"/>
      <c r="D36" s="806"/>
      <c r="E36" s="806"/>
      <c r="F36" s="806"/>
      <c r="G36" s="806"/>
      <c r="H36" s="806"/>
      <c r="I36" s="806"/>
      <c r="J36" s="806"/>
      <c r="K36" s="806"/>
      <c r="L36" s="806"/>
      <c r="M36" s="806"/>
      <c r="N36" s="806"/>
      <c r="O36" s="806"/>
      <c r="P36" s="806"/>
      <c r="Q36" s="806"/>
      <c r="R36" s="899" t="str">
        <f>IF(C36="","",INDEX(STDCOMPRESS[Current Unit],MATCH(C36,STDCOMPRESS[Measure Name],0)))</f>
        <v/>
      </c>
      <c r="S36" s="899"/>
      <c r="T36" s="899"/>
      <c r="U36" s="802"/>
      <c r="V36" s="802"/>
      <c r="W36" s="806"/>
      <c r="X36" s="806"/>
      <c r="Y36" s="806"/>
      <c r="Z36" s="806"/>
      <c r="AA36" s="806"/>
      <c r="AB36" s="806"/>
      <c r="AC36" s="806"/>
      <c r="AD36" s="806"/>
      <c r="AE36" s="806"/>
      <c r="AF36" s="806"/>
      <c r="AG36" s="806"/>
      <c r="AH36" s="786"/>
      <c r="AI36" s="809"/>
      <c r="AJ36" s="810"/>
      <c r="AK36" s="810"/>
      <c r="AL36" s="812"/>
      <c r="AM36" s="979" t="str" cm="1">
        <f t="array" ref="AM36">IFERROR(IF(C36="","",INDEX(IF(AND(ACTIVEBONUS = TRUE,INDEX(STDCOMPRESS[Bonus Incentive],MATCH(C36,STDCOMPRESS[Measure Name],0))&lt;&gt; ""),STDCOMPRESS[Bonus Incentive],_xlfn.SWITCH(Program_Banner,"Business Energy Savings",STDCOMPRESS[BESP Incentive],"Small Business / Non-Profit",STDCOMPRESS[SBNP Incentive],0)),MATCH(C36,STDCOMPRESS[Measure Name],0))),"")</f>
        <v/>
      </c>
      <c r="AN36" s="924"/>
      <c r="AO36" s="818" t="str">
        <f>IFERROR(IF(OR(C36="",U36="",R36="",AA36="",AE36="",AI36="",AK36=""),"",IF(BD36="Deemed",BH36,IF(BD36="Calculated",BE36,""))),"")</f>
        <v/>
      </c>
      <c r="AP36" s="818"/>
      <c r="AQ36" s="818"/>
      <c r="AR36" s="819" t="str">
        <f>IFERROR(IF(OR(C36="",U36="",R36="",AA36="",AE36="",AI36="",AK36=""),"",IF(BY36&lt;&gt;"",BY36,IF(BP36&gt;0,BP36,ROUND(IF(AO36&lt;=0,0,MIN(BL36,BQ36)),2)))),"")</f>
        <v/>
      </c>
      <c r="AS36" s="820"/>
      <c r="AT36" s="820"/>
      <c r="AU36" s="821"/>
      <c r="AV36" s="17"/>
      <c r="AX36" s="774" t="str">
        <f>IFERROR(IF(OR(C36="",U36="",R36="",AA36="",AE36="",AI36="",AK36=""),"",INDEX(STDCOMPRESS[Current Unit],MATCH(C36,STDCOMPRESS[Measure Name],0))),"Err")</f>
        <v/>
      </c>
      <c r="AY36" s="759" t="str">
        <f t="shared" ref="AY36" si="37">IF(U36="", "", U36)</f>
        <v/>
      </c>
      <c r="AZ36" s="759" t="str">
        <f t="shared" ref="AZ36" si="38">IF(U36="", "", U36)</f>
        <v/>
      </c>
      <c r="BA36" s="898"/>
      <c r="BB36" s="898"/>
      <c r="BC36" s="774" t="str">
        <f>IFERROR(IF(OR(C36="",U36="",R36="",AA36="",AE36="",AI36="",AK36=""),"",INDEX(STDCOMPRESS[End Use],MATCH(C36,STDCOMPRESS[Measure Name],0))),"Err")</f>
        <v/>
      </c>
      <c r="BD36" s="758" t="str">
        <f>IFERROR(IF(OR(C36="",U36="",R36="",AA36="",AE36="",AI36="",AK36=""),"",INDEX(STDCOMPRESS[Reporting Methodology],MATCH(C36,STDCOMPRESS[Measure Name],0))),"Err")</f>
        <v/>
      </c>
      <c r="BE36" s="762"/>
      <c r="BF36" s="762"/>
      <c r="BG36" s="761"/>
      <c r="BH36" s="775" t="str" cm="1">
        <f t="array" ref="BH36">IF(OR(C36="",U36="",R36="",AA36="",AE36="",AI36="",AK36=""),"",ROUND(U36*INDEX(_xlfn.SWITCH(Program_Banner,"Business Energy Savings",STDCOMPRESS[Electric Energy Savings WBE (Annual kWh/unit)],"Small Business / Non-Profit",STDCOMPRESS[Electric Energy Savings HTRB (Annual kWh/unit)],0),MATCH(C36,STDCOMPRESS[Measure Name],0)),4))</f>
        <v/>
      </c>
      <c r="BI36" s="775" t="str" cm="1">
        <f t="array" ref="BI36">IF(OR(C36="",U36="",R36="",AA36="",AE36="",AI36="",AK36=""),"",ROUND(U36*INDEX(_xlfn.SWITCH(Program_Banner,"Business Energy Savings",STDCOMPRESS[Coincident Peak Demand Savings WBE (kW/unit)],"Small Business / Non-Profit",STDCOMPRESS[Coincident Peak Demand Savings HTRB (kW/unit)],0),MATCH(C36,STDCOMPRESS[Measure Name],0)),4))</f>
        <v/>
      </c>
      <c r="BJ36" s="778" t="str">
        <f>IFERROR(INDEX(STDCOMPRESS[Measure Life (Years)],MATCH(C36,STDCOMPRESS[Measure Name],0)),"")</f>
        <v/>
      </c>
      <c r="BK36" s="768" t="str">
        <f>IFERROR(IF(OR(C36="",U36="",R36="",AA36="",AE36="",AI36="",AK36=""),"",
ROUND(((1+ELOSS)*((BH36*INDEX(ELECCB[NPV AEC $/kWh],MATCH(BJ36,ELECCB[Year Number],1)))+(BI36*INDEX(ELECCB[NPV ACC $/kW],MATCH(BJ36,ELECCB[Year Number],1))))),2)),0)</f>
        <v/>
      </c>
      <c r="BL36" s="768" t="str">
        <f t="shared" si="2"/>
        <v/>
      </c>
      <c r="BM36" s="768" t="str">
        <f>IF(OR(C36="", U36=""), "", U36 * INDEX(STDCOMPRESS[Incremental Measure Cost ($/Unit)],MATCH(C36,STDCOMPRESS[Measure Name],0)))</f>
        <v/>
      </c>
      <c r="BN36" s="764" t="str">
        <f t="shared" si="3"/>
        <v/>
      </c>
      <c r="BO36" s="764" t="str">
        <f>IFERROR(IF(BM36 &lt;&gt; "", BM36, BL36) / M02S04F06 / AO36, "")</f>
        <v/>
      </c>
      <c r="BP36" s="879"/>
      <c r="BQ36" s="768" t="str">
        <f t="shared" ref="BQ36" si="39">IFERROR(ROUND(U36*AM36, 2), "")</f>
        <v/>
      </c>
      <c r="BR36" s="765"/>
      <c r="BS36" s="765"/>
      <c r="BT36" s="765"/>
      <c r="BU36" s="758" t="str">
        <f t="shared" ref="BU36" si="40">IFERROR(IF(BP36="",IF(AR36 &lt; BQ36, "100% Total Cost", ""), ""), "")</f>
        <v/>
      </c>
      <c r="BV36" s="767" t="str">
        <f t="shared" si="4"/>
        <v/>
      </c>
      <c r="BW36" s="758" t="str">
        <f>IFERROR(IF(OR(C36="",U36="",R36="",AA36="",AE36="",AI36="",AK36=""),"",IF(BY36&lt;&gt;"", SPILLOVERNUMBER, INDEX(STDCOMPRESS[Measure Number],MATCH(C36,STDCOMPRESS[Measure Name],0)))),"Err")</f>
        <v/>
      </c>
      <c r="BX36" s="757" t="str" cm="1">
        <f t="array" ref="BX36">IFERROR(INDEX(_xlfn.SWITCH(Program_Banner,"Business Energy Savings",STDCOMPRESS[Primary Key WBE],"Small Business / Non-Profit",STDCOMPRESS[Primary Key HTRB],0),MATCH(BW36,STDCOMPRESS[Measure Number],0)),"")</f>
        <v/>
      </c>
      <c r="BY36" s="758" t="str">
        <f>IFERROR(IF(OR(C36="",U36="",AA36="",AE36="",AI36="",AK36=""),"",
IF(BP36&gt;0,"",
IF(EXPIRATION&lt;&gt;"",PROJSTATEXP,""))),"")</f>
        <v/>
      </c>
      <c r="BZ36" s="754"/>
      <c r="CA36" s="754"/>
      <c r="CB36" s="754"/>
      <c r="CC36" s="754"/>
    </row>
    <row r="37" spans="2:81" ht="15.95" customHeight="1">
      <c r="B37" s="785"/>
      <c r="C37" s="806"/>
      <c r="D37" s="806"/>
      <c r="E37" s="806"/>
      <c r="F37" s="806"/>
      <c r="G37" s="806"/>
      <c r="H37" s="806"/>
      <c r="I37" s="806"/>
      <c r="J37" s="806"/>
      <c r="K37" s="806"/>
      <c r="L37" s="806"/>
      <c r="M37" s="806"/>
      <c r="N37" s="806"/>
      <c r="O37" s="806"/>
      <c r="P37" s="806"/>
      <c r="Q37" s="806"/>
      <c r="R37" s="899"/>
      <c r="S37" s="899"/>
      <c r="T37" s="899"/>
      <c r="U37" s="802"/>
      <c r="V37" s="802"/>
      <c r="W37" s="806"/>
      <c r="X37" s="806"/>
      <c r="Y37" s="806"/>
      <c r="Z37" s="806"/>
      <c r="AA37" s="806"/>
      <c r="AB37" s="806"/>
      <c r="AC37" s="806"/>
      <c r="AD37" s="806"/>
      <c r="AE37" s="806"/>
      <c r="AF37" s="806"/>
      <c r="AG37" s="806"/>
      <c r="AH37" s="786"/>
      <c r="AI37" s="809"/>
      <c r="AJ37" s="810"/>
      <c r="AK37" s="810"/>
      <c r="AL37" s="812"/>
      <c r="AM37" s="980"/>
      <c r="AN37" s="900"/>
      <c r="AO37" s="818"/>
      <c r="AP37" s="818"/>
      <c r="AQ37" s="818"/>
      <c r="AR37" s="822"/>
      <c r="AS37" s="823"/>
      <c r="AT37" s="823"/>
      <c r="AU37" s="824"/>
      <c r="AV37" s="17"/>
      <c r="AX37" s="774"/>
      <c r="AY37" s="760"/>
      <c r="AZ37" s="760"/>
      <c r="BA37" s="898"/>
      <c r="BB37" s="898"/>
      <c r="BC37" s="774"/>
      <c r="BD37" s="758"/>
      <c r="BE37" s="762"/>
      <c r="BF37" s="762"/>
      <c r="BG37" s="762"/>
      <c r="BH37" s="776"/>
      <c r="BI37" s="776"/>
      <c r="BJ37" s="778"/>
      <c r="BK37" s="768"/>
      <c r="BL37" s="768"/>
      <c r="BM37" s="768"/>
      <c r="BN37" s="764"/>
      <c r="BO37" s="764"/>
      <c r="BP37" s="879"/>
      <c r="BQ37" s="768"/>
      <c r="BR37" s="766"/>
      <c r="BS37" s="766"/>
      <c r="BT37" s="766"/>
      <c r="BU37" s="758"/>
      <c r="BV37" s="768"/>
      <c r="BW37" s="758"/>
      <c r="BX37" s="758"/>
      <c r="BY37" s="758"/>
      <c r="BZ37" s="754"/>
      <c r="CA37" s="754"/>
      <c r="CB37" s="754"/>
      <c r="CC37" s="754"/>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H48" s="26"/>
      <c r="BI48" s="32"/>
    </row>
    <row r="49" spans="60:61" ht="15.95" hidden="1" customHeight="1">
      <c r="BH49" s="26"/>
      <c r="BI49" s="32"/>
    </row>
    <row r="50" spans="60:61" ht="15.95" hidden="1" customHeight="1">
      <c r="BH50" s="26"/>
      <c r="BI50" s="32"/>
    </row>
    <row r="51" spans="60:61" ht="15.95" hidden="1" customHeight="1">
      <c r="BH51" s="26"/>
      <c r="BI51" s="32"/>
    </row>
    <row r="52" spans="60:61" ht="15.95" hidden="1" customHeight="1">
      <c r="BH52" s="26"/>
      <c r="BI52" s="32"/>
    </row>
    <row r="53" spans="60:61" ht="15.95" hidden="1" customHeight="1">
      <c r="BH53" s="26"/>
      <c r="BI53" s="32"/>
    </row>
    <row r="54" spans="60:61" ht="15.95" hidden="1" customHeight="1">
      <c r="BH54" s="26"/>
      <c r="BI54" s="32"/>
    </row>
    <row r="55" spans="60:61" ht="15.95" hidden="1" customHeight="1">
      <c r="BH55" s="26"/>
      <c r="BI55" s="32"/>
    </row>
    <row r="56" spans="60:61" ht="15.95" hidden="1" customHeight="1">
      <c r="BH56" s="26"/>
      <c r="BI56" s="32"/>
    </row>
    <row r="57" spans="60:61" ht="15.95" hidden="1" customHeight="1">
      <c r="BH57" s="26"/>
      <c r="BI57" s="32"/>
    </row>
    <row r="58" spans="60:61" ht="15.95" hidden="1" customHeight="1">
      <c r="BH58" s="26"/>
      <c r="BI58" s="32"/>
    </row>
    <row r="59" spans="60:61" ht="15.95" hidden="1" customHeight="1">
      <c r="BH59" s="26"/>
      <c r="BI59" s="32"/>
    </row>
    <row r="60" spans="60:61" ht="15.95" hidden="1" customHeight="1">
      <c r="BH60" s="26"/>
      <c r="BI60" s="32"/>
    </row>
    <row r="61" spans="60:61" ht="15.95" hidden="1" customHeight="1">
      <c r="BH61" s="26"/>
      <c r="BI61" s="32"/>
    </row>
    <row r="62" spans="60:61" ht="15.95" hidden="1" customHeight="1">
      <c r="BH62" s="26"/>
      <c r="BI62" s="32"/>
    </row>
    <row r="63" spans="60:61" ht="15.95" hidden="1" customHeight="1">
      <c r="BH63" s="26"/>
      <c r="BI63" s="32"/>
    </row>
    <row r="64" spans="60:61" ht="15.95" hidden="1" customHeight="1">
      <c r="BH64" s="26"/>
      <c r="BI64" s="32"/>
    </row>
    <row r="65" spans="60:61" ht="15.95" hidden="1" customHeight="1">
      <c r="BH65" s="26"/>
      <c r="BI65" s="32"/>
    </row>
    <row r="66" spans="60:61" ht="15.95" hidden="1" customHeight="1">
      <c r="BH66" s="26"/>
      <c r="BI66" s="32"/>
    </row>
    <row r="67" spans="60:61" ht="15.95" hidden="1" customHeight="1">
      <c r="BH67" s="26"/>
      <c r="BI67" s="32"/>
    </row>
    <row r="68" spans="60:61" ht="15.95" hidden="1" customHeight="1">
      <c r="BH68" s="26"/>
      <c r="BI68" s="32"/>
    </row>
    <row r="69" spans="60:61" ht="15.95" hidden="1" customHeight="1">
      <c r="BH69" s="26"/>
      <c r="BI69" s="32"/>
    </row>
    <row r="70" spans="60:61" ht="15.95" hidden="1" customHeight="1">
      <c r="BH70" s="26"/>
      <c r="BI70" s="32"/>
    </row>
    <row r="71" spans="60:61" ht="15.95" hidden="1" customHeight="1">
      <c r="BH71" s="26"/>
      <c r="BI71" s="32"/>
    </row>
    <row r="72" spans="60:61" ht="15.95" hidden="1" customHeight="1">
      <c r="BH72" s="26"/>
      <c r="BI72" s="32"/>
    </row>
    <row r="73" spans="60:61" ht="15.95" hidden="1" customHeight="1">
      <c r="BH73" s="26"/>
      <c r="BI73" s="32"/>
    </row>
    <row r="74" spans="60:61" ht="15.95" hidden="1" customHeight="1">
      <c r="BH74" s="26"/>
      <c r="BI74" s="32"/>
    </row>
    <row r="75" spans="60:61" ht="15.95" hidden="1" customHeight="1">
      <c r="BH75" s="26"/>
      <c r="BI75" s="32"/>
    </row>
    <row r="76" spans="60:61" ht="15.95" hidden="1" customHeight="1">
      <c r="BH76" s="26"/>
      <c r="BI76" s="32"/>
    </row>
    <row r="77" spans="60:61" ht="15.95" hidden="1" customHeight="1">
      <c r="BH77" s="26"/>
      <c r="BI77" s="32"/>
    </row>
    <row r="78" spans="60:61" ht="15.95" hidden="1" customHeight="1">
      <c r="BH78" s="26"/>
      <c r="BI78" s="32"/>
    </row>
    <row r="79" spans="60:61" ht="15.95" hidden="1" customHeight="1">
      <c r="BH79" s="26"/>
      <c r="BI79" s="32"/>
    </row>
    <row r="80" spans="60:61" ht="15.95" hidden="1" customHeight="1">
      <c r="BH80" s="26"/>
      <c r="BI80" s="32"/>
    </row>
    <row r="81" spans="60:61" ht="15.95" hidden="1" customHeight="1">
      <c r="BH81" s="26"/>
      <c r="BI81" s="32"/>
    </row>
    <row r="82" spans="60:61" ht="15.95" hidden="1" customHeight="1">
      <c r="BH82" s="26"/>
      <c r="BI82" s="32"/>
    </row>
    <row r="83" spans="60:61" ht="15.95" hidden="1" customHeight="1">
      <c r="BH83" s="26"/>
      <c r="BI83" s="32"/>
    </row>
    <row r="84" spans="60:61" ht="15.95" hidden="1" customHeight="1">
      <c r="BH84" s="26"/>
      <c r="BI84" s="32"/>
    </row>
    <row r="85" spans="60:61" ht="15.95" hidden="1" customHeight="1">
      <c r="BH85" s="26"/>
      <c r="BI85" s="32"/>
    </row>
    <row r="86" spans="60:61" ht="15.95" hidden="1" customHeight="1">
      <c r="BH86" s="26"/>
      <c r="BI86" s="32"/>
    </row>
    <row r="87" spans="60:61" ht="15.95" hidden="1" customHeight="1">
      <c r="BH87" s="26"/>
      <c r="BI87" s="32"/>
    </row>
    <row r="88" spans="60:61" ht="15.95" hidden="1" customHeight="1">
      <c r="BH88" s="26"/>
      <c r="BI88" s="32"/>
    </row>
    <row r="89" spans="60:61" ht="15.95" hidden="1" customHeight="1">
      <c r="BH89" s="26"/>
      <c r="BI89" s="32"/>
    </row>
    <row r="90" spans="60:61" ht="15.95" hidden="1" customHeight="1">
      <c r="BH90" s="26"/>
      <c r="BI90" s="32"/>
    </row>
    <row r="91" spans="60:61" ht="15.95" hidden="1" customHeight="1">
      <c r="BH91" s="26"/>
      <c r="BI91" s="32"/>
    </row>
    <row r="92" spans="60:61" ht="15.95" hidden="1" customHeight="1">
      <c r="BH92" s="26"/>
      <c r="BI92" s="32"/>
    </row>
    <row r="93" spans="60:61" ht="15.95" hidden="1" customHeight="1">
      <c r="BH93" s="26"/>
      <c r="BI93" s="32"/>
    </row>
    <row r="94" spans="60:61" ht="15.95" hidden="1" customHeight="1">
      <c r="BH94" s="26"/>
      <c r="BI94" s="32"/>
    </row>
    <row r="95" spans="60:61" ht="15.95" hidden="1" customHeight="1">
      <c r="BH95" s="26"/>
      <c r="BI95" s="32"/>
    </row>
    <row r="96" spans="60:61" ht="15.95" hidden="1" customHeight="1">
      <c r="BH96" s="26"/>
      <c r="BI96" s="32"/>
    </row>
    <row r="97" spans="60:61" ht="15.95" hidden="1" customHeight="1">
      <c r="BH97" s="26"/>
      <c r="BI97" s="32"/>
    </row>
    <row r="98" spans="60:61" ht="15.95" hidden="1" customHeight="1">
      <c r="BH98" s="26"/>
      <c r="BI98" s="32"/>
    </row>
    <row r="99" spans="60:61" ht="15.95" hidden="1" customHeight="1">
      <c r="BH99" s="26"/>
      <c r="BI99" s="32"/>
    </row>
    <row r="100" spans="60:61" ht="15.95" hidden="1" customHeight="1">
      <c r="BH100" s="26"/>
      <c r="BI100" s="32"/>
    </row>
    <row r="101" spans="60:61" ht="15.95" hidden="1" customHeight="1">
      <c r="BH101" s="26"/>
      <c r="BI101" s="32"/>
    </row>
    <row r="102" spans="60:61" ht="15.95" hidden="1" customHeight="1">
      <c r="BH102" s="26"/>
      <c r="BI102" s="32"/>
    </row>
    <row r="103" spans="60:61" ht="15.95" hidden="1" customHeight="1">
      <c r="BH103" s="26"/>
      <c r="BI103" s="32"/>
    </row>
    <row r="104" spans="60:61" ht="15.95" hidden="1" customHeight="1">
      <c r="BH104" s="26"/>
      <c r="BI104" s="32"/>
    </row>
    <row r="105" spans="60:61" ht="15.95" hidden="1" customHeight="1">
      <c r="BH105" s="26"/>
      <c r="BI105" s="32"/>
    </row>
    <row r="106" spans="60:61" ht="15.95" hidden="1" customHeight="1">
      <c r="BH106" s="26"/>
      <c r="BI106" s="32"/>
    </row>
    <row r="107" spans="60:61" ht="15.95" hidden="1" customHeight="1">
      <c r="BH107" s="26"/>
      <c r="BI107" s="32"/>
    </row>
    <row r="108" spans="60:61" ht="15.95" hidden="1" customHeight="1">
      <c r="BH108" s="26"/>
      <c r="BI108" s="32"/>
    </row>
    <row r="109" spans="60:61" ht="15.95" hidden="1" customHeight="1">
      <c r="BH109" s="26"/>
      <c r="BI109" s="32"/>
    </row>
    <row r="110" spans="60:61" ht="15.95" hidden="1" customHeight="1">
      <c r="BH110" s="26"/>
      <c r="BI110" s="32"/>
    </row>
    <row r="111" spans="60:61" ht="15.95" hidden="1" customHeight="1">
      <c r="BH111" s="26"/>
      <c r="BI111" s="32"/>
    </row>
    <row r="112" spans="60:61" ht="15.95" hidden="1" customHeight="1">
      <c r="BH112" s="26"/>
      <c r="BI112" s="32"/>
    </row>
    <row r="113" spans="60:61" ht="15.95" hidden="1" customHeight="1">
      <c r="BH113" s="26"/>
      <c r="BI113" s="32"/>
    </row>
    <row r="114" spans="60:61" ht="15.95" hidden="1" customHeight="1">
      <c r="BH114" s="26"/>
      <c r="BI114" s="32"/>
    </row>
    <row r="115" spans="60:61" ht="15.95" hidden="1" customHeight="1">
      <c r="BH115" s="26"/>
      <c r="BI115" s="32"/>
    </row>
    <row r="116" spans="60:61" ht="15.95" hidden="1" customHeight="1">
      <c r="BH116" s="26"/>
      <c r="BI116" s="32"/>
    </row>
    <row r="117" spans="60:61" ht="15.95" hidden="1" customHeight="1">
      <c r="BH117" s="26"/>
      <c r="BI117" s="32"/>
    </row>
    <row r="118" spans="60:61" ht="15.95" hidden="1" customHeight="1">
      <c r="BH118" s="26"/>
      <c r="BI118" s="32"/>
    </row>
    <row r="119" spans="60:61" ht="15.95" hidden="1" customHeight="1">
      <c r="BH119" s="26"/>
      <c r="BI119" s="32"/>
    </row>
    <row r="120" spans="60:61" ht="15.95" hidden="1" customHeight="1">
      <c r="BH120" s="26"/>
      <c r="BI120" s="32"/>
    </row>
    <row r="121" spans="60:61" ht="15.95" hidden="1" customHeight="1">
      <c r="BH121" s="26"/>
      <c r="BI121" s="32"/>
    </row>
    <row r="122" spans="60:61" ht="15.95" hidden="1" customHeight="1">
      <c r="BH122" s="26"/>
      <c r="BI122" s="32"/>
    </row>
    <row r="123" spans="60:61" ht="15.95" hidden="1" customHeight="1">
      <c r="BH123" s="26"/>
      <c r="BI123" s="32"/>
    </row>
    <row r="124" spans="60:61" ht="15.95" hidden="1" customHeight="1">
      <c r="BH124" s="26"/>
      <c r="BI124" s="32"/>
    </row>
    <row r="125" spans="60:61" ht="15.95" hidden="1" customHeight="1">
      <c r="BH125" s="26"/>
      <c r="BI125" s="32"/>
    </row>
    <row r="126" spans="60:61" ht="15.95" hidden="1" customHeight="1">
      <c r="BH126" s="26"/>
      <c r="BI126" s="32"/>
    </row>
    <row r="127" spans="60:61" ht="15.95" hidden="1" customHeight="1">
      <c r="BH127" s="26"/>
      <c r="BI127" s="32"/>
    </row>
    <row r="128" spans="60:61" ht="15.95" hidden="1" customHeight="1">
      <c r="BH128" s="26"/>
      <c r="BI128" s="32"/>
    </row>
    <row r="129" spans="60:61" ht="15.95" hidden="1" customHeight="1">
      <c r="BH129" s="26"/>
      <c r="BI129" s="32"/>
    </row>
    <row r="130" spans="60:61" ht="15.95" hidden="1" customHeight="1">
      <c r="BH130" s="26"/>
      <c r="BI130" s="32"/>
    </row>
    <row r="131" spans="60:61" ht="15.95" hidden="1" customHeight="1">
      <c r="BH131" s="26"/>
      <c r="BI131" s="32"/>
    </row>
    <row r="132" spans="60:61" ht="15.95" hidden="1" customHeight="1">
      <c r="BH132" s="26"/>
      <c r="BI132" s="32"/>
    </row>
    <row r="133" spans="60:61" ht="15.95" hidden="1" customHeight="1">
      <c r="BH133" s="26"/>
      <c r="BI133" s="32"/>
    </row>
    <row r="134" spans="60:61" ht="15.95" hidden="1" customHeight="1">
      <c r="BH134" s="26"/>
      <c r="BI134" s="32"/>
    </row>
    <row r="135" spans="60:61" ht="15.95" hidden="1" customHeight="1">
      <c r="BH135" s="26"/>
      <c r="BI135" s="32"/>
    </row>
    <row r="136" spans="60:61" ht="15.95" hidden="1" customHeight="1">
      <c r="BH136" s="26"/>
      <c r="BI136" s="32"/>
    </row>
    <row r="137" spans="60:61" ht="15.95" hidden="1" customHeight="1">
      <c r="BH137" s="26"/>
      <c r="BI137" s="32"/>
    </row>
    <row r="138" spans="60:61" ht="15.95" hidden="1" customHeight="1">
      <c r="BH138" s="26"/>
      <c r="BI138" s="32"/>
    </row>
    <row r="139" spans="60:61" ht="15.95" hidden="1" customHeight="1">
      <c r="BH139" s="26"/>
      <c r="BI139" s="32"/>
    </row>
    <row r="140" spans="60:61" ht="15.95" hidden="1" customHeight="1">
      <c r="BH140" s="26"/>
      <c r="BI140" s="32"/>
    </row>
    <row r="141" spans="60:61" ht="15.95" hidden="1" customHeight="1">
      <c r="BH141" s="26"/>
      <c r="BI141" s="32"/>
    </row>
    <row r="142" spans="60:61" ht="15.95" hidden="1" customHeight="1">
      <c r="BH142" s="26"/>
      <c r="BI142" s="32"/>
    </row>
    <row r="143" spans="60:61" ht="15.95" hidden="1" customHeight="1">
      <c r="BH143" s="26"/>
      <c r="BI143" s="32"/>
    </row>
    <row r="144" spans="60:61" ht="15.95" hidden="1" customHeight="1">
      <c r="BH144" s="26"/>
      <c r="BI144" s="32"/>
    </row>
    <row r="145" spans="60:61" ht="15.95" hidden="1" customHeight="1">
      <c r="BH145" s="26"/>
      <c r="BI145" s="32"/>
    </row>
    <row r="146" spans="60:61" ht="15.95" hidden="1" customHeight="1">
      <c r="BH146" s="26"/>
      <c r="BI146" s="32"/>
    </row>
    <row r="147" spans="60:61" ht="15.95" hidden="1" customHeight="1">
      <c r="BH147" s="26"/>
      <c r="BI147" s="32"/>
    </row>
    <row r="148" spans="60:61" ht="15.95" hidden="1" customHeight="1">
      <c r="BH148" s="26"/>
      <c r="BI148" s="32"/>
    </row>
    <row r="149" spans="60:61" ht="15.95" hidden="1" customHeight="1">
      <c r="BH149" s="26"/>
      <c r="BI149" s="32"/>
    </row>
    <row r="150" spans="60:61" ht="15.95" hidden="1" customHeight="1">
      <c r="BH150" s="26"/>
      <c r="BI150" s="32"/>
    </row>
    <row r="151" spans="60:61" ht="15.95" hidden="1" customHeight="1">
      <c r="BH151" s="26"/>
      <c r="BI151" s="32"/>
    </row>
    <row r="152" spans="60:61" ht="15.95" hidden="1" customHeight="1">
      <c r="BH152" s="26"/>
      <c r="BI152" s="32"/>
    </row>
    <row r="153" spans="60:61" ht="15.95" hidden="1" customHeight="1">
      <c r="BH153" s="26"/>
      <c r="BI153" s="32"/>
    </row>
    <row r="154" spans="60:61" ht="15.95" hidden="1" customHeight="1">
      <c r="BH154" s="26"/>
      <c r="BI154" s="32"/>
    </row>
    <row r="155" spans="60:61" ht="15.95" hidden="1" customHeight="1">
      <c r="BH155" s="26"/>
      <c r="BI155" s="32"/>
    </row>
    <row r="156" spans="60:61" ht="15.95" hidden="1" customHeight="1">
      <c r="BH156" s="26"/>
      <c r="BI156" s="32"/>
    </row>
    <row r="157" spans="60:61" ht="15.95" hidden="1" customHeight="1">
      <c r="BH157" s="26"/>
      <c r="BI157" s="32"/>
    </row>
    <row r="158" spans="60:61" ht="15.95" hidden="1" customHeight="1">
      <c r="BH158" s="26"/>
      <c r="BI158" s="32"/>
    </row>
    <row r="159" spans="60:61" ht="15.95" hidden="1" customHeight="1">
      <c r="BH159" s="26"/>
      <c r="BI159" s="32"/>
    </row>
    <row r="160" spans="60:61" ht="15.95" hidden="1" customHeight="1">
      <c r="BH160" s="26"/>
      <c r="BI160" s="32"/>
    </row>
    <row r="161" spans="60:61" ht="15.95" hidden="1" customHeight="1">
      <c r="BH161" s="26"/>
      <c r="BI161" s="32"/>
    </row>
    <row r="162" spans="60:61" ht="15.95" hidden="1" customHeight="1">
      <c r="BH162" s="26"/>
      <c r="BI162" s="32"/>
    </row>
    <row r="163" spans="60:61" ht="15.95" hidden="1" customHeight="1">
      <c r="BH163" s="26"/>
      <c r="BI163" s="32"/>
    </row>
    <row r="164" spans="60:61" ht="15.95" hidden="1" customHeight="1">
      <c r="BH164" s="26"/>
      <c r="BI164" s="32"/>
    </row>
    <row r="165" spans="60:61" ht="15.95" hidden="1" customHeight="1">
      <c r="BH165" s="26"/>
      <c r="BI165" s="32"/>
    </row>
    <row r="166" spans="60:61" ht="15.95" hidden="1" customHeight="1">
      <c r="BH166" s="26"/>
      <c r="BI166" s="32"/>
    </row>
    <row r="167" spans="60:61" ht="15.95" hidden="1" customHeight="1">
      <c r="BH167" s="26"/>
      <c r="BI167" s="32"/>
    </row>
    <row r="168" spans="60:61" ht="15.95" hidden="1" customHeight="1">
      <c r="BH168" s="26"/>
      <c r="BI168" s="32"/>
    </row>
    <row r="169" spans="60:61" ht="15.95" hidden="1" customHeight="1">
      <c r="BH169" s="26"/>
      <c r="BI169" s="32"/>
    </row>
    <row r="170" spans="60:61" ht="15.95" hidden="1" customHeight="1">
      <c r="BH170" s="26"/>
      <c r="BI170" s="32"/>
    </row>
    <row r="171" spans="60:61" ht="15.95" hidden="1" customHeight="1">
      <c r="BH171" s="26"/>
      <c r="BI171" s="32"/>
    </row>
    <row r="172" spans="60:61" ht="15.95" hidden="1" customHeight="1">
      <c r="BH172" s="26"/>
      <c r="BI172" s="32"/>
    </row>
    <row r="173" spans="60:61" ht="15.95" hidden="1" customHeight="1">
      <c r="BH173" s="26"/>
      <c r="BI173" s="32"/>
    </row>
    <row r="174" spans="60:61" ht="15.95" hidden="1" customHeight="1">
      <c r="BH174" s="26"/>
      <c r="BI174" s="32"/>
    </row>
    <row r="175" spans="60:61" ht="15.95" hidden="1" customHeight="1">
      <c r="BH175" s="26"/>
      <c r="BI175" s="32"/>
    </row>
    <row r="176" spans="60:61" ht="15.95" hidden="1" customHeight="1">
      <c r="BH176" s="26"/>
      <c r="BI176" s="32"/>
    </row>
    <row r="177" spans="60:61" ht="15.95" hidden="1" customHeight="1">
      <c r="BH177" s="26"/>
      <c r="BI177" s="32"/>
    </row>
    <row r="178" spans="60:61" ht="15.95" hidden="1" customHeight="1">
      <c r="BH178" s="26"/>
      <c r="BI178" s="32"/>
    </row>
    <row r="179" spans="60:61" ht="15.95" hidden="1" customHeight="1">
      <c r="BH179" s="26"/>
      <c r="BI179" s="32"/>
    </row>
    <row r="180" spans="60:61" ht="15.95" hidden="1" customHeight="1">
      <c r="BH180" s="26"/>
      <c r="BI180" s="32"/>
    </row>
    <row r="181" spans="60:61" ht="15.95" hidden="1" customHeight="1">
      <c r="BH181" s="26"/>
      <c r="BI181" s="32"/>
    </row>
    <row r="182" spans="60:61" ht="15.95" hidden="1" customHeight="1">
      <c r="BH182" s="26"/>
      <c r="BI182" s="32"/>
    </row>
    <row r="183" spans="60:61" ht="15.95" hidden="1" customHeight="1">
      <c r="BH183" s="26"/>
      <c r="BI183" s="32"/>
    </row>
    <row r="184" spans="60:61" ht="15.95" hidden="1" customHeight="1">
      <c r="BH184" s="26"/>
      <c r="BI184" s="32"/>
    </row>
    <row r="185" spans="60:61" ht="15.95" hidden="1" customHeight="1">
      <c r="BH185" s="26"/>
      <c r="BI185" s="32"/>
    </row>
    <row r="186" spans="60:61" ht="15.95" hidden="1" customHeight="1">
      <c r="BH186" s="26"/>
      <c r="BI186" s="32"/>
    </row>
    <row r="187" spans="60:61" ht="15.95" hidden="1" customHeight="1">
      <c r="BH187" s="26"/>
      <c r="BI187" s="32"/>
    </row>
    <row r="188" spans="60:61" ht="15.95" hidden="1" customHeight="1">
      <c r="BH188" s="26"/>
      <c r="BI188" s="32"/>
    </row>
    <row r="189" spans="60:61" ht="15.95" hidden="1" customHeight="1">
      <c r="BH189" s="26"/>
      <c r="BI189" s="32"/>
    </row>
    <row r="190" spans="60:61" ht="15.95" hidden="1" customHeight="1">
      <c r="BH190" s="26"/>
      <c r="BI190" s="32"/>
    </row>
    <row r="191" spans="60:61" ht="15.95" hidden="1" customHeight="1">
      <c r="BH191" s="26"/>
      <c r="BI191" s="32"/>
    </row>
    <row r="192" spans="60:61" ht="15.95" hidden="1" customHeight="1">
      <c r="BH192" s="26"/>
      <c r="BI192" s="32"/>
    </row>
    <row r="193" spans="1:64" ht="15.95" hidden="1" customHeight="1">
      <c r="BH193" s="26"/>
      <c r="BI193" s="32"/>
    </row>
    <row r="194" spans="1:64" ht="15.95" hidden="1" customHeight="1">
      <c r="BH194" s="26"/>
      <c r="BI194" s="32"/>
    </row>
    <row r="195" spans="1:64" ht="15.95" hidden="1" customHeight="1">
      <c r="BH195" s="26"/>
      <c r="BI195" s="32"/>
    </row>
    <row r="196" spans="1:64" ht="15.95" hidden="1" customHeight="1">
      <c r="BH196" s="26"/>
      <c r="BI196" s="32"/>
    </row>
    <row r="197" spans="1:64" ht="15.95" hidden="1" customHeight="1">
      <c r="BH197" s="26"/>
      <c r="BI197" s="32"/>
    </row>
    <row r="198" spans="1:64" ht="15.95" hidden="1" customHeight="1">
      <c r="BH198" s="26"/>
      <c r="BI198" s="32"/>
    </row>
    <row r="199" spans="1:64" ht="15.95" hidden="1" customHeight="1">
      <c r="BH199" s="26"/>
      <c r="BI199" s="32"/>
    </row>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H200" s="863">
        <f>SUM(BH18:BH199)</f>
        <v>0</v>
      </c>
      <c r="BI200" s="861">
        <f>SUM(BI18:BI199)</f>
        <v>0</v>
      </c>
      <c r="BL200" s="862">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H201" s="863"/>
      <c r="BI201" s="861"/>
      <c r="BL201" s="862"/>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4" ht="15.95" hidden="1" customHeight="1"/>
    <row r="204" spans="1:64" ht="15.95" hidden="1" customHeight="1"/>
  </sheetData>
  <sheetProtection algorithmName="SHA-512" hashValue="owjfYP88mORDG5GDtPltcEgj0LpqeISWucalyX9VaYn2NXMSNGnDWcl7cXMWtFyZQO45X8PQDRXiEimQXIKYUA==" saltValue="bPpUkxJWk9qKakScAy1B+g==" spinCount="100000" sheet="1" objects="1" scenarios="1" selectLockedCells="1"/>
  <mergeCells count="513">
    <mergeCell ref="BX34:BX35"/>
    <mergeCell ref="AY36:AY37"/>
    <mergeCell ref="AZ36:AZ37"/>
    <mergeCell ref="BG36:BG37"/>
    <mergeCell ref="BN36:BN37"/>
    <mergeCell ref="BO36:BO37"/>
    <mergeCell ref="BR36:BR37"/>
    <mergeCell ref="BT36:BT37"/>
    <mergeCell ref="BV36:BV37"/>
    <mergeCell ref="BX36:BX37"/>
    <mergeCell ref="BQ36:BQ37"/>
    <mergeCell ref="BU36:BU37"/>
    <mergeCell ref="BP34:BP35"/>
    <mergeCell ref="BP36:BP37"/>
    <mergeCell ref="BS36:BS37"/>
    <mergeCell ref="BD36:BD37"/>
    <mergeCell ref="BS34:BS35"/>
    <mergeCell ref="BN30:BN31"/>
    <mergeCell ref="BO30:BO31"/>
    <mergeCell ref="BR30:BR31"/>
    <mergeCell ref="BT30:BT31"/>
    <mergeCell ref="BV30:BV31"/>
    <mergeCell ref="BX30:BX31"/>
    <mergeCell ref="AY32:AY33"/>
    <mergeCell ref="AZ32:AZ33"/>
    <mergeCell ref="BG32:BG33"/>
    <mergeCell ref="BN32:BN33"/>
    <mergeCell ref="BO32:BO33"/>
    <mergeCell ref="BR32:BR33"/>
    <mergeCell ref="BT32:BT33"/>
    <mergeCell ref="BV32:BV33"/>
    <mergeCell ref="BX32:BX33"/>
    <mergeCell ref="BP30:BP31"/>
    <mergeCell ref="BP32:BP33"/>
    <mergeCell ref="BS30:BS31"/>
    <mergeCell ref="BS32:BS33"/>
    <mergeCell ref="BD32:BD33"/>
    <mergeCell ref="BW30:BW31"/>
    <mergeCell ref="BQ32:BQ33"/>
    <mergeCell ref="BN26:BN27"/>
    <mergeCell ref="BO26:BO27"/>
    <mergeCell ref="BR26:BR27"/>
    <mergeCell ref="BT26:BT27"/>
    <mergeCell ref="BV26:BV27"/>
    <mergeCell ref="BX26:BX27"/>
    <mergeCell ref="AY28:AY29"/>
    <mergeCell ref="AZ28:AZ29"/>
    <mergeCell ref="BG28:BG29"/>
    <mergeCell ref="BN28:BN29"/>
    <mergeCell ref="BO28:BO29"/>
    <mergeCell ref="BR28:BR29"/>
    <mergeCell ref="BT28:BT29"/>
    <mergeCell ref="BV28:BV29"/>
    <mergeCell ref="BX28:BX29"/>
    <mergeCell ref="BI26:BI27"/>
    <mergeCell ref="BP26:BP27"/>
    <mergeCell ref="BP28:BP29"/>
    <mergeCell ref="BS26:BS27"/>
    <mergeCell ref="BD26:BD27"/>
    <mergeCell ref="BS28:BS29"/>
    <mergeCell ref="BW26:BW27"/>
    <mergeCell ref="BW28:BW29"/>
    <mergeCell ref="BU26:BU27"/>
    <mergeCell ref="BN22:BN23"/>
    <mergeCell ref="BO22:BO23"/>
    <mergeCell ref="BR22:BR23"/>
    <mergeCell ref="BT22:BT23"/>
    <mergeCell ref="BV22:BV23"/>
    <mergeCell ref="BX22:BX23"/>
    <mergeCell ref="AY24:AY25"/>
    <mergeCell ref="AZ24:AZ25"/>
    <mergeCell ref="BG24:BG25"/>
    <mergeCell ref="BN24:BN25"/>
    <mergeCell ref="BO24:BO25"/>
    <mergeCell ref="BR24:BR25"/>
    <mergeCell ref="BT24:BT25"/>
    <mergeCell ref="BV24:BV25"/>
    <mergeCell ref="BX24:BX25"/>
    <mergeCell ref="BC22:BC23"/>
    <mergeCell ref="BC24:BC25"/>
    <mergeCell ref="BP22:BP23"/>
    <mergeCell ref="BP24:BP25"/>
    <mergeCell ref="BW22:BW23"/>
    <mergeCell ref="BU22:BU23"/>
    <mergeCell ref="BU24:BU25"/>
    <mergeCell ref="AY20:AY21"/>
    <mergeCell ref="AZ20:AZ21"/>
    <mergeCell ref="BG20:BG21"/>
    <mergeCell ref="BN20:BN21"/>
    <mergeCell ref="BO20:BO21"/>
    <mergeCell ref="BR20:BR21"/>
    <mergeCell ref="BT20:BT21"/>
    <mergeCell ref="BV20:BV21"/>
    <mergeCell ref="BX20:BX21"/>
    <mergeCell ref="BB20:BB21"/>
    <mergeCell ref="BE20:BE21"/>
    <mergeCell ref="BF20:BF21"/>
    <mergeCell ref="BC20:BC21"/>
    <mergeCell ref="BJ20:BJ21"/>
    <mergeCell ref="BK20:BK21"/>
    <mergeCell ref="BD20:BD21"/>
    <mergeCell ref="BP20:BP21"/>
    <mergeCell ref="BW20:BW21"/>
    <mergeCell ref="BU20:BU21"/>
    <mergeCell ref="BG18:BG19"/>
    <mergeCell ref="BN18:BN19"/>
    <mergeCell ref="BO18:BO19"/>
    <mergeCell ref="BR18:BR19"/>
    <mergeCell ref="BT18:BT19"/>
    <mergeCell ref="BV18:BV19"/>
    <mergeCell ref="BX18:BX19"/>
    <mergeCell ref="BQ18:BQ19"/>
    <mergeCell ref="BJ18:BJ19"/>
    <mergeCell ref="BK18:BK19"/>
    <mergeCell ref="BP18:BP19"/>
    <mergeCell ref="BG16:BG17"/>
    <mergeCell ref="BN16:BN17"/>
    <mergeCell ref="BO16:BO17"/>
    <mergeCell ref="BR16:BR17"/>
    <mergeCell ref="BT16:BT17"/>
    <mergeCell ref="BV16:BV17"/>
    <mergeCell ref="BX16:BX17"/>
    <mergeCell ref="BJ16:BJ17"/>
    <mergeCell ref="BK16:BK17"/>
    <mergeCell ref="BQ16:BQ17"/>
    <mergeCell ref="BP16:BP17"/>
    <mergeCell ref="W30:Z31"/>
    <mergeCell ref="AR30:AU31"/>
    <mergeCell ref="BL30:BL31"/>
    <mergeCell ref="BH30:BH31"/>
    <mergeCell ref="BI30:BI31"/>
    <mergeCell ref="AX30:AX31"/>
    <mergeCell ref="AE28:AH29"/>
    <mergeCell ref="AO30:AQ31"/>
    <mergeCell ref="AX28:AX29"/>
    <mergeCell ref="AY30:AY31"/>
    <mergeCell ref="AZ30:AZ31"/>
    <mergeCell ref="BG30:BG31"/>
    <mergeCell ref="AK28:AL29"/>
    <mergeCell ref="BA28:BA29"/>
    <mergeCell ref="BB28:BB29"/>
    <mergeCell ref="BJ28:BJ29"/>
    <mergeCell ref="BK28:BK29"/>
    <mergeCell ref="BJ30:BJ31"/>
    <mergeCell ref="BK30:BK31"/>
    <mergeCell ref="BD28:BD29"/>
    <mergeCell ref="BD30:BD31"/>
    <mergeCell ref="F1:I3"/>
    <mergeCell ref="J1:M3"/>
    <mergeCell ref="AL1:AO3"/>
    <mergeCell ref="AP1:AS3"/>
    <mergeCell ref="AT1:AW3"/>
    <mergeCell ref="W18:Z19"/>
    <mergeCell ref="W20:Z21"/>
    <mergeCell ref="T14:W14"/>
    <mergeCell ref="X14:AA14"/>
    <mergeCell ref="AM13:AU14"/>
    <mergeCell ref="R16:T17"/>
    <mergeCell ref="U16:V17"/>
    <mergeCell ref="AA16:AD17"/>
    <mergeCell ref="AE16:AH17"/>
    <mergeCell ref="T12:W13"/>
    <mergeCell ref="AB14:AE14"/>
    <mergeCell ref="N9:Q11"/>
    <mergeCell ref="R9:U11"/>
    <mergeCell ref="X12:AA13"/>
    <mergeCell ref="V9:Y11"/>
    <mergeCell ref="Z9:AC11"/>
    <mergeCell ref="AD9:AG11"/>
    <mergeCell ref="AS5:AW6"/>
    <mergeCell ref="AS7:AW7"/>
    <mergeCell ref="U32:V33"/>
    <mergeCell ref="BM34:BM35"/>
    <mergeCell ref="BM36:BM37"/>
    <mergeCell ref="BM16:BM17"/>
    <mergeCell ref="BM18:BM19"/>
    <mergeCell ref="BM20:BM21"/>
    <mergeCell ref="BM22:BM23"/>
    <mergeCell ref="BM24:BM25"/>
    <mergeCell ref="BM26:BM27"/>
    <mergeCell ref="BM28:BM29"/>
    <mergeCell ref="BM30:BM31"/>
    <mergeCell ref="BM32:BM33"/>
    <mergeCell ref="AX16:AX17"/>
    <mergeCell ref="AX18:AX19"/>
    <mergeCell ref="AX20:AX21"/>
    <mergeCell ref="U28:V29"/>
    <mergeCell ref="AA28:AD29"/>
    <mergeCell ref="BF28:BF29"/>
    <mergeCell ref="BF30:BF31"/>
    <mergeCell ref="W22:Z23"/>
    <mergeCell ref="BC26:BC27"/>
    <mergeCell ref="BH22:BH23"/>
    <mergeCell ref="BI22:BI23"/>
    <mergeCell ref="BA20:BA21"/>
    <mergeCell ref="W32:Z33"/>
    <mergeCell ref="W34:Z35"/>
    <mergeCell ref="O200:AI201"/>
    <mergeCell ref="BL200:BL201"/>
    <mergeCell ref="BH200:BH201"/>
    <mergeCell ref="BI200:BI201"/>
    <mergeCell ref="BI34:BI35"/>
    <mergeCell ref="BH34:BH35"/>
    <mergeCell ref="BH32:BH33"/>
    <mergeCell ref="BI32:BI33"/>
    <mergeCell ref="AK36:AL37"/>
    <mergeCell ref="AX32:AX33"/>
    <mergeCell ref="W36:Z37"/>
    <mergeCell ref="AO34:AQ35"/>
    <mergeCell ref="AR34:AU35"/>
    <mergeCell ref="BL34:BL35"/>
    <mergeCell ref="AA32:AD33"/>
    <mergeCell ref="R32:T33"/>
    <mergeCell ref="AE32:AH33"/>
    <mergeCell ref="BC34:BC35"/>
    <mergeCell ref="BC36:BC37"/>
    <mergeCell ref="BJ36:BJ37"/>
    <mergeCell ref="BK36:BK37"/>
    <mergeCell ref="BD34:BD35"/>
    <mergeCell ref="AO24:AQ25"/>
    <mergeCell ref="AR24:AU25"/>
    <mergeCell ref="BL24:BL25"/>
    <mergeCell ref="AK26:AL27"/>
    <mergeCell ref="AO22:AQ23"/>
    <mergeCell ref="AX22:AX23"/>
    <mergeCell ref="AX24:AX25"/>
    <mergeCell ref="AX26:AX27"/>
    <mergeCell ref="AR22:AU23"/>
    <mergeCell ref="AK24:AL25"/>
    <mergeCell ref="AY22:AY23"/>
    <mergeCell ref="AZ22:AZ23"/>
    <mergeCell ref="BG22:BG23"/>
    <mergeCell ref="AY26:AY27"/>
    <mergeCell ref="AZ26:AZ27"/>
    <mergeCell ref="BG26:BG27"/>
    <mergeCell ref="BJ22:BJ23"/>
    <mergeCell ref="BK22:BK23"/>
    <mergeCell ref="BJ24:BJ25"/>
    <mergeCell ref="BK24:BK25"/>
    <mergeCell ref="BJ26:BJ27"/>
    <mergeCell ref="BK26:BK27"/>
    <mergeCell ref="BD22:BD23"/>
    <mergeCell ref="BD24:BD25"/>
    <mergeCell ref="AI26:AJ27"/>
    <mergeCell ref="AI24:AJ25"/>
    <mergeCell ref="BY36:BY37"/>
    <mergeCell ref="AM36:AN37"/>
    <mergeCell ref="AO36:AQ37"/>
    <mergeCell ref="AR36:AU37"/>
    <mergeCell ref="BL36:BL37"/>
    <mergeCell ref="BH36:BH37"/>
    <mergeCell ref="BI36:BI37"/>
    <mergeCell ref="BA36:BA37"/>
    <mergeCell ref="AK34:AL35"/>
    <mergeCell ref="BB36:BB37"/>
    <mergeCell ref="BE36:BE37"/>
    <mergeCell ref="BF36:BF37"/>
    <mergeCell ref="BW34:BW35"/>
    <mergeCell ref="BW36:BW37"/>
    <mergeCell ref="AX34:AX35"/>
    <mergeCell ref="AX36:AX37"/>
    <mergeCell ref="BY34:BY35"/>
    <mergeCell ref="AM34:AN35"/>
    <mergeCell ref="BA34:BA35"/>
    <mergeCell ref="BB34:BB35"/>
    <mergeCell ref="BE34:BE35"/>
    <mergeCell ref="BF34:BF35"/>
    <mergeCell ref="BY32:BY33"/>
    <mergeCell ref="AM32:AN33"/>
    <mergeCell ref="AO32:AQ33"/>
    <mergeCell ref="AR32:AU33"/>
    <mergeCell ref="BL32:BL33"/>
    <mergeCell ref="BC32:BC33"/>
    <mergeCell ref="BF32:BF33"/>
    <mergeCell ref="BQ34:BQ35"/>
    <mergeCell ref="BW32:BW33"/>
    <mergeCell ref="BE32:BE33"/>
    <mergeCell ref="BU34:BU35"/>
    <mergeCell ref="BU32:BU33"/>
    <mergeCell ref="AY34:AY35"/>
    <mergeCell ref="AZ34:AZ35"/>
    <mergeCell ref="BG34:BG35"/>
    <mergeCell ref="BN34:BN35"/>
    <mergeCell ref="BO34:BO35"/>
    <mergeCell ref="BR34:BR35"/>
    <mergeCell ref="BT34:BT35"/>
    <mergeCell ref="BV34:BV35"/>
    <mergeCell ref="BJ32:BJ33"/>
    <mergeCell ref="BK32:BK33"/>
    <mergeCell ref="BJ34:BJ35"/>
    <mergeCell ref="BK34:BK35"/>
    <mergeCell ref="B36:B37"/>
    <mergeCell ref="C36:Q37"/>
    <mergeCell ref="R36:T37"/>
    <mergeCell ref="U36:V37"/>
    <mergeCell ref="AA36:AD37"/>
    <mergeCell ref="AI36:AJ37"/>
    <mergeCell ref="AE36:AH37"/>
    <mergeCell ref="BC28:BC29"/>
    <mergeCell ref="BC30:BC31"/>
    <mergeCell ref="BA30:BA31"/>
    <mergeCell ref="BB30:BB31"/>
    <mergeCell ref="BA32:BA33"/>
    <mergeCell ref="BB32:BB33"/>
    <mergeCell ref="B34:B35"/>
    <mergeCell ref="C34:Q35"/>
    <mergeCell ref="R34:T35"/>
    <mergeCell ref="U34:V35"/>
    <mergeCell ref="AA34:AD35"/>
    <mergeCell ref="AE34:AH35"/>
    <mergeCell ref="AI34:AJ35"/>
    <mergeCell ref="AI32:AJ33"/>
    <mergeCell ref="AK32:AL33"/>
    <mergeCell ref="B32:B33"/>
    <mergeCell ref="C32:Q33"/>
    <mergeCell ref="BY30:BY31"/>
    <mergeCell ref="BY28:BY29"/>
    <mergeCell ref="B30:B31"/>
    <mergeCell ref="C30:Q31"/>
    <mergeCell ref="R30:T31"/>
    <mergeCell ref="U30:V31"/>
    <mergeCell ref="AA30:AD31"/>
    <mergeCell ref="AE30:AH31"/>
    <mergeCell ref="AI30:AJ31"/>
    <mergeCell ref="AK30:AL31"/>
    <mergeCell ref="AM30:AN31"/>
    <mergeCell ref="AM28:AN29"/>
    <mergeCell ref="AO28:AQ29"/>
    <mergeCell ref="AR28:AU29"/>
    <mergeCell ref="BL28:BL29"/>
    <mergeCell ref="BH28:BH29"/>
    <mergeCell ref="BI28:BI29"/>
    <mergeCell ref="B28:B29"/>
    <mergeCell ref="C28:Q29"/>
    <mergeCell ref="AI28:AJ29"/>
    <mergeCell ref="R28:T29"/>
    <mergeCell ref="BE28:BE29"/>
    <mergeCell ref="BE30:BE31"/>
    <mergeCell ref="W28:Z29"/>
    <mergeCell ref="AE24:AH25"/>
    <mergeCell ref="B26:B27"/>
    <mergeCell ref="C26:Q27"/>
    <mergeCell ref="R26:T27"/>
    <mergeCell ref="U26:V27"/>
    <mergeCell ref="AA26:AD27"/>
    <mergeCell ref="AE26:AH27"/>
    <mergeCell ref="W24:Z25"/>
    <mergeCell ref="W26:Z27"/>
    <mergeCell ref="B24:B25"/>
    <mergeCell ref="C24:Q25"/>
    <mergeCell ref="BY22:BY23"/>
    <mergeCell ref="AM26:AN27"/>
    <mergeCell ref="AO26:AQ27"/>
    <mergeCell ref="AR26:AU27"/>
    <mergeCell ref="BL26:BL27"/>
    <mergeCell ref="BH26:BH27"/>
    <mergeCell ref="BA22:BA23"/>
    <mergeCell ref="BB22:BB23"/>
    <mergeCell ref="BE22:BE23"/>
    <mergeCell ref="BF22:BF23"/>
    <mergeCell ref="BA24:BA25"/>
    <mergeCell ref="BB24:BB25"/>
    <mergeCell ref="BE24:BE25"/>
    <mergeCell ref="BF24:BF25"/>
    <mergeCell ref="BA26:BA27"/>
    <mergeCell ref="BB26:BB27"/>
    <mergeCell ref="BE26:BE27"/>
    <mergeCell ref="BF26:BF27"/>
    <mergeCell ref="BH24:BH25"/>
    <mergeCell ref="BI24:BI25"/>
    <mergeCell ref="BY24:BY25"/>
    <mergeCell ref="AM24:AN25"/>
    <mergeCell ref="BY26:BY27"/>
    <mergeCell ref="BL22:BL23"/>
    <mergeCell ref="BY20:BY21"/>
    <mergeCell ref="B22:B23"/>
    <mergeCell ref="C22:Q23"/>
    <mergeCell ref="R22:T23"/>
    <mergeCell ref="U22:V23"/>
    <mergeCell ref="AA22:AD23"/>
    <mergeCell ref="AE22:AH23"/>
    <mergeCell ref="AI22:AJ23"/>
    <mergeCell ref="AK22:AL23"/>
    <mergeCell ref="AM22:AN23"/>
    <mergeCell ref="AM20:AN21"/>
    <mergeCell ref="AO20:AQ21"/>
    <mergeCell ref="AR20:AU21"/>
    <mergeCell ref="BL20:BL21"/>
    <mergeCell ref="BH20:BH21"/>
    <mergeCell ref="BI20:BI21"/>
    <mergeCell ref="B20:B21"/>
    <mergeCell ref="C20:Q21"/>
    <mergeCell ref="R20:T21"/>
    <mergeCell ref="U20:V21"/>
    <mergeCell ref="AA20:AD21"/>
    <mergeCell ref="AE20:AH21"/>
    <mergeCell ref="AI20:AJ21"/>
    <mergeCell ref="AK20:AL21"/>
    <mergeCell ref="BY16:BY17"/>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BL16:BL17"/>
    <mergeCell ref="BH16:BI16"/>
    <mergeCell ref="BI18:BI19"/>
    <mergeCell ref="BY18:BY19"/>
    <mergeCell ref="AM18:AN19"/>
    <mergeCell ref="AO18:AQ19"/>
    <mergeCell ref="AR18:AU19"/>
    <mergeCell ref="BL18:BL19"/>
    <mergeCell ref="BH18:BH19"/>
    <mergeCell ref="C16:Q17"/>
    <mergeCell ref="A4:E6"/>
    <mergeCell ref="A7:E8"/>
    <mergeCell ref="BE18:BE19"/>
    <mergeCell ref="AB12:AE13"/>
    <mergeCell ref="W16:Z17"/>
    <mergeCell ref="AH9:AK11"/>
    <mergeCell ref="AL9:AO11"/>
    <mergeCell ref="J9:M11"/>
    <mergeCell ref="BC16:BC17"/>
    <mergeCell ref="BC18:BC19"/>
    <mergeCell ref="BA16:BA17"/>
    <mergeCell ref="BB16:BB17"/>
    <mergeCell ref="BE16:BF16"/>
    <mergeCell ref="BA18:BA19"/>
    <mergeCell ref="BB18:BB19"/>
    <mergeCell ref="AK18:AL19"/>
    <mergeCell ref="BF18:BF19"/>
    <mergeCell ref="BD16:BD17"/>
    <mergeCell ref="BD18:BD19"/>
    <mergeCell ref="AY16:AY17"/>
    <mergeCell ref="AZ16:AZ17"/>
    <mergeCell ref="AY18:AY19"/>
    <mergeCell ref="AZ18:AZ19"/>
    <mergeCell ref="BU28:BU29"/>
    <mergeCell ref="BU30:BU31"/>
    <mergeCell ref="BW24:BW25"/>
    <mergeCell ref="N1:T3"/>
    <mergeCell ref="U1:AK3"/>
    <mergeCell ref="BS16:BS17"/>
    <mergeCell ref="BS18:BS19"/>
    <mergeCell ref="BS20:BS21"/>
    <mergeCell ref="BS22:BS23"/>
    <mergeCell ref="BS24:BS25"/>
    <mergeCell ref="BU16:BU17"/>
    <mergeCell ref="BU18:BU19"/>
    <mergeCell ref="BQ20:BQ21"/>
    <mergeCell ref="BQ22:BQ23"/>
    <mergeCell ref="BQ24:BQ25"/>
    <mergeCell ref="BQ26:BQ27"/>
    <mergeCell ref="BQ28:BQ29"/>
    <mergeCell ref="BQ30:BQ31"/>
    <mergeCell ref="BW16:BW17"/>
    <mergeCell ref="BW18:BW19"/>
    <mergeCell ref="AS8:AW8"/>
    <mergeCell ref="R24:T25"/>
    <mergeCell ref="U24:V25"/>
    <mergeCell ref="AA24:AD25"/>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34:BZ35"/>
    <mergeCell ref="CA34:CA35"/>
    <mergeCell ref="CB34:CB35"/>
    <mergeCell ref="CC34:CC35"/>
    <mergeCell ref="BZ36:BZ37"/>
    <mergeCell ref="CA36:CA37"/>
    <mergeCell ref="CB36:CB37"/>
    <mergeCell ref="CC36:CC37"/>
    <mergeCell ref="BZ28:BZ29"/>
    <mergeCell ref="CA28:CA29"/>
    <mergeCell ref="CB28:CB29"/>
    <mergeCell ref="CC28:CC29"/>
    <mergeCell ref="BZ30:BZ31"/>
    <mergeCell ref="CA30:CA31"/>
    <mergeCell ref="CB30:CB31"/>
    <mergeCell ref="CC30:CC31"/>
    <mergeCell ref="BZ32:BZ33"/>
    <mergeCell ref="CA32:CA33"/>
    <mergeCell ref="CB32:CB33"/>
    <mergeCell ref="CC32:CC33"/>
  </mergeCells>
  <conditionalFormatting sqref="U18:V37 AA18:AL37">
    <cfRule type="expression" dxfId="104" priority="6">
      <formula>AND(ISBLANK($C18)=FALSE,OR(ISBLANK(U18)=TRUE,U18=""))</formula>
    </cfRule>
  </conditionalFormatting>
  <conditionalFormatting sqref="AM18:AN37">
    <cfRule type="expression" dxfId="103" priority="1">
      <formula>AM18 &lt;&gt; INDEX(STDCOMPRESSINC, MATCH(C18, STDCOMPRESSLIST,0))</formula>
    </cfRule>
  </conditionalFormatting>
  <conditionalFormatting sqref="AR18:AU37">
    <cfRule type="expression" dxfId="102" priority="1902" stopIfTrue="1">
      <formula>ISNUMBER($AR18)=FALSE</formula>
    </cfRule>
    <cfRule type="expression" dxfId="101" priority="1903">
      <formula>$AR18 &lt;&gt; $BQ18</formula>
    </cfRule>
  </conditionalFormatting>
  <conditionalFormatting sqref="AS8:AW8">
    <cfRule type="expression" dxfId="100" priority="7">
      <formula>IF($AS$8=PROJSTATMEASURE,FALSE,TRUE)</formula>
    </cfRule>
  </conditionalFormatting>
  <dataValidations count="7">
    <dataValidation type="custom" allowBlank="1" showInputMessage="1" showErrorMessage="1" errorTitle="Invalid Entry" error="Value must be a whole number greater than zero._x000a_Value must be within defined measure quantity." prompt="Reference the &quot;Quantity Type&quot; column to ensure you enter the correct value." sqref="U18:V37" xr:uid="{D3D71481-7B2D-4CD4-9994-EF2B562D3F7D}">
      <formula1>IF(ISNUMBER(SEARCH("Variable",$C18)),AND($U18&gt;0,$U18&lt;=200),$U18&gt;0)</formula1>
    </dataValidation>
    <dataValidation type="decimal" allowBlank="1" showInputMessage="1" showErrorMessage="1" prompt="This is the TOTAL Labor Cost of the measure, NOT a per unit basis." sqref="AK18:AL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I18:AJ37" xr:uid="{2F65C060-EA6E-4719-9BB8-2A11B0BE7471}">
      <formula1>0</formula1>
      <formula2>999999</formula2>
    </dataValidation>
    <dataValidation allowBlank="1" showInputMessage="1" showErrorMessage="1" prompt="Install Location should describe the area where the equipment installed. (e.g. Room 201, Garage, Mechanical Room)" sqref="AE18:AH37" xr:uid="{88D906F6-A64B-4068-884B-17C2D1BEF7FA}"/>
    <dataValidation allowBlank="1" showInputMessage="1" showErrorMessage="1" prompt="Enter the Brand and Model # as it appears in technical documents and invoices." sqref="W18:AD37" xr:uid="{0B72C8BB-19E4-4D12-9749-6369719580B2}"/>
    <dataValidation type="list" allowBlank="1" showInputMessage="1" showErrorMessage="1" sqref="BC18:BC37" xr:uid="{AE1556A6-8503-415D-B911-49023D630667}">
      <formula1>ENDUSECAT</formula1>
    </dataValidation>
  </dataValidations>
  <hyperlinks>
    <hyperlink ref="B202" r:id="rId1" display="businessrebates@evergy.com" xr:uid="{54BC69C9-2CE0-453A-87D0-9F3BA6FF497C}"/>
    <hyperlink ref="J1:M3" location="'M01-S02'!J1" tooltip="Instructions" display="'M01-S02'!J1" xr:uid="{7D7487C1-E313-472B-9C8C-9F7E70C4F19B}"/>
    <hyperlink ref="AP1:AS3" location="'M05-S05'!AL1" tooltip=" " display="'M05-S05'!AL1" xr:uid="{D3B68973-AEE8-4E30-BD71-E82002720A4F}"/>
    <hyperlink ref="AL1:AO3" location="'M05-S04'!AH1" tooltip=" " display="'M05-S04'!AH1" xr:uid="{14824296-A879-4F45-82F3-D45FFA766DC1}"/>
    <hyperlink ref="AT1:AW3" location="'M01-S03'!AP1" tooltip="Contact" display="'M01-S03'!AP1" xr:uid="{72D679F1-36EF-499D-A8B6-587442852328}"/>
    <hyperlink ref="J9:M11" location="'M03-S02'!C18" tooltip="Lighting" display="'M03-S02'!C18" xr:uid="{CBBDAEBD-77A1-4791-8CD2-23CFB39AA163}"/>
    <hyperlink ref="N9:Q11" location="'M03-S03'!C18" tooltip="Lighting Controls" display="'M03-S03'!C18" xr:uid="{FBE83CE0-1681-4806-BD70-5D0273B938AC}"/>
    <hyperlink ref="R9:U11" location="'M03-S04'!C18" tooltip="Refrigeration" display="'M03-S04'!C18" xr:uid="{9EC63995-2B9C-4D34-B946-304034246472}"/>
    <hyperlink ref="AD9:AG11" location="'M03-S06'!C18" tooltip="Compressed Air / Process" display="'M03-S06'!C18" xr:uid="{1959A429-70EE-4595-BBEB-7CB4F6C8846D}"/>
    <hyperlink ref="AH9:AK11" location="'M03-S07'!C18" tooltip="Water Heating / Cooking" display="'M03-S07'!C18" xr:uid="{264C660C-2027-4381-A6FB-0896C0C78EC4}"/>
    <hyperlink ref="Z9:AC11" location="'M03-S08'!C18" tooltip="Motors and Drives" display="'M03-S08'!C18" xr:uid="{8CB0C98F-8C52-43AF-8F43-41E5ACD5E0FB}"/>
  </hyperlinks>
  <printOptions horizontalCentered="1"/>
  <pageMargins left="0" right="0" top="0" bottom="0" header="0" footer="0"/>
  <pageSetup scale="43"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tabColor theme="8" tint="0.59999389629810485"/>
    <pageSetUpPr fitToPage="1"/>
  </sheetPr>
  <dimension ref="A1:CW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2"/>
      <c r="G5" s="372"/>
      <c r="H5" s="372"/>
      <c r="I5" s="372"/>
      <c r="AS5" s="663">
        <f ca="1">PROGRESSSTATUS</f>
        <v>0</v>
      </c>
      <c r="AT5" s="663"/>
      <c r="AU5" s="663"/>
      <c r="AV5" s="663"/>
      <c r="AW5" s="663"/>
      <c r="AY5" s="17"/>
      <c r="AZ5" s="108" t="s">
        <v>933</v>
      </c>
      <c r="BA5" s="108" t="s">
        <v>325</v>
      </c>
    </row>
    <row r="6" spans="1:81" ht="15.95" customHeight="1">
      <c r="A6" s="692"/>
      <c r="B6" s="692"/>
      <c r="C6" s="692"/>
      <c r="D6" s="692"/>
      <c r="E6" s="692"/>
      <c r="F6" s="372"/>
      <c r="G6" s="372"/>
      <c r="H6" s="372"/>
      <c r="I6" s="372"/>
      <c r="AS6" s="663"/>
      <c r="AT6" s="663"/>
      <c r="AU6" s="663"/>
      <c r="AV6" s="663"/>
      <c r="AW6" s="663"/>
      <c r="AY6" s="107" t="s">
        <v>938</v>
      </c>
      <c r="AZ6" s="106" t="str">
        <f>CBPRESE</f>
        <v>NA</v>
      </c>
      <c r="BA6" s="106" t="str">
        <f>PAYPRESE</f>
        <v>NA</v>
      </c>
    </row>
    <row r="7" spans="1:81" ht="15.95" customHeight="1">
      <c r="A7" s="662" t="s">
        <v>83</v>
      </c>
      <c r="B7" s="662"/>
      <c r="C7" s="662"/>
      <c r="D7" s="662"/>
      <c r="E7" s="662"/>
      <c r="F7" s="75"/>
      <c r="G7" s="75"/>
      <c r="H7" s="75"/>
      <c r="I7" s="75"/>
      <c r="AS7" s="662" t="s">
        <v>299</v>
      </c>
      <c r="AT7" s="662"/>
      <c r="AU7" s="662"/>
      <c r="AV7" s="662"/>
      <c r="AW7" s="662"/>
      <c r="AY7" s="107" t="s">
        <v>135</v>
      </c>
      <c r="AZ7" s="106" t="str">
        <f>CBCUSE</f>
        <v>NA</v>
      </c>
      <c r="BA7" s="106" t="str">
        <f>PAYCUSE</f>
        <v>NA</v>
      </c>
    </row>
    <row r="8" spans="1:81" ht="15.95" customHeight="1" thickBot="1">
      <c r="A8" s="665"/>
      <c r="B8" s="665"/>
      <c r="C8" s="665"/>
      <c r="D8" s="665"/>
      <c r="E8" s="665"/>
      <c r="F8" s="373"/>
      <c r="G8" s="373"/>
      <c r="H8" s="373"/>
      <c r="I8" s="75"/>
      <c r="AS8" s="661" t="str">
        <f ca="1">PROJSTATUS</f>
        <v>Enter Measures</v>
      </c>
      <c r="AT8" s="661"/>
      <c r="AU8" s="661"/>
      <c r="AV8" s="661"/>
      <c r="AW8" s="661"/>
      <c r="AY8" s="107" t="s">
        <v>596</v>
      </c>
      <c r="AZ8" s="106" t="str">
        <f>CBALL</f>
        <v>NA</v>
      </c>
      <c r="BA8" s="106" t="str">
        <f>PAYALL</f>
        <v>NA</v>
      </c>
    </row>
    <row r="9" spans="1:81" s="78" customFormat="1" ht="15.95" customHeight="1">
      <c r="B9" s="99"/>
      <c r="C9" s="99"/>
      <c r="D9" s="99"/>
      <c r="E9" s="99"/>
      <c r="F9" s="99"/>
      <c r="G9" s="100"/>
      <c r="H9" s="100"/>
      <c r="I9" s="100"/>
      <c r="J9" s="829" t="str">
        <f>M3S2</f>
        <v>Lighting</v>
      </c>
      <c r="K9" s="830"/>
      <c r="L9" s="830"/>
      <c r="M9" s="830"/>
      <c r="N9" s="829" t="str">
        <f>M3S3</f>
        <v>Lighting Controls</v>
      </c>
      <c r="O9" s="830"/>
      <c r="P9" s="830"/>
      <c r="Q9" s="830"/>
      <c r="R9" s="829" t="str">
        <f>M3S4</f>
        <v>Refrigeration</v>
      </c>
      <c r="S9" s="830"/>
      <c r="T9" s="830"/>
      <c r="U9" s="830"/>
      <c r="V9" s="834" t="str">
        <f>M3S5</f>
        <v>HVAC</v>
      </c>
      <c r="W9" s="834"/>
      <c r="X9" s="834"/>
      <c r="Y9" s="834"/>
      <c r="Z9" s="829" t="str">
        <f>M4S8</f>
        <v>Motors and Drives</v>
      </c>
      <c r="AA9" s="830"/>
      <c r="AB9" s="830"/>
      <c r="AC9" s="830"/>
      <c r="AD9" s="829" t="str">
        <f>M3S6</f>
        <v>Compressed Air / Process</v>
      </c>
      <c r="AE9" s="830"/>
      <c r="AF9" s="830"/>
      <c r="AG9" s="830"/>
      <c r="AH9" s="842" t="str">
        <f>M3S7</f>
        <v>Water Heating / Food Services</v>
      </c>
      <c r="AI9" s="842"/>
      <c r="AJ9" s="842"/>
      <c r="AK9" s="842"/>
      <c r="AL9" s="834" t="str">
        <f>M4S9</f>
        <v>Miscellaneous</v>
      </c>
      <c r="AM9" s="834"/>
      <c r="AN9" s="834"/>
      <c r="AO9" s="834"/>
      <c r="AP9" s="101"/>
      <c r="AQ9" s="101"/>
      <c r="AR9" s="101"/>
      <c r="AS9" s="101"/>
      <c r="AT9"/>
      <c r="AU9" s="99"/>
      <c r="AV9" s="99"/>
    </row>
    <row r="10" spans="1:81" s="78" customFormat="1" ht="15.95" customHeight="1">
      <c r="B10" s="79"/>
      <c r="C10" s="79"/>
      <c r="D10" s="79"/>
      <c r="E10" s="79"/>
      <c r="F10" s="79"/>
      <c r="J10" s="831"/>
      <c r="K10" s="831"/>
      <c r="L10" s="831"/>
      <c r="M10" s="831"/>
      <c r="N10" s="831"/>
      <c r="O10" s="831"/>
      <c r="P10" s="831"/>
      <c r="Q10" s="831"/>
      <c r="R10" s="831"/>
      <c r="S10" s="831"/>
      <c r="T10" s="831"/>
      <c r="U10" s="831"/>
      <c r="V10" s="835"/>
      <c r="W10" s="835"/>
      <c r="X10" s="835"/>
      <c r="Y10" s="835"/>
      <c r="Z10" s="831"/>
      <c r="AA10" s="831"/>
      <c r="AB10" s="831"/>
      <c r="AC10" s="831"/>
      <c r="AD10" s="831"/>
      <c r="AE10" s="831"/>
      <c r="AF10" s="831"/>
      <c r="AG10" s="831"/>
      <c r="AH10" s="843"/>
      <c r="AI10" s="843"/>
      <c r="AJ10" s="843"/>
      <c r="AK10" s="843"/>
      <c r="AL10" s="835"/>
      <c r="AM10" s="835"/>
      <c r="AN10" s="835"/>
      <c r="AO10" s="835"/>
      <c r="AP10"/>
      <c r="AQ10"/>
      <c r="AR10"/>
      <c r="AS10"/>
      <c r="AT10"/>
      <c r="AU10" s="79"/>
      <c r="AV10" s="79"/>
    </row>
    <row r="11" spans="1:81" ht="15.95" customHeight="1">
      <c r="B11" s="96"/>
      <c r="C11" s="96"/>
      <c r="D11" s="96"/>
      <c r="E11" s="96"/>
      <c r="F11" s="96"/>
      <c r="J11" s="831"/>
      <c r="K11" s="831"/>
      <c r="L11" s="831"/>
      <c r="M11" s="831"/>
      <c r="N11" s="831"/>
      <c r="O11" s="831"/>
      <c r="P11" s="831"/>
      <c r="Q11" s="831"/>
      <c r="R11" s="831"/>
      <c r="S11" s="831"/>
      <c r="T11" s="831"/>
      <c r="U11" s="831"/>
      <c r="V11" s="835"/>
      <c r="W11" s="835"/>
      <c r="X11" s="835"/>
      <c r="Y11" s="835"/>
      <c r="Z11" s="831"/>
      <c r="AA11" s="831"/>
      <c r="AB11" s="831"/>
      <c r="AC11" s="831"/>
      <c r="AD11" s="831"/>
      <c r="AE11" s="831"/>
      <c r="AF11" s="831"/>
      <c r="AG11" s="831"/>
      <c r="AH11" s="843"/>
      <c r="AI11" s="843"/>
      <c r="AJ11" s="843"/>
      <c r="AK11" s="843"/>
      <c r="AL11" s="835"/>
      <c r="AM11" s="835"/>
      <c r="AN11" s="835"/>
      <c r="AO11" s="835"/>
      <c r="AU11" s="96"/>
      <c r="AV11" s="96"/>
    </row>
    <row r="12" spans="1:81" ht="15.95" customHeight="1">
      <c r="A12" s="76"/>
      <c r="B12" s="76"/>
      <c r="C12" s="76"/>
      <c r="D12" s="76"/>
      <c r="E12" s="76"/>
      <c r="F12" s="76"/>
      <c r="G12" s="76"/>
      <c r="T12" s="837">
        <f>SUM(AR18:AU199)</f>
        <v>0</v>
      </c>
      <c r="U12" s="837"/>
      <c r="V12" s="837"/>
      <c r="W12" s="837"/>
      <c r="X12" s="837">
        <f>SUM(BL18:BL199)</f>
        <v>0</v>
      </c>
      <c r="Y12" s="837"/>
      <c r="Z12" s="837"/>
      <c r="AA12" s="837"/>
      <c r="AB12" s="836">
        <f ca="1">SUMIF(AR18:AU199,"&gt;0",AO18:AQ199)</f>
        <v>0</v>
      </c>
      <c r="AC12" s="836"/>
      <c r="AD12" s="836"/>
      <c r="AE12" s="836"/>
    </row>
    <row r="13" spans="1:81" ht="15.95" customHeight="1">
      <c r="A13" s="76"/>
      <c r="B13" s="76"/>
      <c r="C13" s="76"/>
      <c r="D13" s="76"/>
      <c r="T13" s="837"/>
      <c r="U13" s="837"/>
      <c r="V13" s="837"/>
      <c r="W13" s="837"/>
      <c r="X13" s="837"/>
      <c r="Y13" s="837"/>
      <c r="Z13" s="837"/>
      <c r="AA13" s="837"/>
      <c r="AB13" s="836"/>
      <c r="AC13" s="836"/>
      <c r="AD13" s="836"/>
      <c r="AE13" s="836"/>
      <c r="AM13" s="839" t="str">
        <f>IF(IFERROR(MATCH("100% Total Cost", BI:BI,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L14" s="51" t="s">
        <v>3048</v>
      </c>
      <c r="BM14" s="51" t="s">
        <v>3048</v>
      </c>
      <c r="BN14" s="542" t="s">
        <v>2112</v>
      </c>
      <c r="BO14" s="542" t="s">
        <v>2112</v>
      </c>
      <c r="BV14" s="542" t="s">
        <v>2112</v>
      </c>
      <c r="BX14" s="542" t="s">
        <v>2112</v>
      </c>
    </row>
    <row r="15" spans="1:81" ht="15.95" customHeight="1"/>
    <row r="16" spans="1:81" ht="15.95" customHeight="1">
      <c r="C16" s="832" t="s">
        <v>870</v>
      </c>
      <c r="D16" s="832"/>
      <c r="E16" s="832"/>
      <c r="F16" s="832"/>
      <c r="G16" s="832"/>
      <c r="H16" s="832"/>
      <c r="I16" s="832"/>
      <c r="J16" s="832"/>
      <c r="K16" s="832"/>
      <c r="L16" s="832"/>
      <c r="M16" s="832"/>
      <c r="N16" s="832"/>
      <c r="O16" s="832"/>
      <c r="P16" s="832"/>
      <c r="Q16" s="832"/>
      <c r="R16" s="832" t="s">
        <v>880</v>
      </c>
      <c r="S16" s="832"/>
      <c r="T16" s="832"/>
      <c r="U16" s="832" t="s">
        <v>74</v>
      </c>
      <c r="V16" s="832"/>
      <c r="W16" s="832" t="s">
        <v>2170</v>
      </c>
      <c r="X16" s="832"/>
      <c r="Y16" s="832"/>
      <c r="Z16" s="832"/>
      <c r="AA16" s="832" t="s">
        <v>2171</v>
      </c>
      <c r="AB16" s="832"/>
      <c r="AC16" s="832"/>
      <c r="AD16" s="832"/>
      <c r="AE16" s="832" t="s">
        <v>869</v>
      </c>
      <c r="AF16" s="832"/>
      <c r="AG16" s="832"/>
      <c r="AH16" s="832"/>
      <c r="AI16" s="860" t="s">
        <v>864</v>
      </c>
      <c r="AJ16" s="860"/>
      <c r="AK16" s="860"/>
      <c r="AL16" s="860"/>
      <c r="AM16" s="832" t="s">
        <v>1227</v>
      </c>
      <c r="AN16" s="832"/>
      <c r="AO16" s="832" t="s">
        <v>735</v>
      </c>
      <c r="AP16" s="832"/>
      <c r="AQ16" s="832"/>
      <c r="AR16" s="832" t="s">
        <v>83</v>
      </c>
      <c r="AS16" s="832"/>
      <c r="AT16" s="832"/>
      <c r="AU16" s="832"/>
      <c r="AX16" s="783" t="s">
        <v>743</v>
      </c>
      <c r="AY16" s="779" t="s">
        <v>1985</v>
      </c>
      <c r="AZ16" s="779" t="s">
        <v>942</v>
      </c>
      <c r="BA16" s="779"/>
      <c r="BB16" s="783"/>
      <c r="BC16" s="783" t="s">
        <v>924</v>
      </c>
      <c r="BD16" s="781" t="s">
        <v>1701</v>
      </c>
      <c r="BE16" s="828"/>
      <c r="BF16" s="828"/>
      <c r="BG16" s="779"/>
      <c r="BH16" s="828" t="s">
        <v>873</v>
      </c>
      <c r="BI16" s="828"/>
      <c r="BJ16" s="781" t="s">
        <v>88</v>
      </c>
      <c r="BK16" s="781" t="s">
        <v>1619</v>
      </c>
      <c r="BL16" s="783" t="s">
        <v>876</v>
      </c>
      <c r="BM16" s="781" t="s">
        <v>922</v>
      </c>
      <c r="BN16" s="779" t="s">
        <v>132</v>
      </c>
      <c r="BO16" s="779" t="s">
        <v>325</v>
      </c>
      <c r="BP16" s="781" t="s">
        <v>1833</v>
      </c>
      <c r="BQ16" s="783" t="s">
        <v>2107</v>
      </c>
      <c r="BR16" s="781"/>
      <c r="BS16" s="783"/>
      <c r="BT16" s="779"/>
      <c r="BU16" s="783" t="s">
        <v>925</v>
      </c>
      <c r="BV16" s="781" t="s">
        <v>691</v>
      </c>
      <c r="BW16" s="783" t="s">
        <v>85</v>
      </c>
      <c r="BX16" s="783" t="s">
        <v>840</v>
      </c>
      <c r="BY16" s="783" t="s">
        <v>309</v>
      </c>
      <c r="BZ16" s="755"/>
      <c r="CA16" s="755"/>
      <c r="CB16" s="755"/>
      <c r="CC16" s="755"/>
    </row>
    <row r="17" spans="1:81" ht="15.95" customHeight="1" thickBot="1">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t="s">
        <v>862</v>
      </c>
      <c r="AJ17" s="833"/>
      <c r="AK17" s="833" t="s">
        <v>863</v>
      </c>
      <c r="AL17" s="833"/>
      <c r="AM17" s="833"/>
      <c r="AN17" s="833"/>
      <c r="AO17" s="833"/>
      <c r="AP17" s="833"/>
      <c r="AQ17" s="833"/>
      <c r="AR17" s="833"/>
      <c r="AS17" s="833"/>
      <c r="AT17" s="833"/>
      <c r="AU17" s="833"/>
      <c r="AX17" s="784"/>
      <c r="AY17" s="780"/>
      <c r="AZ17" s="780"/>
      <c r="BA17" s="780"/>
      <c r="BB17" s="784"/>
      <c r="BC17" s="784"/>
      <c r="BD17" s="782"/>
      <c r="BE17" s="97"/>
      <c r="BF17" s="97"/>
      <c r="BG17" s="780"/>
      <c r="BH17" s="97" t="s">
        <v>871</v>
      </c>
      <c r="BI17" s="97" t="s">
        <v>872</v>
      </c>
      <c r="BJ17" s="782"/>
      <c r="BK17" s="782"/>
      <c r="BL17" s="784"/>
      <c r="BM17" s="782"/>
      <c r="BN17" s="780"/>
      <c r="BO17" s="780"/>
      <c r="BP17" s="782"/>
      <c r="BQ17" s="784"/>
      <c r="BR17" s="782"/>
      <c r="BS17" s="784"/>
      <c r="BT17" s="780"/>
      <c r="BU17" s="784"/>
      <c r="BV17" s="782"/>
      <c r="BW17" s="784"/>
      <c r="BX17" s="784"/>
      <c r="BY17" s="784"/>
      <c r="BZ17" s="756"/>
      <c r="CA17" s="756"/>
      <c r="CB17" s="756"/>
      <c r="CC17" s="756"/>
    </row>
    <row r="18" spans="1:81" ht="15.95" customHeight="1">
      <c r="B18" s="785">
        <v>1</v>
      </c>
      <c r="C18" s="805"/>
      <c r="D18" s="805"/>
      <c r="E18" s="805"/>
      <c r="F18" s="805"/>
      <c r="G18" s="805"/>
      <c r="H18" s="805"/>
      <c r="I18" s="805"/>
      <c r="J18" s="805"/>
      <c r="K18" s="805"/>
      <c r="L18" s="805"/>
      <c r="M18" s="805"/>
      <c r="N18" s="805"/>
      <c r="O18" s="805"/>
      <c r="P18" s="805"/>
      <c r="Q18" s="805"/>
      <c r="R18" s="902" t="str">
        <f>IF(C18="","",INDEX(STDWATER[Current Unit],MATCH(C18,STDWATER[Measure Name],0)))</f>
        <v/>
      </c>
      <c r="S18" s="902"/>
      <c r="T18" s="902"/>
      <c r="U18" s="801"/>
      <c r="V18" s="801"/>
      <c r="W18" s="805"/>
      <c r="X18" s="805"/>
      <c r="Y18" s="805"/>
      <c r="Z18" s="805"/>
      <c r="AA18" s="805"/>
      <c r="AB18" s="805"/>
      <c r="AC18" s="805"/>
      <c r="AD18" s="805"/>
      <c r="AE18" s="805"/>
      <c r="AF18" s="805"/>
      <c r="AG18" s="805"/>
      <c r="AH18" s="793"/>
      <c r="AI18" s="972"/>
      <c r="AJ18" s="970"/>
      <c r="AK18" s="970"/>
      <c r="AL18" s="971"/>
      <c r="AM18" s="973" t="str" cm="1">
        <f t="array" ref="AM18">IFERROR(IF(C18="","",INDEX(IF(AND(ACTIVEBONUS = TRUE,INDEX(STDWATER[Bonus Incentive],MATCH(C18,STDWATER[Measure Name],0))&lt;&gt; ""),STDWATER[Bonus Incentive],_xlfn.SWITCH(Program_Banner,"Business Energy Savings",STDWATER[BESP Incentive],"Small Business / Non-Profit",STDWATER[SBNP Incentive],0)),MATCH(C18,STDWATER[Measure Name],0))),"")</f>
        <v/>
      </c>
      <c r="AN18" s="974"/>
      <c r="AO18" s="975" t="str">
        <f>IFERROR(IF(OR(C18="",U18="",R18="",AA18="",AE18="",AI18="",AK18=""),"",IF(BD18="Deemed",BH18,IF(BD18="Calculated",BE18,""))),"")</f>
        <v/>
      </c>
      <c r="AP18" s="975"/>
      <c r="AQ18" s="975"/>
      <c r="AR18" s="819" t="str">
        <f>IFERROR(IF(OR(C18="",U18="",R18="",AA18="",AE18="",AI18="",AK18=""),"",IF(BY18&lt;&gt;"",BY18,IF(BP18&gt;0,BP18,ROUND(IF(AO18&lt;=0,0,MIN(BL18,BQ18)),2)))),"")</f>
        <v/>
      </c>
      <c r="AS18" s="820"/>
      <c r="AT18" s="820"/>
      <c r="AU18" s="821"/>
      <c r="AV18" s="17"/>
      <c r="AX18" s="773" t="str">
        <f>IFERROR(IF(OR(C18="",U18="",R18="",AA18="",AE18="",AI18="",AK18=""),"",INDEX(STDWATER[Current Unit],MATCH(C18,STDWATER[Measure Name],0))),"Err")</f>
        <v/>
      </c>
      <c r="AY18" s="759" t="str">
        <f t="shared" ref="AY18" si="0">IF(U18="", "", U18)</f>
        <v/>
      </c>
      <c r="AZ18" s="759" t="str">
        <f t="shared" ref="AZ18" si="1">IF(U18="", "", U18)</f>
        <v/>
      </c>
      <c r="BA18" s="903"/>
      <c r="BB18" s="903"/>
      <c r="BC18" s="773" t="str">
        <f>IFERROR(IF(OR(C18="",U18="",R18="",AA18="",AE18="",AI18="",AK18=""),"",INDEX(STDWATER[End Use],MATCH(C18,STDWATER[Measure Name],0))),"Err")</f>
        <v/>
      </c>
      <c r="BD18" s="757" t="str">
        <f>IFERROR(IF(OR(C18="",U18="",R18="",AA18="",AE18="",AI18="",AK18=""),"",INDEX(STDWATER[Reporting Methodology],MATCH(C18,STDWATER[Measure Name],0))),"Err")</f>
        <v/>
      </c>
      <c r="BE18" s="761"/>
      <c r="BF18" s="761"/>
      <c r="BG18" s="761"/>
      <c r="BH18" s="775" t="str" cm="1">
        <f t="array" ref="BH18">IF(OR(C18="",U18="",R18="",AA18="",AE18="",AI18="",AK18=""),"",ROUND(U18*INDEX(_xlfn.SWITCH(Program_Banner,"Business Energy Savings",STDWATER[Electric Energy Savings WBE (Annual kWh/unit)],"Small Business / Non-Profit",STDWATER[Electric Energy Savings HTRB (Annual kWh/unit)],0),MATCH(C18,STDWATER[Measure Name],0)),4))</f>
        <v/>
      </c>
      <c r="BI18" s="775" t="str" cm="1">
        <f t="array" ref="BI18">IF(OR(C18="",U18="",R18="",AA18="",AE18="",AI18="",AK18=""),"",ROUND(U18*INDEX(_xlfn.SWITCH(Program_Banner,"Business Energy Savings",STDWATER[Coincident Peak Demand Savings WBE (kW/unit)],"Small Business / Non-Profit",STDWATER[Coincident Peak Demand Savings HTRB (kW/unit)],0),MATCH(C18,STDWATER[Measure Name],0)),4))</f>
        <v/>
      </c>
      <c r="BJ18" s="777" t="str">
        <f>IFERROR(INDEX(STDWATER[Measure Life (Years)],MATCH(C18,STDWATER[Measure Name],0)),"")</f>
        <v/>
      </c>
      <c r="BK18" s="767" t="str">
        <f>IFERROR(IF(OR(C18="",U18="",R18="",AA18="",AE18="",AI18="",AK18=""),"",
ROUND(((1+ELOSS)*((BH18*INDEX(ELECCB[NPV AEC $/kWh],MATCH(BJ18,ELECCB[Year Number],1)))+(BI18*INDEX(ELECCB[NPV ACC $/kW],MATCH(BJ18,ELECCB[Year Number],1))))),2)),0)</f>
        <v/>
      </c>
      <c r="BL18" s="767" t="str">
        <f t="shared" ref="BL18:BL36" si="2">IF(OR(AI18="", AK18=""), "", AI18+AK18)</f>
        <v/>
      </c>
      <c r="BM18" s="767" t="str">
        <f>IF(OR(C18="", U18=""), "", U18 * INDEX(STDWATER[Incremental Measure Cost ($/Unit)],MATCH(C18,STDWATER[Measure Name],0)))</f>
        <v/>
      </c>
      <c r="BN18" s="763" t="str">
        <f t="shared" ref="BN18:BN36" si="3">IFERROR( BK18 / IF(BM18 &lt;&gt; "", BM18, BL18), "")</f>
        <v/>
      </c>
      <c r="BO18" s="763" t="str">
        <f>IFERROR(IF(BM18 &lt;&gt; "", BM18, BL18) / M02S04F06 / AO18, "")</f>
        <v/>
      </c>
      <c r="BP18" s="769"/>
      <c r="BQ18" s="767" t="str">
        <f>IFERROR(ROUND(U18*AM18, 2), "")</f>
        <v/>
      </c>
      <c r="BR18" s="765"/>
      <c r="BS18" s="765"/>
      <c r="BT18" s="765"/>
      <c r="BU18" s="757" t="str">
        <f>IFERROR(IF(BP18="",IF(AR18 &lt; BQ18, "100% Total Cost", ""), ""), "")</f>
        <v/>
      </c>
      <c r="BV18" s="767" t="str">
        <f t="shared" ref="BV18:BV36" si="4">IF(OR(AO18="", AR18=""), "", AR18/AO18)</f>
        <v/>
      </c>
      <c r="BW18" s="757" t="str">
        <f>IFERROR(IF(OR(C18="",U18="",R18="",AA18="",AE18="",AI18="",AK18=""),"",IF(BY18&lt;&gt;"", SPILLOVERNUMBER, INDEX(STDWATER[Measure Number],MATCH(C18,STDWATER[Measure Name],0)))),"Err")</f>
        <v/>
      </c>
      <c r="BX18" s="757" t="str" cm="1">
        <f t="array" ref="BX18">IFERROR(INDEX(_xlfn.SWITCH(Program_Banner,"Business Energy Savings",STDWATER[Primary Key WBE],"Small Business / Non-Profit",STDWATER[Primary Key HTRB],0),MATCH(BW18,STDWATER[Measure Number],0)),"")</f>
        <v/>
      </c>
      <c r="BY18" s="757" t="str">
        <f>IFERROR(IF(OR(C18="",U18="",AA18="",AE18="",AI18="",AK18=""),"",
IF(BP18&gt;0,"",
IF(EXPIRATION&lt;&gt;"",PROJSTATEXP,""))),"")</f>
        <v/>
      </c>
      <c r="BZ18" s="753"/>
      <c r="CA18" s="753"/>
      <c r="CB18" s="753"/>
      <c r="CC18" s="753"/>
    </row>
    <row r="19" spans="1:81" ht="15.95" customHeight="1">
      <c r="B19" s="785"/>
      <c r="C19" s="806"/>
      <c r="D19" s="806"/>
      <c r="E19" s="806"/>
      <c r="F19" s="806"/>
      <c r="G19" s="806"/>
      <c r="H19" s="806"/>
      <c r="I19" s="806"/>
      <c r="J19" s="806"/>
      <c r="K19" s="806"/>
      <c r="L19" s="806"/>
      <c r="M19" s="806"/>
      <c r="N19" s="806"/>
      <c r="O19" s="806"/>
      <c r="P19" s="806"/>
      <c r="Q19" s="806"/>
      <c r="R19" s="899"/>
      <c r="S19" s="899"/>
      <c r="T19" s="899"/>
      <c r="U19" s="802"/>
      <c r="V19" s="802"/>
      <c r="W19" s="806"/>
      <c r="X19" s="806"/>
      <c r="Y19" s="806"/>
      <c r="Z19" s="806"/>
      <c r="AA19" s="806"/>
      <c r="AB19" s="806"/>
      <c r="AC19" s="806"/>
      <c r="AD19" s="806"/>
      <c r="AE19" s="806"/>
      <c r="AF19" s="806"/>
      <c r="AG19" s="806"/>
      <c r="AH19" s="786"/>
      <c r="AI19" s="809"/>
      <c r="AJ19" s="810"/>
      <c r="AK19" s="810"/>
      <c r="AL19" s="812"/>
      <c r="AM19" s="901"/>
      <c r="AN19" s="816"/>
      <c r="AO19" s="818"/>
      <c r="AP19" s="818"/>
      <c r="AQ19" s="818"/>
      <c r="AR19" s="822"/>
      <c r="AS19" s="823"/>
      <c r="AT19" s="823"/>
      <c r="AU19" s="824"/>
      <c r="AV19" s="17"/>
      <c r="AX19" s="774"/>
      <c r="AY19" s="760"/>
      <c r="AZ19" s="760"/>
      <c r="BA19" s="898"/>
      <c r="BB19" s="898"/>
      <c r="BC19" s="774"/>
      <c r="BD19" s="758"/>
      <c r="BE19" s="762"/>
      <c r="BF19" s="762"/>
      <c r="BG19" s="762"/>
      <c r="BH19" s="776"/>
      <c r="BI19" s="776"/>
      <c r="BJ19" s="778"/>
      <c r="BK19" s="768"/>
      <c r="BL19" s="768"/>
      <c r="BM19" s="768"/>
      <c r="BN19" s="764"/>
      <c r="BO19" s="764"/>
      <c r="BP19" s="770"/>
      <c r="BQ19" s="768"/>
      <c r="BR19" s="766"/>
      <c r="BS19" s="766"/>
      <c r="BT19" s="766"/>
      <c r="BU19" s="758"/>
      <c r="BV19" s="768"/>
      <c r="BW19" s="758"/>
      <c r="BX19" s="758"/>
      <c r="BY19" s="758"/>
      <c r="BZ19" s="754"/>
      <c r="CA19" s="754"/>
      <c r="CB19" s="754"/>
      <c r="CC19" s="754"/>
    </row>
    <row r="20" spans="1:81" ht="15.95" customHeight="1">
      <c r="A20" s="75"/>
      <c r="B20" s="785">
        <v>2</v>
      </c>
      <c r="C20" s="806"/>
      <c r="D20" s="806"/>
      <c r="E20" s="806"/>
      <c r="F20" s="806"/>
      <c r="G20" s="806"/>
      <c r="H20" s="806"/>
      <c r="I20" s="806"/>
      <c r="J20" s="806"/>
      <c r="K20" s="806"/>
      <c r="L20" s="806"/>
      <c r="M20" s="806"/>
      <c r="N20" s="806"/>
      <c r="O20" s="806"/>
      <c r="P20" s="806"/>
      <c r="Q20" s="806"/>
      <c r="R20" s="899" t="str">
        <f>IF(C20="","",INDEX(STDWATER[Current Unit],MATCH(C20,STDWATER[Measure Name],0)))</f>
        <v/>
      </c>
      <c r="S20" s="899"/>
      <c r="T20" s="899"/>
      <c r="U20" s="802"/>
      <c r="V20" s="802"/>
      <c r="W20" s="806"/>
      <c r="X20" s="806"/>
      <c r="Y20" s="806"/>
      <c r="Z20" s="806"/>
      <c r="AA20" s="806"/>
      <c r="AB20" s="806"/>
      <c r="AC20" s="806"/>
      <c r="AD20" s="806"/>
      <c r="AE20" s="806"/>
      <c r="AF20" s="806"/>
      <c r="AG20" s="806"/>
      <c r="AH20" s="786"/>
      <c r="AI20" s="809"/>
      <c r="AJ20" s="810"/>
      <c r="AK20" s="810"/>
      <c r="AL20" s="812"/>
      <c r="AM20" s="979" t="str" cm="1">
        <f t="array" ref="AM20">IFERROR(IF(C20="","",INDEX(IF(AND(ACTIVEBONUS = TRUE,INDEX(STDWATER[Bonus Incentive],MATCH(C20,STDWATER[Measure Name],0))&lt;&gt; ""),STDWATER[Bonus Incentive],_xlfn.SWITCH(Program_Banner,"Business Energy Savings",STDWATER[BESP Incentive],"Small Business / Non-Profit",STDWATER[SBNP Incentive],0)),MATCH(C20,STDWATER[Measure Name],0))),"")</f>
        <v/>
      </c>
      <c r="AN20" s="924"/>
      <c r="AO20" s="818" t="str">
        <f>IFERROR(IF(OR(C20="",U20="",R20="",AA20="",AE20="",AI20="",AK20=""),"",IF(BD20="Deemed",BH20,IF(BD20="Calculated",BE20,""))),"")</f>
        <v/>
      </c>
      <c r="AP20" s="818"/>
      <c r="AQ20" s="818"/>
      <c r="AR20" s="819" t="str">
        <f>IFERROR(IF(OR(C20="",U20="",R20="",AA20="",AE20="",AI20="",AK20=""),"",IF(BY20&lt;&gt;"",BY20,IF(BP20&gt;0,BP20,ROUND(IF(AO20&lt;=0,0,MIN(BL20,BQ20)),2)))),"")</f>
        <v/>
      </c>
      <c r="AS20" s="820"/>
      <c r="AT20" s="820"/>
      <c r="AU20" s="821"/>
      <c r="AV20" s="17"/>
      <c r="AX20" s="987" t="str">
        <f>IFERROR(IF(OR(C20="",U20="",R20="",AA20="",AE20="",AI20="",AK20=""),"",INDEX(STDWATER[Current Unit],MATCH(C20,STDWATER[Measure Name],0))),"Err")</f>
        <v/>
      </c>
      <c r="AY20" s="759" t="str">
        <f t="shared" ref="AY20" si="5">IF(U20="", "", U20)</f>
        <v/>
      </c>
      <c r="AZ20" s="759" t="str">
        <f t="shared" ref="AZ20" si="6">IF(U20="", "", U20)</f>
        <v/>
      </c>
      <c r="BA20" s="986"/>
      <c r="BB20" s="986"/>
      <c r="BC20" s="987" t="str">
        <f>IFERROR(IF(OR(C20="",U20="",R20="",AA20="",AE20="",AI20="",AK20=""),"",INDEX(STDWATER[End Use],MATCH(C20,STDWATER[Measure Name],0))),"Err")</f>
        <v/>
      </c>
      <c r="BD20" s="981" t="str">
        <f>IFERROR(IF(OR(C20="",U20="",R20="",AA20="",AE20="",AI20="",AK20=""),"",INDEX(STDWATER[Reporting Methodology],MATCH(C20,STDWATER[Measure Name],0))),"Err")</f>
        <v/>
      </c>
      <c r="BE20" s="985"/>
      <c r="BF20" s="985"/>
      <c r="BG20" s="761"/>
      <c r="BH20" s="775" t="str" cm="1">
        <f t="array" ref="BH20">IF(OR(C20="",U20="",R20="",AA20="",AE20="",AI20="",AK20=""),"",ROUND(U20*INDEX(_xlfn.SWITCH(Program_Banner,"Business Energy Savings",STDWATER[Electric Energy Savings WBE (Annual kWh/unit)],"Small Business / Non-Profit",STDWATER[Electric Energy Savings HTRB (Annual kWh/unit)],0),MATCH(C20,STDWATER[Measure Name],0)),4))</f>
        <v/>
      </c>
      <c r="BI20" s="775" t="str" cm="1">
        <f t="array" ref="BI20">IF(OR(C20="",U20="",R20="",AA20="",AE20="",AI20="",AK20=""),"",ROUND(U20*INDEX(_xlfn.SWITCH(Program_Banner,"Business Energy Savings",STDWATER[Coincident Peak Demand Savings WBE (kW/unit)],"Small Business / Non-Profit",STDWATER[Coincident Peak Demand Savings HTRB (kW/unit)],0),MATCH(C20,STDWATER[Measure Name],0)),4))</f>
        <v/>
      </c>
      <c r="BJ20" s="984" t="str">
        <f>IFERROR(INDEX(STDWATER[Measure Life (Years)],MATCH(C20,STDWATER[Measure Name],0)),"")</f>
        <v/>
      </c>
      <c r="BK20" s="982" t="str">
        <f>IFERROR(IF(OR(C20="",U20="",R20="",AA20="",AE20="",AI20="",AK20=""),"",
ROUND(((1+ELOSS)*((BH20*INDEX(ELECCB[NPV AEC $/kWh],MATCH(BJ20,ELECCB[Year Number],1)))+(BI20*INDEX(ELECCB[NPV ACC $/kW],MATCH(BJ20,ELECCB[Year Number],1))))),2)),0)</f>
        <v/>
      </c>
      <c r="BL20" s="767" t="str">
        <f t="shared" si="2"/>
        <v/>
      </c>
      <c r="BM20" s="767" t="str">
        <f>IF(OR(C20="", U20=""), "", U20 * INDEX(STDWATER[Incremental Measure Cost ($/Unit)],MATCH(C20,STDWATER[Measure Name],0)))</f>
        <v/>
      </c>
      <c r="BN20" s="763" t="str">
        <f t="shared" si="3"/>
        <v/>
      </c>
      <c r="BO20" s="763" t="str">
        <f>IFERROR(IF(BM20 &lt;&gt; "", BM20, BL20) / M02S04F06 / AO20, "")</f>
        <v/>
      </c>
      <c r="BP20" s="983"/>
      <c r="BQ20" s="982" t="str">
        <f t="shared" ref="BQ20" si="7">IFERROR(ROUND(U20*AM20, 2), "")</f>
        <v/>
      </c>
      <c r="BR20" s="765"/>
      <c r="BS20" s="765"/>
      <c r="BT20" s="765"/>
      <c r="BU20" s="981" t="str">
        <f t="shared" ref="BU20" si="8">IFERROR(IF(BP20="",IF(AR20 &lt; BQ20, "100% Total Cost", ""), ""), "")</f>
        <v/>
      </c>
      <c r="BV20" s="767" t="str">
        <f t="shared" si="4"/>
        <v/>
      </c>
      <c r="BW20" s="981" t="str">
        <f>IFERROR(IF(OR(C20="",U20="",R20="",AA20="",AE20="",AI20="",AK20=""),"",IF(BY20&lt;&gt;"", SPILLOVERNUMBER, INDEX(STDWATER[Measure Number],MATCH(C20,STDWATER[Measure Name],0)))),"Err")</f>
        <v/>
      </c>
      <c r="BX20" s="757" t="str" cm="1">
        <f t="array" ref="BX20">IFERROR(INDEX(_xlfn.SWITCH(Program_Banner,"Business Energy Savings",STDWATER[Primary Key WBE],"Small Business / Non-Profit",STDWATER[Primary Key HTRB],0),MATCH(BW20,STDWATER[Measure Number],0)),"")</f>
        <v/>
      </c>
      <c r="BY20" s="981" t="str">
        <f>IFERROR(IF(OR(C20="",U20="",AA20="",AE20="",AI20="",AK20=""),"",
IF(BP20&gt;0,"",
IF(EXPIRATION&lt;&gt;"",PROJSTATEXP,""))),"")</f>
        <v/>
      </c>
      <c r="BZ20" s="753"/>
      <c r="CA20" s="753"/>
      <c r="CB20" s="753"/>
      <c r="CC20" s="753"/>
    </row>
    <row r="21" spans="1:81" ht="15.95" customHeight="1">
      <c r="B21" s="785"/>
      <c r="C21" s="806"/>
      <c r="D21" s="806"/>
      <c r="E21" s="806"/>
      <c r="F21" s="806"/>
      <c r="G21" s="806"/>
      <c r="H21" s="806"/>
      <c r="I21" s="806"/>
      <c r="J21" s="806"/>
      <c r="K21" s="806"/>
      <c r="L21" s="806"/>
      <c r="M21" s="806"/>
      <c r="N21" s="806"/>
      <c r="O21" s="806"/>
      <c r="P21" s="806"/>
      <c r="Q21" s="806"/>
      <c r="R21" s="899"/>
      <c r="S21" s="899"/>
      <c r="T21" s="899"/>
      <c r="U21" s="802"/>
      <c r="V21" s="802"/>
      <c r="W21" s="806"/>
      <c r="X21" s="806"/>
      <c r="Y21" s="806"/>
      <c r="Z21" s="806"/>
      <c r="AA21" s="806"/>
      <c r="AB21" s="806"/>
      <c r="AC21" s="806"/>
      <c r="AD21" s="806"/>
      <c r="AE21" s="806"/>
      <c r="AF21" s="806"/>
      <c r="AG21" s="806"/>
      <c r="AH21" s="786"/>
      <c r="AI21" s="809"/>
      <c r="AJ21" s="810"/>
      <c r="AK21" s="810"/>
      <c r="AL21" s="812"/>
      <c r="AM21" s="980"/>
      <c r="AN21" s="900"/>
      <c r="AO21" s="818"/>
      <c r="AP21" s="818"/>
      <c r="AQ21" s="818"/>
      <c r="AR21" s="822"/>
      <c r="AS21" s="823"/>
      <c r="AT21" s="823"/>
      <c r="AU21" s="824"/>
      <c r="AV21" s="17"/>
      <c r="AX21" s="773"/>
      <c r="AY21" s="760"/>
      <c r="AZ21" s="760"/>
      <c r="BA21" s="903"/>
      <c r="BB21" s="903"/>
      <c r="BC21" s="773"/>
      <c r="BD21" s="757"/>
      <c r="BE21" s="761"/>
      <c r="BF21" s="761"/>
      <c r="BG21" s="762"/>
      <c r="BH21" s="776"/>
      <c r="BI21" s="776"/>
      <c r="BJ21" s="777"/>
      <c r="BK21" s="767"/>
      <c r="BL21" s="768"/>
      <c r="BM21" s="768"/>
      <c r="BN21" s="764"/>
      <c r="BO21" s="764"/>
      <c r="BP21" s="770"/>
      <c r="BQ21" s="767"/>
      <c r="BR21" s="766"/>
      <c r="BS21" s="766"/>
      <c r="BT21" s="766"/>
      <c r="BU21" s="757"/>
      <c r="BV21" s="768"/>
      <c r="BW21" s="757"/>
      <c r="BX21" s="758"/>
      <c r="BY21" s="757"/>
      <c r="BZ21" s="754"/>
      <c r="CA21" s="754"/>
      <c r="CB21" s="754"/>
      <c r="CC21" s="754"/>
    </row>
    <row r="22" spans="1:81" ht="15.95" customHeight="1">
      <c r="A22" s="75"/>
      <c r="B22" s="785">
        <v>3</v>
      </c>
      <c r="C22" s="806"/>
      <c r="D22" s="806"/>
      <c r="E22" s="806"/>
      <c r="F22" s="806"/>
      <c r="G22" s="806"/>
      <c r="H22" s="806"/>
      <c r="I22" s="806"/>
      <c r="J22" s="806"/>
      <c r="K22" s="806"/>
      <c r="L22" s="806"/>
      <c r="M22" s="806"/>
      <c r="N22" s="806"/>
      <c r="O22" s="806"/>
      <c r="P22" s="806"/>
      <c r="Q22" s="806"/>
      <c r="R22" s="899" t="str">
        <f>IF(C22="","",INDEX(STDWATER[Current Unit],MATCH(C22,STDWATER[Measure Name],0)))</f>
        <v/>
      </c>
      <c r="S22" s="899"/>
      <c r="T22" s="899"/>
      <c r="U22" s="802"/>
      <c r="V22" s="802"/>
      <c r="W22" s="806"/>
      <c r="X22" s="806"/>
      <c r="Y22" s="806"/>
      <c r="Z22" s="806"/>
      <c r="AA22" s="806"/>
      <c r="AB22" s="806"/>
      <c r="AC22" s="806"/>
      <c r="AD22" s="806"/>
      <c r="AE22" s="806"/>
      <c r="AF22" s="806"/>
      <c r="AG22" s="806"/>
      <c r="AH22" s="786"/>
      <c r="AI22" s="809"/>
      <c r="AJ22" s="810"/>
      <c r="AK22" s="810"/>
      <c r="AL22" s="812"/>
      <c r="AM22" s="979" t="str" cm="1">
        <f t="array" ref="AM22">IFERROR(IF(C22="","",INDEX(IF(AND(ACTIVEBONUS = TRUE,INDEX(STDWATER[Bonus Incentive],MATCH(C22,STDWATER[Measure Name],0))&lt;&gt; ""),STDWATER[Bonus Incentive],_xlfn.SWITCH(Program_Banner,"Business Energy Savings",STDWATER[BESP Incentive],"Small Business / Non-Profit",STDWATER[SBNP Incentive],0)),MATCH(C22,STDWATER[Measure Name],0))),"")</f>
        <v/>
      </c>
      <c r="AN22" s="924"/>
      <c r="AO22" s="818" t="str">
        <f>IFERROR(IF(OR(C22="",U22="",R22="",AA22="",AE22="",AI22="",AK22=""),"",IF(BD22="Deemed",BH22,IF(BD22="Calculated",BE22,""))),"")</f>
        <v/>
      </c>
      <c r="AP22" s="818"/>
      <c r="AQ22" s="818"/>
      <c r="AR22" s="819" t="str">
        <f>IFERROR(IF(OR(C22="",U22="",R22="",AA22="",AE22="",AI22="",AK22=""),"",IF(BY22&lt;&gt;"",BY22,IF(BP22&gt;0,BP22,ROUND(IF(AO22&lt;=0,0,MIN(BL22,BQ22)),2)))),"")</f>
        <v/>
      </c>
      <c r="AS22" s="820"/>
      <c r="AT22" s="820"/>
      <c r="AU22" s="821"/>
      <c r="AV22" s="17"/>
      <c r="AX22" s="987" t="str">
        <f>IFERROR(IF(OR(C22="",U22="",R22="",AA22="",AE22="",AI22="",AK22=""),"",INDEX(STDWATER[Current Unit],MATCH(C22,STDWATER[Measure Name],0))),"Err")</f>
        <v/>
      </c>
      <c r="AY22" s="759" t="str">
        <f t="shared" ref="AY22" si="9">IF(U22="", "", U22)</f>
        <v/>
      </c>
      <c r="AZ22" s="759" t="str">
        <f t="shared" ref="AZ22" si="10">IF(U22="", "", U22)</f>
        <v/>
      </c>
      <c r="BA22" s="986"/>
      <c r="BB22" s="986"/>
      <c r="BC22" s="987" t="str">
        <f>IFERROR(IF(OR(C22="",U22="",R22="",AA22="",AE22="",AI22="",AK22=""),"",INDEX(STDWATER[End Use],MATCH(C22,STDWATER[Measure Name],0))),"Err")</f>
        <v/>
      </c>
      <c r="BD22" s="981" t="str">
        <f>IFERROR(IF(OR(C22="",U22="",R22="",AA22="",AE22="",AI22="",AK22=""),"",INDEX(STDWATER[Reporting Methodology],MATCH(C22,STDWATER[Measure Name],0))),"Err")</f>
        <v/>
      </c>
      <c r="BE22" s="985"/>
      <c r="BF22" s="985"/>
      <c r="BG22" s="761"/>
      <c r="BH22" s="775" t="str" cm="1">
        <f t="array" ref="BH22">IF(OR(C22="",U22="",R22="",AA22="",AE22="",AI22="",AK22=""),"",ROUND(U22*INDEX(_xlfn.SWITCH(Program_Banner,"Business Energy Savings",STDWATER[Electric Energy Savings WBE (Annual kWh/unit)],"Small Business / Non-Profit",STDWATER[Electric Energy Savings HTRB (Annual kWh/unit)],0),MATCH(C22,STDWATER[Measure Name],0)),4))</f>
        <v/>
      </c>
      <c r="BI22" s="775" t="str" cm="1">
        <f t="array" ref="BI22">IF(OR(C22="",U22="",R22="",AA22="",AE22="",AI22="",AK22=""),"",ROUND(U22*INDEX(_xlfn.SWITCH(Program_Banner,"Business Energy Savings",STDWATER[Coincident Peak Demand Savings WBE (kW/unit)],"Small Business / Non-Profit",STDWATER[Coincident Peak Demand Savings HTRB (kW/unit)],0),MATCH(C22,STDWATER[Measure Name],0)),4))</f>
        <v/>
      </c>
      <c r="BJ22" s="984" t="str">
        <f>IFERROR(INDEX(STDWATER[Measure Life (Years)],MATCH(C22,STDWATER[Measure Name],0)),"")</f>
        <v/>
      </c>
      <c r="BK22" s="982" t="str">
        <f>IFERROR(IF(OR(C22="",U22="",R22="",AA22="",AE22="",AI22="",AK22=""),"",
ROUND(((1+ELOSS)*((BH22*INDEX(ELECCB[NPV AEC $/kWh],MATCH(BJ22,ELECCB[Year Number],1)))+(BI22*INDEX(ELECCB[NPV ACC $/kW],MATCH(BJ22,ELECCB[Year Number],1))))),2)),0)</f>
        <v/>
      </c>
      <c r="BL22" s="767" t="str">
        <f t="shared" si="2"/>
        <v/>
      </c>
      <c r="BM22" s="767" t="str">
        <f>IF(OR(C22="", U22=""), "", U22 * INDEX(STDWATER[Incremental Measure Cost ($/Unit)],MATCH(C22,STDWATER[Measure Name],0)))</f>
        <v/>
      </c>
      <c r="BN22" s="763" t="str">
        <f t="shared" si="3"/>
        <v/>
      </c>
      <c r="BO22" s="763" t="str">
        <f>IFERROR(IF(BM22 &lt;&gt; "", BM22, BL22) / M02S04F06 / AO22, "")</f>
        <v/>
      </c>
      <c r="BP22" s="983"/>
      <c r="BQ22" s="982" t="str">
        <f t="shared" ref="BQ22" si="11">IFERROR(ROUND(U22*AM22, 2), "")</f>
        <v/>
      </c>
      <c r="BR22" s="765"/>
      <c r="BS22" s="765"/>
      <c r="BT22" s="765"/>
      <c r="BU22" s="981" t="str">
        <f t="shared" ref="BU22" si="12">IFERROR(IF(BP22="",IF(AR22 &lt; BQ22, "100% Total Cost", ""), ""), "")</f>
        <v/>
      </c>
      <c r="BV22" s="767" t="str">
        <f t="shared" si="4"/>
        <v/>
      </c>
      <c r="BW22" s="981" t="str">
        <f>IFERROR(IF(OR(C22="",U22="",R22="",AA22="",AE22="",AI22="",AK22=""),"",IF(BY22&lt;&gt;"", SPILLOVERNUMBER, INDEX(STDWATER[Measure Number],MATCH(C22,STDWATER[Measure Name],0)))),"Err")</f>
        <v/>
      </c>
      <c r="BX22" s="757" t="str" cm="1">
        <f t="array" ref="BX22">IFERROR(INDEX(_xlfn.SWITCH(Program_Banner,"Business Energy Savings",STDWATER[Primary Key WBE],"Small Business / Non-Profit",STDWATER[Primary Key HTRB],0),MATCH(BW22,STDWATER[Measure Number],0)),"")</f>
        <v/>
      </c>
      <c r="BY22" s="981" t="str">
        <f>IFERROR(IF(OR(C22="",U22="",AA22="",AE22="",AI22="",AK22=""),"",
IF(BP22&gt;0,"",
IF(EXPIRATION&lt;&gt;"",PROJSTATEXP,""))),"")</f>
        <v/>
      </c>
      <c r="BZ22" s="753"/>
      <c r="CA22" s="753"/>
      <c r="CB22" s="753"/>
      <c r="CC22" s="753"/>
    </row>
    <row r="23" spans="1:81" ht="15.95" customHeight="1">
      <c r="B23" s="785"/>
      <c r="C23" s="806"/>
      <c r="D23" s="806"/>
      <c r="E23" s="806"/>
      <c r="F23" s="806"/>
      <c r="G23" s="806"/>
      <c r="H23" s="806"/>
      <c r="I23" s="806"/>
      <c r="J23" s="806"/>
      <c r="K23" s="806"/>
      <c r="L23" s="806"/>
      <c r="M23" s="806"/>
      <c r="N23" s="806"/>
      <c r="O23" s="806"/>
      <c r="P23" s="806"/>
      <c r="Q23" s="806"/>
      <c r="R23" s="899"/>
      <c r="S23" s="899"/>
      <c r="T23" s="899"/>
      <c r="U23" s="802"/>
      <c r="V23" s="802"/>
      <c r="W23" s="806"/>
      <c r="X23" s="806"/>
      <c r="Y23" s="806"/>
      <c r="Z23" s="806"/>
      <c r="AA23" s="806"/>
      <c r="AB23" s="806"/>
      <c r="AC23" s="806"/>
      <c r="AD23" s="806"/>
      <c r="AE23" s="806"/>
      <c r="AF23" s="806"/>
      <c r="AG23" s="806"/>
      <c r="AH23" s="786"/>
      <c r="AI23" s="809"/>
      <c r="AJ23" s="810"/>
      <c r="AK23" s="810"/>
      <c r="AL23" s="812"/>
      <c r="AM23" s="980"/>
      <c r="AN23" s="900"/>
      <c r="AO23" s="818"/>
      <c r="AP23" s="818"/>
      <c r="AQ23" s="818"/>
      <c r="AR23" s="822"/>
      <c r="AS23" s="823"/>
      <c r="AT23" s="823"/>
      <c r="AU23" s="824"/>
      <c r="AV23" s="17"/>
      <c r="AX23" s="773"/>
      <c r="AY23" s="760"/>
      <c r="AZ23" s="760"/>
      <c r="BA23" s="903"/>
      <c r="BB23" s="903"/>
      <c r="BC23" s="773"/>
      <c r="BD23" s="757"/>
      <c r="BE23" s="761"/>
      <c r="BF23" s="761"/>
      <c r="BG23" s="762"/>
      <c r="BH23" s="776"/>
      <c r="BI23" s="776"/>
      <c r="BJ23" s="777"/>
      <c r="BK23" s="767"/>
      <c r="BL23" s="768"/>
      <c r="BM23" s="768"/>
      <c r="BN23" s="764"/>
      <c r="BO23" s="764"/>
      <c r="BP23" s="770"/>
      <c r="BQ23" s="767"/>
      <c r="BR23" s="766"/>
      <c r="BS23" s="766"/>
      <c r="BT23" s="766"/>
      <c r="BU23" s="757"/>
      <c r="BV23" s="768"/>
      <c r="BW23" s="757"/>
      <c r="BX23" s="758"/>
      <c r="BY23" s="757"/>
      <c r="BZ23" s="754"/>
      <c r="CA23" s="754"/>
      <c r="CB23" s="754"/>
      <c r="CC23" s="754"/>
    </row>
    <row r="24" spans="1:81" ht="15.95" customHeight="1">
      <c r="B24" s="785">
        <v>4</v>
      </c>
      <c r="C24" s="806"/>
      <c r="D24" s="806"/>
      <c r="E24" s="806"/>
      <c r="F24" s="806"/>
      <c r="G24" s="806"/>
      <c r="H24" s="806"/>
      <c r="I24" s="806"/>
      <c r="J24" s="806"/>
      <c r="K24" s="806"/>
      <c r="L24" s="806"/>
      <c r="M24" s="806"/>
      <c r="N24" s="806"/>
      <c r="O24" s="806"/>
      <c r="P24" s="806"/>
      <c r="Q24" s="806"/>
      <c r="R24" s="899" t="str">
        <f>IF(C24="","",INDEX(STDWATER[Current Unit],MATCH(C24,STDWATER[Measure Name],0)))</f>
        <v/>
      </c>
      <c r="S24" s="899"/>
      <c r="T24" s="899"/>
      <c r="U24" s="802"/>
      <c r="V24" s="802"/>
      <c r="W24" s="806"/>
      <c r="X24" s="806"/>
      <c r="Y24" s="806"/>
      <c r="Z24" s="806"/>
      <c r="AA24" s="806"/>
      <c r="AB24" s="806"/>
      <c r="AC24" s="806"/>
      <c r="AD24" s="806"/>
      <c r="AE24" s="806"/>
      <c r="AF24" s="806"/>
      <c r="AG24" s="806"/>
      <c r="AH24" s="786"/>
      <c r="AI24" s="809"/>
      <c r="AJ24" s="810"/>
      <c r="AK24" s="810"/>
      <c r="AL24" s="812"/>
      <c r="AM24" s="979" t="str" cm="1">
        <f t="array" ref="AM24">IFERROR(IF(C24="","",INDEX(IF(AND(ACTIVEBONUS = TRUE,INDEX(STDWATER[Bonus Incentive],MATCH(C24,STDWATER[Measure Name],0))&lt;&gt; ""),STDWATER[Bonus Incentive],_xlfn.SWITCH(Program_Banner,"Business Energy Savings",STDWATER[BESP Incentive],"Small Business / Non-Profit",STDWATER[SBNP Incentive],0)),MATCH(C24,STDWATER[Measure Name],0))),"")</f>
        <v/>
      </c>
      <c r="AN24" s="924"/>
      <c r="AO24" s="818" t="str">
        <f>IFERROR(IF(OR(C24="",U24="",R24="",AA24="",AE24="",AI24="",AK24=""),"",IF(BD24="Deemed",BH24,IF(BD24="Calculated",BE24,""))),"")</f>
        <v/>
      </c>
      <c r="AP24" s="818"/>
      <c r="AQ24" s="818"/>
      <c r="AR24" s="819" t="str">
        <f>IFERROR(IF(OR(C24="",U24="",R24="",AA24="",AE24="",AI24="",AK24=""),"",IF(BY24&lt;&gt;"",BY24,IF(BP24&gt;0,BP24,ROUND(IF(AO24&lt;=0,0,MIN(BL24,BQ24)),2)))),"")</f>
        <v/>
      </c>
      <c r="AS24" s="820"/>
      <c r="AT24" s="820"/>
      <c r="AU24" s="821"/>
      <c r="AV24" s="17"/>
      <c r="AX24" s="987" t="str">
        <f>IFERROR(IF(OR(C24="",U24="",R24="",AA24="",AE24="",AI24="",AK24=""),"",INDEX(STDWATER[Current Unit],MATCH(C24,STDWATER[Measure Name],0))),"Err")</f>
        <v/>
      </c>
      <c r="AY24" s="759" t="str">
        <f t="shared" ref="AY24" si="13">IF(U24="", "", U24)</f>
        <v/>
      </c>
      <c r="AZ24" s="759" t="str">
        <f t="shared" ref="AZ24" si="14">IF(U24="", "", U24)</f>
        <v/>
      </c>
      <c r="BA24" s="986"/>
      <c r="BB24" s="986"/>
      <c r="BC24" s="987" t="str">
        <f>IFERROR(IF(OR(C24="",U24="",R24="",AA24="",AE24="",AI24="",AK24=""),"",INDEX(STDWATER[End Use],MATCH(C24,STDWATER[Measure Name],0))),"Err")</f>
        <v/>
      </c>
      <c r="BD24" s="981" t="str">
        <f>IFERROR(IF(OR(C24="",U24="",R24="",AA24="",AE24="",AI24="",AK24=""),"",INDEX(STDWATER[Reporting Methodology],MATCH(C24,STDWATER[Measure Name],0))),"Err")</f>
        <v/>
      </c>
      <c r="BE24" s="985"/>
      <c r="BF24" s="985"/>
      <c r="BG24" s="761"/>
      <c r="BH24" s="775" t="str" cm="1">
        <f t="array" ref="BH24">IF(OR(C24="",U24="",R24="",AA24="",AE24="",AI24="",AK24=""),"",ROUND(U24*INDEX(_xlfn.SWITCH(Program_Banner,"Business Energy Savings",STDWATER[Electric Energy Savings WBE (Annual kWh/unit)],"Small Business / Non-Profit",STDWATER[Electric Energy Savings HTRB (Annual kWh/unit)],0),MATCH(C24,STDWATER[Measure Name],0)),4))</f>
        <v/>
      </c>
      <c r="BI24" s="775" t="str" cm="1">
        <f t="array" ref="BI24">IF(OR(C24="",U24="",R24="",AA24="",AE24="",AI24="",AK24=""),"",ROUND(U24*INDEX(_xlfn.SWITCH(Program_Banner,"Business Energy Savings",STDWATER[Coincident Peak Demand Savings WBE (kW/unit)],"Small Business / Non-Profit",STDWATER[Coincident Peak Demand Savings HTRB (kW/unit)],0),MATCH(C24,STDWATER[Measure Name],0)),4))</f>
        <v/>
      </c>
      <c r="BJ24" s="984" t="str">
        <f>IFERROR(INDEX(STDWATER[Measure Life (Years)],MATCH(C24,STDWATER[Measure Name],0)),"")</f>
        <v/>
      </c>
      <c r="BK24" s="982" t="str">
        <f>IFERROR(IF(OR(C24="",U24="",R24="",AA24="",AE24="",AI24="",AK24=""),"",
ROUND(((1+ELOSS)*((BH24*INDEX(ELECCB[NPV AEC $/kWh],MATCH(BJ24,ELECCB[Year Number],1)))+(BI24*INDEX(ELECCB[NPV ACC $/kW],MATCH(BJ24,ELECCB[Year Number],1))))),2)),0)</f>
        <v/>
      </c>
      <c r="BL24" s="767" t="str">
        <f t="shared" si="2"/>
        <v/>
      </c>
      <c r="BM24" s="767" t="str">
        <f>IF(OR(C24="", U24=""), "", U24 * INDEX(STDWATER[Incremental Measure Cost ($/Unit)],MATCH(C24,STDWATER[Measure Name],0)))</f>
        <v/>
      </c>
      <c r="BN24" s="763" t="str">
        <f t="shared" si="3"/>
        <v/>
      </c>
      <c r="BO24" s="763" t="str">
        <f>IFERROR(IF(BM24 &lt;&gt; "", BM24, BL24) / M02S04F06 / AO24, "")</f>
        <v/>
      </c>
      <c r="BP24" s="983"/>
      <c r="BQ24" s="982" t="str">
        <f t="shared" ref="BQ24" si="15">IFERROR(ROUND(U24*AM24, 2), "")</f>
        <v/>
      </c>
      <c r="BR24" s="765"/>
      <c r="BS24" s="765"/>
      <c r="BT24" s="765"/>
      <c r="BU24" s="981" t="str">
        <f t="shared" ref="BU24" si="16">IFERROR(IF(BP24="",IF(AR24 &lt; BQ24, "100% Total Cost", ""), ""), "")</f>
        <v/>
      </c>
      <c r="BV24" s="767" t="str">
        <f t="shared" si="4"/>
        <v/>
      </c>
      <c r="BW24" s="981" t="str">
        <f>IFERROR(IF(OR(C24="",U24="",R24="",AA24="",AE24="",AI24="",AK24=""),"",IF(BY24&lt;&gt;"", SPILLOVERNUMBER, INDEX(STDWATER[Measure Number],MATCH(C24,STDWATER[Measure Name],0)))),"Err")</f>
        <v/>
      </c>
      <c r="BX24" s="757" t="str" cm="1">
        <f t="array" ref="BX24">IFERROR(INDEX(_xlfn.SWITCH(Program_Banner,"Business Energy Savings",STDWATER[Primary Key WBE],"Small Business / Non-Profit",STDWATER[Primary Key HTRB],0),MATCH(BW24,STDWATER[Measure Number],0)),"")</f>
        <v/>
      </c>
      <c r="BY24" s="981" t="str">
        <f>IFERROR(IF(OR(C24="",U24="",AA24="",AE24="",AI24="",AK24=""),"",
IF(BP24&gt;0,"",
IF(EXPIRATION&lt;&gt;"",PROJSTATEXP,""))),"")</f>
        <v/>
      </c>
      <c r="BZ24" s="753"/>
      <c r="CA24" s="753"/>
      <c r="CB24" s="753"/>
      <c r="CC24" s="753"/>
    </row>
    <row r="25" spans="1:81" ht="15.95" customHeight="1">
      <c r="A25" s="75"/>
      <c r="B25" s="785"/>
      <c r="C25" s="806"/>
      <c r="D25" s="806"/>
      <c r="E25" s="806"/>
      <c r="F25" s="806"/>
      <c r="G25" s="806"/>
      <c r="H25" s="806"/>
      <c r="I25" s="806"/>
      <c r="J25" s="806"/>
      <c r="K25" s="806"/>
      <c r="L25" s="806"/>
      <c r="M25" s="806"/>
      <c r="N25" s="806"/>
      <c r="O25" s="806"/>
      <c r="P25" s="806"/>
      <c r="Q25" s="806"/>
      <c r="R25" s="899"/>
      <c r="S25" s="899"/>
      <c r="T25" s="899"/>
      <c r="U25" s="802"/>
      <c r="V25" s="802"/>
      <c r="W25" s="806"/>
      <c r="X25" s="806"/>
      <c r="Y25" s="806"/>
      <c r="Z25" s="806"/>
      <c r="AA25" s="806"/>
      <c r="AB25" s="806"/>
      <c r="AC25" s="806"/>
      <c r="AD25" s="806"/>
      <c r="AE25" s="806"/>
      <c r="AF25" s="806"/>
      <c r="AG25" s="806"/>
      <c r="AH25" s="786"/>
      <c r="AI25" s="809"/>
      <c r="AJ25" s="810"/>
      <c r="AK25" s="810"/>
      <c r="AL25" s="812"/>
      <c r="AM25" s="980"/>
      <c r="AN25" s="900"/>
      <c r="AO25" s="818"/>
      <c r="AP25" s="818"/>
      <c r="AQ25" s="818"/>
      <c r="AR25" s="822"/>
      <c r="AS25" s="823"/>
      <c r="AT25" s="823"/>
      <c r="AU25" s="824"/>
      <c r="AV25" s="17"/>
      <c r="AX25" s="773"/>
      <c r="AY25" s="760"/>
      <c r="AZ25" s="760"/>
      <c r="BA25" s="903"/>
      <c r="BB25" s="903"/>
      <c r="BC25" s="773"/>
      <c r="BD25" s="757"/>
      <c r="BE25" s="761"/>
      <c r="BF25" s="761"/>
      <c r="BG25" s="762"/>
      <c r="BH25" s="776"/>
      <c r="BI25" s="776"/>
      <c r="BJ25" s="777"/>
      <c r="BK25" s="767"/>
      <c r="BL25" s="768"/>
      <c r="BM25" s="768"/>
      <c r="BN25" s="764"/>
      <c r="BO25" s="764"/>
      <c r="BP25" s="770"/>
      <c r="BQ25" s="767"/>
      <c r="BR25" s="766"/>
      <c r="BS25" s="766"/>
      <c r="BT25" s="766"/>
      <c r="BU25" s="757"/>
      <c r="BV25" s="768"/>
      <c r="BW25" s="757"/>
      <c r="BX25" s="758"/>
      <c r="BY25" s="757"/>
      <c r="BZ25" s="754"/>
      <c r="CA25" s="754"/>
      <c r="CB25" s="754"/>
      <c r="CC25" s="754"/>
    </row>
    <row r="26" spans="1:81" ht="15.95" customHeight="1">
      <c r="B26" s="785">
        <v>5</v>
      </c>
      <c r="C26" s="806"/>
      <c r="D26" s="806"/>
      <c r="E26" s="806"/>
      <c r="F26" s="806"/>
      <c r="G26" s="806"/>
      <c r="H26" s="806"/>
      <c r="I26" s="806"/>
      <c r="J26" s="806"/>
      <c r="K26" s="806"/>
      <c r="L26" s="806"/>
      <c r="M26" s="806"/>
      <c r="N26" s="806"/>
      <c r="O26" s="806"/>
      <c r="P26" s="806"/>
      <c r="Q26" s="806"/>
      <c r="R26" s="899" t="str">
        <f>IF(C26="","",INDEX(STDWATER[Current Unit],MATCH(C26,STDWATER[Measure Name],0)))</f>
        <v/>
      </c>
      <c r="S26" s="899"/>
      <c r="T26" s="899"/>
      <c r="U26" s="802"/>
      <c r="V26" s="802"/>
      <c r="W26" s="806"/>
      <c r="X26" s="806"/>
      <c r="Y26" s="806"/>
      <c r="Z26" s="806"/>
      <c r="AA26" s="806"/>
      <c r="AB26" s="806"/>
      <c r="AC26" s="806"/>
      <c r="AD26" s="806"/>
      <c r="AE26" s="806"/>
      <c r="AF26" s="806"/>
      <c r="AG26" s="806"/>
      <c r="AH26" s="786"/>
      <c r="AI26" s="809"/>
      <c r="AJ26" s="810"/>
      <c r="AK26" s="810"/>
      <c r="AL26" s="812"/>
      <c r="AM26" s="979" t="str" cm="1">
        <f t="array" ref="AM26">IFERROR(IF(C26="","",INDEX(IF(AND(ACTIVEBONUS = TRUE,INDEX(STDWATER[Bonus Incentive],MATCH(C26,STDWATER[Measure Name],0))&lt;&gt; ""),STDWATER[Bonus Incentive],_xlfn.SWITCH(Program_Banner,"Business Energy Savings",STDWATER[BESP Incentive],"Small Business / Non-Profit",STDWATER[SBNP Incentive],0)),MATCH(C26,STDWATER[Measure Name],0))),"")</f>
        <v/>
      </c>
      <c r="AN26" s="924"/>
      <c r="AO26" s="818" t="str">
        <f>IFERROR(IF(OR(C26="",U26="",R26="",AA26="",AE26="",AI26="",AK26=""),"",IF(BD26="Deemed",BH26,IF(BD26="Calculated",BE26,""))),"")</f>
        <v/>
      </c>
      <c r="AP26" s="818"/>
      <c r="AQ26" s="818"/>
      <c r="AR26" s="819" t="str">
        <f>IFERROR(IF(OR(C26="",U26="",R26="",AA26="",AE26="",AI26="",AK26=""),"",IF(BY26&lt;&gt;"",BY26,IF(BP26&gt;0,BP26,ROUND(IF(AO26&lt;=0,0,MIN(BL26,BQ26)),2)))),"")</f>
        <v/>
      </c>
      <c r="AS26" s="820"/>
      <c r="AT26" s="820"/>
      <c r="AU26" s="821"/>
      <c r="AV26" s="17"/>
      <c r="AX26" s="987" t="str">
        <f>IFERROR(IF(OR(C26="",U26="",R26="",AA26="",AE26="",AI26="",AK26=""),"",INDEX(STDWATER[Current Unit],MATCH(C26,STDWATER[Measure Name],0))),"Err")</f>
        <v/>
      </c>
      <c r="AY26" s="759" t="str">
        <f t="shared" ref="AY26" si="17">IF(U26="", "", U26)</f>
        <v/>
      </c>
      <c r="AZ26" s="759" t="str">
        <f t="shared" ref="AZ26" si="18">IF(U26="", "", U26)</f>
        <v/>
      </c>
      <c r="BA26" s="986"/>
      <c r="BB26" s="986"/>
      <c r="BC26" s="987" t="str">
        <f>IFERROR(IF(OR(C26="",U26="",R26="",AA26="",AE26="",AI26="",AK26=""),"",INDEX(STDWATER[End Use],MATCH(C26,STDWATER[Measure Name],0))),"Err")</f>
        <v/>
      </c>
      <c r="BD26" s="981" t="str">
        <f>IFERROR(IF(OR(C26="",U26="",R26="",AA26="",AE26="",AI26="",AK26=""),"",INDEX(STDWATER[Reporting Methodology],MATCH(C26,STDWATER[Measure Name],0))),"Err")</f>
        <v/>
      </c>
      <c r="BE26" s="985"/>
      <c r="BF26" s="985"/>
      <c r="BG26" s="761"/>
      <c r="BH26" s="775" t="str" cm="1">
        <f t="array" ref="BH26">IF(OR(C26="",U26="",R26="",AA26="",AE26="",AI26="",AK26=""),"",ROUND(U26*INDEX(_xlfn.SWITCH(Program_Banner,"Business Energy Savings",STDWATER[Electric Energy Savings WBE (Annual kWh/unit)],"Small Business / Non-Profit",STDWATER[Electric Energy Savings HTRB (Annual kWh/unit)],0),MATCH(C26,STDWATER[Measure Name],0)),4))</f>
        <v/>
      </c>
      <c r="BI26" s="775" t="str" cm="1">
        <f t="array" ref="BI26">IF(OR(C26="",U26="",R26="",AA26="",AE26="",AI26="",AK26=""),"",ROUND(U26*INDEX(_xlfn.SWITCH(Program_Banner,"Business Energy Savings",STDWATER[Coincident Peak Demand Savings WBE (kW/unit)],"Small Business / Non-Profit",STDWATER[Coincident Peak Demand Savings HTRB (kW/unit)],0),MATCH(C26,STDWATER[Measure Name],0)),4))</f>
        <v/>
      </c>
      <c r="BJ26" s="984" t="str">
        <f>IFERROR(INDEX(STDWATER[Measure Life (Years)],MATCH(C26,STDWATER[Measure Name],0)),"")</f>
        <v/>
      </c>
      <c r="BK26" s="982" t="str">
        <f>IFERROR(IF(OR(C26="",U26="",R26="",AA26="",AE26="",AI26="",AK26=""),"",
ROUND(((1+ELOSS)*((BH26*INDEX(ELECCB[NPV AEC $/kWh],MATCH(BJ26,ELECCB[Year Number],1)))+(BI26*INDEX(ELECCB[NPV ACC $/kW],MATCH(BJ26,ELECCB[Year Number],1))))),2)),0)</f>
        <v/>
      </c>
      <c r="BL26" s="767" t="str">
        <f t="shared" si="2"/>
        <v/>
      </c>
      <c r="BM26" s="767" t="str">
        <f>IF(OR(C26="", U26=""), "", U26 * INDEX(STDWATER[Incremental Measure Cost ($/Unit)],MATCH(C26,STDWATER[Measure Name],0)))</f>
        <v/>
      </c>
      <c r="BN26" s="763" t="str">
        <f t="shared" si="3"/>
        <v/>
      </c>
      <c r="BO26" s="763" t="str">
        <f>IFERROR(IF(BM26 &lt;&gt; "", BM26, BL26) / M02S04F06 / AO26, "")</f>
        <v/>
      </c>
      <c r="BP26" s="983"/>
      <c r="BQ26" s="982" t="str">
        <f t="shared" ref="BQ26" si="19">IFERROR(ROUND(U26*AM26, 2), "")</f>
        <v/>
      </c>
      <c r="BR26" s="765"/>
      <c r="BS26" s="765"/>
      <c r="BT26" s="765"/>
      <c r="BU26" s="981" t="str">
        <f t="shared" ref="BU26" si="20">IFERROR(IF(BP26="",IF(AR26 &lt; BQ26, "100% Total Cost", ""), ""), "")</f>
        <v/>
      </c>
      <c r="BV26" s="767" t="str">
        <f t="shared" si="4"/>
        <v/>
      </c>
      <c r="BW26" s="981" t="str">
        <f>IFERROR(IF(OR(C26="",U26="",R26="",AA26="",AE26="",AI26="",AK26=""),"",IF(BY26&lt;&gt;"", SPILLOVERNUMBER, INDEX(STDWATER[Measure Number],MATCH(C26,STDWATER[Measure Name],0)))),"Err")</f>
        <v/>
      </c>
      <c r="BX26" s="757" t="str" cm="1">
        <f t="array" ref="BX26">IFERROR(INDEX(_xlfn.SWITCH(Program_Banner,"Business Energy Savings",STDWATER[Primary Key WBE],"Small Business / Non-Profit",STDWATER[Primary Key HTRB],0),MATCH(BW26,STDWATER[Measure Number],0)),"")</f>
        <v/>
      </c>
      <c r="BY26" s="981" t="str">
        <f>IFERROR(IF(OR(C26="",U26="",AA26="",AE26="",AI26="",AK26=""),"",
IF(BP26&gt;0,"",
IF(EXPIRATION&lt;&gt;"",PROJSTATEXP,""))),"")</f>
        <v/>
      </c>
      <c r="BZ26" s="753"/>
      <c r="CA26" s="753"/>
      <c r="CB26" s="753"/>
      <c r="CC26" s="753"/>
    </row>
    <row r="27" spans="1:81" ht="15.95" customHeight="1">
      <c r="B27" s="785"/>
      <c r="C27" s="806"/>
      <c r="D27" s="806"/>
      <c r="E27" s="806"/>
      <c r="F27" s="806"/>
      <c r="G27" s="806"/>
      <c r="H27" s="806"/>
      <c r="I27" s="806"/>
      <c r="J27" s="806"/>
      <c r="K27" s="806"/>
      <c r="L27" s="806"/>
      <c r="M27" s="806"/>
      <c r="N27" s="806"/>
      <c r="O27" s="806"/>
      <c r="P27" s="806"/>
      <c r="Q27" s="806"/>
      <c r="R27" s="899"/>
      <c r="S27" s="899"/>
      <c r="T27" s="899"/>
      <c r="U27" s="802"/>
      <c r="V27" s="802"/>
      <c r="W27" s="806"/>
      <c r="X27" s="806"/>
      <c r="Y27" s="806"/>
      <c r="Z27" s="806"/>
      <c r="AA27" s="806"/>
      <c r="AB27" s="806"/>
      <c r="AC27" s="806"/>
      <c r="AD27" s="806"/>
      <c r="AE27" s="806"/>
      <c r="AF27" s="806"/>
      <c r="AG27" s="806"/>
      <c r="AH27" s="786"/>
      <c r="AI27" s="809"/>
      <c r="AJ27" s="810"/>
      <c r="AK27" s="810"/>
      <c r="AL27" s="812"/>
      <c r="AM27" s="980"/>
      <c r="AN27" s="900"/>
      <c r="AO27" s="818"/>
      <c r="AP27" s="818"/>
      <c r="AQ27" s="818"/>
      <c r="AR27" s="822"/>
      <c r="AS27" s="823"/>
      <c r="AT27" s="823"/>
      <c r="AU27" s="824"/>
      <c r="AV27" s="17"/>
      <c r="AX27" s="773"/>
      <c r="AY27" s="760"/>
      <c r="AZ27" s="760"/>
      <c r="BA27" s="903"/>
      <c r="BB27" s="903"/>
      <c r="BC27" s="773"/>
      <c r="BD27" s="757"/>
      <c r="BE27" s="761"/>
      <c r="BF27" s="761"/>
      <c r="BG27" s="762"/>
      <c r="BH27" s="776"/>
      <c r="BI27" s="776"/>
      <c r="BJ27" s="777"/>
      <c r="BK27" s="767"/>
      <c r="BL27" s="768"/>
      <c r="BM27" s="768"/>
      <c r="BN27" s="764"/>
      <c r="BO27" s="764"/>
      <c r="BP27" s="770"/>
      <c r="BQ27" s="767"/>
      <c r="BR27" s="766"/>
      <c r="BS27" s="766"/>
      <c r="BT27" s="766"/>
      <c r="BU27" s="757"/>
      <c r="BV27" s="768"/>
      <c r="BW27" s="757"/>
      <c r="BX27" s="758"/>
      <c r="BY27" s="757"/>
      <c r="BZ27" s="754"/>
      <c r="CA27" s="754"/>
      <c r="CB27" s="754"/>
      <c r="CC27" s="754"/>
    </row>
    <row r="28" spans="1:81" ht="15.95" customHeight="1">
      <c r="B28" s="785">
        <v>6</v>
      </c>
      <c r="C28" s="806"/>
      <c r="D28" s="806"/>
      <c r="E28" s="806"/>
      <c r="F28" s="806"/>
      <c r="G28" s="806"/>
      <c r="H28" s="806"/>
      <c r="I28" s="806"/>
      <c r="J28" s="806"/>
      <c r="K28" s="806"/>
      <c r="L28" s="806"/>
      <c r="M28" s="806"/>
      <c r="N28" s="806"/>
      <c r="O28" s="806"/>
      <c r="P28" s="806"/>
      <c r="Q28" s="806"/>
      <c r="R28" s="899" t="str">
        <f>IF(C28="","",INDEX(STDWATER[Current Unit],MATCH(C28,STDWATER[Measure Name],0)))</f>
        <v/>
      </c>
      <c r="S28" s="899"/>
      <c r="T28" s="899"/>
      <c r="U28" s="802"/>
      <c r="V28" s="802"/>
      <c r="W28" s="806"/>
      <c r="X28" s="806"/>
      <c r="Y28" s="806"/>
      <c r="Z28" s="806"/>
      <c r="AA28" s="806"/>
      <c r="AB28" s="806"/>
      <c r="AC28" s="806"/>
      <c r="AD28" s="806"/>
      <c r="AE28" s="806"/>
      <c r="AF28" s="806"/>
      <c r="AG28" s="806"/>
      <c r="AH28" s="786"/>
      <c r="AI28" s="809"/>
      <c r="AJ28" s="810"/>
      <c r="AK28" s="810"/>
      <c r="AL28" s="812"/>
      <c r="AM28" s="979" t="str" cm="1">
        <f t="array" ref="AM28">IFERROR(IF(C28="","",INDEX(IF(AND(ACTIVEBONUS = TRUE,INDEX(STDWATER[Bonus Incentive],MATCH(C28,STDWATER[Measure Name],0))&lt;&gt; ""),STDWATER[Bonus Incentive],_xlfn.SWITCH(Program_Banner,"Business Energy Savings",STDWATER[BESP Incentive],"Small Business / Non-Profit",STDWATER[SBNP Incentive],0)),MATCH(C28,STDWATER[Measure Name],0))),"")</f>
        <v/>
      </c>
      <c r="AN28" s="924"/>
      <c r="AO28" s="818" t="str">
        <f>IFERROR(IF(OR(C28="",U28="",R28="",AA28="",AE28="",AI28="",AK28=""),"",IF(BD28="Deemed",BH28,IF(BD28="Calculated",BE28,""))),"")</f>
        <v/>
      </c>
      <c r="AP28" s="818"/>
      <c r="AQ28" s="818"/>
      <c r="AR28" s="819" t="str">
        <f>IFERROR(IF(OR(C28="",U28="",R28="",AA28="",AE28="",AI28="",AK28=""),"",IF(BY28&lt;&gt;"",BY28,IF(BP28&gt;0,BP28,ROUND(IF(AO28&lt;=0,0,MIN(BL28,BQ28)),2)))),"")</f>
        <v/>
      </c>
      <c r="AS28" s="820"/>
      <c r="AT28" s="820"/>
      <c r="AU28" s="821"/>
      <c r="AV28" s="17"/>
      <c r="AX28" s="987" t="str">
        <f>IFERROR(IF(OR(C28="",U28="",R28="",AA28="",AE28="",AI28="",AK28=""),"",INDEX(STDWATER[Current Unit],MATCH(C28,STDWATER[Measure Name],0))),"Err")</f>
        <v/>
      </c>
      <c r="AY28" s="759" t="str">
        <f t="shared" ref="AY28" si="21">IF(U28="", "", U28)</f>
        <v/>
      </c>
      <c r="AZ28" s="759" t="str">
        <f t="shared" ref="AZ28" si="22">IF(U28="", "", U28)</f>
        <v/>
      </c>
      <c r="BA28" s="986"/>
      <c r="BB28" s="986"/>
      <c r="BC28" s="987" t="str">
        <f>IFERROR(IF(OR(C28="",U28="",R28="",AA28="",AE28="",AI28="",AK28=""),"",INDEX(STDWATER[End Use],MATCH(C28,STDWATER[Measure Name],0))),"Err")</f>
        <v/>
      </c>
      <c r="BD28" s="981" t="str">
        <f>IFERROR(IF(OR(C28="",U28="",R28="",AA28="",AE28="",AI28="",AK28=""),"",INDEX(STDWATER[Reporting Methodology],MATCH(C28,STDWATER[Measure Name],0))),"Err")</f>
        <v/>
      </c>
      <c r="BE28" s="985"/>
      <c r="BF28" s="985"/>
      <c r="BG28" s="761"/>
      <c r="BH28" s="775" t="str" cm="1">
        <f t="array" ref="BH28">IF(OR(C28="",U28="",R28="",AA28="",AE28="",AI28="",AK28=""),"",ROUND(U28*INDEX(_xlfn.SWITCH(Program_Banner,"Business Energy Savings",STDWATER[Electric Energy Savings WBE (Annual kWh/unit)],"Small Business / Non-Profit",STDWATER[Electric Energy Savings HTRB (Annual kWh/unit)],0),MATCH(C28,STDWATER[Measure Name],0)),4))</f>
        <v/>
      </c>
      <c r="BI28" s="775" t="str" cm="1">
        <f t="array" ref="BI28">IF(OR(C28="",U28="",R28="",AA28="",AE28="",AI28="",AK28=""),"",ROUND(U28*INDEX(_xlfn.SWITCH(Program_Banner,"Business Energy Savings",STDWATER[Coincident Peak Demand Savings WBE (kW/unit)],"Small Business / Non-Profit",STDWATER[Coincident Peak Demand Savings HTRB (kW/unit)],0),MATCH(C28,STDWATER[Measure Name],0)),4))</f>
        <v/>
      </c>
      <c r="BJ28" s="984" t="str">
        <f>IFERROR(INDEX(STDWATER[Measure Life (Years)],MATCH(C28,STDWATER[Measure Name],0)),"")</f>
        <v/>
      </c>
      <c r="BK28" s="982" t="str">
        <f>IFERROR(IF(OR(C28="",U28="",R28="",AA28="",AE28="",AI28="",AK28=""),"",
ROUND(((1+ELOSS)*((BH28*INDEX(ELECCB[NPV AEC $/kWh],MATCH(BJ28,ELECCB[Year Number],1)))+(BI28*INDEX(ELECCB[NPV ACC $/kW],MATCH(BJ28,ELECCB[Year Number],1))))),2)),0)</f>
        <v/>
      </c>
      <c r="BL28" s="767" t="str">
        <f t="shared" si="2"/>
        <v/>
      </c>
      <c r="BM28" s="767" t="str">
        <f>IF(OR(C28="", U28=""), "", U28 * INDEX(STDWATER[Incremental Measure Cost ($/Unit)],MATCH(C28,STDWATER[Measure Name],0)))</f>
        <v/>
      </c>
      <c r="BN28" s="763" t="str">
        <f t="shared" si="3"/>
        <v/>
      </c>
      <c r="BO28" s="763" t="str">
        <f>IFERROR(IF(BM28 &lt;&gt; "", BM28, BL28) / M02S04F06 / AO28, "")</f>
        <v/>
      </c>
      <c r="BP28" s="983"/>
      <c r="BQ28" s="982" t="str">
        <f t="shared" ref="BQ28" si="23">IFERROR(ROUND(U28*AM28, 2), "")</f>
        <v/>
      </c>
      <c r="BR28" s="765"/>
      <c r="BS28" s="765"/>
      <c r="BT28" s="765"/>
      <c r="BU28" s="981" t="str">
        <f t="shared" ref="BU28" si="24">IFERROR(IF(BP28="",IF(AR28 &lt; BQ28, "100% Total Cost", ""), ""), "")</f>
        <v/>
      </c>
      <c r="BV28" s="767" t="str">
        <f t="shared" si="4"/>
        <v/>
      </c>
      <c r="BW28" s="981" t="str">
        <f>IFERROR(IF(OR(C28="",U28="",R28="",AA28="",AE28="",AI28="",AK28=""),"",IF(BY28&lt;&gt;"", SPILLOVERNUMBER, INDEX(STDWATER[Measure Number],MATCH(C28,STDWATER[Measure Name],0)))),"Err")</f>
        <v/>
      </c>
      <c r="BX28" s="757" t="str" cm="1">
        <f t="array" ref="BX28">IFERROR(INDEX(_xlfn.SWITCH(Program_Banner,"Business Energy Savings",STDWATER[Primary Key WBE],"Small Business / Non-Profit",STDWATER[Primary Key HTRB],0),MATCH(BW28,STDWATER[Measure Number],0)),"")</f>
        <v/>
      </c>
      <c r="BY28" s="981" t="str">
        <f>IFERROR(IF(OR(C28="",U28="",AA28="",AE28="",AI28="",AK28=""),"",
IF(BP28&gt;0,"",
IF(EXPIRATION&lt;&gt;"",PROJSTATEXP,""))),"")</f>
        <v/>
      </c>
      <c r="BZ28" s="753"/>
      <c r="CA28" s="753"/>
      <c r="CB28" s="753"/>
      <c r="CC28" s="753"/>
    </row>
    <row r="29" spans="1:81" ht="15.95" customHeight="1">
      <c r="B29" s="785"/>
      <c r="C29" s="806"/>
      <c r="D29" s="806"/>
      <c r="E29" s="806"/>
      <c r="F29" s="806"/>
      <c r="G29" s="806"/>
      <c r="H29" s="806"/>
      <c r="I29" s="806"/>
      <c r="J29" s="806"/>
      <c r="K29" s="806"/>
      <c r="L29" s="806"/>
      <c r="M29" s="806"/>
      <c r="N29" s="806"/>
      <c r="O29" s="806"/>
      <c r="P29" s="806"/>
      <c r="Q29" s="806"/>
      <c r="R29" s="899"/>
      <c r="S29" s="899"/>
      <c r="T29" s="899"/>
      <c r="U29" s="802"/>
      <c r="V29" s="802"/>
      <c r="W29" s="806"/>
      <c r="X29" s="806"/>
      <c r="Y29" s="806"/>
      <c r="Z29" s="806"/>
      <c r="AA29" s="806"/>
      <c r="AB29" s="806"/>
      <c r="AC29" s="806"/>
      <c r="AD29" s="806"/>
      <c r="AE29" s="806"/>
      <c r="AF29" s="806"/>
      <c r="AG29" s="806"/>
      <c r="AH29" s="786"/>
      <c r="AI29" s="809"/>
      <c r="AJ29" s="810"/>
      <c r="AK29" s="810"/>
      <c r="AL29" s="812"/>
      <c r="AM29" s="980"/>
      <c r="AN29" s="900"/>
      <c r="AO29" s="818"/>
      <c r="AP29" s="818"/>
      <c r="AQ29" s="818"/>
      <c r="AR29" s="822"/>
      <c r="AS29" s="823"/>
      <c r="AT29" s="823"/>
      <c r="AU29" s="824"/>
      <c r="AV29" s="17"/>
      <c r="AX29" s="773"/>
      <c r="AY29" s="760"/>
      <c r="AZ29" s="760"/>
      <c r="BA29" s="903"/>
      <c r="BB29" s="903"/>
      <c r="BC29" s="773"/>
      <c r="BD29" s="757"/>
      <c r="BE29" s="761"/>
      <c r="BF29" s="761"/>
      <c r="BG29" s="762"/>
      <c r="BH29" s="776"/>
      <c r="BI29" s="776"/>
      <c r="BJ29" s="777"/>
      <c r="BK29" s="767"/>
      <c r="BL29" s="768"/>
      <c r="BM29" s="768"/>
      <c r="BN29" s="764"/>
      <c r="BO29" s="764"/>
      <c r="BP29" s="770"/>
      <c r="BQ29" s="767"/>
      <c r="BR29" s="766"/>
      <c r="BS29" s="766"/>
      <c r="BT29" s="766"/>
      <c r="BU29" s="757"/>
      <c r="BV29" s="768"/>
      <c r="BW29" s="757"/>
      <c r="BX29" s="758"/>
      <c r="BY29" s="757"/>
      <c r="BZ29" s="754"/>
      <c r="CA29" s="754"/>
      <c r="CB29" s="754"/>
      <c r="CC29" s="754"/>
    </row>
    <row r="30" spans="1:81" ht="15.95" customHeight="1">
      <c r="B30" s="785">
        <v>7</v>
      </c>
      <c r="C30" s="806"/>
      <c r="D30" s="806"/>
      <c r="E30" s="806"/>
      <c r="F30" s="806"/>
      <c r="G30" s="806"/>
      <c r="H30" s="806"/>
      <c r="I30" s="806"/>
      <c r="J30" s="806"/>
      <c r="K30" s="806"/>
      <c r="L30" s="806"/>
      <c r="M30" s="806"/>
      <c r="N30" s="806"/>
      <c r="O30" s="806"/>
      <c r="P30" s="806"/>
      <c r="Q30" s="806"/>
      <c r="R30" s="899" t="str">
        <f>IF(C30="","",INDEX(STDWATER[Current Unit],MATCH(C30,STDWATER[Measure Name],0)))</f>
        <v/>
      </c>
      <c r="S30" s="899"/>
      <c r="T30" s="899"/>
      <c r="U30" s="802"/>
      <c r="V30" s="802"/>
      <c r="W30" s="806"/>
      <c r="X30" s="806"/>
      <c r="Y30" s="806"/>
      <c r="Z30" s="806"/>
      <c r="AA30" s="806"/>
      <c r="AB30" s="806"/>
      <c r="AC30" s="806"/>
      <c r="AD30" s="806"/>
      <c r="AE30" s="806"/>
      <c r="AF30" s="806"/>
      <c r="AG30" s="806"/>
      <c r="AH30" s="786"/>
      <c r="AI30" s="809"/>
      <c r="AJ30" s="810"/>
      <c r="AK30" s="810"/>
      <c r="AL30" s="812"/>
      <c r="AM30" s="979" t="str" cm="1">
        <f t="array" ref="AM30">IFERROR(IF(C30="","",INDEX(IF(AND(ACTIVEBONUS = TRUE,INDEX(STDWATER[Bonus Incentive],MATCH(C30,STDWATER[Measure Name],0))&lt;&gt; ""),STDWATER[Bonus Incentive],_xlfn.SWITCH(Program_Banner,"Business Energy Savings",STDWATER[BESP Incentive],"Small Business / Non-Profit",STDWATER[SBNP Incentive],0)),MATCH(C30,STDWATER[Measure Name],0))),"")</f>
        <v/>
      </c>
      <c r="AN30" s="924"/>
      <c r="AO30" s="818" t="str">
        <f>IFERROR(IF(OR(C30="",U30="",R30="",AA30="",AE30="",AI30="",AK30=""),"",IF(BD30="Deemed",BH30,IF(BD30="Calculated",BE30,""))),"")</f>
        <v/>
      </c>
      <c r="AP30" s="818"/>
      <c r="AQ30" s="818"/>
      <c r="AR30" s="819" t="str">
        <f>IFERROR(IF(OR(C30="",U30="",R30="",AA30="",AE30="",AI30="",AK30=""),"",IF(BY30&lt;&gt;"",BY30,IF(BP30&gt;0,BP30,ROUND(IF(AO30&lt;=0,0,MIN(BL30,BQ30)),2)))),"")</f>
        <v/>
      </c>
      <c r="AS30" s="820"/>
      <c r="AT30" s="820"/>
      <c r="AU30" s="821"/>
      <c r="AV30" s="17"/>
      <c r="AX30" s="987" t="str">
        <f>IFERROR(IF(OR(C30="",U30="",R30="",AA30="",AE30="",AI30="",AK30=""),"",INDEX(STDWATER[Current Unit],MATCH(C30,STDWATER[Measure Name],0))),"Err")</f>
        <v/>
      </c>
      <c r="AY30" s="759" t="str">
        <f t="shared" ref="AY30" si="25">IF(U30="", "", U30)</f>
        <v/>
      </c>
      <c r="AZ30" s="759" t="str">
        <f t="shared" ref="AZ30" si="26">IF(U30="", "", U30)</f>
        <v/>
      </c>
      <c r="BA30" s="986"/>
      <c r="BB30" s="986"/>
      <c r="BC30" s="987" t="str">
        <f>IFERROR(IF(OR(C30="",U30="",R30="",AA30="",AE30="",AI30="",AK30=""),"",INDEX(STDWATER[End Use],MATCH(C30,STDWATER[Measure Name],0))),"Err")</f>
        <v/>
      </c>
      <c r="BD30" s="981" t="str">
        <f>IFERROR(IF(OR(C30="",U30="",R30="",AA30="",AE30="",AI30="",AK30=""),"",INDEX(STDWATER[Reporting Methodology],MATCH(C30,STDWATER[Measure Name],0))),"Err")</f>
        <v/>
      </c>
      <c r="BE30" s="985"/>
      <c r="BF30" s="985"/>
      <c r="BG30" s="761"/>
      <c r="BH30" s="775" t="str" cm="1">
        <f t="array" ref="BH30">IF(OR(C30="",U30="",R30="",AA30="",AE30="",AI30="",AK30=""),"",ROUND(U30*INDEX(_xlfn.SWITCH(Program_Banner,"Business Energy Savings",STDWATER[Electric Energy Savings WBE (Annual kWh/unit)],"Small Business / Non-Profit",STDWATER[Electric Energy Savings HTRB (Annual kWh/unit)],0),MATCH(C30,STDWATER[Measure Name],0)),4))</f>
        <v/>
      </c>
      <c r="BI30" s="775" t="str" cm="1">
        <f t="array" ref="BI30">IF(OR(C30="",U30="",R30="",AA30="",AE30="",AI30="",AK30=""),"",ROUND(U30*INDEX(_xlfn.SWITCH(Program_Banner,"Business Energy Savings",STDWATER[Coincident Peak Demand Savings WBE (kW/unit)],"Small Business / Non-Profit",STDWATER[Coincident Peak Demand Savings HTRB (kW/unit)],0),MATCH(C30,STDWATER[Measure Name],0)),4))</f>
        <v/>
      </c>
      <c r="BJ30" s="984" t="str">
        <f>IFERROR(INDEX(STDWATER[Measure Life (Years)],MATCH(C30,STDWATER[Measure Name],0)),"")</f>
        <v/>
      </c>
      <c r="BK30" s="982" t="str">
        <f>IFERROR(IF(OR(C30="",U30="",R30="",AA30="",AE30="",AI30="",AK30=""),"",
ROUND(((1+ELOSS)*((BH30*INDEX(ELECCB[NPV AEC $/kWh],MATCH(BJ30,ELECCB[Year Number],1)))+(BI30*INDEX(ELECCB[NPV ACC $/kW],MATCH(BJ30,ELECCB[Year Number],1))))),2)),0)</f>
        <v/>
      </c>
      <c r="BL30" s="767" t="str">
        <f t="shared" si="2"/>
        <v/>
      </c>
      <c r="BM30" s="767" t="str">
        <f>IF(OR(C30="", U30=""), "", U30 * INDEX(STDWATER[Incremental Measure Cost ($/Unit)],MATCH(C30,STDWATER[Measure Name],0)))</f>
        <v/>
      </c>
      <c r="BN30" s="763" t="str">
        <f t="shared" si="3"/>
        <v/>
      </c>
      <c r="BO30" s="763" t="str">
        <f>IFERROR(IF(BM30 &lt;&gt; "", BM30, BL30) / M02S04F06 / AO30, "")</f>
        <v/>
      </c>
      <c r="BP30" s="983"/>
      <c r="BQ30" s="982" t="str">
        <f t="shared" ref="BQ30" si="27">IFERROR(ROUND(U30*AM30, 2), "")</f>
        <v/>
      </c>
      <c r="BR30" s="765"/>
      <c r="BS30" s="765"/>
      <c r="BT30" s="765"/>
      <c r="BU30" s="981" t="str">
        <f t="shared" ref="BU30" si="28">IFERROR(IF(BP30="",IF(AR30 &lt; BQ30, "100% Total Cost", ""), ""), "")</f>
        <v/>
      </c>
      <c r="BV30" s="767" t="str">
        <f t="shared" si="4"/>
        <v/>
      </c>
      <c r="BW30" s="981" t="str">
        <f>IFERROR(IF(OR(C30="",U30="",R30="",AA30="",AE30="",AI30="",AK30=""),"",IF(BY30&lt;&gt;"", SPILLOVERNUMBER, INDEX(STDWATER[Measure Number],MATCH(C30,STDWATER[Measure Name],0)))),"Err")</f>
        <v/>
      </c>
      <c r="BX30" s="757" t="str" cm="1">
        <f t="array" ref="BX30">IFERROR(INDEX(_xlfn.SWITCH(Program_Banner,"Business Energy Savings",STDWATER[Primary Key WBE],"Small Business / Non-Profit",STDWATER[Primary Key HTRB],0),MATCH(BW30,STDWATER[Measure Number],0)),"")</f>
        <v/>
      </c>
      <c r="BY30" s="981" t="str">
        <f>IFERROR(IF(OR(C30="",U30="",AA30="",AE30="",AI30="",AK30=""),"",
IF(BP30&gt;0,"",
IF(EXPIRATION&lt;&gt;"",PROJSTATEXP,""))),"")</f>
        <v/>
      </c>
      <c r="BZ30" s="753"/>
      <c r="CA30" s="753"/>
      <c r="CB30" s="753"/>
      <c r="CC30" s="753"/>
    </row>
    <row r="31" spans="1:81" ht="15.95" customHeight="1">
      <c r="B31" s="785"/>
      <c r="C31" s="806"/>
      <c r="D31" s="806"/>
      <c r="E31" s="806"/>
      <c r="F31" s="806"/>
      <c r="G31" s="806"/>
      <c r="H31" s="806"/>
      <c r="I31" s="806"/>
      <c r="J31" s="806"/>
      <c r="K31" s="806"/>
      <c r="L31" s="806"/>
      <c r="M31" s="806"/>
      <c r="N31" s="806"/>
      <c r="O31" s="806"/>
      <c r="P31" s="806"/>
      <c r="Q31" s="806"/>
      <c r="R31" s="899"/>
      <c r="S31" s="899"/>
      <c r="T31" s="899"/>
      <c r="U31" s="802"/>
      <c r="V31" s="802"/>
      <c r="W31" s="806"/>
      <c r="X31" s="806"/>
      <c r="Y31" s="806"/>
      <c r="Z31" s="806"/>
      <c r="AA31" s="806"/>
      <c r="AB31" s="806"/>
      <c r="AC31" s="806"/>
      <c r="AD31" s="806"/>
      <c r="AE31" s="806"/>
      <c r="AF31" s="806"/>
      <c r="AG31" s="806"/>
      <c r="AH31" s="786"/>
      <c r="AI31" s="809"/>
      <c r="AJ31" s="810"/>
      <c r="AK31" s="810"/>
      <c r="AL31" s="812"/>
      <c r="AM31" s="980"/>
      <c r="AN31" s="900"/>
      <c r="AO31" s="818"/>
      <c r="AP31" s="818"/>
      <c r="AQ31" s="818"/>
      <c r="AR31" s="822"/>
      <c r="AS31" s="823"/>
      <c r="AT31" s="823"/>
      <c r="AU31" s="824"/>
      <c r="AV31" s="17"/>
      <c r="AX31" s="773"/>
      <c r="AY31" s="760"/>
      <c r="AZ31" s="760"/>
      <c r="BA31" s="903"/>
      <c r="BB31" s="903"/>
      <c r="BC31" s="773"/>
      <c r="BD31" s="757"/>
      <c r="BE31" s="761"/>
      <c r="BF31" s="761"/>
      <c r="BG31" s="762"/>
      <c r="BH31" s="776"/>
      <c r="BI31" s="776"/>
      <c r="BJ31" s="777"/>
      <c r="BK31" s="767"/>
      <c r="BL31" s="768"/>
      <c r="BM31" s="768"/>
      <c r="BN31" s="764"/>
      <c r="BO31" s="764"/>
      <c r="BP31" s="770"/>
      <c r="BQ31" s="767"/>
      <c r="BR31" s="766"/>
      <c r="BS31" s="766"/>
      <c r="BT31" s="766"/>
      <c r="BU31" s="757"/>
      <c r="BV31" s="768"/>
      <c r="BW31" s="757"/>
      <c r="BX31" s="758"/>
      <c r="BY31" s="757"/>
      <c r="BZ31" s="754"/>
      <c r="CA31" s="754"/>
      <c r="CB31" s="754"/>
      <c r="CC31" s="754"/>
    </row>
    <row r="32" spans="1:81" ht="15.95" customHeight="1">
      <c r="B32" s="785">
        <v>8</v>
      </c>
      <c r="C32" s="806"/>
      <c r="D32" s="806"/>
      <c r="E32" s="806"/>
      <c r="F32" s="806"/>
      <c r="G32" s="806"/>
      <c r="H32" s="806"/>
      <c r="I32" s="806"/>
      <c r="J32" s="806"/>
      <c r="K32" s="806"/>
      <c r="L32" s="806"/>
      <c r="M32" s="806"/>
      <c r="N32" s="806"/>
      <c r="O32" s="806"/>
      <c r="P32" s="806"/>
      <c r="Q32" s="806"/>
      <c r="R32" s="899" t="str">
        <f>IF(C32="","",INDEX(STDWATER[Current Unit],MATCH(C32,STDWATER[Measure Name],0)))</f>
        <v/>
      </c>
      <c r="S32" s="899"/>
      <c r="T32" s="899"/>
      <c r="U32" s="802"/>
      <c r="V32" s="802"/>
      <c r="W32" s="806"/>
      <c r="X32" s="806"/>
      <c r="Y32" s="806"/>
      <c r="Z32" s="806"/>
      <c r="AA32" s="806"/>
      <c r="AB32" s="806"/>
      <c r="AC32" s="806"/>
      <c r="AD32" s="806"/>
      <c r="AE32" s="806"/>
      <c r="AF32" s="806"/>
      <c r="AG32" s="806"/>
      <c r="AH32" s="786"/>
      <c r="AI32" s="809"/>
      <c r="AJ32" s="810"/>
      <c r="AK32" s="810"/>
      <c r="AL32" s="812"/>
      <c r="AM32" s="979" t="str" cm="1">
        <f t="array" ref="AM32">IFERROR(IF(C32="","",INDEX(IF(AND(ACTIVEBONUS = TRUE,INDEX(STDWATER[Bonus Incentive],MATCH(C32,STDWATER[Measure Name],0))&lt;&gt; ""),STDWATER[Bonus Incentive],_xlfn.SWITCH(Program_Banner,"Business Energy Savings",STDWATER[BESP Incentive],"Small Business / Non-Profit",STDWATER[SBNP Incentive],0)),MATCH(C32,STDWATER[Measure Name],0))),"")</f>
        <v/>
      </c>
      <c r="AN32" s="924"/>
      <c r="AO32" s="818" t="str">
        <f>IFERROR(IF(OR(C32="",U32="",R32="",AA32="",AE32="",AI32="",AK32=""),"",IF(BD32="Deemed",BH32,IF(BD32="Calculated",BE32,""))),"")</f>
        <v/>
      </c>
      <c r="AP32" s="818"/>
      <c r="AQ32" s="818"/>
      <c r="AR32" s="819" t="str">
        <f>IFERROR(IF(OR(C32="",U32="",R32="",AA32="",AE32="",AI32="",AK32=""),"",IF(BY32&lt;&gt;"",BY32,IF(BP32&gt;0,BP32,ROUND(IF(AO32&lt;=0,0,MIN(BL32,BQ32)),2)))),"")</f>
        <v/>
      </c>
      <c r="AS32" s="820"/>
      <c r="AT32" s="820"/>
      <c r="AU32" s="821"/>
      <c r="AV32" s="17"/>
      <c r="AX32" s="987" t="str">
        <f>IFERROR(IF(OR(C32="",U32="",R32="",AA32="",AE32="",AI32="",AK32=""),"",INDEX(STDWATER[Current Unit],MATCH(C32,STDWATER[Measure Name],0))),"Err")</f>
        <v/>
      </c>
      <c r="AY32" s="759" t="str">
        <f t="shared" ref="AY32" si="29">IF(U32="", "", U32)</f>
        <v/>
      </c>
      <c r="AZ32" s="759" t="str">
        <f t="shared" ref="AZ32" si="30">IF(U32="", "", U32)</f>
        <v/>
      </c>
      <c r="BA32" s="986"/>
      <c r="BB32" s="986"/>
      <c r="BC32" s="987" t="str">
        <f>IFERROR(IF(OR(C32="",U32="",R32="",AA32="",AE32="",AI32="",AK32=""),"",INDEX(STDWATER[End Use],MATCH(C32,STDWATER[Measure Name],0))),"Err")</f>
        <v/>
      </c>
      <c r="BD32" s="981" t="str">
        <f>IFERROR(IF(OR(C32="",U32="",R32="",AA32="",AE32="",AI32="",AK32=""),"",INDEX(STDWATER[Reporting Methodology],MATCH(C32,STDWATER[Measure Name],0))),"Err")</f>
        <v/>
      </c>
      <c r="BE32" s="985"/>
      <c r="BF32" s="985"/>
      <c r="BG32" s="761"/>
      <c r="BH32" s="775" t="str" cm="1">
        <f t="array" ref="BH32">IF(OR(C32="",U32="",R32="",AA32="",AE32="",AI32="",AK32=""),"",ROUND(U32*INDEX(_xlfn.SWITCH(Program_Banner,"Business Energy Savings",STDWATER[Electric Energy Savings WBE (Annual kWh/unit)],"Small Business / Non-Profit",STDWATER[Electric Energy Savings HTRB (Annual kWh/unit)],0),MATCH(C32,STDWATER[Measure Name],0)),4))</f>
        <v/>
      </c>
      <c r="BI32" s="775" t="str" cm="1">
        <f t="array" ref="BI32">IF(OR(C32="",U32="",R32="",AA32="",AE32="",AI32="",AK32=""),"",ROUND(U32*INDEX(_xlfn.SWITCH(Program_Banner,"Business Energy Savings",STDWATER[Coincident Peak Demand Savings WBE (kW/unit)],"Small Business / Non-Profit",STDWATER[Coincident Peak Demand Savings HTRB (kW/unit)],0),MATCH(C32,STDWATER[Measure Name],0)),4))</f>
        <v/>
      </c>
      <c r="BJ32" s="984" t="str">
        <f>IFERROR(INDEX(STDWATER[Measure Life (Years)],MATCH(C32,STDWATER[Measure Name],0)),"")</f>
        <v/>
      </c>
      <c r="BK32" s="982" t="str">
        <f>IFERROR(IF(OR(C32="",U32="",R32="",AA32="",AE32="",AI32="",AK32=""),"",
ROUND(((1+ELOSS)*((BH32*INDEX(ELECCB[NPV AEC $/kWh],MATCH(BJ32,ELECCB[Year Number],1)))+(BI32*INDEX(ELECCB[NPV ACC $/kW],MATCH(BJ32,ELECCB[Year Number],1))))),2)),0)</f>
        <v/>
      </c>
      <c r="BL32" s="767" t="str">
        <f t="shared" si="2"/>
        <v/>
      </c>
      <c r="BM32" s="767" t="str">
        <f>IF(OR(C32="", U32=""), "", U32 * INDEX(STDWATER[Incremental Measure Cost ($/Unit)],MATCH(C32,STDWATER[Measure Name],0)))</f>
        <v/>
      </c>
      <c r="BN32" s="763" t="str">
        <f t="shared" si="3"/>
        <v/>
      </c>
      <c r="BO32" s="763" t="str">
        <f>IFERROR(IF(BM32 &lt;&gt; "", BM32, BL32) / M02S04F06 / AO32, "")</f>
        <v/>
      </c>
      <c r="BP32" s="983"/>
      <c r="BQ32" s="982" t="str">
        <f t="shared" ref="BQ32" si="31">IFERROR(ROUND(U32*AM32, 2), "")</f>
        <v/>
      </c>
      <c r="BR32" s="765"/>
      <c r="BS32" s="765"/>
      <c r="BT32" s="765"/>
      <c r="BU32" s="981" t="str">
        <f t="shared" ref="BU32" si="32">IFERROR(IF(BP32="",IF(AR32 &lt; BQ32, "100% Total Cost", ""), ""), "")</f>
        <v/>
      </c>
      <c r="BV32" s="767" t="str">
        <f t="shared" si="4"/>
        <v/>
      </c>
      <c r="BW32" s="981" t="str">
        <f>IFERROR(IF(OR(C32="",U32="",R32="",AA32="",AE32="",AI32="",AK32=""),"",IF(BY32&lt;&gt;"", SPILLOVERNUMBER, INDEX(STDWATER[Measure Number],MATCH(C32,STDWATER[Measure Name],0)))),"Err")</f>
        <v/>
      </c>
      <c r="BX32" s="757" t="str" cm="1">
        <f t="array" ref="BX32">IFERROR(INDEX(_xlfn.SWITCH(Program_Banner,"Business Energy Savings",STDWATER[Primary Key WBE],"Small Business / Non-Profit",STDWATER[Primary Key HTRB],0),MATCH(BW32,STDWATER[Measure Number],0)),"")</f>
        <v/>
      </c>
      <c r="BY32" s="981" t="str">
        <f>IFERROR(IF(OR(C32="",U32="",AA32="",AE32="",AI32="",AK32=""),"",
IF(BP32&gt;0,"",
IF(EXPIRATION&lt;&gt;"",PROJSTATEXP,""))),"")</f>
        <v/>
      </c>
      <c r="BZ32" s="753"/>
      <c r="CA32" s="753"/>
      <c r="CB32" s="753"/>
      <c r="CC32" s="753"/>
    </row>
    <row r="33" spans="2:81" ht="15.95" customHeight="1">
      <c r="B33" s="785"/>
      <c r="C33" s="806"/>
      <c r="D33" s="806"/>
      <c r="E33" s="806"/>
      <c r="F33" s="806"/>
      <c r="G33" s="806"/>
      <c r="H33" s="806"/>
      <c r="I33" s="806"/>
      <c r="J33" s="806"/>
      <c r="K33" s="806"/>
      <c r="L33" s="806"/>
      <c r="M33" s="806"/>
      <c r="N33" s="806"/>
      <c r="O33" s="806"/>
      <c r="P33" s="806"/>
      <c r="Q33" s="806"/>
      <c r="R33" s="899"/>
      <c r="S33" s="899"/>
      <c r="T33" s="899"/>
      <c r="U33" s="802"/>
      <c r="V33" s="802"/>
      <c r="W33" s="806"/>
      <c r="X33" s="806"/>
      <c r="Y33" s="806"/>
      <c r="Z33" s="806"/>
      <c r="AA33" s="806"/>
      <c r="AB33" s="806"/>
      <c r="AC33" s="806"/>
      <c r="AD33" s="806"/>
      <c r="AE33" s="806"/>
      <c r="AF33" s="806"/>
      <c r="AG33" s="806"/>
      <c r="AH33" s="786"/>
      <c r="AI33" s="809"/>
      <c r="AJ33" s="810"/>
      <c r="AK33" s="810"/>
      <c r="AL33" s="812"/>
      <c r="AM33" s="980"/>
      <c r="AN33" s="900"/>
      <c r="AO33" s="818"/>
      <c r="AP33" s="818"/>
      <c r="AQ33" s="818"/>
      <c r="AR33" s="822"/>
      <c r="AS33" s="823"/>
      <c r="AT33" s="823"/>
      <c r="AU33" s="824"/>
      <c r="AV33" s="17"/>
      <c r="AX33" s="773"/>
      <c r="AY33" s="760"/>
      <c r="AZ33" s="760"/>
      <c r="BA33" s="903"/>
      <c r="BB33" s="903"/>
      <c r="BC33" s="773"/>
      <c r="BD33" s="757"/>
      <c r="BE33" s="761"/>
      <c r="BF33" s="761"/>
      <c r="BG33" s="762"/>
      <c r="BH33" s="776"/>
      <c r="BI33" s="776"/>
      <c r="BJ33" s="777"/>
      <c r="BK33" s="767"/>
      <c r="BL33" s="768"/>
      <c r="BM33" s="768"/>
      <c r="BN33" s="764"/>
      <c r="BO33" s="764"/>
      <c r="BP33" s="770"/>
      <c r="BQ33" s="767"/>
      <c r="BR33" s="766"/>
      <c r="BS33" s="766"/>
      <c r="BT33" s="766"/>
      <c r="BU33" s="757"/>
      <c r="BV33" s="768"/>
      <c r="BW33" s="757"/>
      <c r="BX33" s="758"/>
      <c r="BY33" s="757"/>
      <c r="BZ33" s="754"/>
      <c r="CA33" s="754"/>
      <c r="CB33" s="754"/>
      <c r="CC33" s="754"/>
    </row>
    <row r="34" spans="2:81" ht="15.95" customHeight="1">
      <c r="B34" s="785">
        <v>9</v>
      </c>
      <c r="C34" s="806"/>
      <c r="D34" s="806"/>
      <c r="E34" s="806"/>
      <c r="F34" s="806"/>
      <c r="G34" s="806"/>
      <c r="H34" s="806"/>
      <c r="I34" s="806"/>
      <c r="J34" s="806"/>
      <c r="K34" s="806"/>
      <c r="L34" s="806"/>
      <c r="M34" s="806"/>
      <c r="N34" s="806"/>
      <c r="O34" s="806"/>
      <c r="P34" s="806"/>
      <c r="Q34" s="806"/>
      <c r="R34" s="899" t="str">
        <f>IF(C34="","",INDEX(STDWATER[Current Unit],MATCH(C34,STDWATER[Measure Name],0)))</f>
        <v/>
      </c>
      <c r="S34" s="899"/>
      <c r="T34" s="899"/>
      <c r="U34" s="802"/>
      <c r="V34" s="802"/>
      <c r="W34" s="806"/>
      <c r="X34" s="806"/>
      <c r="Y34" s="806"/>
      <c r="Z34" s="806"/>
      <c r="AA34" s="806"/>
      <c r="AB34" s="806"/>
      <c r="AC34" s="806"/>
      <c r="AD34" s="806"/>
      <c r="AE34" s="806"/>
      <c r="AF34" s="806"/>
      <c r="AG34" s="806"/>
      <c r="AH34" s="786"/>
      <c r="AI34" s="809"/>
      <c r="AJ34" s="810"/>
      <c r="AK34" s="810"/>
      <c r="AL34" s="812"/>
      <c r="AM34" s="979" t="str" cm="1">
        <f t="array" ref="AM34">IFERROR(IF(C34="","",INDEX(IF(AND(ACTIVEBONUS = TRUE,INDEX(STDWATER[Bonus Incentive],MATCH(C34,STDWATER[Measure Name],0))&lt;&gt; ""),STDWATER[Bonus Incentive],_xlfn.SWITCH(Program_Banner,"Business Energy Savings",STDWATER[BESP Incentive],"Small Business / Non-Profit",STDWATER[SBNP Incentive],0)),MATCH(C34,STDWATER[Measure Name],0))),"")</f>
        <v/>
      </c>
      <c r="AN34" s="924"/>
      <c r="AO34" s="818" t="str">
        <f>IFERROR(IF(OR(C34="",U34="",R34="",AA34="",AE34="",AI34="",AK34=""),"",IF(BD34="Deemed",BH34,IF(BD34="Calculated",BE34,""))),"")</f>
        <v/>
      </c>
      <c r="AP34" s="818"/>
      <c r="AQ34" s="818"/>
      <c r="AR34" s="819" t="str">
        <f>IFERROR(IF(OR(C34="",U34="",R34="",AA34="",AE34="",AI34="",AK34=""),"",IF(BY34&lt;&gt;"",BY34,IF(BP34&gt;0,BP34,ROUND(IF(AO34&lt;=0,0,MIN(BL34,BQ34)),2)))),"")</f>
        <v/>
      </c>
      <c r="AS34" s="820"/>
      <c r="AT34" s="820"/>
      <c r="AU34" s="821"/>
      <c r="AV34" s="17"/>
      <c r="AX34" s="987" t="str">
        <f>IFERROR(IF(OR(C34="",U34="",R34="",AA34="",AE34="",AI34="",AK34=""),"",INDEX(STDWATER[Current Unit],MATCH(C34,STDWATER[Measure Name],0))),"Err")</f>
        <v/>
      </c>
      <c r="AY34" s="759" t="str">
        <f t="shared" ref="AY34" si="33">IF(U34="", "", U34)</f>
        <v/>
      </c>
      <c r="AZ34" s="759" t="str">
        <f t="shared" ref="AZ34" si="34">IF(U34="", "", U34)</f>
        <v/>
      </c>
      <c r="BA34" s="986"/>
      <c r="BB34" s="986"/>
      <c r="BC34" s="987" t="str">
        <f>IFERROR(IF(OR(C34="",U34="",R34="",AA34="",AE34="",AI34="",AK34=""),"",INDEX(STDWATER[End Use],MATCH(C34,STDWATER[Measure Name],0))),"Err")</f>
        <v/>
      </c>
      <c r="BD34" s="981" t="str">
        <f>IFERROR(IF(OR(C34="",U34="",R34="",AA34="",AE34="",AI34="",AK34=""),"",INDEX(STDWATER[Reporting Methodology],MATCH(C34,STDWATER[Measure Name],0))),"Err")</f>
        <v/>
      </c>
      <c r="BE34" s="985"/>
      <c r="BF34" s="985"/>
      <c r="BG34" s="761"/>
      <c r="BH34" s="775" t="str" cm="1">
        <f t="array" ref="BH34">IF(OR(C34="",U34="",R34="",AA34="",AE34="",AI34="",AK34=""),"",ROUND(U34*INDEX(_xlfn.SWITCH(Program_Banner,"Business Energy Savings",STDWATER[Electric Energy Savings WBE (Annual kWh/unit)],"Small Business / Non-Profit",STDWATER[Electric Energy Savings HTRB (Annual kWh/unit)],0),MATCH(C34,STDWATER[Measure Name],0)),4))</f>
        <v/>
      </c>
      <c r="BI34" s="775" t="str" cm="1">
        <f t="array" ref="BI34">IF(OR(C34="",U34="",R34="",AA34="",AE34="",AI34="",AK34=""),"",ROUND(U34*INDEX(_xlfn.SWITCH(Program_Banner,"Business Energy Savings",STDWATER[Coincident Peak Demand Savings WBE (kW/unit)],"Small Business / Non-Profit",STDWATER[Coincident Peak Demand Savings HTRB (kW/unit)],0),MATCH(C34,STDWATER[Measure Name],0)),4))</f>
        <v/>
      </c>
      <c r="BJ34" s="984" t="str">
        <f>IFERROR(INDEX(STDWATER[Measure Life (Years)],MATCH(C34,STDWATER[Measure Name],0)),"")</f>
        <v/>
      </c>
      <c r="BK34" s="982" t="str">
        <f>IFERROR(IF(OR(C34="",U34="",R34="",AA34="",AE34="",AI34="",AK34=""),"",
ROUND(((1+ELOSS)*((BH34*INDEX(ELECCB[NPV AEC $/kWh],MATCH(BJ34,ELECCB[Year Number],1)))+(BI34*INDEX(ELECCB[NPV ACC $/kW],MATCH(BJ34,ELECCB[Year Number],1))))),2)),0)</f>
        <v/>
      </c>
      <c r="BL34" s="767" t="str">
        <f t="shared" si="2"/>
        <v/>
      </c>
      <c r="BM34" s="767" t="str">
        <f>IF(OR(C34="", U34=""), "", U34 * INDEX(STDWATER[Incremental Measure Cost ($/Unit)],MATCH(C34,STDWATER[Measure Name],0)))</f>
        <v/>
      </c>
      <c r="BN34" s="763" t="str">
        <f t="shared" si="3"/>
        <v/>
      </c>
      <c r="BO34" s="763" t="str">
        <f>IFERROR(IF(BM34 &lt;&gt; "", BM34, BL34) / M02S04F06 / AO34, "")</f>
        <v/>
      </c>
      <c r="BP34" s="983"/>
      <c r="BQ34" s="982" t="str">
        <f t="shared" ref="BQ34" si="35">IFERROR(ROUND(U34*AM34, 2), "")</f>
        <v/>
      </c>
      <c r="BR34" s="765"/>
      <c r="BS34" s="765"/>
      <c r="BT34" s="765"/>
      <c r="BU34" s="981" t="str">
        <f t="shared" ref="BU34" si="36">IFERROR(IF(BP34="",IF(AR34 &lt; BQ34, "100% Total Cost", ""), ""), "")</f>
        <v/>
      </c>
      <c r="BV34" s="767" t="str">
        <f t="shared" si="4"/>
        <v/>
      </c>
      <c r="BW34" s="981" t="str">
        <f>IFERROR(IF(OR(C34="",U34="",R34="",AA34="",AE34="",AI34="",AK34=""),"",IF(BY34&lt;&gt;"", SPILLOVERNUMBER, INDEX(STDWATER[Measure Number],MATCH(C34,STDWATER[Measure Name],0)))),"Err")</f>
        <v/>
      </c>
      <c r="BX34" s="757" t="str" cm="1">
        <f t="array" ref="BX34">IFERROR(INDEX(_xlfn.SWITCH(Program_Banner,"Business Energy Savings",STDWATER[Primary Key WBE],"Small Business / Non-Profit",STDWATER[Primary Key HTRB],0),MATCH(BW34,STDWATER[Measure Number],0)),"")</f>
        <v/>
      </c>
      <c r="BY34" s="981" t="str">
        <f>IFERROR(IF(OR(C34="",U34="",AA34="",AE34="",AI34="",AK34=""),"",
IF(BP34&gt;0,"",
IF(EXPIRATION&lt;&gt;"",PROJSTATEXP,""))),"")</f>
        <v/>
      </c>
      <c r="BZ34" s="753"/>
      <c r="CA34" s="753"/>
      <c r="CB34" s="753"/>
      <c r="CC34" s="753"/>
    </row>
    <row r="35" spans="2:81" ht="15.95" customHeight="1">
      <c r="B35" s="785"/>
      <c r="C35" s="806"/>
      <c r="D35" s="806"/>
      <c r="E35" s="806"/>
      <c r="F35" s="806"/>
      <c r="G35" s="806"/>
      <c r="H35" s="806"/>
      <c r="I35" s="806"/>
      <c r="J35" s="806"/>
      <c r="K35" s="806"/>
      <c r="L35" s="806"/>
      <c r="M35" s="806"/>
      <c r="N35" s="806"/>
      <c r="O35" s="806"/>
      <c r="P35" s="806"/>
      <c r="Q35" s="806"/>
      <c r="R35" s="899"/>
      <c r="S35" s="899"/>
      <c r="T35" s="899"/>
      <c r="U35" s="802"/>
      <c r="V35" s="802"/>
      <c r="W35" s="806"/>
      <c r="X35" s="806"/>
      <c r="Y35" s="806"/>
      <c r="Z35" s="806"/>
      <c r="AA35" s="806"/>
      <c r="AB35" s="806"/>
      <c r="AC35" s="806"/>
      <c r="AD35" s="806"/>
      <c r="AE35" s="806"/>
      <c r="AF35" s="806"/>
      <c r="AG35" s="806"/>
      <c r="AH35" s="786"/>
      <c r="AI35" s="809"/>
      <c r="AJ35" s="810"/>
      <c r="AK35" s="810"/>
      <c r="AL35" s="812"/>
      <c r="AM35" s="980"/>
      <c r="AN35" s="900"/>
      <c r="AO35" s="818"/>
      <c r="AP35" s="818"/>
      <c r="AQ35" s="818"/>
      <c r="AR35" s="822"/>
      <c r="AS35" s="823"/>
      <c r="AT35" s="823"/>
      <c r="AU35" s="824"/>
      <c r="AV35" s="17"/>
      <c r="AX35" s="773"/>
      <c r="AY35" s="760"/>
      <c r="AZ35" s="760"/>
      <c r="BA35" s="903"/>
      <c r="BB35" s="903"/>
      <c r="BC35" s="773"/>
      <c r="BD35" s="757"/>
      <c r="BE35" s="761"/>
      <c r="BF35" s="761"/>
      <c r="BG35" s="762"/>
      <c r="BH35" s="776"/>
      <c r="BI35" s="776"/>
      <c r="BJ35" s="777"/>
      <c r="BK35" s="767"/>
      <c r="BL35" s="768"/>
      <c r="BM35" s="768"/>
      <c r="BN35" s="764"/>
      <c r="BO35" s="764"/>
      <c r="BP35" s="770"/>
      <c r="BQ35" s="767"/>
      <c r="BR35" s="766"/>
      <c r="BS35" s="766"/>
      <c r="BT35" s="766"/>
      <c r="BU35" s="757"/>
      <c r="BV35" s="768"/>
      <c r="BW35" s="757"/>
      <c r="BX35" s="758"/>
      <c r="BY35" s="757"/>
      <c r="BZ35" s="754"/>
      <c r="CA35" s="754"/>
      <c r="CB35" s="754"/>
      <c r="CC35" s="754"/>
    </row>
    <row r="36" spans="2:81" ht="15.95" customHeight="1">
      <c r="B36" s="785">
        <v>10</v>
      </c>
      <c r="C36" s="806"/>
      <c r="D36" s="806"/>
      <c r="E36" s="806"/>
      <c r="F36" s="806"/>
      <c r="G36" s="806"/>
      <c r="H36" s="806"/>
      <c r="I36" s="806"/>
      <c r="J36" s="806"/>
      <c r="K36" s="806"/>
      <c r="L36" s="806"/>
      <c r="M36" s="806"/>
      <c r="N36" s="806"/>
      <c r="O36" s="806"/>
      <c r="P36" s="806"/>
      <c r="Q36" s="806"/>
      <c r="R36" s="899" t="str">
        <f>IF(C36="","",INDEX(STDWATER[Current Unit],MATCH(C36,STDWATER[Measure Name],0)))</f>
        <v/>
      </c>
      <c r="S36" s="899"/>
      <c r="T36" s="899"/>
      <c r="U36" s="802"/>
      <c r="V36" s="802"/>
      <c r="W36" s="806"/>
      <c r="X36" s="806"/>
      <c r="Y36" s="806"/>
      <c r="Z36" s="806"/>
      <c r="AA36" s="806"/>
      <c r="AB36" s="806"/>
      <c r="AC36" s="806"/>
      <c r="AD36" s="806"/>
      <c r="AE36" s="806"/>
      <c r="AF36" s="806"/>
      <c r="AG36" s="806"/>
      <c r="AH36" s="786"/>
      <c r="AI36" s="809"/>
      <c r="AJ36" s="810"/>
      <c r="AK36" s="810"/>
      <c r="AL36" s="812"/>
      <c r="AM36" s="979" t="str" cm="1">
        <f t="array" ref="AM36">IFERROR(IF(C36="","",INDEX(IF(AND(ACTIVEBONUS = TRUE,INDEX(STDWATER[Bonus Incentive],MATCH(C36,STDWATER[Measure Name],0))&lt;&gt; ""),STDWATER[Bonus Incentive],_xlfn.SWITCH(Program_Banner,"Business Energy Savings",STDWATER[BESP Incentive],"Small Business / Non-Profit",STDWATER[SBNP Incentive],0)),MATCH(C36,STDWATER[Measure Name],0))),"")</f>
        <v/>
      </c>
      <c r="AN36" s="924"/>
      <c r="AO36" s="818" t="str">
        <f>IFERROR(IF(OR(C36="",U36="",R36="",AA36="",AE36="",AI36="",AK36=""),"",IF(BD36="Deemed",BH36,IF(BD36="Calculated",BE36,""))),"")</f>
        <v/>
      </c>
      <c r="AP36" s="818"/>
      <c r="AQ36" s="818"/>
      <c r="AR36" s="819" t="str">
        <f>IFERROR(IF(OR(C36="",U36="",R36="",AA36="",AE36="",AI36="",AK36=""),"",IF(BY36&lt;&gt;"",BY36,IF(BP36&gt;0,BP36,ROUND(IF(AO36&lt;=0,0,MIN(BL36,BQ36)),2)))),"")</f>
        <v/>
      </c>
      <c r="AS36" s="820"/>
      <c r="AT36" s="820"/>
      <c r="AU36" s="821"/>
      <c r="AV36" s="17"/>
      <c r="AX36" s="987" t="str">
        <f>IFERROR(IF(OR(C36="",U36="",R36="",AA36="",AE36="",AI36="",AK36=""),"",INDEX(STDWATER[Current Unit],MATCH(C36,STDWATER[Measure Name],0))),"Err")</f>
        <v/>
      </c>
      <c r="AY36" s="759" t="str">
        <f t="shared" ref="AY36" si="37">IF(U36="", "", U36)</f>
        <v/>
      </c>
      <c r="AZ36" s="759" t="str">
        <f t="shared" ref="AZ36" si="38">IF(U36="", "", U36)</f>
        <v/>
      </c>
      <c r="BA36" s="986"/>
      <c r="BB36" s="986"/>
      <c r="BC36" s="987" t="str">
        <f>IFERROR(IF(OR(C36="",U36="",R36="",AA36="",AE36="",AI36="",AK36=""),"",INDEX(STDWATER[End Use],MATCH(C36,STDWATER[Measure Name],0))),"Err")</f>
        <v/>
      </c>
      <c r="BD36" s="981" t="str">
        <f>IFERROR(IF(OR(C36="",U36="",R36="",AA36="",AE36="",AI36="",AK36=""),"",INDEX(STDWATER[Reporting Methodology],MATCH(C36,STDWATER[Measure Name],0))),"Err")</f>
        <v/>
      </c>
      <c r="BE36" s="985"/>
      <c r="BF36" s="985"/>
      <c r="BG36" s="761"/>
      <c r="BH36" s="775" t="str" cm="1">
        <f t="array" ref="BH36">IF(OR(C36="",U36="",R36="",AA36="",AE36="",AI36="",AK36=""),"",ROUND(U36*INDEX(_xlfn.SWITCH(Program_Banner,"Business Energy Savings",STDWATER[Electric Energy Savings WBE (Annual kWh/unit)],"Small Business / Non-Profit",STDWATER[Electric Energy Savings HTRB (Annual kWh/unit)],0),MATCH(C36,STDWATER[Measure Name],0)),4))</f>
        <v/>
      </c>
      <c r="BI36" s="775" t="str" cm="1">
        <f t="array" ref="BI36">IF(OR(C36="",U36="",R36="",AA36="",AE36="",AI36="",AK36=""),"",ROUND(U36*INDEX(_xlfn.SWITCH(Program_Banner,"Business Energy Savings",STDWATER[Coincident Peak Demand Savings WBE (kW/unit)],"Small Business / Non-Profit",STDWATER[Coincident Peak Demand Savings HTRB (kW/unit)],0),MATCH(C36,STDWATER[Measure Name],0)),4))</f>
        <v/>
      </c>
      <c r="BJ36" s="984" t="str">
        <f>IFERROR(INDEX(STDWATER[Measure Life (Years)],MATCH(C36,STDWATER[Measure Name],0)),"")</f>
        <v/>
      </c>
      <c r="BK36" s="982" t="str">
        <f>IFERROR(IF(OR(C36="",U36="",R36="",AA36="",AE36="",AI36="",AK36=""),"",
ROUND(((1+ELOSS)*((BH36*INDEX(ELECCB[NPV AEC $/kWh],MATCH(BJ36,ELECCB[Year Number],1)))+(BI36*INDEX(ELECCB[NPV ACC $/kW],MATCH(BJ36,ELECCB[Year Number],1))))),2)),0)</f>
        <v/>
      </c>
      <c r="BL36" s="767" t="str">
        <f t="shared" si="2"/>
        <v/>
      </c>
      <c r="BM36" s="767" t="str">
        <f>IF(OR(C36="", U36=""), "", U36 * INDEX(STDWATER[Incremental Measure Cost ($/Unit)],MATCH(C36,STDWATER[Measure Name],0)))</f>
        <v/>
      </c>
      <c r="BN36" s="763" t="str">
        <f t="shared" si="3"/>
        <v/>
      </c>
      <c r="BO36" s="763" t="str">
        <f>IFERROR(IF(BM36 &lt;&gt; "", BM36, BL36) / M02S04F06 / AO36, "")</f>
        <v/>
      </c>
      <c r="BP36" s="983"/>
      <c r="BQ36" s="982" t="str">
        <f t="shared" ref="BQ36" si="39">IFERROR(ROUND(U36*AM36, 2), "")</f>
        <v/>
      </c>
      <c r="BR36" s="765"/>
      <c r="BS36" s="765"/>
      <c r="BT36" s="765"/>
      <c r="BU36" s="981" t="str">
        <f t="shared" ref="BU36" si="40">IFERROR(IF(BP36="",IF(AR36 &lt; BQ36, "100% Total Cost", ""), ""), "")</f>
        <v/>
      </c>
      <c r="BV36" s="767" t="str">
        <f t="shared" si="4"/>
        <v/>
      </c>
      <c r="BW36" s="981" t="str">
        <f>IFERROR(IF(OR(C36="",U36="",R36="",AA36="",AE36="",AI36="",AK36=""),"",IF(BY36&lt;&gt;"", SPILLOVERNUMBER, INDEX(STDWATER[Measure Number],MATCH(C36,STDWATER[Measure Name],0)))),"Err")</f>
        <v/>
      </c>
      <c r="BX36" s="757" t="str" cm="1">
        <f t="array" ref="BX36">IFERROR(INDEX(_xlfn.SWITCH(Program_Banner,"Business Energy Savings",STDWATER[Primary Key WBE],"Small Business / Non-Profit",STDWATER[Primary Key HTRB],0),MATCH(BW36,STDWATER[Measure Number],0)),"")</f>
        <v/>
      </c>
      <c r="BY36" s="981" t="str">
        <f>IFERROR(IF(OR(C36="",U36="",AA36="",AE36="",AI36="",AK36=""),"",
IF(BP36&gt;0,"",
IF(EXPIRATION&lt;&gt;"",PROJSTATEXP,""))),"")</f>
        <v/>
      </c>
      <c r="BZ36" s="753"/>
      <c r="CA36" s="753"/>
      <c r="CB36" s="753"/>
      <c r="CC36" s="753"/>
    </row>
    <row r="37" spans="2:81" ht="15.95" customHeight="1">
      <c r="B37" s="785"/>
      <c r="C37" s="806"/>
      <c r="D37" s="806"/>
      <c r="E37" s="806"/>
      <c r="F37" s="806"/>
      <c r="G37" s="806"/>
      <c r="H37" s="806"/>
      <c r="I37" s="806"/>
      <c r="J37" s="806"/>
      <c r="K37" s="806"/>
      <c r="L37" s="806"/>
      <c r="M37" s="806"/>
      <c r="N37" s="806"/>
      <c r="O37" s="806"/>
      <c r="P37" s="806"/>
      <c r="Q37" s="806"/>
      <c r="R37" s="899"/>
      <c r="S37" s="899"/>
      <c r="T37" s="899"/>
      <c r="U37" s="802"/>
      <c r="V37" s="802"/>
      <c r="W37" s="806"/>
      <c r="X37" s="806"/>
      <c r="Y37" s="806"/>
      <c r="Z37" s="806"/>
      <c r="AA37" s="806"/>
      <c r="AB37" s="806"/>
      <c r="AC37" s="806"/>
      <c r="AD37" s="806"/>
      <c r="AE37" s="806"/>
      <c r="AF37" s="806"/>
      <c r="AG37" s="806"/>
      <c r="AH37" s="786"/>
      <c r="AI37" s="809"/>
      <c r="AJ37" s="810"/>
      <c r="AK37" s="810"/>
      <c r="AL37" s="812"/>
      <c r="AM37" s="980"/>
      <c r="AN37" s="900"/>
      <c r="AO37" s="818"/>
      <c r="AP37" s="818"/>
      <c r="AQ37" s="818"/>
      <c r="AR37" s="822"/>
      <c r="AS37" s="823"/>
      <c r="AT37" s="823"/>
      <c r="AU37" s="824"/>
      <c r="AV37" s="17"/>
      <c r="AX37" s="773"/>
      <c r="AY37" s="760"/>
      <c r="AZ37" s="760"/>
      <c r="BA37" s="903"/>
      <c r="BB37" s="903"/>
      <c r="BC37" s="773"/>
      <c r="BD37" s="757"/>
      <c r="BE37" s="761"/>
      <c r="BF37" s="761"/>
      <c r="BG37" s="762"/>
      <c r="BH37" s="776"/>
      <c r="BI37" s="776"/>
      <c r="BJ37" s="777"/>
      <c r="BK37" s="767"/>
      <c r="BL37" s="768"/>
      <c r="BM37" s="768"/>
      <c r="BN37" s="764"/>
      <c r="BO37" s="764"/>
      <c r="BP37" s="770"/>
      <c r="BQ37" s="767"/>
      <c r="BR37" s="766"/>
      <c r="BS37" s="766"/>
      <c r="BT37" s="766"/>
      <c r="BU37" s="757"/>
      <c r="BV37" s="768"/>
      <c r="BW37" s="757"/>
      <c r="BX37" s="758"/>
      <c r="BY37" s="757"/>
      <c r="BZ37" s="754"/>
      <c r="CA37" s="754"/>
      <c r="CB37" s="754"/>
      <c r="CC37" s="754"/>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H48" s="26"/>
      <c r="BI48" s="32"/>
    </row>
    <row r="49" spans="60:61" ht="15.95" hidden="1" customHeight="1">
      <c r="BH49" s="26"/>
      <c r="BI49" s="32"/>
    </row>
    <row r="50" spans="60:61" ht="15.95" hidden="1" customHeight="1">
      <c r="BH50" s="26"/>
      <c r="BI50" s="32"/>
    </row>
    <row r="51" spans="60:61" ht="15.95" hidden="1" customHeight="1">
      <c r="BH51" s="26"/>
      <c r="BI51" s="32"/>
    </row>
    <row r="52" spans="60:61" ht="15.95" hidden="1" customHeight="1">
      <c r="BH52" s="26"/>
      <c r="BI52" s="32"/>
    </row>
    <row r="53" spans="60:61" ht="15.95" hidden="1" customHeight="1">
      <c r="BH53" s="26"/>
      <c r="BI53" s="32"/>
    </row>
    <row r="54" spans="60:61" ht="15.95" hidden="1" customHeight="1">
      <c r="BH54" s="26"/>
      <c r="BI54" s="32"/>
    </row>
    <row r="55" spans="60:61" ht="15.95" hidden="1" customHeight="1">
      <c r="BH55" s="26"/>
      <c r="BI55" s="32"/>
    </row>
    <row r="56" spans="60:61" ht="15.95" hidden="1" customHeight="1">
      <c r="BH56" s="26"/>
      <c r="BI56" s="32"/>
    </row>
    <row r="57" spans="60:61" ht="15.95" hidden="1" customHeight="1">
      <c r="BH57" s="26"/>
      <c r="BI57" s="32"/>
    </row>
    <row r="58" spans="60:61" ht="15.95" hidden="1" customHeight="1">
      <c r="BH58" s="26"/>
      <c r="BI58" s="32"/>
    </row>
    <row r="59" spans="60:61" ht="15.95" hidden="1" customHeight="1">
      <c r="BH59" s="26"/>
      <c r="BI59" s="32"/>
    </row>
    <row r="60" spans="60:61" ht="15.95" hidden="1" customHeight="1">
      <c r="BH60" s="26"/>
      <c r="BI60" s="32"/>
    </row>
    <row r="61" spans="60:61" ht="15.95" hidden="1" customHeight="1">
      <c r="BH61" s="26"/>
      <c r="BI61" s="32"/>
    </row>
    <row r="62" spans="60:61" ht="15.95" hidden="1" customHeight="1">
      <c r="BH62" s="26"/>
      <c r="BI62" s="32"/>
    </row>
    <row r="63" spans="60:61" ht="15.95" hidden="1" customHeight="1">
      <c r="BH63" s="26"/>
      <c r="BI63" s="32"/>
    </row>
    <row r="64" spans="60:61" ht="15.95" hidden="1" customHeight="1">
      <c r="BH64" s="26"/>
      <c r="BI64" s="32"/>
    </row>
    <row r="65" spans="60:61" ht="15.95" hidden="1" customHeight="1">
      <c r="BH65" s="26"/>
      <c r="BI65" s="32"/>
    </row>
    <row r="66" spans="60:61" ht="15.95" hidden="1" customHeight="1">
      <c r="BH66" s="26"/>
      <c r="BI66" s="32"/>
    </row>
    <row r="67" spans="60:61" ht="15.95" hidden="1" customHeight="1">
      <c r="BH67" s="26"/>
      <c r="BI67" s="32"/>
    </row>
    <row r="68" spans="60:61" ht="15.95" hidden="1" customHeight="1">
      <c r="BH68" s="26"/>
      <c r="BI68" s="32"/>
    </row>
    <row r="69" spans="60:61" ht="15.95" hidden="1" customHeight="1">
      <c r="BH69" s="26"/>
      <c r="BI69" s="32"/>
    </row>
    <row r="70" spans="60:61" ht="15.95" hidden="1" customHeight="1">
      <c r="BH70" s="26"/>
      <c r="BI70" s="32"/>
    </row>
    <row r="71" spans="60:61" ht="15.95" hidden="1" customHeight="1">
      <c r="BH71" s="26"/>
      <c r="BI71" s="32"/>
    </row>
    <row r="72" spans="60:61" ht="15.95" hidden="1" customHeight="1">
      <c r="BH72" s="26"/>
      <c r="BI72" s="32"/>
    </row>
    <row r="73" spans="60:61" ht="15.95" hidden="1" customHeight="1">
      <c r="BH73" s="26"/>
      <c r="BI73" s="32"/>
    </row>
    <row r="74" spans="60:61" ht="15.95" hidden="1" customHeight="1">
      <c r="BH74" s="26"/>
      <c r="BI74" s="32"/>
    </row>
    <row r="75" spans="60:61" ht="15.95" hidden="1" customHeight="1">
      <c r="BH75" s="26"/>
      <c r="BI75" s="32"/>
    </row>
    <row r="76" spans="60:61" ht="15.95" hidden="1" customHeight="1">
      <c r="BH76" s="26"/>
      <c r="BI76" s="32"/>
    </row>
    <row r="77" spans="60:61" ht="15.95" hidden="1" customHeight="1">
      <c r="BH77" s="26"/>
      <c r="BI77" s="32"/>
    </row>
    <row r="78" spans="60:61" ht="15.95" hidden="1" customHeight="1">
      <c r="BH78" s="26"/>
      <c r="BI78" s="32"/>
    </row>
    <row r="79" spans="60:61" ht="15.95" hidden="1" customHeight="1">
      <c r="BH79" s="26"/>
      <c r="BI79" s="32"/>
    </row>
    <row r="80" spans="60:61" ht="15.95" hidden="1" customHeight="1">
      <c r="BH80" s="26"/>
      <c r="BI80" s="32"/>
    </row>
    <row r="81" spans="60:61" ht="15.95" hidden="1" customHeight="1">
      <c r="BH81" s="26"/>
      <c r="BI81" s="32"/>
    </row>
    <row r="82" spans="60:61" ht="15.95" hidden="1" customHeight="1">
      <c r="BH82" s="26"/>
      <c r="BI82" s="32"/>
    </row>
    <row r="83" spans="60:61" ht="15.95" hidden="1" customHeight="1">
      <c r="BH83" s="26"/>
      <c r="BI83" s="32"/>
    </row>
    <row r="84" spans="60:61" ht="15.95" hidden="1" customHeight="1">
      <c r="BH84" s="26"/>
      <c r="BI84" s="32"/>
    </row>
    <row r="85" spans="60:61" ht="15.95" hidden="1" customHeight="1">
      <c r="BH85" s="26"/>
      <c r="BI85" s="32"/>
    </row>
    <row r="86" spans="60:61" ht="15.95" hidden="1" customHeight="1">
      <c r="BH86" s="26"/>
      <c r="BI86" s="32"/>
    </row>
    <row r="87" spans="60:61" ht="15.95" hidden="1" customHeight="1">
      <c r="BH87" s="26"/>
      <c r="BI87" s="32"/>
    </row>
    <row r="88" spans="60:61" ht="15.95" hidden="1" customHeight="1">
      <c r="BH88" s="26"/>
      <c r="BI88" s="32"/>
    </row>
    <row r="89" spans="60:61" ht="15.95" hidden="1" customHeight="1">
      <c r="BH89" s="26"/>
      <c r="BI89" s="32"/>
    </row>
    <row r="90" spans="60:61" ht="15.95" hidden="1" customHeight="1">
      <c r="BH90" s="26"/>
      <c r="BI90" s="32"/>
    </row>
    <row r="91" spans="60:61" ht="15.95" hidden="1" customHeight="1">
      <c r="BH91" s="26"/>
      <c r="BI91" s="32"/>
    </row>
    <row r="92" spans="60:61" ht="15.95" hidden="1" customHeight="1">
      <c r="BH92" s="26"/>
      <c r="BI92" s="32"/>
    </row>
    <row r="93" spans="60:61" ht="15.95" hidden="1" customHeight="1">
      <c r="BH93" s="26"/>
      <c r="BI93" s="32"/>
    </row>
    <row r="94" spans="60:61" ht="15.95" hidden="1" customHeight="1">
      <c r="BH94" s="26"/>
      <c r="BI94" s="32"/>
    </row>
    <row r="95" spans="60:61" ht="15.95" hidden="1" customHeight="1">
      <c r="BH95" s="26"/>
      <c r="BI95" s="32"/>
    </row>
    <row r="96" spans="60:61" ht="15.95" hidden="1" customHeight="1">
      <c r="BH96" s="26"/>
      <c r="BI96" s="32"/>
    </row>
    <row r="97" spans="60:61" ht="15.95" hidden="1" customHeight="1">
      <c r="BH97" s="26"/>
      <c r="BI97" s="32"/>
    </row>
    <row r="98" spans="60:61" ht="15.95" hidden="1" customHeight="1">
      <c r="BH98" s="26"/>
      <c r="BI98" s="32"/>
    </row>
    <row r="99" spans="60:61" ht="15.95" hidden="1" customHeight="1">
      <c r="BH99" s="26"/>
      <c r="BI99" s="32"/>
    </row>
    <row r="100" spans="60:61" ht="15.95" hidden="1" customHeight="1">
      <c r="BH100" s="26"/>
      <c r="BI100" s="32"/>
    </row>
    <row r="101" spans="60:61" ht="15.95" hidden="1" customHeight="1">
      <c r="BH101" s="26"/>
      <c r="BI101" s="32"/>
    </row>
    <row r="102" spans="60:61" ht="15.95" hidden="1" customHeight="1">
      <c r="BH102" s="26"/>
      <c r="BI102" s="32"/>
    </row>
    <row r="103" spans="60:61" ht="15.95" hidden="1" customHeight="1">
      <c r="BH103" s="26"/>
      <c r="BI103" s="32"/>
    </row>
    <row r="104" spans="60:61" ht="15.95" hidden="1" customHeight="1">
      <c r="BH104" s="26"/>
      <c r="BI104" s="32"/>
    </row>
    <row r="105" spans="60:61" ht="15.95" hidden="1" customHeight="1">
      <c r="BH105" s="26"/>
      <c r="BI105" s="32"/>
    </row>
    <row r="106" spans="60:61" ht="15.95" hidden="1" customHeight="1">
      <c r="BH106" s="26"/>
      <c r="BI106" s="32"/>
    </row>
    <row r="107" spans="60:61" ht="15.95" hidden="1" customHeight="1">
      <c r="BH107" s="26"/>
      <c r="BI107" s="32"/>
    </row>
    <row r="108" spans="60:61" ht="15.95" hidden="1" customHeight="1">
      <c r="BH108" s="26"/>
      <c r="BI108" s="32"/>
    </row>
    <row r="109" spans="60:61" ht="15.95" hidden="1" customHeight="1">
      <c r="BH109" s="26"/>
      <c r="BI109" s="32"/>
    </row>
    <row r="110" spans="60:61" ht="15.95" hidden="1" customHeight="1">
      <c r="BH110" s="26"/>
      <c r="BI110" s="32"/>
    </row>
    <row r="111" spans="60:61" ht="15.95" hidden="1" customHeight="1">
      <c r="BH111" s="26"/>
      <c r="BI111" s="32"/>
    </row>
    <row r="112" spans="60:61" ht="15.95" hidden="1" customHeight="1">
      <c r="BH112" s="26"/>
      <c r="BI112" s="32"/>
    </row>
    <row r="113" spans="60:61" ht="15.95" hidden="1" customHeight="1">
      <c r="BH113" s="26"/>
      <c r="BI113" s="32"/>
    </row>
    <row r="114" spans="60:61" ht="15.95" hidden="1" customHeight="1">
      <c r="BH114" s="26"/>
      <c r="BI114" s="32"/>
    </row>
    <row r="115" spans="60:61" ht="15.95" hidden="1" customHeight="1">
      <c r="BH115" s="26"/>
      <c r="BI115" s="32"/>
    </row>
    <row r="116" spans="60:61" ht="15.95" hidden="1" customHeight="1">
      <c r="BH116" s="26"/>
      <c r="BI116" s="32"/>
    </row>
    <row r="117" spans="60:61" ht="15.95" hidden="1" customHeight="1">
      <c r="BH117" s="26"/>
      <c r="BI117" s="32"/>
    </row>
    <row r="118" spans="60:61" ht="15.95" hidden="1" customHeight="1">
      <c r="BH118" s="26"/>
      <c r="BI118" s="32"/>
    </row>
    <row r="119" spans="60:61" ht="15.95" hidden="1" customHeight="1">
      <c r="BH119" s="26"/>
      <c r="BI119" s="32"/>
    </row>
    <row r="120" spans="60:61" ht="15.95" hidden="1" customHeight="1">
      <c r="BH120" s="26"/>
      <c r="BI120" s="32"/>
    </row>
    <row r="121" spans="60:61" ht="15.95" hidden="1" customHeight="1">
      <c r="BH121" s="26"/>
      <c r="BI121" s="32"/>
    </row>
    <row r="122" spans="60:61" ht="15.95" hidden="1" customHeight="1">
      <c r="BH122" s="26"/>
      <c r="BI122" s="32"/>
    </row>
    <row r="123" spans="60:61" ht="15.95" hidden="1" customHeight="1">
      <c r="BH123" s="26"/>
      <c r="BI123" s="32"/>
    </row>
    <row r="124" spans="60:61" ht="15.95" hidden="1" customHeight="1">
      <c r="BH124" s="26"/>
      <c r="BI124" s="32"/>
    </row>
    <row r="125" spans="60:61" ht="15.95" hidden="1" customHeight="1">
      <c r="BH125" s="26"/>
      <c r="BI125" s="32"/>
    </row>
    <row r="126" spans="60:61" ht="15.95" hidden="1" customHeight="1">
      <c r="BH126" s="26"/>
      <c r="BI126" s="32"/>
    </row>
    <row r="127" spans="60:61" ht="15.95" hidden="1" customHeight="1">
      <c r="BH127" s="26"/>
      <c r="BI127" s="32"/>
    </row>
    <row r="128" spans="60:61" ht="15.95" hidden="1" customHeight="1">
      <c r="BH128" s="26"/>
      <c r="BI128" s="32"/>
    </row>
    <row r="129" spans="60:61" ht="15.95" hidden="1" customHeight="1">
      <c r="BH129" s="26"/>
      <c r="BI129" s="32"/>
    </row>
    <row r="130" spans="60:61" ht="15.95" hidden="1" customHeight="1">
      <c r="BH130" s="26"/>
      <c r="BI130" s="32"/>
    </row>
    <row r="131" spans="60:61" ht="15.95" hidden="1" customHeight="1">
      <c r="BH131" s="26"/>
      <c r="BI131" s="32"/>
    </row>
    <row r="132" spans="60:61" ht="15.95" hidden="1" customHeight="1">
      <c r="BH132" s="26"/>
      <c r="BI132" s="32"/>
    </row>
    <row r="133" spans="60:61" ht="15.95" hidden="1" customHeight="1">
      <c r="BH133" s="26"/>
      <c r="BI133" s="32"/>
    </row>
    <row r="134" spans="60:61" ht="15.95" hidden="1" customHeight="1">
      <c r="BH134" s="26"/>
      <c r="BI134" s="32"/>
    </row>
    <row r="135" spans="60:61" ht="15.95" hidden="1" customHeight="1">
      <c r="BH135" s="26"/>
      <c r="BI135" s="32"/>
    </row>
    <row r="136" spans="60:61" ht="15.95" hidden="1" customHeight="1">
      <c r="BH136" s="26"/>
      <c r="BI136" s="32"/>
    </row>
    <row r="137" spans="60:61" ht="15.95" hidden="1" customHeight="1">
      <c r="BH137" s="26"/>
      <c r="BI137" s="32"/>
    </row>
    <row r="138" spans="60:61" ht="15.95" hidden="1" customHeight="1">
      <c r="BH138" s="26"/>
      <c r="BI138" s="32"/>
    </row>
    <row r="139" spans="60:61" ht="15.95" hidden="1" customHeight="1">
      <c r="BH139" s="26"/>
      <c r="BI139" s="32"/>
    </row>
    <row r="140" spans="60:61" ht="15.95" hidden="1" customHeight="1">
      <c r="BH140" s="26"/>
      <c r="BI140" s="32"/>
    </row>
    <row r="141" spans="60:61" ht="15.95" hidden="1" customHeight="1">
      <c r="BH141" s="26"/>
      <c r="BI141" s="32"/>
    </row>
    <row r="142" spans="60:61" ht="15.95" hidden="1" customHeight="1">
      <c r="BH142" s="26"/>
      <c r="BI142" s="32"/>
    </row>
    <row r="143" spans="60:61" ht="15.95" hidden="1" customHeight="1">
      <c r="BH143" s="26"/>
      <c r="BI143" s="32"/>
    </row>
    <row r="144" spans="60:61" ht="15.95" hidden="1" customHeight="1">
      <c r="BH144" s="26"/>
      <c r="BI144" s="32"/>
    </row>
    <row r="145" spans="60:61" ht="15.95" hidden="1" customHeight="1">
      <c r="BH145" s="26"/>
      <c r="BI145" s="32"/>
    </row>
    <row r="146" spans="60:61" ht="15.95" hidden="1" customHeight="1">
      <c r="BH146" s="26"/>
      <c r="BI146" s="32"/>
    </row>
    <row r="147" spans="60:61" ht="15.95" hidden="1" customHeight="1">
      <c r="BH147" s="26"/>
      <c r="BI147" s="32"/>
    </row>
    <row r="148" spans="60:61" ht="15.95" hidden="1" customHeight="1">
      <c r="BH148" s="26"/>
      <c r="BI148" s="32"/>
    </row>
    <row r="149" spans="60:61" ht="15.95" hidden="1" customHeight="1">
      <c r="BH149" s="26"/>
      <c r="BI149" s="32"/>
    </row>
    <row r="150" spans="60:61" ht="15.95" hidden="1" customHeight="1">
      <c r="BH150" s="26"/>
      <c r="BI150" s="32"/>
    </row>
    <row r="151" spans="60:61" ht="15.95" hidden="1" customHeight="1">
      <c r="BH151" s="26"/>
      <c r="BI151" s="32"/>
    </row>
    <row r="152" spans="60:61" ht="15.95" hidden="1" customHeight="1">
      <c r="BH152" s="26"/>
      <c r="BI152" s="32"/>
    </row>
    <row r="153" spans="60:61" ht="15.95" hidden="1" customHeight="1">
      <c r="BH153" s="26"/>
      <c r="BI153" s="32"/>
    </row>
    <row r="154" spans="60:61" ht="15.95" hidden="1" customHeight="1">
      <c r="BH154" s="26"/>
      <c r="BI154" s="32"/>
    </row>
    <row r="155" spans="60:61" ht="15.95" hidden="1" customHeight="1">
      <c r="BH155" s="26"/>
      <c r="BI155" s="32"/>
    </row>
    <row r="156" spans="60:61" ht="15.95" hidden="1" customHeight="1">
      <c r="BH156" s="26"/>
      <c r="BI156" s="32"/>
    </row>
    <row r="157" spans="60:61" ht="15.95" hidden="1" customHeight="1">
      <c r="BH157" s="26"/>
      <c r="BI157" s="32"/>
    </row>
    <row r="158" spans="60:61" ht="15.95" hidden="1" customHeight="1">
      <c r="BH158" s="26"/>
      <c r="BI158" s="32"/>
    </row>
    <row r="159" spans="60:61" ht="15.95" hidden="1" customHeight="1">
      <c r="BH159" s="26"/>
      <c r="BI159" s="32"/>
    </row>
    <row r="160" spans="60:61" ht="15.95" hidden="1" customHeight="1">
      <c r="BH160" s="26"/>
      <c r="BI160" s="32"/>
    </row>
    <row r="161" spans="60:61" ht="15.95" hidden="1" customHeight="1">
      <c r="BH161" s="26"/>
      <c r="BI161" s="32"/>
    </row>
    <row r="162" spans="60:61" ht="15.95" hidden="1" customHeight="1">
      <c r="BH162" s="26"/>
      <c r="BI162" s="32"/>
    </row>
    <row r="163" spans="60:61" ht="15.95" hidden="1" customHeight="1">
      <c r="BH163" s="26"/>
      <c r="BI163" s="32"/>
    </row>
    <row r="164" spans="60:61" ht="15.95" hidden="1" customHeight="1">
      <c r="BH164" s="26"/>
      <c r="BI164" s="32"/>
    </row>
    <row r="165" spans="60:61" ht="15.95" hidden="1" customHeight="1">
      <c r="BH165" s="26"/>
      <c r="BI165" s="32"/>
    </row>
    <row r="166" spans="60:61" ht="15.95" hidden="1" customHeight="1">
      <c r="BH166" s="26"/>
      <c r="BI166" s="32"/>
    </row>
    <row r="167" spans="60:61" ht="15.95" hidden="1" customHeight="1">
      <c r="BH167" s="26"/>
      <c r="BI167" s="32"/>
    </row>
    <row r="168" spans="60:61" ht="15.95" hidden="1" customHeight="1">
      <c r="BH168" s="26"/>
      <c r="BI168" s="32"/>
    </row>
    <row r="169" spans="60:61" ht="15.95" hidden="1" customHeight="1">
      <c r="BH169" s="26"/>
      <c r="BI169" s="32"/>
    </row>
    <row r="170" spans="60:61" ht="15.95" hidden="1" customHeight="1">
      <c r="BH170" s="26"/>
      <c r="BI170" s="32"/>
    </row>
    <row r="171" spans="60:61" ht="15.95" hidden="1" customHeight="1">
      <c r="BH171" s="26"/>
      <c r="BI171" s="32"/>
    </row>
    <row r="172" spans="60:61" ht="15.95" hidden="1" customHeight="1">
      <c r="BH172" s="26"/>
      <c r="BI172" s="32"/>
    </row>
    <row r="173" spans="60:61" ht="15.95" hidden="1" customHeight="1">
      <c r="BH173" s="26"/>
      <c r="BI173" s="32"/>
    </row>
    <row r="174" spans="60:61" ht="15.95" hidden="1" customHeight="1">
      <c r="BH174" s="26"/>
      <c r="BI174" s="32"/>
    </row>
    <row r="175" spans="60:61" ht="15.95" hidden="1" customHeight="1">
      <c r="BH175" s="26"/>
      <c r="BI175" s="32"/>
    </row>
    <row r="176" spans="60:61" ht="15.95" hidden="1" customHeight="1">
      <c r="BH176" s="26"/>
      <c r="BI176" s="32"/>
    </row>
    <row r="177" spans="60:61" ht="15.95" hidden="1" customHeight="1">
      <c r="BH177" s="26"/>
      <c r="BI177" s="32"/>
    </row>
    <row r="178" spans="60:61" ht="15.95" hidden="1" customHeight="1">
      <c r="BH178" s="26"/>
      <c r="BI178" s="32"/>
    </row>
    <row r="179" spans="60:61" ht="15.95" hidden="1" customHeight="1">
      <c r="BH179" s="26"/>
      <c r="BI179" s="32"/>
    </row>
    <row r="180" spans="60:61" ht="15.95" hidden="1" customHeight="1">
      <c r="BH180" s="26"/>
      <c r="BI180" s="32"/>
    </row>
    <row r="181" spans="60:61" ht="15.95" hidden="1" customHeight="1">
      <c r="BH181" s="26"/>
      <c r="BI181" s="32"/>
    </row>
    <row r="182" spans="60:61" ht="15.95" hidden="1" customHeight="1">
      <c r="BH182" s="26"/>
      <c r="BI182" s="32"/>
    </row>
    <row r="183" spans="60:61" ht="15.95" hidden="1" customHeight="1">
      <c r="BH183" s="26"/>
      <c r="BI183" s="32"/>
    </row>
    <row r="184" spans="60:61" ht="15.95" hidden="1" customHeight="1">
      <c r="BH184" s="26"/>
      <c r="BI184" s="32"/>
    </row>
    <row r="185" spans="60:61" ht="15.95" hidden="1" customHeight="1">
      <c r="BH185" s="26"/>
      <c r="BI185" s="32"/>
    </row>
    <row r="186" spans="60:61" ht="15.95" hidden="1" customHeight="1">
      <c r="BH186" s="26"/>
      <c r="BI186" s="32"/>
    </row>
    <row r="187" spans="60:61" ht="15.95" hidden="1" customHeight="1">
      <c r="BH187" s="26"/>
      <c r="BI187" s="32"/>
    </row>
    <row r="188" spans="60:61" ht="15.95" hidden="1" customHeight="1">
      <c r="BH188" s="26"/>
      <c r="BI188" s="32"/>
    </row>
    <row r="189" spans="60:61" ht="15.95" hidden="1" customHeight="1">
      <c r="BH189" s="26"/>
      <c r="BI189" s="32"/>
    </row>
    <row r="190" spans="60:61" ht="15.95" hidden="1" customHeight="1">
      <c r="BH190" s="26"/>
      <c r="BI190" s="32"/>
    </row>
    <row r="191" spans="60:61" ht="15.95" hidden="1" customHeight="1">
      <c r="BH191" s="26"/>
      <c r="BI191" s="32"/>
    </row>
    <row r="192" spans="60:61" ht="15.95" hidden="1" customHeight="1">
      <c r="BH192" s="26"/>
      <c r="BI192" s="32"/>
    </row>
    <row r="193" spans="1:64" ht="15.95" hidden="1" customHeight="1">
      <c r="BH193" s="26"/>
      <c r="BI193" s="32"/>
    </row>
    <row r="194" spans="1:64" ht="15.95" hidden="1" customHeight="1">
      <c r="BH194" s="26"/>
      <c r="BI194" s="32"/>
    </row>
    <row r="195" spans="1:64" ht="15.95" hidden="1" customHeight="1">
      <c r="BH195" s="26"/>
      <c r="BI195" s="32"/>
    </row>
    <row r="196" spans="1:64" ht="15.95" hidden="1" customHeight="1">
      <c r="BH196" s="26"/>
      <c r="BI196" s="32"/>
    </row>
    <row r="197" spans="1:64" ht="15.95" hidden="1" customHeight="1">
      <c r="BH197" s="26"/>
      <c r="BI197" s="32"/>
    </row>
    <row r="198" spans="1:64" ht="15.95" hidden="1" customHeight="1">
      <c r="BH198" s="26"/>
      <c r="BI198" s="32"/>
    </row>
    <row r="199" spans="1:64" ht="15.95" hidden="1" customHeight="1">
      <c r="BH199" s="26"/>
      <c r="BI199" s="32"/>
    </row>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H200" s="861">
        <f>SUM(BH18:BH199)</f>
        <v>0</v>
      </c>
      <c r="BI200" s="861">
        <f>SUM(BI18:BI199)</f>
        <v>0</v>
      </c>
      <c r="BL200" s="862">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H201" s="861"/>
      <c r="BI201" s="861"/>
      <c r="BL201" s="862"/>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4" ht="15.95" hidden="1" customHeight="1"/>
    <row r="204" spans="1:64" ht="15.95" hidden="1" customHeight="1"/>
  </sheetData>
  <sheetProtection algorithmName="SHA-512" hashValue="RONvUe3Vi04dTqkOtd9LP5zNJEs5z4GPXEezU2Hl21sfek0Dki2fwMR1S4i31gKeNCcAXSYdnhmAvFEvoMFg0w==" saltValue="asRVPlc6VLXKk7PqHG6yyg==" spinCount="100000" sheet="1" objects="1" scenarios="1" selectLockedCells="1"/>
  <mergeCells count="513">
    <mergeCell ref="BG36:BG37"/>
    <mergeCell ref="BN36:BN37"/>
    <mergeCell ref="BO36:BO37"/>
    <mergeCell ref="BR36:BR37"/>
    <mergeCell ref="BT36:BT37"/>
    <mergeCell ref="BR32:BR33"/>
    <mergeCell ref="BT32:BT33"/>
    <mergeCell ref="BV36:BV37"/>
    <mergeCell ref="BX36:BX37"/>
    <mergeCell ref="BP32:BP33"/>
    <mergeCell ref="BM36:BM37"/>
    <mergeCell ref="BW34:BW35"/>
    <mergeCell ref="BW36:BW37"/>
    <mergeCell ref="BV32:BV33"/>
    <mergeCell ref="BX32:BX33"/>
    <mergeCell ref="BM32:BM33"/>
    <mergeCell ref="BK34:BK35"/>
    <mergeCell ref="BX34:BX35"/>
    <mergeCell ref="BC34:BC35"/>
    <mergeCell ref="BQ34:BQ35"/>
    <mergeCell ref="BM26:BM27"/>
    <mergeCell ref="BG28:BG29"/>
    <mergeCell ref="BN28:BN29"/>
    <mergeCell ref="BX22:BX23"/>
    <mergeCell ref="AY24:AY25"/>
    <mergeCell ref="BX28:BX29"/>
    <mergeCell ref="AY30:AY31"/>
    <mergeCell ref="AZ30:AZ31"/>
    <mergeCell ref="BG30:BG31"/>
    <mergeCell ref="BN30:BN31"/>
    <mergeCell ref="BO30:BO31"/>
    <mergeCell ref="BR30:BR31"/>
    <mergeCell ref="BT30:BT31"/>
    <mergeCell ref="BV30:BV31"/>
    <mergeCell ref="BX30:BX31"/>
    <mergeCell ref="BM28:BM29"/>
    <mergeCell ref="BM30:BM31"/>
    <mergeCell ref="BA30:BA31"/>
    <mergeCell ref="BB30:BB31"/>
    <mergeCell ref="BT28:BT29"/>
    <mergeCell ref="BV28:BV29"/>
    <mergeCell ref="BX24:BX25"/>
    <mergeCell ref="AY22:AY23"/>
    <mergeCell ref="AZ22:AZ23"/>
    <mergeCell ref="BG22:BG23"/>
    <mergeCell ref="BN22:BN23"/>
    <mergeCell ref="BO22:BO23"/>
    <mergeCell ref="BH22:BH23"/>
    <mergeCell ref="BI22:BI23"/>
    <mergeCell ref="BJ22:BJ23"/>
    <mergeCell ref="BK22:BK23"/>
    <mergeCell ref="BJ24:BJ25"/>
    <mergeCell ref="BK24:BK25"/>
    <mergeCell ref="BD22:BD23"/>
    <mergeCell ref="BW22:BW23"/>
    <mergeCell ref="BP22:BP23"/>
    <mergeCell ref="BM22:BM23"/>
    <mergeCell ref="BM24:BM25"/>
    <mergeCell ref="BN24:BN25"/>
    <mergeCell ref="BO24:BO25"/>
    <mergeCell ref="BR24:BR25"/>
    <mergeCell ref="BT24:BT25"/>
    <mergeCell ref="AI26:AJ27"/>
    <mergeCell ref="AI24:AJ25"/>
    <mergeCell ref="BI26:BI27"/>
    <mergeCell ref="AY18:AY19"/>
    <mergeCell ref="AZ18:AZ19"/>
    <mergeCell ref="BG18:BG19"/>
    <mergeCell ref="AY20:AY21"/>
    <mergeCell ref="AZ20:AZ21"/>
    <mergeCell ref="BG20:BG21"/>
    <mergeCell ref="BD24:BD25"/>
    <mergeCell ref="AO20:AQ21"/>
    <mergeCell ref="AR20:AU21"/>
    <mergeCell ref="AX20:AX21"/>
    <mergeCell ref="BC20:BC21"/>
    <mergeCell ref="BB20:BB21"/>
    <mergeCell ref="AM20:AN21"/>
    <mergeCell ref="BA20:BA21"/>
    <mergeCell ref="BH20:BH21"/>
    <mergeCell ref="BI20:BI21"/>
    <mergeCell ref="AY26:AY27"/>
    <mergeCell ref="AZ26:AZ27"/>
    <mergeCell ref="BG26:BG27"/>
    <mergeCell ref="AZ24:AZ25"/>
    <mergeCell ref="BG24:BG25"/>
    <mergeCell ref="N9:Q11"/>
    <mergeCell ref="R9:U11"/>
    <mergeCell ref="V9:Y11"/>
    <mergeCell ref="Z9:AC11"/>
    <mergeCell ref="AB14:AE14"/>
    <mergeCell ref="BH16:BI16"/>
    <mergeCell ref="BI18:BI19"/>
    <mergeCell ref="AD9:AG11"/>
    <mergeCell ref="AA16:AD17"/>
    <mergeCell ref="AE16:AH17"/>
    <mergeCell ref="BB16:BB17"/>
    <mergeCell ref="BC16:BC17"/>
    <mergeCell ref="BC18:BC19"/>
    <mergeCell ref="AY16:AY17"/>
    <mergeCell ref="AZ16:AZ17"/>
    <mergeCell ref="BG16:BG17"/>
    <mergeCell ref="BY36:BY37"/>
    <mergeCell ref="BY34:BY35"/>
    <mergeCell ref="BY32:BY33"/>
    <mergeCell ref="BL30:BL31"/>
    <mergeCell ref="BH30:BH31"/>
    <mergeCell ref="BI30:BI31"/>
    <mergeCell ref="BL22:BL23"/>
    <mergeCell ref="BL24:BL25"/>
    <mergeCell ref="BA32:BA33"/>
    <mergeCell ref="BB32:BB33"/>
    <mergeCell ref="BC32:BC33"/>
    <mergeCell ref="BF32:BF33"/>
    <mergeCell ref="BE32:BE33"/>
    <mergeCell ref="BA28:BA29"/>
    <mergeCell ref="BB28:BB29"/>
    <mergeCell ref="BV26:BV27"/>
    <mergeCell ref="BX26:BX27"/>
    <mergeCell ref="BE34:BE35"/>
    <mergeCell ref="BD30:BD31"/>
    <mergeCell ref="BD32:BD33"/>
    <mergeCell ref="BM34:BM35"/>
    <mergeCell ref="BD34:BD35"/>
    <mergeCell ref="BO28:BO29"/>
    <mergeCell ref="BN32:BN33"/>
    <mergeCell ref="F1:I3"/>
    <mergeCell ref="J1:M3"/>
    <mergeCell ref="AL1:AO3"/>
    <mergeCell ref="AP1:AS3"/>
    <mergeCell ref="AT1:AW3"/>
    <mergeCell ref="W18:Z19"/>
    <mergeCell ref="W20:Z21"/>
    <mergeCell ref="W22:Z23"/>
    <mergeCell ref="AO22:AQ23"/>
    <mergeCell ref="AK18:AL19"/>
    <mergeCell ref="T14:W14"/>
    <mergeCell ref="X14:AA14"/>
    <mergeCell ref="T12:W13"/>
    <mergeCell ref="X12:AA13"/>
    <mergeCell ref="AB12:AE13"/>
    <mergeCell ref="AH9:AK11"/>
    <mergeCell ref="AL9:AO11"/>
    <mergeCell ref="C16:Q17"/>
    <mergeCell ref="R16:T17"/>
    <mergeCell ref="U16:V17"/>
    <mergeCell ref="W16:Z17"/>
    <mergeCell ref="AS5:AW6"/>
    <mergeCell ref="AS7:AW7"/>
    <mergeCell ref="J9:M11"/>
    <mergeCell ref="AS8:AW8"/>
    <mergeCell ref="W28:Z29"/>
    <mergeCell ref="W30:Z31"/>
    <mergeCell ref="AX18:AX19"/>
    <mergeCell ref="AX26:AX27"/>
    <mergeCell ref="BC26:BC27"/>
    <mergeCell ref="BF28:BF29"/>
    <mergeCell ref="BF30:BF31"/>
    <mergeCell ref="BE28:BE29"/>
    <mergeCell ref="BE30:BE31"/>
    <mergeCell ref="AK24:AL25"/>
    <mergeCell ref="BC22:BC23"/>
    <mergeCell ref="AO30:AQ31"/>
    <mergeCell ref="AK28:AL29"/>
    <mergeCell ref="AY28:AY29"/>
    <mergeCell ref="AZ28:AZ29"/>
    <mergeCell ref="AM22:AN23"/>
    <mergeCell ref="AX22:AX23"/>
    <mergeCell ref="AX24:AX25"/>
    <mergeCell ref="AR22:AU23"/>
    <mergeCell ref="AO24:AQ25"/>
    <mergeCell ref="AR24:AU25"/>
    <mergeCell ref="BC28:BC29"/>
    <mergeCell ref="BC30:BC31"/>
    <mergeCell ref="AX28:AX29"/>
    <mergeCell ref="O200:AI201"/>
    <mergeCell ref="BL200:BL201"/>
    <mergeCell ref="BH200:BH201"/>
    <mergeCell ref="BI200:BI201"/>
    <mergeCell ref="BI34:BI35"/>
    <mergeCell ref="BH34:BH35"/>
    <mergeCell ref="AK36:AL37"/>
    <mergeCell ref="W36:Z37"/>
    <mergeCell ref="AO34:AQ35"/>
    <mergeCell ref="AR34:AU35"/>
    <mergeCell ref="BA36:BA37"/>
    <mergeCell ref="BB36:BB37"/>
    <mergeCell ref="BE36:BE37"/>
    <mergeCell ref="BC36:BC37"/>
    <mergeCell ref="BJ36:BJ37"/>
    <mergeCell ref="BK36:BK37"/>
    <mergeCell ref="AY34:AY35"/>
    <mergeCell ref="AZ34:AZ35"/>
    <mergeCell ref="BG34:BG35"/>
    <mergeCell ref="BF34:BF35"/>
    <mergeCell ref="BH36:BH37"/>
    <mergeCell ref="BI36:BI37"/>
    <mergeCell ref="BB34:BB35"/>
    <mergeCell ref="W32:Z33"/>
    <mergeCell ref="W34:Z35"/>
    <mergeCell ref="AM36:AN37"/>
    <mergeCell ref="AO36:AQ37"/>
    <mergeCell ref="AR36:AU37"/>
    <mergeCell ref="BL36:BL37"/>
    <mergeCell ref="AK34:AL35"/>
    <mergeCell ref="AX34:AX35"/>
    <mergeCell ref="BL34:BL35"/>
    <mergeCell ref="AE32:AH33"/>
    <mergeCell ref="AX32:AX33"/>
    <mergeCell ref="AM32:AN33"/>
    <mergeCell ref="AO32:AQ33"/>
    <mergeCell ref="AM34:AN35"/>
    <mergeCell ref="AR32:AU33"/>
    <mergeCell ref="BL32:BL33"/>
    <mergeCell ref="AK32:AL33"/>
    <mergeCell ref="AY32:AY33"/>
    <mergeCell ref="AZ32:AZ33"/>
    <mergeCell ref="BG32:BG33"/>
    <mergeCell ref="AY36:AY37"/>
    <mergeCell ref="AZ36:AZ37"/>
    <mergeCell ref="BF36:BF37"/>
    <mergeCell ref="AX36:AX37"/>
    <mergeCell ref="B36:B37"/>
    <mergeCell ref="C36:Q37"/>
    <mergeCell ref="R36:T37"/>
    <mergeCell ref="U36:V37"/>
    <mergeCell ref="AA36:AD37"/>
    <mergeCell ref="AI36:AJ37"/>
    <mergeCell ref="AE36:AH37"/>
    <mergeCell ref="R28:T29"/>
    <mergeCell ref="U28:V29"/>
    <mergeCell ref="B32:B33"/>
    <mergeCell ref="C32:Q33"/>
    <mergeCell ref="R32:T33"/>
    <mergeCell ref="AA28:AD29"/>
    <mergeCell ref="AE28:AH29"/>
    <mergeCell ref="U32:V33"/>
    <mergeCell ref="B34:B35"/>
    <mergeCell ref="C34:Q35"/>
    <mergeCell ref="R34:T35"/>
    <mergeCell ref="U34:V35"/>
    <mergeCell ref="AA34:AD35"/>
    <mergeCell ref="AE34:AH35"/>
    <mergeCell ref="AI34:AJ35"/>
    <mergeCell ref="AI32:AJ33"/>
    <mergeCell ref="AA32:AD33"/>
    <mergeCell ref="C24:Q25"/>
    <mergeCell ref="R24:T25"/>
    <mergeCell ref="U24:V25"/>
    <mergeCell ref="AA24:AD25"/>
    <mergeCell ref="AE24:AH25"/>
    <mergeCell ref="B26:B27"/>
    <mergeCell ref="C26:Q27"/>
    <mergeCell ref="R26:T27"/>
    <mergeCell ref="U26:V27"/>
    <mergeCell ref="AA26:AD27"/>
    <mergeCell ref="AE26:AH27"/>
    <mergeCell ref="W24:Z25"/>
    <mergeCell ref="W26:Z27"/>
    <mergeCell ref="AX30:AX31"/>
    <mergeCell ref="BH32:BH33"/>
    <mergeCell ref="BI32:BI33"/>
    <mergeCell ref="BA34:BA35"/>
    <mergeCell ref="BY26:BY27"/>
    <mergeCell ref="AK26:AL27"/>
    <mergeCell ref="BW24:BW25"/>
    <mergeCell ref="BY30:BY31"/>
    <mergeCell ref="BY28:BY29"/>
    <mergeCell ref="AM28:AN29"/>
    <mergeCell ref="AO28:AQ29"/>
    <mergeCell ref="AR28:AU29"/>
    <mergeCell ref="BL28:BL29"/>
    <mergeCell ref="BH28:BH29"/>
    <mergeCell ref="BI28:BI29"/>
    <mergeCell ref="BY24:BY25"/>
    <mergeCell ref="AM24:AN25"/>
    <mergeCell ref="BC24:BC25"/>
    <mergeCell ref="BQ26:BQ27"/>
    <mergeCell ref="BQ28:BQ29"/>
    <mergeCell ref="BQ30:BQ31"/>
    <mergeCell ref="AR30:AU31"/>
    <mergeCell ref="BR26:BR27"/>
    <mergeCell ref="BT26:BT27"/>
    <mergeCell ref="B30:B31"/>
    <mergeCell ref="C30:Q31"/>
    <mergeCell ref="R30:T31"/>
    <mergeCell ref="U30:V31"/>
    <mergeCell ref="AA30:AD31"/>
    <mergeCell ref="AE30:AH31"/>
    <mergeCell ref="AI30:AJ31"/>
    <mergeCell ref="AK30:AL31"/>
    <mergeCell ref="AM30:AN31"/>
    <mergeCell ref="B28:B29"/>
    <mergeCell ref="C28:Q29"/>
    <mergeCell ref="AI28:AJ29"/>
    <mergeCell ref="B24:B25"/>
    <mergeCell ref="BY22:BY23"/>
    <mergeCell ref="AM26:AN27"/>
    <mergeCell ref="AO26:AQ27"/>
    <mergeCell ref="AR26:AU27"/>
    <mergeCell ref="BL26:BL27"/>
    <mergeCell ref="BH26:BH27"/>
    <mergeCell ref="BA22:BA23"/>
    <mergeCell ref="BB22:BB23"/>
    <mergeCell ref="BE22:BE23"/>
    <mergeCell ref="BF22:BF23"/>
    <mergeCell ref="BA24:BA25"/>
    <mergeCell ref="BB24:BB25"/>
    <mergeCell ref="BE24:BE25"/>
    <mergeCell ref="BF24:BF25"/>
    <mergeCell ref="BA26:BA27"/>
    <mergeCell ref="BB26:BB27"/>
    <mergeCell ref="BE26:BE27"/>
    <mergeCell ref="BF26:BF27"/>
    <mergeCell ref="BH24:BH25"/>
    <mergeCell ref="BI24:BI25"/>
    <mergeCell ref="BM18:BM19"/>
    <mergeCell ref="BN18:BN19"/>
    <mergeCell ref="BO18:BO19"/>
    <mergeCell ref="BL16:BL17"/>
    <mergeCell ref="BJ16:BJ17"/>
    <mergeCell ref="BK16:BK17"/>
    <mergeCell ref="BJ18:BJ19"/>
    <mergeCell ref="BK18:BK19"/>
    <mergeCell ref="B22:B23"/>
    <mergeCell ref="C22:Q23"/>
    <mergeCell ref="R22:T23"/>
    <mergeCell ref="U22:V23"/>
    <mergeCell ref="AA22:AD23"/>
    <mergeCell ref="AE22:AH23"/>
    <mergeCell ref="AI22:AJ23"/>
    <mergeCell ref="AK22:AL23"/>
    <mergeCell ref="B20:B21"/>
    <mergeCell ref="C20:Q21"/>
    <mergeCell ref="R20:T21"/>
    <mergeCell ref="U20:V21"/>
    <mergeCell ref="AA20:AD21"/>
    <mergeCell ref="AE20:AH21"/>
    <mergeCell ref="AI20:AJ21"/>
    <mergeCell ref="AK20:AL21"/>
    <mergeCell ref="A4:E6"/>
    <mergeCell ref="A7:E8"/>
    <mergeCell ref="BA18:BA19"/>
    <mergeCell ref="BB18:BB19"/>
    <mergeCell ref="BE18:BE19"/>
    <mergeCell ref="AM13:AU14"/>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O18:AQ19"/>
    <mergeCell ref="AR18:AU19"/>
    <mergeCell ref="AM18:AN19"/>
    <mergeCell ref="AX16:AX17"/>
    <mergeCell ref="BA16:BA17"/>
    <mergeCell ref="BJ20:BJ21"/>
    <mergeCell ref="BK20:BK21"/>
    <mergeCell ref="BU16:BU17"/>
    <mergeCell ref="BU18:BU19"/>
    <mergeCell ref="BD16:BD17"/>
    <mergeCell ref="BD18:BD19"/>
    <mergeCell ref="BD20:BD21"/>
    <mergeCell ref="BP18:BP19"/>
    <mergeCell ref="BP20:BP21"/>
    <mergeCell ref="BL18:BL19"/>
    <mergeCell ref="BH18:BH19"/>
    <mergeCell ref="BE20:BE21"/>
    <mergeCell ref="BF20:BF21"/>
    <mergeCell ref="BM20:BM21"/>
    <mergeCell ref="BL20:BL21"/>
    <mergeCell ref="BO20:BO21"/>
    <mergeCell ref="BQ16:BQ17"/>
    <mergeCell ref="BQ18:BQ19"/>
    <mergeCell ref="BE16:BF16"/>
    <mergeCell ref="BF18:BF19"/>
    <mergeCell ref="BN20:BN21"/>
    <mergeCell ref="BN16:BN17"/>
    <mergeCell ref="BO16:BO17"/>
    <mergeCell ref="BM16:BM17"/>
    <mergeCell ref="BY16:BY17"/>
    <mergeCell ref="BY20:BY21"/>
    <mergeCell ref="BU20:BU21"/>
    <mergeCell ref="BY18:BY19"/>
    <mergeCell ref="BR16:BR17"/>
    <mergeCell ref="BT16:BT17"/>
    <mergeCell ref="BV16:BV17"/>
    <mergeCell ref="BX16:BX17"/>
    <mergeCell ref="BR18:BR19"/>
    <mergeCell ref="BT18:BT19"/>
    <mergeCell ref="BV18:BV19"/>
    <mergeCell ref="BX18:BX19"/>
    <mergeCell ref="BR20:BR21"/>
    <mergeCell ref="BT20:BT21"/>
    <mergeCell ref="BV20:BV21"/>
    <mergeCell ref="BX20:BX21"/>
    <mergeCell ref="BW20:BW21"/>
    <mergeCell ref="BW16:BW17"/>
    <mergeCell ref="BW18:BW19"/>
    <mergeCell ref="N1:T3"/>
    <mergeCell ref="U1:AK3"/>
    <mergeCell ref="BS34:BS35"/>
    <mergeCell ref="BS36:BS37"/>
    <mergeCell ref="BS16:BS17"/>
    <mergeCell ref="BS18:BS19"/>
    <mergeCell ref="BS20:BS21"/>
    <mergeCell ref="BS22:BS23"/>
    <mergeCell ref="BS24:BS25"/>
    <mergeCell ref="BS26:BS27"/>
    <mergeCell ref="BS28:BS29"/>
    <mergeCell ref="BS30:BS31"/>
    <mergeCell ref="BS32:BS33"/>
    <mergeCell ref="BP16:BP17"/>
    <mergeCell ref="BQ20:BQ21"/>
    <mergeCell ref="BP24:BP25"/>
    <mergeCell ref="BP26:BP27"/>
    <mergeCell ref="BP28:BP29"/>
    <mergeCell ref="BP30:BP31"/>
    <mergeCell ref="BJ26:BJ27"/>
    <mergeCell ref="BK26:BK27"/>
    <mergeCell ref="BJ28:BJ29"/>
    <mergeCell ref="BK28:BK29"/>
    <mergeCell ref="BJ30:BJ31"/>
    <mergeCell ref="BD36:BD37"/>
    <mergeCell ref="BD26:BD27"/>
    <mergeCell ref="BD28:BD29"/>
    <mergeCell ref="BU22:BU23"/>
    <mergeCell ref="BU24:BU25"/>
    <mergeCell ref="BU26:BU27"/>
    <mergeCell ref="BU28:BU29"/>
    <mergeCell ref="BU30:BU31"/>
    <mergeCell ref="BU32:BU33"/>
    <mergeCell ref="BP34:BP35"/>
    <mergeCell ref="BP36:BP37"/>
    <mergeCell ref="BU34:BU35"/>
    <mergeCell ref="BU36:BU37"/>
    <mergeCell ref="BQ22:BQ23"/>
    <mergeCell ref="BQ24:BQ25"/>
    <mergeCell ref="BN26:BN27"/>
    <mergeCell ref="BO26:BO27"/>
    <mergeCell ref="BN34:BN35"/>
    <mergeCell ref="BO34:BO35"/>
    <mergeCell ref="BO32:BO33"/>
    <mergeCell ref="BK30:BK31"/>
    <mergeCell ref="BJ32:BJ33"/>
    <mergeCell ref="BK32:BK33"/>
    <mergeCell ref="BJ34:BJ35"/>
    <mergeCell ref="BW26:BW27"/>
    <mergeCell ref="BW28:BW29"/>
    <mergeCell ref="BW30:BW31"/>
    <mergeCell ref="BW32:BW33"/>
    <mergeCell ref="BQ36:BQ37"/>
    <mergeCell ref="BR22:BR23"/>
    <mergeCell ref="BT22:BT23"/>
    <mergeCell ref="BV22:BV23"/>
    <mergeCell ref="BR28:BR29"/>
    <mergeCell ref="BV24:BV25"/>
    <mergeCell ref="BV34:BV35"/>
    <mergeCell ref="BQ32:BQ33"/>
    <mergeCell ref="BR34:BR35"/>
    <mergeCell ref="BT34:BT35"/>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34:BZ35"/>
    <mergeCell ref="CA34:CA35"/>
    <mergeCell ref="CB34:CB35"/>
    <mergeCell ref="CC34:CC35"/>
    <mergeCell ref="BZ36:BZ37"/>
    <mergeCell ref="CA36:CA37"/>
    <mergeCell ref="CB36:CB37"/>
    <mergeCell ref="CC36:CC37"/>
    <mergeCell ref="BZ28:BZ29"/>
    <mergeCell ref="CA28:CA29"/>
    <mergeCell ref="CB28:CB29"/>
    <mergeCell ref="CC28:CC29"/>
    <mergeCell ref="BZ30:BZ31"/>
    <mergeCell ref="CA30:CA31"/>
    <mergeCell ref="CB30:CB31"/>
    <mergeCell ref="CC30:CC31"/>
    <mergeCell ref="BZ32:BZ33"/>
    <mergeCell ref="CA32:CA33"/>
    <mergeCell ref="CB32:CB33"/>
    <mergeCell ref="CC32:CC33"/>
  </mergeCells>
  <conditionalFormatting sqref="U18:V37 AA18:AL37">
    <cfRule type="expression" dxfId="99" priority="5">
      <formula>AND(ISBLANK($C18)=FALSE,OR(ISBLANK(U18)=TRUE,U18=""))</formula>
    </cfRule>
  </conditionalFormatting>
  <conditionalFormatting sqref="AM18:AN37">
    <cfRule type="expression" dxfId="98" priority="1">
      <formula>AM18 &lt;&gt; INDEX(STDWATERINC, MATCH(C18, STDWATERLIST,0))</formula>
    </cfRule>
  </conditionalFormatting>
  <conditionalFormatting sqref="AR18:AU37">
    <cfRule type="expression" dxfId="97" priority="1904" stopIfTrue="1">
      <formula>ISNUMBER($AR18)=FALSE</formula>
    </cfRule>
    <cfRule type="expression" dxfId="96" priority="1905">
      <formula>$AR18 &lt;&gt; $BQ18</formula>
    </cfRule>
  </conditionalFormatting>
  <conditionalFormatting sqref="AS8:AW8">
    <cfRule type="expression" dxfId="95" priority="6">
      <formula>IF($AS$8=PROJSTATMEASURE,FALSE,TRUE)</formula>
    </cfRule>
  </conditionalFormatting>
  <dataValidations count="7">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K18:AL37" xr:uid="{84B56016-9045-4E26-85E9-663E1D6F2B8C}">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0ED6D37F-BFC7-4AA9-B30C-C18AB2B60DA4}">
      <formula1>0</formula1>
    </dataValidation>
    <dataValidation type="decimal" allowBlank="1" showInputMessage="1" showErrorMessage="1" prompt="This is the TOTAL Material Cost of the measure, NOT a per unit basis." sqref="AI18:AJ37" xr:uid="{187875EE-3C0B-41DC-B881-14AAF245B769}">
      <formula1>0</formula1>
      <formula2>999999</formula2>
    </dataValidation>
    <dataValidation allowBlank="1" showInputMessage="1" showErrorMessage="1" prompt="Install Location should describe the area where the equipment installed. (e.g. Room 201, Garage, Mechanical Room)" sqref="AE18:AH37" xr:uid="{37ED8118-EEB8-4CB0-B7B0-AED125D6E9A3}"/>
    <dataValidation allowBlank="1" showInputMessage="1" showErrorMessage="1" prompt="Enter the Brand and Model # as it appears in technical documents and invoices." sqref="W18:AD37" xr:uid="{98D99CE3-4B31-42D7-B902-31895D13D8A6}"/>
    <dataValidation type="list" allowBlank="1" showInputMessage="1" showErrorMessage="1" sqref="BC18:BC37" xr:uid="{7386EA5D-D62D-445F-A012-1ED1D085E809}">
      <formula1>ENDUSECAT</formula1>
    </dataValidation>
  </dataValidations>
  <hyperlinks>
    <hyperlink ref="B202" r:id="rId1" display="businessrebates@evergy.com" xr:uid="{9A4DB520-8245-4120-AEBC-4C229B09ED19}"/>
    <hyperlink ref="J1:M3" location="'M01-S02'!J1" tooltip="Instructions" display="'M01-S02'!J1" xr:uid="{63AF4DF0-6453-4062-8807-8C97CFD1F5CA}"/>
    <hyperlink ref="AP1:AS3" location="'M05-S05'!AL1" tooltip=" " display="'M05-S05'!AL1" xr:uid="{A1CA7325-0C85-44F2-9B4E-C80F72EE6485}"/>
    <hyperlink ref="AL1:AO3" location="'M05-S04'!AH1" tooltip=" " display="'M05-S04'!AH1" xr:uid="{0D331A35-F095-432C-8D24-DC79BF48E7D2}"/>
    <hyperlink ref="AT1:AW3" location="'M01-S03'!AP1" tooltip="Contact" display="'M01-S03'!AP1" xr:uid="{9A9A10B7-998F-4D4E-ACEF-8F24698A90A5}"/>
    <hyperlink ref="J9:M11" location="'M03-S02'!C18" tooltip="Lighting" display="'M03-S02'!C18" xr:uid="{6E99E8FA-C730-4C9D-ACA5-20F80C1DA327}"/>
    <hyperlink ref="N9:Q11" location="'M03-S03'!C18" tooltip="Lighting Controls" display="'M03-S03'!C18" xr:uid="{8282AD21-3F34-4298-B685-728ECA9C5283}"/>
    <hyperlink ref="R9:U11" location="'M03-S04'!C18" tooltip="Refrigeration" display="'M03-S04'!C18" xr:uid="{3054B0CF-E998-465C-BB2F-D465643C77E3}"/>
    <hyperlink ref="AD9:AG11" location="'M03-S06'!C18" tooltip="Compressed Air / Process" display="'M03-S06'!C18" xr:uid="{0396A90A-D1DA-4019-99A9-8919A3E2C8F2}"/>
    <hyperlink ref="AH9:AK11" location="'M03-S07'!C18" tooltip="Water Heating / Cooking" display="'M03-S07'!C18" xr:uid="{0194438E-FA47-4732-98F5-34E7C6135596}"/>
    <hyperlink ref="Z9:AC11" location="'M03-S08'!C18" tooltip="Motors and Drives" display="'M03-S08'!C18" xr:uid="{13DB6602-47EA-4F0B-BB0B-39E3A8C69B8B}"/>
  </hyperlinks>
  <printOptions horizontalCentered="1"/>
  <pageMargins left="0" right="0" top="0" bottom="0" header="0" footer="0"/>
  <pageSetup scale="43"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theme="8" tint="0.59999389629810485"/>
    <pageSetUpPr fitToPage="1"/>
  </sheetPr>
  <dimension ref="A1:CW204"/>
  <sheetViews>
    <sheetView showGridLines="0" showRowColHeaders="0" zoomScale="85" zoomScaleNormal="85" workbookViewId="0">
      <selection activeCell="C18" sqref="C18:D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c r="BD4" s="78"/>
    </row>
    <row r="5" spans="1:81" ht="15.95" customHeight="1">
      <c r="A5" s="692"/>
      <c r="B5" s="692"/>
      <c r="C5" s="692"/>
      <c r="D5" s="692"/>
      <c r="E5" s="692"/>
      <c r="F5" s="374"/>
      <c r="G5" s="374"/>
      <c r="H5" s="374"/>
      <c r="I5" s="374"/>
      <c r="AS5" s="988">
        <f ca="1">PROGRESSSTATUS</f>
        <v>0</v>
      </c>
      <c r="AT5" s="988"/>
      <c r="AU5" s="988"/>
      <c r="AV5" s="988"/>
      <c r="AW5" s="988"/>
      <c r="AY5" s="17"/>
      <c r="AZ5" s="108" t="s">
        <v>933</v>
      </c>
      <c r="BA5" s="108" t="s">
        <v>325</v>
      </c>
    </row>
    <row r="6" spans="1:81" ht="15.95" customHeight="1">
      <c r="A6" s="692"/>
      <c r="B6" s="692"/>
      <c r="C6" s="692"/>
      <c r="D6" s="692"/>
      <c r="E6" s="692"/>
      <c r="F6" s="374"/>
      <c r="G6" s="374"/>
      <c r="H6" s="374"/>
      <c r="I6" s="374"/>
      <c r="AS6" s="988"/>
      <c r="AT6" s="988"/>
      <c r="AU6" s="988"/>
      <c r="AV6" s="988"/>
      <c r="AW6" s="988"/>
      <c r="AY6" s="107" t="s">
        <v>938</v>
      </c>
      <c r="AZ6" s="106" t="str">
        <f>CBPRESE</f>
        <v>NA</v>
      </c>
      <c r="BA6" s="165" t="str">
        <f>PAYPRESE</f>
        <v>NA</v>
      </c>
    </row>
    <row r="7" spans="1:81" ht="15.95" customHeight="1">
      <c r="A7" s="662" t="s">
        <v>83</v>
      </c>
      <c r="B7" s="662"/>
      <c r="C7" s="662"/>
      <c r="D7" s="662"/>
      <c r="E7" s="662"/>
      <c r="F7" s="75"/>
      <c r="G7" s="75"/>
      <c r="H7" s="75"/>
      <c r="I7" s="75"/>
      <c r="AS7" s="662" t="s">
        <v>299</v>
      </c>
      <c r="AT7" s="662"/>
      <c r="AU7" s="662"/>
      <c r="AV7" s="662"/>
      <c r="AW7" s="662"/>
      <c r="AY7" s="107" t="s">
        <v>135</v>
      </c>
      <c r="AZ7" s="106" t="str">
        <f>CBCUSE</f>
        <v>NA</v>
      </c>
      <c r="BA7" s="165" t="str">
        <f>PAYCUSE</f>
        <v>NA</v>
      </c>
    </row>
    <row r="8" spans="1:81" ht="15.95" customHeight="1" thickBot="1">
      <c r="A8" s="665"/>
      <c r="B8" s="665"/>
      <c r="C8" s="665"/>
      <c r="D8" s="665"/>
      <c r="E8" s="665"/>
      <c r="F8" s="373"/>
      <c r="G8" s="373"/>
      <c r="H8" s="373"/>
      <c r="I8" s="75"/>
      <c r="AS8" s="661" t="str">
        <f ca="1">PROJSTATUS</f>
        <v>Enter Measures</v>
      </c>
      <c r="AT8" s="661"/>
      <c r="AU8" s="661"/>
      <c r="AV8" s="661"/>
      <c r="AW8" s="661"/>
      <c r="AY8" s="107" t="s">
        <v>596</v>
      </c>
      <c r="AZ8" s="106" t="str">
        <f>CBALL</f>
        <v>NA</v>
      </c>
      <c r="BA8" s="165" t="str">
        <f>PAYALL</f>
        <v>NA</v>
      </c>
    </row>
    <row r="9" spans="1:81" s="78" customFormat="1" ht="15.95" customHeight="1">
      <c r="B9" s="79"/>
      <c r="C9" s="79"/>
      <c r="D9" s="79"/>
      <c r="E9" s="79"/>
      <c r="F9" s="79"/>
      <c r="G9" s="100"/>
      <c r="H9" s="100"/>
      <c r="I9" s="100"/>
      <c r="J9" s="842" t="str">
        <f>M3S2</f>
        <v>Lighting</v>
      </c>
      <c r="K9" s="842"/>
      <c r="L9" s="842"/>
      <c r="M9" s="842"/>
      <c r="N9" s="829" t="str">
        <f>M3S3</f>
        <v>Lighting Controls</v>
      </c>
      <c r="O9" s="830"/>
      <c r="P9" s="830"/>
      <c r="Q9" s="830"/>
      <c r="R9" s="829" t="str">
        <f>M3S4</f>
        <v>Refrigeration</v>
      </c>
      <c r="S9" s="830"/>
      <c r="T9" s="830"/>
      <c r="U9" s="830"/>
      <c r="V9" s="829" t="str">
        <f>M3S5</f>
        <v>HVAC</v>
      </c>
      <c r="W9" s="830"/>
      <c r="X9" s="830"/>
      <c r="Y9" s="830"/>
      <c r="Z9" s="829" t="str">
        <f>M4S8</f>
        <v>Motors and Drives</v>
      </c>
      <c r="AA9" s="830"/>
      <c r="AB9" s="830"/>
      <c r="AC9" s="830"/>
      <c r="AD9" s="829" t="str">
        <f>M3S6</f>
        <v>Compressed Air / Process</v>
      </c>
      <c r="AE9" s="830"/>
      <c r="AF9" s="830"/>
      <c r="AG9" s="830"/>
      <c r="AH9" s="829" t="str">
        <f>M3S7</f>
        <v>Water Heating / Food Services</v>
      </c>
      <c r="AI9" s="830"/>
      <c r="AJ9" s="830"/>
      <c r="AK9" s="830"/>
      <c r="AL9" s="829" t="str">
        <f>M4S9</f>
        <v>Miscellaneous</v>
      </c>
      <c r="AM9" s="830"/>
      <c r="AN9" s="830"/>
      <c r="AO9" s="830"/>
      <c r="AP9" s="99"/>
      <c r="AQ9" s="99"/>
      <c r="AR9" s="99"/>
      <c r="AS9" s="99"/>
      <c r="AT9" s="99"/>
      <c r="AU9" s="99"/>
      <c r="AV9" s="99"/>
    </row>
    <row r="10" spans="1:81" s="78" customFormat="1" ht="15.95" customHeight="1">
      <c r="B10" s="79"/>
      <c r="C10" s="79"/>
      <c r="D10" s="79"/>
      <c r="E10" s="79"/>
      <c r="F10" s="79"/>
      <c r="J10" s="843"/>
      <c r="K10" s="843"/>
      <c r="L10" s="843"/>
      <c r="M10" s="843"/>
      <c r="N10" s="831"/>
      <c r="O10" s="831"/>
      <c r="P10" s="831"/>
      <c r="Q10" s="831"/>
      <c r="R10" s="831"/>
      <c r="S10" s="831"/>
      <c r="T10" s="831"/>
      <c r="U10" s="831"/>
      <c r="V10" s="831"/>
      <c r="W10" s="831"/>
      <c r="X10" s="831"/>
      <c r="Y10" s="831"/>
      <c r="Z10" s="831"/>
      <c r="AA10" s="831"/>
      <c r="AB10" s="831"/>
      <c r="AC10" s="831"/>
      <c r="AD10" s="831"/>
      <c r="AE10" s="831"/>
      <c r="AF10" s="831"/>
      <c r="AG10" s="831"/>
      <c r="AH10" s="831"/>
      <c r="AI10" s="831"/>
      <c r="AJ10" s="831"/>
      <c r="AK10" s="831"/>
      <c r="AL10" s="831"/>
      <c r="AM10" s="831"/>
      <c r="AN10" s="831"/>
      <c r="AO10" s="831"/>
      <c r="AP10" s="79"/>
      <c r="AQ10" s="79"/>
      <c r="AR10" s="79"/>
      <c r="AS10" s="79"/>
      <c r="AT10" s="79"/>
      <c r="AU10" s="79"/>
      <c r="AV10" s="79"/>
    </row>
    <row r="11" spans="1:81" ht="15.95" customHeight="1">
      <c r="B11" s="96"/>
      <c r="C11" s="96"/>
      <c r="D11" s="96"/>
      <c r="E11" s="96"/>
      <c r="F11" s="96"/>
      <c r="J11" s="843"/>
      <c r="K11" s="843"/>
      <c r="L11" s="843"/>
      <c r="M11" s="843"/>
      <c r="N11" s="831"/>
      <c r="O11" s="831"/>
      <c r="P11" s="831"/>
      <c r="Q11" s="831"/>
      <c r="R11" s="831"/>
      <c r="S11" s="831"/>
      <c r="T11" s="831"/>
      <c r="U11" s="831"/>
      <c r="V11" s="831"/>
      <c r="W11" s="831"/>
      <c r="X11" s="831"/>
      <c r="Y11" s="831"/>
      <c r="Z11" s="831"/>
      <c r="AA11" s="831"/>
      <c r="AB11" s="831"/>
      <c r="AC11" s="831"/>
      <c r="AD11" s="831"/>
      <c r="AE11" s="831"/>
      <c r="AF11" s="831"/>
      <c r="AG11" s="831"/>
      <c r="AH11" s="831"/>
      <c r="AI11" s="831"/>
      <c r="AJ11" s="831"/>
      <c r="AK11" s="831"/>
      <c r="AL11" s="831"/>
      <c r="AM11" s="831"/>
      <c r="AN11" s="831"/>
      <c r="AO11" s="831"/>
      <c r="AP11" s="96"/>
      <c r="AQ11" s="96"/>
      <c r="AR11" s="96"/>
      <c r="AS11" s="96"/>
      <c r="AT11" s="96"/>
      <c r="AU11" s="96"/>
      <c r="AV11" s="96"/>
    </row>
    <row r="12" spans="1:81" ht="15.95" customHeight="1">
      <c r="A12" s="76"/>
      <c r="B12" s="76"/>
      <c r="C12" s="76"/>
      <c r="D12" s="76"/>
      <c r="E12" s="76"/>
      <c r="F12" s="76"/>
      <c r="G12" s="76"/>
      <c r="T12" s="837">
        <f>SUM(AR18:AU184)</f>
        <v>0</v>
      </c>
      <c r="U12" s="837"/>
      <c r="V12" s="837"/>
      <c r="W12" s="837"/>
      <c r="X12" s="837">
        <f ca="1">SUMIF(AR18:AU184,"&gt;0",AL18:AN184)</f>
        <v>0</v>
      </c>
      <c r="Y12" s="837"/>
      <c r="Z12" s="837"/>
      <c r="AA12" s="837"/>
      <c r="AB12" s="836">
        <f ca="1">SUMIF(AR18:AU184,"&gt;0",AO18:AQ184)</f>
        <v>0</v>
      </c>
      <c r="AC12" s="836"/>
      <c r="AD12" s="836"/>
      <c r="AE12" s="836"/>
      <c r="AT12" s="320"/>
    </row>
    <row r="13" spans="1:81" ht="15.95" customHeight="1">
      <c r="A13" s="76"/>
      <c r="B13" s="76"/>
      <c r="C13" s="76"/>
      <c r="D13" s="76"/>
      <c r="T13" s="837"/>
      <c r="U13" s="837"/>
      <c r="V13" s="837"/>
      <c r="W13" s="837"/>
      <c r="X13" s="837"/>
      <c r="Y13" s="837"/>
      <c r="Z13" s="837"/>
      <c r="AA13" s="837"/>
      <c r="AB13" s="836"/>
      <c r="AC13" s="836"/>
      <c r="AD13" s="836"/>
      <c r="AE13" s="836"/>
      <c r="AM13" s="839" t="str">
        <f>IF(OR(IFERROR(MATCH("75% Total Cost",BK:BK, 0), FALSE), IFERROR(MATCH("100% Incremental Cost",BK:BK,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D14" s="542" t="s">
        <v>2112</v>
      </c>
      <c r="BE14" s="542" t="s">
        <v>2112</v>
      </c>
      <c r="BL14" s="542" t="s">
        <v>2112</v>
      </c>
      <c r="BO14" s="51" t="s">
        <v>3048</v>
      </c>
      <c r="BX14" s="542" t="s">
        <v>2112</v>
      </c>
    </row>
    <row r="15" spans="1:81" ht="15.95" customHeight="1"/>
    <row r="16" spans="1:81" ht="15.95" customHeight="1">
      <c r="C16" s="832" t="s">
        <v>869</v>
      </c>
      <c r="D16" s="832"/>
      <c r="E16" s="832" t="s">
        <v>918</v>
      </c>
      <c r="F16" s="832"/>
      <c r="G16" s="832" t="s">
        <v>1984</v>
      </c>
      <c r="H16" s="832"/>
      <c r="I16" s="832"/>
      <c r="J16" s="832"/>
      <c r="K16" s="832" t="s">
        <v>943</v>
      </c>
      <c r="L16" s="832"/>
      <c r="M16" s="832" t="s">
        <v>1985</v>
      </c>
      <c r="N16" s="832"/>
      <c r="O16" s="832" t="s">
        <v>939</v>
      </c>
      <c r="P16" s="832"/>
      <c r="Q16" s="832" t="s">
        <v>940</v>
      </c>
      <c r="R16" s="832"/>
      <c r="S16" s="832" t="s">
        <v>941</v>
      </c>
      <c r="T16" s="832"/>
      <c r="U16" s="832"/>
      <c r="V16" s="832"/>
      <c r="W16" s="832" t="s">
        <v>2170</v>
      </c>
      <c r="X16" s="832"/>
      <c r="Y16" s="832"/>
      <c r="Z16" s="832" t="s">
        <v>2171</v>
      </c>
      <c r="AA16" s="832"/>
      <c r="AB16" s="832"/>
      <c r="AC16" s="832"/>
      <c r="AD16" s="832" t="s">
        <v>942</v>
      </c>
      <c r="AE16" s="832"/>
      <c r="AF16" s="832" t="s">
        <v>939</v>
      </c>
      <c r="AG16" s="832"/>
      <c r="AH16" s="860" t="s">
        <v>922</v>
      </c>
      <c r="AI16" s="860"/>
      <c r="AJ16" s="860"/>
      <c r="AK16" s="860"/>
      <c r="AL16" s="1046" t="s">
        <v>923</v>
      </c>
      <c r="AM16" s="1046"/>
      <c r="AN16" s="1046"/>
      <c r="AO16" s="1046" t="s">
        <v>735</v>
      </c>
      <c r="AP16" s="1046"/>
      <c r="AQ16" s="1046"/>
      <c r="AR16" s="1046" t="s">
        <v>83</v>
      </c>
      <c r="AS16" s="1046"/>
      <c r="AT16" s="1046"/>
      <c r="AU16" s="1046"/>
      <c r="AX16" s="781" t="s">
        <v>743</v>
      </c>
      <c r="AY16" s="779" t="s">
        <v>1985</v>
      </c>
      <c r="AZ16" s="779" t="s">
        <v>942</v>
      </c>
      <c r="BA16" s="781" t="s">
        <v>635</v>
      </c>
      <c r="BB16" s="781" t="s">
        <v>875</v>
      </c>
      <c r="BC16" s="781" t="s">
        <v>924</v>
      </c>
      <c r="BD16" s="781" t="s">
        <v>1701</v>
      </c>
      <c r="BE16" s="783" t="s">
        <v>874</v>
      </c>
      <c r="BF16" s="783"/>
      <c r="BG16" s="781" t="s">
        <v>926</v>
      </c>
      <c r="BH16" s="783"/>
      <c r="BI16" s="783"/>
      <c r="BJ16" s="781" t="s">
        <v>88</v>
      </c>
      <c r="BK16" s="781" t="s">
        <v>1619</v>
      </c>
      <c r="BL16" s="783" t="s">
        <v>876</v>
      </c>
      <c r="BM16" s="783"/>
      <c r="BN16" s="781" t="s">
        <v>132</v>
      </c>
      <c r="BO16" s="781" t="s">
        <v>325</v>
      </c>
      <c r="BP16" s="781" t="s">
        <v>1833</v>
      </c>
      <c r="BQ16" s="1059"/>
      <c r="BR16" s="781" t="s">
        <v>1614</v>
      </c>
      <c r="BS16" s="783"/>
      <c r="BT16" s="779"/>
      <c r="BU16" s="781" t="s">
        <v>925</v>
      </c>
      <c r="BV16" s="781" t="s">
        <v>691</v>
      </c>
      <c r="BW16" s="781" t="s">
        <v>85</v>
      </c>
      <c r="BX16" s="783" t="s">
        <v>840</v>
      </c>
      <c r="BY16" s="781" t="s">
        <v>309</v>
      </c>
      <c r="BZ16" s="755"/>
      <c r="CA16" s="755"/>
      <c r="CB16" s="755"/>
      <c r="CC16" s="755"/>
    </row>
    <row r="17" spans="1:81" ht="15.95" customHeight="1" thickBot="1">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t="s">
        <v>862</v>
      </c>
      <c r="AI17" s="833"/>
      <c r="AJ17" s="833" t="s">
        <v>863</v>
      </c>
      <c r="AK17" s="833"/>
      <c r="AL17" s="1047"/>
      <c r="AM17" s="1047"/>
      <c r="AN17" s="1047"/>
      <c r="AO17" s="1047"/>
      <c r="AP17" s="1047"/>
      <c r="AQ17" s="1047"/>
      <c r="AR17" s="1047"/>
      <c r="AS17" s="1047"/>
      <c r="AT17" s="1047"/>
      <c r="AU17" s="1047"/>
      <c r="AX17" s="782"/>
      <c r="AY17" s="780"/>
      <c r="AZ17" s="780"/>
      <c r="BA17" s="782"/>
      <c r="BB17" s="782"/>
      <c r="BC17" s="782"/>
      <c r="BD17" s="782"/>
      <c r="BE17" s="540" t="s">
        <v>871</v>
      </c>
      <c r="BF17" s="541" t="s">
        <v>872</v>
      </c>
      <c r="BG17" s="782"/>
      <c r="BH17" s="784"/>
      <c r="BI17" s="784"/>
      <c r="BJ17" s="782"/>
      <c r="BK17" s="782"/>
      <c r="BL17" s="784"/>
      <c r="BM17" s="784"/>
      <c r="BN17" s="782"/>
      <c r="BO17" s="782"/>
      <c r="BP17" s="782"/>
      <c r="BQ17" s="1060"/>
      <c r="BR17" s="782"/>
      <c r="BS17" s="784"/>
      <c r="BT17" s="780"/>
      <c r="BU17" s="782"/>
      <c r="BV17" s="782"/>
      <c r="BW17" s="782"/>
      <c r="BX17" s="784"/>
      <c r="BY17" s="782"/>
      <c r="BZ17" s="756"/>
      <c r="CA17" s="756"/>
      <c r="CB17" s="756"/>
      <c r="CC17" s="756"/>
    </row>
    <row r="18" spans="1:81" ht="15.95" customHeight="1">
      <c r="B18" s="785">
        <v>1</v>
      </c>
      <c r="C18" s="1050"/>
      <c r="D18" s="1050"/>
      <c r="E18" s="1050"/>
      <c r="F18" s="1012"/>
      <c r="G18" s="1055"/>
      <c r="H18" s="1050"/>
      <c r="I18" s="1050"/>
      <c r="J18" s="1050"/>
      <c r="K18" s="1050"/>
      <c r="L18" s="1050"/>
      <c r="M18" s="1051"/>
      <c r="N18" s="1051"/>
      <c r="O18" s="1008" t="str">
        <f>IFERROR(IF(G18="","",INDEX(CMLIGHTBASE[Base Watt 1],MATCH(G18,CMLIGHTBASE[Base Desc 1],0))),"")</f>
        <v/>
      </c>
      <c r="P18" s="1008"/>
      <c r="Q18" s="1048"/>
      <c r="R18" s="1049"/>
      <c r="S18" s="1014"/>
      <c r="T18" s="1050"/>
      <c r="U18" s="1050"/>
      <c r="V18" s="1050"/>
      <c r="W18" s="1056"/>
      <c r="X18" s="877"/>
      <c r="Y18" s="877"/>
      <c r="Z18" s="1056"/>
      <c r="AA18" s="877"/>
      <c r="AB18" s="877"/>
      <c r="AC18" s="1058"/>
      <c r="AD18" s="1051"/>
      <c r="AE18" s="1051"/>
      <c r="AF18" s="1052"/>
      <c r="AG18" s="1044"/>
      <c r="AH18" s="1057"/>
      <c r="AI18" s="1038"/>
      <c r="AJ18" s="1038"/>
      <c r="AK18" s="1039"/>
      <c r="AL18" s="1030" t="str">
        <f>IF(OR(C18="",E18="",G18="",K18="",M18="",O18="",Q18="",S18="",Z18="",AD18="",AF18="",AH18="",AJ18=""),"",ROUND(AH18+AJ18,2))</f>
        <v/>
      </c>
      <c r="AM18" s="1031"/>
      <c r="AN18" s="1031"/>
      <c r="AO18" s="1036" t="str">
        <f>IF(OR(C18="",E18="",G18="",K18="",M18="",O18="",Q18="",S18="",Z18="",AD18="",AF18="",AH18="",AJ18=""),"",IF(BA18-BB18&lt;=0,0,BA18-BB18))</f>
        <v/>
      </c>
      <c r="AP18" s="1036"/>
      <c r="AQ18" s="1036"/>
      <c r="AR18" s="1000" t="str">
        <f>IF(OR(C18="",E18="",G18="",K18="",M18="",O18="",Q18="",S18="",Z18="",AD18="",AF18="",AH18="",AJ18=""),"", IF(BY18&lt;&gt;"", BY18, IF(BP18&gt;0,BP18, IF(ACTIVEBLOCK="Yes",ROUND(MIN(AL18*0.75,AO18*BLOCKBIDRATE),2),ROUND(MIN(AL18*0.75,BR18),2)))))</f>
        <v/>
      </c>
      <c r="AS18" s="1000"/>
      <c r="AT18" s="1000"/>
      <c r="AU18" s="1000"/>
      <c r="AX18" s="773" t="str">
        <f>IF(S18="","",
_xlfn.LET( _xlpm.Unit, INDEX(CMLIGHTEFF[Unit],MATCH(S18,CMLIGHTEFF[Eff Desc 1],0)),
IFERROR(_xlpm.Unit,"")))</f>
        <v/>
      </c>
      <c r="AY18" s="759" t="str">
        <f t="shared" ref="AY18" si="0">IF(M18="", "", M18)</f>
        <v/>
      </c>
      <c r="AZ18" s="759" t="str">
        <f t="shared" ref="AZ18" si="1">IF(AD18="", "", AD18)</f>
        <v/>
      </c>
      <c r="BA18" s="771" t="str">
        <f>IF(OR(C18="",E18="",G18="",K18="",M18="",O18="",Q18="",S18="",Z18="",AD18="",AF18="",AH18="",AJ18=""),"",
IF(OR(ISNUMBER(SEARCH("Exterior",E18)),ISNUMBER(SEARCH("Garage",E18)),M02S04F22="Unconditioned",M02S04F22="Electric Heat Only",M02S04F22="Natural Gas Heat Only"),ROUND(M18*O18*Q18/1000,4),
ROUND(M18*O18*Q18/1000*INDEX(BUILDINGTYPE[Waste Heat Factor (e)],MATCH(M02S04F19,BUILDINGTYPE[Building Type],0)),4)))</f>
        <v/>
      </c>
      <c r="BB18" s="771" t="str">
        <f>IF(OR(C18="",E18="",G18="",K18="",M18="",O18="",Q18="",S18="",Z18="",AD18="",AF18="",AH18="",AJ18=""),"",
IF(OR(ISNUMBER(SEARCH("Exterior",E18)),ISNUMBER(SEARCH("Garage",E18)),M02S04F22="Unconditioned",M02S04F22="Electric Heat Only",M02S04F22="Natural Gas Heat Only"),ROUND(AD18*AF18*Q18/1000,4),
ROUND(AD18*AF18*Q18/1000*INDEX(BUILDINGTYPE[Waste Heat Factor (e)],MATCH(M02S04F19,BUILDINGTYPE[Building Type],0)),4)))</f>
        <v/>
      </c>
      <c r="BC18" s="773" t="str">
        <f>IF(OR(E18="",G18="",S18=""),"",IF(ISNUMBER(SEARCH("24/7",E18)),"Ext Lighting w/ Peak",IF(E18="Interior","Interior Lighting",IF(OR(E18="Garage",E18="Exterior"),"Ext Lighting w/o Peak","Err"))))</f>
        <v/>
      </c>
      <c r="BD18" s="757" t="str">
        <f>IF(BE18&lt;&gt;"", "Calculated", "")</f>
        <v/>
      </c>
      <c r="BE18" s="775" t="str">
        <f>IF(AND(BA18&lt;&gt;"", BB18&lt;&gt;""), ROUND(BA18-BB18,4), "")</f>
        <v/>
      </c>
      <c r="BF18" s="775" t="str">
        <f>IFERROR(IF(OR(C18="",E18="",G18="",K18="",M18="",O18="",Q18="",Z18="",AD18="",AF18="",AH18="",AJ18=""),"",IF(OR(E18="Garage",E18="Exterior"),0,
IF(OR(ISNUMBER(SEARCH("Garage",E18)),M02S04F22="Unconditioned",M02S04F22="Electric Heat Only",M02S04F22="Natural Gas Heat Only"),ROUND((((M18*O18)-(AD18*AF18))/1000)*INDEX(BUILDINGTYPE[Lighting Coincidence Factor],MATCH(M02S04F19,BUILDINGTYPE[Building Type],0)),4),
ROUND((((M18*O18)-(AD18*AF18))/1000)*INDEX(BUILDINGTYPE[WHFd],MATCH(M02S04F19,BUILDINGTYPE[Building Type],0))*INDEX(BUILDINGTYPE[Lighting Coincidence Factor],MATCH(M02S04F19,BUILDINGTYPE[Building Type],0)),4)))),"")</f>
        <v/>
      </c>
      <c r="BG18" s="775" t="str">
        <f>IFERROR(IF(OR(C18="",E18="",G18="",K18="",M18="",O18="",Q18="",Z18="",AD18="",AF18="",AH18="",AJ18=""),"",ROUND(AO18*INDEX(ENDUSEALL[Factor],MATCH(BC18,ENDUSEALL[End Use to Coincident Peak Demand Factors],0)),4)),"")</f>
        <v/>
      </c>
      <c r="BH18" s="761"/>
      <c r="BI18" s="761"/>
      <c r="BJ18" s="777" t="str">
        <f>IF(OR(G18="",S18=""),"",IF(INDEX(CMLIGHTEFF[EUL],MATCH(S18,CMLIGHTEFF[Eff Desc 1],0))="","",INDEX(CMLIGHTEFF[EUL],MATCH(S18,CMLIGHTEFF[Eff Desc 1],0))))</f>
        <v/>
      </c>
      <c r="BK18" s="767" t="str">
        <f>IFERROR(IF(OR(C18="",E18="",G18="",K18="",M18="",O18="",Q18="",Z18="",AD18="",AF18="",AH18="",AJ18=""),"",
ROUND(((1+ELOSS)*((AO18*INDEX(ELECCB[NPV AEC $/kWh],MATCH(BJ18,ELECCB[Year Number],1)))+(BG18*INDEX(ELECCB[NPV ACC $/kW],MATCH(BJ18,ELECCB[Year Number],1))))),2)),0)</f>
        <v/>
      </c>
      <c r="BL18" s="767" t="str">
        <f t="shared" ref="BL18:BL76" si="2">IF(OR(AH18="", AJ18=""), "", AH18+AJ18)</f>
        <v/>
      </c>
      <c r="BM18" s="765"/>
      <c r="BN18" s="763" t="str">
        <f t="shared" ref="BN18:BN76" si="3">IFERROR( BK18 / IF(BM18 &lt;&gt; "", BM18, BL18), "")</f>
        <v/>
      </c>
      <c r="BO18" s="763" t="str">
        <f>IFERROR(IF(BM18 &lt;&gt; "", BM18, BL18) / M02S04F06 / AO18, "")</f>
        <v/>
      </c>
      <c r="BP18" s="769"/>
      <c r="BQ18" s="765"/>
      <c r="BR18" s="767" t="str">
        <f>IFERROR(ROUND(AO18*BV18,2),"")</f>
        <v/>
      </c>
      <c r="BS18" s="765"/>
      <c r="BT18" s="765"/>
      <c r="BU18" s="757" t="str">
        <f>IFERROR(IF(BP18="", IF(AND(ROUND(AR18/AL18,2)=TOTCOSTCAP, BR18/AL18&gt;TOTCOSTCAP),"75% Total Cost",
IF(FALSE,"100% Incremental Cost",
IF(BV18&lt;KWHRATEMIN, "kWh Incentive Rate Min",
IF(BV18&gt;KWHRATEMAX,"kWh Incentive Rate Cap",
IF(AR18=BT18,"Bonus Incentive",
"kWh Incentive"))))), ""),"")</f>
        <v/>
      </c>
      <c r="BV18" s="767"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57" t="str" cm="1">
        <f t="array" ref="BW18">IF(OR(C18="",E18="",G18="",K18="",M18="",O18="",Q18="",Z18="",AD18="",AF18="",AH18="",AJ18=""),"",
IF(BY18&lt;&gt;"",SPILLOVERNUMBER,
_xlfn.LET(
_xlpm.Program, IF(Program_Banner= "Business Energy Savings", 2, IF(Program_Banner="Small Business / Non-Profit", 3, "#")),
_xlpm.Location, INDEX( LOCATIONTYPE[Measure Number], MATCH(E18, LOCATIONTYPE[Location Type], 0)),
_xlpm.Eff_Desc_1, INDEX(CMLIGHTEFF[Measure Number],MATCH(S18,CMLIGHTEFF[Eff Desc 1],0)),
"11" &amp; _xlpm.Program &amp; "2" &amp; _xlpm.Location &amp; _xlpm.Eff_Desc_1
)))</f>
        <v/>
      </c>
      <c r="BX18" s="757" t="str" cm="1">
        <f t="array" ref="BX18">IFERROR(INDEX(_xlfn.SWITCH(Program_Banner,"Business Energy Savings",ENDUSEALL[Primary Key WBE],"Small Business / Non-Profit",ENDUSEALL[Primary Key HTRB],0),MATCH(BC18,ENDUSEALL[End Use to Coincident Peak Demand Factors],0)),"")</f>
        <v/>
      </c>
      <c r="BY18" s="757" t="str">
        <f ca="1">IFERROR(
IF(EXPIRATION&lt;&gt;"",PROJSTATEXP,
IF(BP18&gt;0,"",
IF(OR(M02S04F06="",M02S04F06="Select Rate Code",M02S04F06=0),MEASURERATE,
IF(M02S04F19="",MEASUREBLDG,
IF(BA18-BB18&lt;=0,MEASURESAVE,
IF(PAYCUSE&lt;PAYBACKREQ,PROJECTSTATPAYBACK,
IF(CBCUSE&lt;CBREQ,PROJECTSTATCB,""))))))),
MEASURESUBMIT)</f>
        <v>Enter Utility Rate</v>
      </c>
      <c r="BZ18" s="753"/>
      <c r="CA18" s="753"/>
      <c r="CB18" s="753"/>
      <c r="CC18" s="753"/>
    </row>
    <row r="19" spans="1:81" ht="15.95" customHeight="1">
      <c r="B19" s="785"/>
      <c r="C19" s="1002"/>
      <c r="D19" s="1002"/>
      <c r="E19" s="1002"/>
      <c r="F19" s="1003"/>
      <c r="G19" s="1004"/>
      <c r="H19" s="1002"/>
      <c r="I19" s="1002"/>
      <c r="J19" s="1002"/>
      <c r="K19" s="1002"/>
      <c r="L19" s="1002"/>
      <c r="M19" s="989"/>
      <c r="N19" s="989"/>
      <c r="O19" s="1008"/>
      <c r="P19" s="1008"/>
      <c r="Q19" s="1015"/>
      <c r="R19" s="1016"/>
      <c r="S19" s="1017"/>
      <c r="T19" s="1002"/>
      <c r="U19" s="1002"/>
      <c r="V19" s="1002"/>
      <c r="W19" s="1012"/>
      <c r="X19" s="1013"/>
      <c r="Y19" s="1013"/>
      <c r="Z19" s="1012"/>
      <c r="AA19" s="1013"/>
      <c r="AB19" s="1013"/>
      <c r="AC19" s="1014"/>
      <c r="AD19" s="989"/>
      <c r="AE19" s="989"/>
      <c r="AF19" s="990"/>
      <c r="AG19" s="991"/>
      <c r="AH19" s="992"/>
      <c r="AI19" s="993"/>
      <c r="AJ19" s="993"/>
      <c r="AK19" s="1005"/>
      <c r="AL19" s="1006"/>
      <c r="AM19" s="1007"/>
      <c r="AN19" s="1007"/>
      <c r="AO19" s="1037"/>
      <c r="AP19" s="1037"/>
      <c r="AQ19" s="1037"/>
      <c r="AR19" s="1001"/>
      <c r="AS19" s="1001"/>
      <c r="AT19" s="1001"/>
      <c r="AU19" s="1001"/>
      <c r="AX19" s="774"/>
      <c r="AY19" s="760"/>
      <c r="AZ19" s="760"/>
      <c r="BA19" s="772"/>
      <c r="BB19" s="772"/>
      <c r="BC19" s="774"/>
      <c r="BD19" s="758"/>
      <c r="BE19" s="776"/>
      <c r="BF19" s="776"/>
      <c r="BG19" s="776"/>
      <c r="BH19" s="762"/>
      <c r="BI19" s="762"/>
      <c r="BJ19" s="778"/>
      <c r="BK19" s="768"/>
      <c r="BL19" s="768"/>
      <c r="BM19" s="766"/>
      <c r="BN19" s="764"/>
      <c r="BO19" s="764"/>
      <c r="BP19" s="770"/>
      <c r="BQ19" s="766"/>
      <c r="BR19" s="768"/>
      <c r="BS19" s="766"/>
      <c r="BT19" s="766"/>
      <c r="BU19" s="758"/>
      <c r="BV19" s="768"/>
      <c r="BW19" s="758"/>
      <c r="BX19" s="758"/>
      <c r="BY19" s="758"/>
      <c r="BZ19" s="754"/>
      <c r="CA19" s="754"/>
      <c r="CB19" s="754"/>
      <c r="CC19" s="754"/>
    </row>
    <row r="20" spans="1:81" ht="15.95" customHeight="1">
      <c r="A20" s="75"/>
      <c r="B20" s="785">
        <v>2</v>
      </c>
      <c r="C20" s="1050"/>
      <c r="D20" s="1050"/>
      <c r="E20" s="1050"/>
      <c r="F20" s="1012"/>
      <c r="G20" s="1004"/>
      <c r="H20" s="1002"/>
      <c r="I20" s="1002"/>
      <c r="J20" s="1002"/>
      <c r="K20" s="1002"/>
      <c r="L20" s="1002"/>
      <c r="M20" s="989"/>
      <c r="N20" s="989"/>
      <c r="O20" s="1008" t="str">
        <f>IFERROR(IF(G20="","",INDEX(CMLIGHTBASE[Base Watt 1],MATCH(G20,CMLIGHTBASE[Base Desc 1],0))),"")</f>
        <v/>
      </c>
      <c r="P20" s="1008"/>
      <c r="Q20" s="1015"/>
      <c r="R20" s="1016"/>
      <c r="S20" s="1017"/>
      <c r="T20" s="1002"/>
      <c r="U20" s="1002"/>
      <c r="V20" s="1002"/>
      <c r="W20" s="1009"/>
      <c r="X20" s="1010"/>
      <c r="Y20" s="1010"/>
      <c r="Z20" s="1009"/>
      <c r="AA20" s="1010"/>
      <c r="AB20" s="1010"/>
      <c r="AC20" s="1011"/>
      <c r="AD20" s="989"/>
      <c r="AE20" s="989"/>
      <c r="AF20" s="990"/>
      <c r="AG20" s="991"/>
      <c r="AH20" s="992"/>
      <c r="AI20" s="993"/>
      <c r="AJ20" s="993"/>
      <c r="AK20" s="1005"/>
      <c r="AL20" s="1006" t="str">
        <f>IF(OR(C20="",E20="",G20="",K20="",M20="",O20="",Q20="",S20="",Z20="",AD20="",AF20="",AH20="",AJ20=""),"",ROUND(AH20+AJ20,2))</f>
        <v/>
      </c>
      <c r="AM20" s="1007"/>
      <c r="AN20" s="1007"/>
      <c r="AO20" s="994" t="str">
        <f t="shared" ref="AO20" si="4">IF(OR(C20="",E20="",G20="",K20="",M20="",O20="",Q20="",S20="",Z20="",AD20="",AF20="",AH20="",AJ20=""),"",IF(BA20-BB20&lt;=0,0,BA20-BB20))</f>
        <v/>
      </c>
      <c r="AP20" s="995"/>
      <c r="AQ20" s="996"/>
      <c r="AR20" s="1000" t="str">
        <f>IF(OR(C20="",E20="",G20="",K20="",M20="",O20="",Q20="",S20="",Z20="",AD20="",AF20="",AH20="",AJ20=""),"", IF(BY20&lt;&gt;"", BY20, IF(BP20&gt;0,BP20, IF(ACTIVEBLOCK="Yes",ROUND(MIN(AL20*0.75,AO20*BLOCKBIDRATE),2),ROUND(MIN(AL20*0.75,BR20),2)))))</f>
        <v/>
      </c>
      <c r="AS20" s="1000"/>
      <c r="AT20" s="1000"/>
      <c r="AU20" s="1000"/>
      <c r="AX20" s="773" t="str">
        <f>IF(S20="","",
_xlfn.LET( _xlpm.Unit, INDEX(CMLIGHTEFF[Unit],MATCH(S20,CMLIGHTEFF[Eff Desc 1],0)),
IFERROR(_xlpm.Unit,"")))</f>
        <v/>
      </c>
      <c r="AY20" s="759" t="str">
        <f t="shared" ref="AY20" si="5">IF(M20="", "", M20)</f>
        <v/>
      </c>
      <c r="AZ20" s="759" t="str">
        <f t="shared" ref="AZ20" si="6">IF(AD20="", "", AD20)</f>
        <v/>
      </c>
      <c r="BA20" s="771" t="str">
        <f>IF(OR(C20="",E20="",G20="",K20="",M20="",O20="",Q20="",S20="",Z20="",AD20="",AF20="",AH20="",AJ20=""),"",
IF(OR(ISNUMBER(SEARCH("Exterior",E20)),ISNUMBER(SEARCH("Garage",E20)),M02S04F22="Unconditioned",M02S04F22="Electric Heat Only",M02S04F22="Natural Gas Heat Only"),ROUND(M20*O20*Q20/1000,4),
ROUND(M20*O20*Q20/1000*INDEX(BUILDINGTYPE[Waste Heat Factor (e)],MATCH(M02S04F19,BUILDINGTYPE[Building Type],0)),4)))</f>
        <v/>
      </c>
      <c r="BB20" s="771" t="str">
        <f>IF(OR(C20="",E20="",G20="",K20="",M20="",O20="",Q20="",S20="",Z20="",AD20="",AF20="",AH20="",AJ20=""),"",
IF(OR(ISNUMBER(SEARCH("Exterior",E20)),ISNUMBER(SEARCH("Garage",E20)),M02S04F22="Unconditioned",M02S04F22="Electric Heat Only",M02S04F22="Natural Gas Heat Only"),ROUND(AD20*AF20*Q20/1000,4),
ROUND(AD20*AF20*Q20/1000*INDEX(BUILDINGTYPE[Waste Heat Factor (e)],MATCH(M02S04F19,BUILDINGTYPE[Building Type],0)),4)))</f>
        <v/>
      </c>
      <c r="BC20" s="773" t="str">
        <f t="shared" ref="BC20" si="7">IF(OR(E20="",G20="",S20=""),"",IF(ISNUMBER(SEARCH("24/7",E20)),"Ext Lighting w/ Peak",IF(E20="Interior","Interior Lighting",IF(OR(E20="Garage",E20="Exterior"),"Ext Lighting w/o Peak","Err"))))</f>
        <v/>
      </c>
      <c r="BD20" s="757" t="str">
        <f t="shared" ref="BD20" si="8">IF(BE20&lt;&gt;"", "Calculated", "")</f>
        <v/>
      </c>
      <c r="BE20" s="775" t="str">
        <f t="shared" ref="BE20" si="9">IF(AND(BA20&lt;&gt;"", BB20&lt;&gt;""), ROUND(BA20-BB20,4), "")</f>
        <v/>
      </c>
      <c r="BF20" s="775" t="str">
        <f>IFERROR(IF(OR(C20="",E20="",G20="",K20="",M20="",O20="",Q20="",Z20="",AD20="",AF20="",AH20="",AJ20=""),"",IF(OR(E20="Garage",E20="Exterior"),0,
IF(OR(ISNUMBER(SEARCH("Garage",E20)),M02S04F22="Unconditioned",M02S04F22="Electric Heat Only",M02S04F22="Natural Gas Heat Only"),ROUND((((M20*O20)-(AD20*AF20))/1000)*INDEX(BUILDINGTYPE[Lighting Coincidence Factor],MATCH(M02S04F19,BUILDINGTYPE[Building Type],0)),4),
ROUND((((M20*O20)-(AD20*AF20))/1000)*INDEX(BUILDINGTYPE[WHFd],MATCH(M02S04F19,BUILDINGTYPE[Building Type],0))*INDEX(BUILDINGTYPE[Lighting Coincidence Factor],MATCH(M02S04F19,BUILDINGTYPE[Building Type],0)),4)))),"")</f>
        <v/>
      </c>
      <c r="BG20" s="775" t="str">
        <f>IFERROR(IF(OR(C20="",E20="",G20="",K20="",M20="",O20="",Q20="",Z20="",AD20="",AF20="",AH20="",AJ20=""),"",ROUND(AO20*INDEX(ENDUSEALL[Factor],MATCH(BC20,ENDUSEALL[End Use to Coincident Peak Demand Factors],0)),4)),"")</f>
        <v/>
      </c>
      <c r="BH20" s="761"/>
      <c r="BI20" s="761"/>
      <c r="BJ20" s="777" t="str">
        <f>IF(OR(G20="",S20=""),"",IF(INDEX(CMLIGHTEFF[EUL],MATCH(S20,CMLIGHTEFF[Eff Desc 1],0))="","",INDEX(CMLIGHTEFF[EUL],MATCH(S20,CMLIGHTEFF[Eff Desc 1],0))))</f>
        <v/>
      </c>
      <c r="BK20" s="767" t="str">
        <f>IFERROR(IF(OR(C20="",E20="",G20="",K20="",M20="",O20="",Q20="",Z20="",AD20="",AF20="",AH20="",AJ20=""),"",
ROUND(((1+ELOSS)*((AO20*INDEX(ELECCB[NPV AEC $/kWh],MATCH(BJ20,ELECCB[Year Number],1)))+(BG20*INDEX(ELECCB[NPV ACC $/kW],MATCH(BJ20,ELECCB[Year Number],1))))),2)),0)</f>
        <v/>
      </c>
      <c r="BL20" s="767" t="str">
        <f t="shared" si="2"/>
        <v/>
      </c>
      <c r="BM20" s="765"/>
      <c r="BN20" s="763" t="str">
        <f t="shared" si="3"/>
        <v/>
      </c>
      <c r="BO20" s="763" t="str">
        <f>IFERROR(IF(BM20 &lt;&gt; "", BM20, BL20) / M02S04F06 / AO20, "")</f>
        <v/>
      </c>
      <c r="BP20" s="769"/>
      <c r="BQ20" s="765"/>
      <c r="BR20" s="767" t="str">
        <f t="shared" ref="BR20" si="10">IFERROR(ROUND(AO20*BV20,2),"")</f>
        <v/>
      </c>
      <c r="BS20" s="765"/>
      <c r="BT20" s="765"/>
      <c r="BU20" s="757" t="str">
        <f>IFERROR(IF(BP20="", IF(AND(ROUND(AR20/AL20,2)=TOTCOSTCAP, BR20/AL20&gt;TOTCOSTCAP),"75% Total Cost",
IF(FALSE,"100% Incremental Cost",
IF(BV20&lt;KWHRATEMIN, "kWh Incentive Rate Min",
IF(BV20&gt;KWHRATEMAX,"kWh Incentive Rate Cap",
IF(AR20=BT20,"Bonus Incentive",
"kWh Incentive"))))), ""),"")</f>
        <v/>
      </c>
      <c r="BV20" s="767"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57" t="str" cm="1">
        <f t="array" ref="BW20">IF(OR(C20="",E20="",G20="",K20="",M20="",O20="",Q20="",Z20="",AD20="",AF20="",AH20="",AJ20=""),"",
IF(BY20&lt;&gt;"",SPILLOVERNUMBER,
_xlfn.LET(
_xlpm.Program, IF(Program_Banner= "Business Energy Savings", 2, IF(Program_Banner="Small Business / Non-Profit", 3, "#")),
_xlpm.Location, INDEX( LOCATIONTYPE[Measure Number], MATCH(E20, LOCATIONTYPE[Location Type], 0)),
_xlpm.Eff_Desc_1, INDEX(CMLIGHTEFF[Measure Number],MATCH(S20,CMLIGHTEFF[Eff Desc 1],0)),
"11" &amp; _xlpm.Program &amp; "2" &amp; _xlpm.Location &amp; _xlpm.Eff_Desc_1
)))</f>
        <v/>
      </c>
      <c r="BX20" s="757" t="str" cm="1">
        <f t="array" ref="BX20">IFERROR(INDEX(_xlfn.SWITCH(Program_Banner,"Business Energy Savings",ENDUSEALL[Primary Key WBE],"Small Business / Non-Profit",ENDUSEALL[Primary Key HTRB],0),MATCH(BC20,ENDUSEALL[End Use to Coincident Peak Demand Factors],0)),"")</f>
        <v/>
      </c>
      <c r="BY20" s="757" t="str">
        <f ca="1">IFERROR(
IF(EXPIRATION&lt;&gt;"",PROJSTATEXP,
IF(BP20&gt;0,"",
IF(OR(M02S04F06="",M02S04F06="Select Rate Code",M02S04F06=0),MEASURERATE,
IF(M02S04F19="",MEASUREBLDG,
IF(BA20-BB20&lt;=0,MEASURESAVE,
IF(PAYCUSE&lt;PAYBACKREQ,PROJECTSTATPAYBACK,
IF(CBCUSE&lt;CBREQ,PROJECTSTATCB,""))))))),
MEASURESUBMIT)</f>
        <v>Enter Utility Rate</v>
      </c>
      <c r="BZ20" s="753"/>
      <c r="CA20" s="753"/>
      <c r="CB20" s="753"/>
      <c r="CC20" s="753"/>
    </row>
    <row r="21" spans="1:81" ht="15.95" customHeight="1">
      <c r="B21" s="785"/>
      <c r="C21" s="1002"/>
      <c r="D21" s="1002"/>
      <c r="E21" s="1002"/>
      <c r="F21" s="1003"/>
      <c r="G21" s="1004"/>
      <c r="H21" s="1002"/>
      <c r="I21" s="1002"/>
      <c r="J21" s="1002"/>
      <c r="K21" s="1002"/>
      <c r="L21" s="1002"/>
      <c r="M21" s="989"/>
      <c r="N21" s="989"/>
      <c r="O21" s="1008"/>
      <c r="P21" s="1008"/>
      <c r="Q21" s="1015"/>
      <c r="R21" s="1016"/>
      <c r="S21" s="1017"/>
      <c r="T21" s="1002"/>
      <c r="U21" s="1002"/>
      <c r="V21" s="1002"/>
      <c r="W21" s="1012"/>
      <c r="X21" s="1013"/>
      <c r="Y21" s="1013"/>
      <c r="Z21" s="1012"/>
      <c r="AA21" s="1013"/>
      <c r="AB21" s="1013"/>
      <c r="AC21" s="1014"/>
      <c r="AD21" s="989"/>
      <c r="AE21" s="989"/>
      <c r="AF21" s="990"/>
      <c r="AG21" s="991"/>
      <c r="AH21" s="992"/>
      <c r="AI21" s="993"/>
      <c r="AJ21" s="993"/>
      <c r="AK21" s="1005"/>
      <c r="AL21" s="1006"/>
      <c r="AM21" s="1007"/>
      <c r="AN21" s="1007"/>
      <c r="AO21" s="997"/>
      <c r="AP21" s="998"/>
      <c r="AQ21" s="999"/>
      <c r="AR21" s="1001"/>
      <c r="AS21" s="1001"/>
      <c r="AT21" s="1001"/>
      <c r="AU21" s="1001"/>
      <c r="AX21" s="774"/>
      <c r="AY21" s="760"/>
      <c r="AZ21" s="760"/>
      <c r="BA21" s="772"/>
      <c r="BB21" s="772"/>
      <c r="BC21" s="774"/>
      <c r="BD21" s="758"/>
      <c r="BE21" s="776"/>
      <c r="BF21" s="776"/>
      <c r="BG21" s="776"/>
      <c r="BH21" s="762"/>
      <c r="BI21" s="762"/>
      <c r="BJ21" s="778"/>
      <c r="BK21" s="768"/>
      <c r="BL21" s="768"/>
      <c r="BM21" s="766"/>
      <c r="BN21" s="764"/>
      <c r="BO21" s="764"/>
      <c r="BP21" s="770"/>
      <c r="BQ21" s="766"/>
      <c r="BR21" s="768"/>
      <c r="BS21" s="766"/>
      <c r="BT21" s="766"/>
      <c r="BU21" s="758"/>
      <c r="BV21" s="768"/>
      <c r="BW21" s="758"/>
      <c r="BX21" s="758"/>
      <c r="BY21" s="758"/>
      <c r="BZ21" s="754"/>
      <c r="CA21" s="754"/>
      <c r="CB21" s="754"/>
      <c r="CC21" s="754"/>
    </row>
    <row r="22" spans="1:81" ht="15.95" customHeight="1">
      <c r="A22" s="75"/>
      <c r="B22" s="785">
        <v>3</v>
      </c>
      <c r="C22" s="1009"/>
      <c r="D22" s="1011"/>
      <c r="E22" s="1009"/>
      <c r="F22" s="1053"/>
      <c r="G22" s="1040"/>
      <c r="H22" s="1010"/>
      <c r="I22" s="1010"/>
      <c r="J22" s="1011"/>
      <c r="K22" s="1009"/>
      <c r="L22" s="1011"/>
      <c r="M22" s="1032"/>
      <c r="N22" s="1033"/>
      <c r="O22" s="1008" t="str">
        <f>IFERROR(IF(G22="","",INDEX(CMLIGHTBASE[Base Watt 1],MATCH(G22,CMLIGHTBASE[Base Desc 1],0))),"")</f>
        <v/>
      </c>
      <c r="P22" s="1008"/>
      <c r="Q22" s="1026"/>
      <c r="R22" s="1027"/>
      <c r="S22" s="1040"/>
      <c r="T22" s="1010"/>
      <c r="U22" s="1010"/>
      <c r="V22" s="1011"/>
      <c r="W22" s="1009"/>
      <c r="X22" s="1010"/>
      <c r="Y22" s="1010"/>
      <c r="Z22" s="1009"/>
      <c r="AA22" s="1010"/>
      <c r="AB22" s="1010"/>
      <c r="AC22" s="1011"/>
      <c r="AD22" s="1032"/>
      <c r="AE22" s="1033"/>
      <c r="AF22" s="1042"/>
      <c r="AG22" s="1043"/>
      <c r="AH22" s="1018"/>
      <c r="AI22" s="1019"/>
      <c r="AJ22" s="1022"/>
      <c r="AK22" s="1023"/>
      <c r="AL22" s="1006" t="str">
        <f>IF(OR(C22="",E22="",G22="",K22="",M22="",O22="",Q22="",S22="",Z22="",AD22="",AF22="",AH22="",AJ22=""),"",ROUND(AH22+AJ22,2))</f>
        <v/>
      </c>
      <c r="AM22" s="1007"/>
      <c r="AN22" s="1007"/>
      <c r="AO22" s="994" t="str">
        <f t="shared" ref="AO22" si="11">IF(OR(C22="",E22="",G22="",K22="",M22="",O22="",Q22="",S22="",Z22="",AD22="",AF22="",AH22="",AJ22=""),"",IF(BA22-BB22&lt;=0,0,BA22-BB22))</f>
        <v/>
      </c>
      <c r="AP22" s="995"/>
      <c r="AQ22" s="996"/>
      <c r="AR22" s="1000" t="str">
        <f>IF(OR(C22="",E22="",G22="",K22="",M22="",O22="",Q22="",S22="",Z22="",AD22="",AF22="",AH22="",AJ22=""),"", IF(BY22&lt;&gt;"", BY22, IF(BP22&gt;0,BP22, IF(ACTIVEBLOCK="Yes",ROUND(MIN(AL22*0.75,AO22*BLOCKBIDRATE),2),ROUND(MIN(AL22*0.75,BR22),2)))))</f>
        <v/>
      </c>
      <c r="AS22" s="1000"/>
      <c r="AT22" s="1000"/>
      <c r="AU22" s="1000"/>
      <c r="AX22" s="773" t="str">
        <f>IF(S22="","",
_xlfn.LET( _xlpm.Unit, INDEX(CMLIGHTEFF[Unit],MATCH(S22,CMLIGHTEFF[Eff Desc 1],0)),
IFERROR(_xlpm.Unit,"")))</f>
        <v/>
      </c>
      <c r="AY22" s="759" t="str">
        <f t="shared" ref="AY22" si="12">IF(M22="", "", M22)</f>
        <v/>
      </c>
      <c r="AZ22" s="759" t="str">
        <f t="shared" ref="AZ22" si="13">IF(AD22="", "", AD22)</f>
        <v/>
      </c>
      <c r="BA22" s="771" t="str">
        <f>IF(OR(C22="",E22="",G22="",K22="",M22="",O22="",Q22="",S22="",Z22="",AD22="",AF22="",AH22="",AJ22=""),"",
IF(OR(ISNUMBER(SEARCH("Exterior",E22)),ISNUMBER(SEARCH("Garage",E22)),M02S04F22="Unconditioned",M02S04F22="Electric Heat Only",M02S04F22="Natural Gas Heat Only"),ROUND(M22*O22*Q22/1000,4),
ROUND(M22*O22*Q22/1000*INDEX(BUILDINGTYPE[Waste Heat Factor (e)],MATCH(M02S04F19,BUILDINGTYPE[Building Type],0)),4)))</f>
        <v/>
      </c>
      <c r="BB22" s="771" t="str">
        <f>IF(OR(C22="",E22="",G22="",K22="",M22="",O22="",Q22="",S22="",Z22="",AD22="",AF22="",AH22="",AJ22=""),"",
IF(OR(ISNUMBER(SEARCH("Exterior",E22)),ISNUMBER(SEARCH("Garage",E22)),M02S04F22="Unconditioned",M02S04F22="Electric Heat Only",M02S04F22="Natural Gas Heat Only"),ROUND(AD22*AF22*Q22/1000,4),
ROUND(AD22*AF22*Q22/1000*INDEX(BUILDINGTYPE[Waste Heat Factor (e)],MATCH(M02S04F19,BUILDINGTYPE[Building Type],0)),4)))</f>
        <v/>
      </c>
      <c r="BC22" s="773" t="str">
        <f t="shared" ref="BC22" si="14">IF(OR(E22="",G22="",S22=""),"",IF(ISNUMBER(SEARCH("24/7",E22)),"Ext Lighting w/ Peak",IF(E22="Interior","Interior Lighting",IF(OR(E22="Garage",E22="Exterior"),"Ext Lighting w/o Peak","Err"))))</f>
        <v/>
      </c>
      <c r="BD22" s="757" t="str">
        <f t="shared" ref="BD22" si="15">IF(BE22&lt;&gt;"", "Calculated", "")</f>
        <v/>
      </c>
      <c r="BE22" s="775" t="str">
        <f t="shared" ref="BE22" si="16">IF(AND(BA22&lt;&gt;"", BB22&lt;&gt;""), ROUND(BA22-BB22,4), "")</f>
        <v/>
      </c>
      <c r="BF22" s="775" t="str">
        <f>IFERROR(IF(OR(C22="",E22="",G22="",K22="",M22="",O22="",Q22="",Z22="",AD22="",AF22="",AH22="",AJ22=""),"",IF(OR(E22="Garage",E22="Exterior"),0,
IF(OR(ISNUMBER(SEARCH("Garage",E22)),M02S04F22="Unconditioned",M02S04F22="Electric Heat Only",M02S04F22="Natural Gas Heat Only"),ROUND((((M22*O22)-(AD22*AF22))/1000)*INDEX(BUILDINGTYPE[Lighting Coincidence Factor],MATCH(M02S04F19,BUILDINGTYPE[Building Type],0)),4),
ROUND((((M22*O22)-(AD22*AF22))/1000)*INDEX(BUILDINGTYPE[WHFd],MATCH(M02S04F19,BUILDINGTYPE[Building Type],0))*INDEX(BUILDINGTYPE[Lighting Coincidence Factor],MATCH(M02S04F19,BUILDINGTYPE[Building Type],0)),4)))),"")</f>
        <v/>
      </c>
      <c r="BG22" s="775" t="str">
        <f>IFERROR(IF(OR(C22="",E22="",G22="",K22="",M22="",O22="",Q22="",Z22="",AD22="",AF22="",AH22="",AJ22=""),"",ROUND(AO22*INDEX(ENDUSEALL[Factor],MATCH(BC22,ENDUSEALL[End Use to Coincident Peak Demand Factors],0)),4)),"")</f>
        <v/>
      </c>
      <c r="BH22" s="761"/>
      <c r="BI22" s="761"/>
      <c r="BJ22" s="777" t="str">
        <f>IF(OR(G22="",S22=""),"",IF(INDEX(CMLIGHTEFF[EUL],MATCH(S22,CMLIGHTEFF[Eff Desc 1],0))="","",INDEX(CMLIGHTEFF[EUL],MATCH(S22,CMLIGHTEFF[Eff Desc 1],0))))</f>
        <v/>
      </c>
      <c r="BK22" s="767" t="str">
        <f>IFERROR(IF(OR(C22="",E22="",G22="",K22="",M22="",O22="",Q22="",Z22="",AD22="",AF22="",AH22="",AJ22=""),"",
ROUND(((1+ELOSS)*((AO22*INDEX(ELECCB[NPV AEC $/kWh],MATCH(BJ22,ELECCB[Year Number],1)))+(BG22*INDEX(ELECCB[NPV ACC $/kW],MATCH(BJ22,ELECCB[Year Number],1))))),2)),0)</f>
        <v/>
      </c>
      <c r="BL22" s="767" t="str">
        <f t="shared" si="2"/>
        <v/>
      </c>
      <c r="BM22" s="765"/>
      <c r="BN22" s="763" t="str">
        <f t="shared" si="3"/>
        <v/>
      </c>
      <c r="BO22" s="763" t="str">
        <f>IFERROR(IF(BM22 &lt;&gt; "", BM22, BL22) / M02S04F06 / AO22, "")</f>
        <v/>
      </c>
      <c r="BP22" s="769"/>
      <c r="BQ22" s="765"/>
      <c r="BR22" s="767" t="str">
        <f t="shared" ref="BR22" si="17">IFERROR(ROUND(AO22*BV22,2),"")</f>
        <v/>
      </c>
      <c r="BS22" s="765"/>
      <c r="BT22" s="765"/>
      <c r="BU22" s="757" t="str">
        <f>IFERROR(IF(BP22="", IF(AND(ROUND(AR22/AL22,2)=TOTCOSTCAP, BR22/AL22&gt;TOTCOSTCAP),"75% Total Cost",
IF(FALSE,"100% Incremental Cost",
IF(BV22&lt;KWHRATEMIN, "kWh Incentive Rate Min",
IF(BV22&gt;KWHRATEMAX,"kWh Incentive Rate Cap",
IF(AR22=BT22,"Bonus Incentive",
"kWh Incentive"))))), ""),"")</f>
        <v/>
      </c>
      <c r="BV22" s="767"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57" t="str" cm="1">
        <f t="array" ref="BW22">IF(OR(C22="",E22="",G22="",K22="",M22="",O22="",Q22="",Z22="",AD22="",AF22="",AH22="",AJ22=""),"",
IF(BY22&lt;&gt;"",SPILLOVERNUMBER,
_xlfn.LET(
_xlpm.Program, IF(Program_Banner= "Business Energy Savings", 2, IF(Program_Banner="Small Business / Non-Profit", 3, "#")),
_xlpm.Location, INDEX( LOCATIONTYPE[Measure Number], MATCH(E22, LOCATIONTYPE[Location Type], 0)),
_xlpm.Eff_Desc_1, INDEX(CMLIGHTEFF[Measure Number],MATCH(S22,CMLIGHTEFF[Eff Desc 1],0)),
"11" &amp; _xlpm.Program &amp; "2" &amp; _xlpm.Location &amp; _xlpm.Eff_Desc_1
)))</f>
        <v/>
      </c>
      <c r="BX22" s="757" t="str" cm="1">
        <f t="array" ref="BX22">IFERROR(INDEX(_xlfn.SWITCH(Program_Banner,"Business Energy Savings",ENDUSEALL[Primary Key WBE],"Small Business / Non-Profit",ENDUSEALL[Primary Key HTRB],0),MATCH(BC22,ENDUSEALL[End Use to Coincident Peak Demand Factors],0)),"")</f>
        <v/>
      </c>
      <c r="BY22" s="757" t="str">
        <f ca="1">IFERROR(
IF(EXPIRATION&lt;&gt;"",PROJSTATEXP,
IF(BP22&gt;0,"",
IF(OR(M02S04F06="",M02S04F06="Select Rate Code",M02S04F06=0),MEASURERATE,
IF(M02S04F19="",MEASUREBLDG,
IF(BA22-BB22&lt;=0,MEASURESAVE,
IF(PAYCUSE&lt;PAYBACKREQ,PROJECTSTATPAYBACK,
IF(CBCUSE&lt;CBREQ,PROJECTSTATCB,""))))))),
MEASURESUBMIT)</f>
        <v>Enter Utility Rate</v>
      </c>
      <c r="BZ22" s="753"/>
      <c r="CA22" s="753"/>
      <c r="CB22" s="753"/>
      <c r="CC22" s="753"/>
    </row>
    <row r="23" spans="1:81" ht="15.95" customHeight="1">
      <c r="B23" s="785"/>
      <c r="C23" s="1012"/>
      <c r="D23" s="1014"/>
      <c r="E23" s="1012"/>
      <c r="F23" s="1054"/>
      <c r="G23" s="1041"/>
      <c r="H23" s="1013"/>
      <c r="I23" s="1013"/>
      <c r="J23" s="1014"/>
      <c r="K23" s="1012"/>
      <c r="L23" s="1014"/>
      <c r="M23" s="1034"/>
      <c r="N23" s="1035"/>
      <c r="O23" s="1008"/>
      <c r="P23" s="1008"/>
      <c r="Q23" s="1028"/>
      <c r="R23" s="1029"/>
      <c r="S23" s="1041"/>
      <c r="T23" s="1013"/>
      <c r="U23" s="1013"/>
      <c r="V23" s="1014"/>
      <c r="W23" s="1012"/>
      <c r="X23" s="1013"/>
      <c r="Y23" s="1013"/>
      <c r="Z23" s="1012"/>
      <c r="AA23" s="1013"/>
      <c r="AB23" s="1013"/>
      <c r="AC23" s="1014"/>
      <c r="AD23" s="1034"/>
      <c r="AE23" s="1035"/>
      <c r="AF23" s="1044"/>
      <c r="AG23" s="1045"/>
      <c r="AH23" s="1020"/>
      <c r="AI23" s="1021"/>
      <c r="AJ23" s="1024"/>
      <c r="AK23" s="1025"/>
      <c r="AL23" s="1006"/>
      <c r="AM23" s="1007"/>
      <c r="AN23" s="1007"/>
      <c r="AO23" s="997"/>
      <c r="AP23" s="998"/>
      <c r="AQ23" s="999"/>
      <c r="AR23" s="1001"/>
      <c r="AS23" s="1001"/>
      <c r="AT23" s="1001"/>
      <c r="AU23" s="1001"/>
      <c r="AX23" s="774"/>
      <c r="AY23" s="760"/>
      <c r="AZ23" s="760"/>
      <c r="BA23" s="772"/>
      <c r="BB23" s="772"/>
      <c r="BC23" s="774"/>
      <c r="BD23" s="758"/>
      <c r="BE23" s="776"/>
      <c r="BF23" s="776"/>
      <c r="BG23" s="776"/>
      <c r="BH23" s="762"/>
      <c r="BI23" s="762"/>
      <c r="BJ23" s="778"/>
      <c r="BK23" s="768"/>
      <c r="BL23" s="768"/>
      <c r="BM23" s="766"/>
      <c r="BN23" s="764"/>
      <c r="BO23" s="764"/>
      <c r="BP23" s="770"/>
      <c r="BQ23" s="766"/>
      <c r="BR23" s="768"/>
      <c r="BS23" s="766"/>
      <c r="BT23" s="766"/>
      <c r="BU23" s="758"/>
      <c r="BV23" s="768"/>
      <c r="BW23" s="758"/>
      <c r="BX23" s="758"/>
      <c r="BY23" s="758"/>
      <c r="BZ23" s="754"/>
      <c r="CA23" s="754"/>
      <c r="CB23" s="754"/>
      <c r="CC23" s="754"/>
    </row>
    <row r="24" spans="1:81" ht="15.95" customHeight="1">
      <c r="B24" s="785">
        <v>4</v>
      </c>
      <c r="C24" s="1050"/>
      <c r="D24" s="1050"/>
      <c r="E24" s="1050"/>
      <c r="F24" s="1012"/>
      <c r="G24" s="1004"/>
      <c r="H24" s="1002"/>
      <c r="I24" s="1002"/>
      <c r="J24" s="1002"/>
      <c r="K24" s="1002"/>
      <c r="L24" s="1002"/>
      <c r="M24" s="989"/>
      <c r="N24" s="989"/>
      <c r="O24" s="1008" t="str">
        <f>IFERROR(IF(G24="","",INDEX(CMLIGHTBASE[Base Watt 1],MATCH(G24,CMLIGHTBASE[Base Desc 1],0))),"")</f>
        <v/>
      </c>
      <c r="P24" s="1008"/>
      <c r="Q24" s="1015"/>
      <c r="R24" s="1016"/>
      <c r="S24" s="1017"/>
      <c r="T24" s="1002"/>
      <c r="U24" s="1002"/>
      <c r="V24" s="1002"/>
      <c r="W24" s="1009"/>
      <c r="X24" s="1010"/>
      <c r="Y24" s="1010"/>
      <c r="Z24" s="1009"/>
      <c r="AA24" s="1010"/>
      <c r="AB24" s="1010"/>
      <c r="AC24" s="1011"/>
      <c r="AD24" s="989"/>
      <c r="AE24" s="989"/>
      <c r="AF24" s="990"/>
      <c r="AG24" s="991"/>
      <c r="AH24" s="992"/>
      <c r="AI24" s="993"/>
      <c r="AJ24" s="993"/>
      <c r="AK24" s="1005"/>
      <c r="AL24" s="1006" t="str">
        <f>IF(OR(C24="",E24="",G24="",K24="",M24="",O24="",Q24="",S24="",Z24="",AD24="",AF24="",AH24="",AJ24=""),"",ROUND(AH24+AJ24,2))</f>
        <v/>
      </c>
      <c r="AM24" s="1007"/>
      <c r="AN24" s="1007"/>
      <c r="AO24" s="994" t="str">
        <f t="shared" ref="AO24" si="18">IF(OR(C24="",E24="",G24="",K24="",M24="",O24="",Q24="",S24="",Z24="",AD24="",AF24="",AH24="",AJ24=""),"",IF(BA24-BB24&lt;=0,0,BA24-BB24))</f>
        <v/>
      </c>
      <c r="AP24" s="995"/>
      <c r="AQ24" s="996"/>
      <c r="AR24" s="1000" t="str">
        <f>IF(OR(C24="",E24="",G24="",K24="",M24="",O24="",Q24="",S24="",Z24="",AD24="",AF24="",AH24="",AJ24=""),"", IF(BY24&lt;&gt;"", BY24, IF(BP24&gt;0,BP24, IF(ACTIVEBLOCK="Yes",ROUND(MIN(AL24*0.75,AO24*BLOCKBIDRATE),2),ROUND(MIN(AL24*0.75,BR24),2)))))</f>
        <v/>
      </c>
      <c r="AS24" s="1000"/>
      <c r="AT24" s="1000"/>
      <c r="AU24" s="1000"/>
      <c r="AX24" s="773" t="str">
        <f>IF(S24="","",
_xlfn.LET( _xlpm.Unit, INDEX(CMLIGHTEFF[Unit],MATCH(S24,CMLIGHTEFF[Eff Desc 1],0)),
IFERROR(_xlpm.Unit,"")))</f>
        <v/>
      </c>
      <c r="AY24" s="759" t="str">
        <f t="shared" ref="AY24" si="19">IF(M24="", "", M24)</f>
        <v/>
      </c>
      <c r="AZ24" s="759" t="str">
        <f t="shared" ref="AZ24" si="20">IF(AD24="", "", AD24)</f>
        <v/>
      </c>
      <c r="BA24" s="771" t="str">
        <f>IF(OR(C24="",E24="",G24="",K24="",M24="",O24="",Q24="",S24="",Z24="",AD24="",AF24="",AH24="",AJ24=""),"",
IF(OR(ISNUMBER(SEARCH("Exterior",E24)),ISNUMBER(SEARCH("Garage",E24)),M02S04F22="Unconditioned",M02S04F22="Electric Heat Only",M02S04F22="Natural Gas Heat Only"),ROUND(M24*O24*Q24/1000,4),
ROUND(M24*O24*Q24/1000*INDEX(BUILDINGTYPE[Waste Heat Factor (e)],MATCH(M02S04F19,BUILDINGTYPE[Building Type],0)),4)))</f>
        <v/>
      </c>
      <c r="BB24" s="771" t="str">
        <f>IF(OR(C24="",E24="",G24="",K24="",M24="",O24="",Q24="",S24="",Z24="",AD24="",AF24="",AH24="",AJ24=""),"",
IF(OR(ISNUMBER(SEARCH("Exterior",E24)),ISNUMBER(SEARCH("Garage",E24)),M02S04F22="Unconditioned",M02S04F22="Electric Heat Only",M02S04F22="Natural Gas Heat Only"),ROUND(AD24*AF24*Q24/1000,4),
ROUND(AD24*AF24*Q24/1000*INDEX(BUILDINGTYPE[Waste Heat Factor (e)],MATCH(M02S04F19,BUILDINGTYPE[Building Type],0)),4)))</f>
        <v/>
      </c>
      <c r="BC24" s="773" t="str">
        <f t="shared" ref="BC24" si="21">IF(OR(E24="",G24="",S24=""),"",IF(ISNUMBER(SEARCH("24/7",E24)),"Ext Lighting w/ Peak",IF(E24="Interior","Interior Lighting",IF(OR(E24="Garage",E24="Exterior"),"Ext Lighting w/o Peak","Err"))))</f>
        <v/>
      </c>
      <c r="BD24" s="757" t="str">
        <f t="shared" ref="BD24" si="22">IF(BE24&lt;&gt;"", "Calculated", "")</f>
        <v/>
      </c>
      <c r="BE24" s="775" t="str">
        <f t="shared" ref="BE24" si="23">IF(AND(BA24&lt;&gt;"", BB24&lt;&gt;""), ROUND(BA24-BB24,4), "")</f>
        <v/>
      </c>
      <c r="BF24" s="775" t="str">
        <f>IFERROR(IF(OR(C24="",E24="",G24="",K24="",M24="",O24="",Q24="",Z24="",AD24="",AF24="",AH24="",AJ24=""),"",IF(OR(E24="Garage",E24="Exterior"),0,
IF(OR(ISNUMBER(SEARCH("Garage",E24)),M02S04F22="Unconditioned",M02S04F22="Electric Heat Only",M02S04F22="Natural Gas Heat Only"),ROUND((((M24*O24)-(AD24*AF24))/1000)*INDEX(BUILDINGTYPE[Lighting Coincidence Factor],MATCH(M02S04F19,BUILDINGTYPE[Building Type],0)),4),
ROUND((((M24*O24)-(AD24*AF24))/1000)*INDEX(BUILDINGTYPE[WHFd],MATCH(M02S04F19,BUILDINGTYPE[Building Type],0))*INDEX(BUILDINGTYPE[Lighting Coincidence Factor],MATCH(M02S04F19,BUILDINGTYPE[Building Type],0)),4)))),"")</f>
        <v/>
      </c>
      <c r="BG24" s="775" t="str">
        <f>IFERROR(IF(OR(C24="",E24="",G24="",K24="",M24="",O24="",Q24="",Z24="",AD24="",AF24="",AH24="",AJ24=""),"",ROUND(AO24*INDEX(ENDUSEALL[Factor],MATCH(BC24,ENDUSEALL[End Use to Coincident Peak Demand Factors],0)),4)),"")</f>
        <v/>
      </c>
      <c r="BH24" s="761"/>
      <c r="BI24" s="761"/>
      <c r="BJ24" s="777" t="str">
        <f>IF(OR(G24="",S24=""),"",IF(INDEX(CMLIGHTEFF[EUL],MATCH(S24,CMLIGHTEFF[Eff Desc 1],0))="","",INDEX(CMLIGHTEFF[EUL],MATCH(S24,CMLIGHTEFF[Eff Desc 1],0))))</f>
        <v/>
      </c>
      <c r="BK24" s="767" t="str">
        <f>IFERROR(IF(OR(C24="",E24="",G24="",K24="",M24="",O24="",Q24="",Z24="",AD24="",AF24="",AH24="",AJ24=""),"",
ROUND(((1+ELOSS)*((AO24*INDEX(ELECCB[NPV AEC $/kWh],MATCH(BJ24,ELECCB[Year Number],1)))+(BG24*INDEX(ELECCB[NPV ACC $/kW],MATCH(BJ24,ELECCB[Year Number],1))))),2)),0)</f>
        <v/>
      </c>
      <c r="BL24" s="767" t="str">
        <f t="shared" si="2"/>
        <v/>
      </c>
      <c r="BM24" s="765"/>
      <c r="BN24" s="763" t="str">
        <f t="shared" si="3"/>
        <v/>
      </c>
      <c r="BO24" s="763" t="str">
        <f>IFERROR(IF(BM24 &lt;&gt; "", BM24, BL24) / M02S04F06 / AO24, "")</f>
        <v/>
      </c>
      <c r="BP24" s="769"/>
      <c r="BQ24" s="765"/>
      <c r="BR24" s="767" t="str">
        <f t="shared" ref="BR24" si="24">IFERROR(ROUND(AO24*BV24,2),"")</f>
        <v/>
      </c>
      <c r="BS24" s="765"/>
      <c r="BT24" s="765"/>
      <c r="BU24" s="757" t="str">
        <f>IFERROR(IF(BP24="", IF(AND(ROUND(AR24/AL24,2)=TOTCOSTCAP, BR24/AL24&gt;TOTCOSTCAP),"75% Total Cost",
IF(FALSE,"100% Incremental Cost",
IF(BV24&lt;KWHRATEMIN, "kWh Incentive Rate Min",
IF(BV24&gt;KWHRATEMAX,"kWh Incentive Rate Cap",
IF(AR24=BT24,"Bonus Incentive",
"kWh Incentive"))))), ""),"")</f>
        <v/>
      </c>
      <c r="BV24" s="767"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57" t="str" cm="1">
        <f t="array" ref="BW24">IF(OR(C24="",E24="",G24="",K24="",M24="",O24="",Q24="",Z24="",AD24="",AF24="",AH24="",AJ24=""),"",
IF(BY24&lt;&gt;"",SPILLOVERNUMBER,
_xlfn.LET(
_xlpm.Program, IF(Program_Banner= "Business Energy Savings", 2, IF(Program_Banner="Small Business / Non-Profit", 3, "#")),
_xlpm.Location, INDEX( LOCATIONTYPE[Measure Number], MATCH(E24, LOCATIONTYPE[Location Type], 0)),
_xlpm.Eff_Desc_1, INDEX(CMLIGHTEFF[Measure Number],MATCH(S24,CMLIGHTEFF[Eff Desc 1],0)),
"11" &amp; _xlpm.Program &amp; "2" &amp; _xlpm.Location &amp; _xlpm.Eff_Desc_1
)))</f>
        <v/>
      </c>
      <c r="BX24" s="757" t="str" cm="1">
        <f t="array" ref="BX24">IFERROR(INDEX(_xlfn.SWITCH(Program_Banner,"Business Energy Savings",ENDUSEALL[Primary Key WBE],"Small Business / Non-Profit",ENDUSEALL[Primary Key HTRB],0),MATCH(BC24,ENDUSEALL[End Use to Coincident Peak Demand Factors],0)),"")</f>
        <v/>
      </c>
      <c r="BY24" s="757" t="str">
        <f ca="1">IFERROR(
IF(EXPIRATION&lt;&gt;"",PROJSTATEXP,
IF(BP24&gt;0,"",
IF(OR(M02S04F06="",M02S04F06="Select Rate Code",M02S04F06=0),MEASURERATE,
IF(M02S04F19="",MEASUREBLDG,
IF(BA24-BB24&lt;=0,MEASURESAVE,
IF(PAYCUSE&lt;PAYBACKREQ,PROJECTSTATPAYBACK,
IF(CBCUSE&lt;CBREQ,PROJECTSTATCB,""))))))),
MEASURESUBMIT)</f>
        <v>Enter Utility Rate</v>
      </c>
      <c r="BZ24" s="753"/>
      <c r="CA24" s="753"/>
      <c r="CB24" s="753"/>
      <c r="CC24" s="753"/>
    </row>
    <row r="25" spans="1:81" ht="15.95" customHeight="1">
      <c r="A25" s="75"/>
      <c r="B25" s="785"/>
      <c r="C25" s="1002"/>
      <c r="D25" s="1002"/>
      <c r="E25" s="1002"/>
      <c r="F25" s="1003"/>
      <c r="G25" s="1004"/>
      <c r="H25" s="1002"/>
      <c r="I25" s="1002"/>
      <c r="J25" s="1002"/>
      <c r="K25" s="1002"/>
      <c r="L25" s="1002"/>
      <c r="M25" s="989"/>
      <c r="N25" s="989"/>
      <c r="O25" s="1008"/>
      <c r="P25" s="1008"/>
      <c r="Q25" s="1015"/>
      <c r="R25" s="1016"/>
      <c r="S25" s="1017"/>
      <c r="T25" s="1002"/>
      <c r="U25" s="1002"/>
      <c r="V25" s="1002"/>
      <c r="W25" s="1012"/>
      <c r="X25" s="1013"/>
      <c r="Y25" s="1013"/>
      <c r="Z25" s="1012"/>
      <c r="AA25" s="1013"/>
      <c r="AB25" s="1013"/>
      <c r="AC25" s="1014"/>
      <c r="AD25" s="989"/>
      <c r="AE25" s="989"/>
      <c r="AF25" s="990"/>
      <c r="AG25" s="991"/>
      <c r="AH25" s="992"/>
      <c r="AI25" s="993"/>
      <c r="AJ25" s="993"/>
      <c r="AK25" s="1005"/>
      <c r="AL25" s="1006"/>
      <c r="AM25" s="1007"/>
      <c r="AN25" s="1007"/>
      <c r="AO25" s="997"/>
      <c r="AP25" s="998"/>
      <c r="AQ25" s="999"/>
      <c r="AR25" s="1001"/>
      <c r="AS25" s="1001"/>
      <c r="AT25" s="1001"/>
      <c r="AU25" s="1001"/>
      <c r="AX25" s="774"/>
      <c r="AY25" s="760"/>
      <c r="AZ25" s="760"/>
      <c r="BA25" s="772"/>
      <c r="BB25" s="772"/>
      <c r="BC25" s="774"/>
      <c r="BD25" s="758"/>
      <c r="BE25" s="776"/>
      <c r="BF25" s="776"/>
      <c r="BG25" s="776"/>
      <c r="BH25" s="762"/>
      <c r="BI25" s="762"/>
      <c r="BJ25" s="778"/>
      <c r="BK25" s="768"/>
      <c r="BL25" s="768"/>
      <c r="BM25" s="766"/>
      <c r="BN25" s="764"/>
      <c r="BO25" s="764"/>
      <c r="BP25" s="770"/>
      <c r="BQ25" s="766"/>
      <c r="BR25" s="768"/>
      <c r="BS25" s="766"/>
      <c r="BT25" s="766"/>
      <c r="BU25" s="758"/>
      <c r="BV25" s="768"/>
      <c r="BW25" s="758"/>
      <c r="BX25" s="758"/>
      <c r="BY25" s="758"/>
      <c r="BZ25" s="754"/>
      <c r="CA25" s="754"/>
      <c r="CB25" s="754"/>
      <c r="CC25" s="754"/>
    </row>
    <row r="26" spans="1:81" ht="15.95" customHeight="1">
      <c r="B26" s="785">
        <v>5</v>
      </c>
      <c r="C26" s="1002"/>
      <c r="D26" s="1002"/>
      <c r="E26" s="1002"/>
      <c r="F26" s="1003"/>
      <c r="G26" s="1004"/>
      <c r="H26" s="1002"/>
      <c r="I26" s="1002"/>
      <c r="J26" s="1002"/>
      <c r="K26" s="1002"/>
      <c r="L26" s="1002"/>
      <c r="M26" s="989"/>
      <c r="N26" s="989"/>
      <c r="O26" s="1008" t="str">
        <f>IFERROR(IF(G26="","",INDEX(CMLIGHTBASE[Base Watt 1],MATCH(G26,CMLIGHTBASE[Base Desc 1],0))),"")</f>
        <v/>
      </c>
      <c r="P26" s="1008"/>
      <c r="Q26" s="1015"/>
      <c r="R26" s="1016"/>
      <c r="S26" s="1017"/>
      <c r="T26" s="1002"/>
      <c r="U26" s="1002"/>
      <c r="V26" s="1002"/>
      <c r="W26" s="1009"/>
      <c r="X26" s="1010"/>
      <c r="Y26" s="1010"/>
      <c r="Z26" s="1009"/>
      <c r="AA26" s="1010"/>
      <c r="AB26" s="1010"/>
      <c r="AC26" s="1011"/>
      <c r="AD26" s="989"/>
      <c r="AE26" s="989"/>
      <c r="AF26" s="990"/>
      <c r="AG26" s="991"/>
      <c r="AH26" s="992"/>
      <c r="AI26" s="993"/>
      <c r="AJ26" s="993"/>
      <c r="AK26" s="1005"/>
      <c r="AL26" s="1006" t="str">
        <f>IF(OR(C26="",E26="",G26="",K26="",M26="",O26="",Q26="",S26="",Z26="",AD26="",AF26="",AH26="",AJ26=""),"",ROUND(AH26+AJ26,2))</f>
        <v/>
      </c>
      <c r="AM26" s="1007"/>
      <c r="AN26" s="1007"/>
      <c r="AO26" s="994" t="str">
        <f t="shared" ref="AO26" si="25">IF(OR(C26="",E26="",G26="",K26="",M26="",O26="",Q26="",S26="",Z26="",AD26="",AF26="",AH26="",AJ26=""),"",IF(BA26-BB26&lt;=0,0,BA26-BB26))</f>
        <v/>
      </c>
      <c r="AP26" s="995"/>
      <c r="AQ26" s="996"/>
      <c r="AR26" s="1000" t="str">
        <f>IF(OR(C26="",E26="",G26="",K26="",M26="",O26="",Q26="",S26="",Z26="",AD26="",AF26="",AH26="",AJ26=""),"", IF(BY26&lt;&gt;"", BY26, IF(BP26&gt;0,BP26, IF(ACTIVEBLOCK="Yes",ROUND(MIN(AL26*0.75,AO26*BLOCKBIDRATE),2),ROUND(MIN(AL26*0.75,BR26),2)))))</f>
        <v/>
      </c>
      <c r="AS26" s="1000"/>
      <c r="AT26" s="1000"/>
      <c r="AU26" s="1000"/>
      <c r="AX26" s="773" t="str">
        <f>IF(S26="","",
_xlfn.LET( _xlpm.Unit, INDEX(CMLIGHTEFF[Unit],MATCH(S26,CMLIGHTEFF[Eff Desc 1],0)),
IFERROR(_xlpm.Unit,"")))</f>
        <v/>
      </c>
      <c r="AY26" s="759" t="str">
        <f t="shared" ref="AY26" si="26">IF(M26="", "", M26)</f>
        <v/>
      </c>
      <c r="AZ26" s="759" t="str">
        <f t="shared" ref="AZ26" si="27">IF(AD26="", "", AD26)</f>
        <v/>
      </c>
      <c r="BA26" s="771" t="str">
        <f>IF(OR(C26="",E26="",G26="",K26="",M26="",O26="",Q26="",S26="",Z26="",AD26="",AF26="",AH26="",AJ26=""),"",
IF(OR(ISNUMBER(SEARCH("Exterior",E26)),ISNUMBER(SEARCH("Garage",E26)),M02S04F22="Unconditioned",M02S04F22="Electric Heat Only",M02S04F22="Natural Gas Heat Only"),ROUND(M26*O26*Q26/1000,4),
ROUND(M26*O26*Q26/1000*INDEX(BUILDINGTYPE[Waste Heat Factor (e)],MATCH(M02S04F19,BUILDINGTYPE[Building Type],0)),4)))</f>
        <v/>
      </c>
      <c r="BB26" s="771" t="str">
        <f>IF(OR(C26="",E26="",G26="",K26="",M26="",O26="",Q26="",S26="",Z26="",AD26="",AF26="",AH26="",AJ26=""),"",
IF(OR(ISNUMBER(SEARCH("Exterior",E26)),ISNUMBER(SEARCH("Garage",E26)),M02S04F22="Unconditioned",M02S04F22="Electric Heat Only",M02S04F22="Natural Gas Heat Only"),ROUND(AD26*AF26*Q26/1000,4),
ROUND(AD26*AF26*Q26/1000*INDEX(BUILDINGTYPE[Waste Heat Factor (e)],MATCH(M02S04F19,BUILDINGTYPE[Building Type],0)),4)))</f>
        <v/>
      </c>
      <c r="BC26" s="773" t="str">
        <f t="shared" ref="BC26" si="28">IF(OR(E26="",G26="",S26=""),"",IF(ISNUMBER(SEARCH("24/7",E26)),"Ext Lighting w/ Peak",IF(E26="Interior","Interior Lighting",IF(OR(E26="Garage",E26="Exterior"),"Ext Lighting w/o Peak","Err"))))</f>
        <v/>
      </c>
      <c r="BD26" s="757" t="str">
        <f t="shared" ref="BD26" si="29">IF(BE26&lt;&gt;"", "Calculated", "")</f>
        <v/>
      </c>
      <c r="BE26" s="775" t="str">
        <f t="shared" ref="BE26" si="30">IF(AND(BA26&lt;&gt;"", BB26&lt;&gt;""), ROUND(BA26-BB26,4), "")</f>
        <v/>
      </c>
      <c r="BF26" s="775" t="str">
        <f>IFERROR(IF(OR(C26="",E26="",G26="",K26="",M26="",O26="",Q26="",Z26="",AD26="",AF26="",AH26="",AJ26=""),"",IF(OR(E26="Garage",E26="Exterior"),0,
IF(OR(ISNUMBER(SEARCH("Garage",E26)),M02S04F22="Unconditioned",M02S04F22="Electric Heat Only",M02S04F22="Natural Gas Heat Only"),ROUND((((M26*O26)-(AD26*AF26))/1000)*INDEX(BUILDINGTYPE[Lighting Coincidence Factor],MATCH(M02S04F19,BUILDINGTYPE[Building Type],0)),4),
ROUND((((M26*O26)-(AD26*AF26))/1000)*INDEX(BUILDINGTYPE[WHFd],MATCH(M02S04F19,BUILDINGTYPE[Building Type],0))*INDEX(BUILDINGTYPE[Lighting Coincidence Factor],MATCH(M02S04F19,BUILDINGTYPE[Building Type],0)),4)))),"")</f>
        <v/>
      </c>
      <c r="BG26" s="775" t="str">
        <f>IFERROR(IF(OR(C26="",E26="",G26="",K26="",M26="",O26="",Q26="",Z26="",AD26="",AF26="",AH26="",AJ26=""),"",ROUND(AO26*INDEX(ENDUSEALL[Factor],MATCH(BC26,ENDUSEALL[End Use to Coincident Peak Demand Factors],0)),4)),"")</f>
        <v/>
      </c>
      <c r="BH26" s="761"/>
      <c r="BI26" s="761"/>
      <c r="BJ26" s="777" t="str">
        <f>IF(OR(G26="",S26=""),"",IF(INDEX(CMLIGHTEFF[EUL],MATCH(S26,CMLIGHTEFF[Eff Desc 1],0))="","",INDEX(CMLIGHTEFF[EUL],MATCH(S26,CMLIGHTEFF[Eff Desc 1],0))))</f>
        <v/>
      </c>
      <c r="BK26" s="767" t="str">
        <f>IFERROR(IF(OR(C26="",E26="",G26="",K26="",M26="",O26="",Q26="",Z26="",AD26="",AF26="",AH26="",AJ26=""),"",
ROUND(((1+ELOSS)*((AO26*INDEX(ELECCB[NPV AEC $/kWh],MATCH(BJ26,ELECCB[Year Number],1)))+(BG26*INDEX(ELECCB[NPV ACC $/kW],MATCH(BJ26,ELECCB[Year Number],1))))),2)),0)</f>
        <v/>
      </c>
      <c r="BL26" s="767" t="str">
        <f t="shared" si="2"/>
        <v/>
      </c>
      <c r="BM26" s="765"/>
      <c r="BN26" s="763" t="str">
        <f t="shared" si="3"/>
        <v/>
      </c>
      <c r="BO26" s="763" t="str">
        <f>IFERROR(IF(BM26 &lt;&gt; "", BM26, BL26) / M02S04F06 / AO26, "")</f>
        <v/>
      </c>
      <c r="BP26" s="769"/>
      <c r="BQ26" s="765"/>
      <c r="BR26" s="767" t="str">
        <f t="shared" ref="BR26" si="31">IFERROR(ROUND(AO26*BV26,2),"")</f>
        <v/>
      </c>
      <c r="BS26" s="765"/>
      <c r="BT26" s="765"/>
      <c r="BU26" s="757" t="str">
        <f>IFERROR(IF(BP26="", IF(AND(ROUND(AR26/AL26,2)=TOTCOSTCAP, BR26/AL26&gt;TOTCOSTCAP),"75% Total Cost",
IF(FALSE,"100% Incremental Cost",
IF(BV26&lt;KWHRATEMIN, "kWh Incentive Rate Min",
IF(BV26&gt;KWHRATEMAX,"kWh Incentive Rate Cap",
IF(AR26=BT26,"Bonus Incentive",
"kWh Incentive"))))), ""),"")</f>
        <v/>
      </c>
      <c r="BV26" s="767"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57" t="str" cm="1">
        <f t="array" ref="BW26">IF(OR(C26="",E26="",G26="",K26="",M26="",O26="",Q26="",Z26="",AD26="",AF26="",AH26="",AJ26=""),"",
IF(BY26&lt;&gt;"",SPILLOVERNUMBER,
_xlfn.LET(
_xlpm.Program, IF(Program_Banner= "Business Energy Savings", 2, IF(Program_Banner="Small Business / Non-Profit", 3, "#")),
_xlpm.Location, INDEX( LOCATIONTYPE[Measure Number], MATCH(E26, LOCATIONTYPE[Location Type], 0)),
_xlpm.Eff_Desc_1, INDEX(CMLIGHTEFF[Measure Number],MATCH(S26,CMLIGHTEFF[Eff Desc 1],0)),
"11" &amp; _xlpm.Program &amp; "2" &amp; _xlpm.Location &amp; _xlpm.Eff_Desc_1
)))</f>
        <v/>
      </c>
      <c r="BX26" s="757" t="str" cm="1">
        <f t="array" ref="BX26">IFERROR(INDEX(_xlfn.SWITCH(Program_Banner,"Business Energy Savings",ENDUSEALL[Primary Key WBE],"Small Business / Non-Profit",ENDUSEALL[Primary Key HTRB],0),MATCH(BC26,ENDUSEALL[End Use to Coincident Peak Demand Factors],0)),"")</f>
        <v/>
      </c>
      <c r="BY26" s="757" t="str">
        <f ca="1">IFERROR(
IF(EXPIRATION&lt;&gt;"",PROJSTATEXP,
IF(BP26&gt;0,"",
IF(OR(M02S04F06="",M02S04F06="Select Rate Code",M02S04F06=0),MEASURERATE,
IF(M02S04F19="",MEASUREBLDG,
IF(BA26-BB26&lt;=0,MEASURESAVE,
IF(PAYCUSE&lt;PAYBACKREQ,PROJECTSTATPAYBACK,
IF(CBCUSE&lt;CBREQ,PROJECTSTATCB,""))))))),
MEASURESUBMIT)</f>
        <v>Enter Utility Rate</v>
      </c>
      <c r="BZ26" s="753"/>
      <c r="CA26" s="753"/>
      <c r="CB26" s="753"/>
      <c r="CC26" s="753"/>
    </row>
    <row r="27" spans="1:81" ht="15.95" customHeight="1">
      <c r="B27" s="785"/>
      <c r="C27" s="1002"/>
      <c r="D27" s="1002"/>
      <c r="E27" s="1002"/>
      <c r="F27" s="1003"/>
      <c r="G27" s="1004"/>
      <c r="H27" s="1002"/>
      <c r="I27" s="1002"/>
      <c r="J27" s="1002"/>
      <c r="K27" s="1002"/>
      <c r="L27" s="1002"/>
      <c r="M27" s="989"/>
      <c r="N27" s="989"/>
      <c r="O27" s="1008"/>
      <c r="P27" s="1008"/>
      <c r="Q27" s="1015"/>
      <c r="R27" s="1016"/>
      <c r="S27" s="1017"/>
      <c r="T27" s="1002"/>
      <c r="U27" s="1002"/>
      <c r="V27" s="1002"/>
      <c r="W27" s="1012"/>
      <c r="X27" s="1013"/>
      <c r="Y27" s="1013"/>
      <c r="Z27" s="1012"/>
      <c r="AA27" s="1013"/>
      <c r="AB27" s="1013"/>
      <c r="AC27" s="1014"/>
      <c r="AD27" s="989"/>
      <c r="AE27" s="989"/>
      <c r="AF27" s="990"/>
      <c r="AG27" s="991"/>
      <c r="AH27" s="992"/>
      <c r="AI27" s="993"/>
      <c r="AJ27" s="993"/>
      <c r="AK27" s="1005"/>
      <c r="AL27" s="1006"/>
      <c r="AM27" s="1007"/>
      <c r="AN27" s="1007"/>
      <c r="AO27" s="997"/>
      <c r="AP27" s="998"/>
      <c r="AQ27" s="999"/>
      <c r="AR27" s="1001"/>
      <c r="AS27" s="1001"/>
      <c r="AT27" s="1001"/>
      <c r="AU27" s="1001"/>
      <c r="AX27" s="774"/>
      <c r="AY27" s="760"/>
      <c r="AZ27" s="760"/>
      <c r="BA27" s="772"/>
      <c r="BB27" s="772"/>
      <c r="BC27" s="774"/>
      <c r="BD27" s="758"/>
      <c r="BE27" s="776"/>
      <c r="BF27" s="776"/>
      <c r="BG27" s="776"/>
      <c r="BH27" s="762"/>
      <c r="BI27" s="762"/>
      <c r="BJ27" s="778"/>
      <c r="BK27" s="768"/>
      <c r="BL27" s="768"/>
      <c r="BM27" s="766"/>
      <c r="BN27" s="764"/>
      <c r="BO27" s="764"/>
      <c r="BP27" s="770"/>
      <c r="BQ27" s="766"/>
      <c r="BR27" s="768"/>
      <c r="BS27" s="766"/>
      <c r="BT27" s="766"/>
      <c r="BU27" s="758"/>
      <c r="BV27" s="768"/>
      <c r="BW27" s="758"/>
      <c r="BX27" s="758"/>
      <c r="BY27" s="758"/>
      <c r="BZ27" s="754"/>
      <c r="CA27" s="754"/>
      <c r="CB27" s="754"/>
      <c r="CC27" s="754"/>
    </row>
    <row r="28" spans="1:81" ht="15.95" customHeight="1">
      <c r="B28" s="785">
        <v>6</v>
      </c>
      <c r="C28" s="1002"/>
      <c r="D28" s="1002"/>
      <c r="E28" s="1002"/>
      <c r="F28" s="1003"/>
      <c r="G28" s="1004"/>
      <c r="H28" s="1002"/>
      <c r="I28" s="1002"/>
      <c r="J28" s="1002"/>
      <c r="K28" s="1002"/>
      <c r="L28" s="1002"/>
      <c r="M28" s="989"/>
      <c r="N28" s="989"/>
      <c r="O28" s="1008" t="str">
        <f>IFERROR(IF(G28="","",INDEX(CMLIGHTBASE[Base Watt 1],MATCH(G28,CMLIGHTBASE[Base Desc 1],0))),"")</f>
        <v/>
      </c>
      <c r="P28" s="1008"/>
      <c r="Q28" s="1015"/>
      <c r="R28" s="1016"/>
      <c r="S28" s="1017"/>
      <c r="T28" s="1002"/>
      <c r="U28" s="1002"/>
      <c r="V28" s="1002"/>
      <c r="W28" s="1009"/>
      <c r="X28" s="1010"/>
      <c r="Y28" s="1010"/>
      <c r="Z28" s="1009"/>
      <c r="AA28" s="1010"/>
      <c r="AB28" s="1010"/>
      <c r="AC28" s="1011"/>
      <c r="AD28" s="989"/>
      <c r="AE28" s="989"/>
      <c r="AF28" s="990"/>
      <c r="AG28" s="991"/>
      <c r="AH28" s="992"/>
      <c r="AI28" s="993"/>
      <c r="AJ28" s="993"/>
      <c r="AK28" s="1005"/>
      <c r="AL28" s="1006" t="str">
        <f>IF(OR(C28="",E28="",G28="",K28="",M28="",O28="",Q28="",S28="",Z28="",AD28="",AF28="",AH28="",AJ28=""),"",ROUND(AH28+AJ28,2))</f>
        <v/>
      </c>
      <c r="AM28" s="1007"/>
      <c r="AN28" s="1007"/>
      <c r="AO28" s="994" t="str">
        <f t="shared" ref="AO28" si="32">IF(OR(C28="",E28="",G28="",K28="",M28="",O28="",Q28="",S28="",Z28="",AD28="",AF28="",AH28="",AJ28=""),"",IF(BA28-BB28&lt;=0,0,BA28-BB28))</f>
        <v/>
      </c>
      <c r="AP28" s="995"/>
      <c r="AQ28" s="996"/>
      <c r="AR28" s="1000" t="str">
        <f>IF(OR(C28="",E28="",G28="",K28="",M28="",O28="",Q28="",S28="",Z28="",AD28="",AF28="",AH28="",AJ28=""),"", IF(BY28&lt;&gt;"", BY28, IF(BP28&gt;0,BP28, IF(ACTIVEBLOCK="Yes",ROUND(MIN(AL28*0.75,AO28*BLOCKBIDRATE),2),ROUND(MIN(AL28*0.75,BR28),2)))))</f>
        <v/>
      </c>
      <c r="AS28" s="1000"/>
      <c r="AT28" s="1000"/>
      <c r="AU28" s="1000"/>
      <c r="AX28" s="773" t="str">
        <f>IF(S28="","",
_xlfn.LET( _xlpm.Unit, INDEX(CMLIGHTEFF[Unit],MATCH(S28,CMLIGHTEFF[Eff Desc 1],0)),
IFERROR(_xlpm.Unit,"")))</f>
        <v/>
      </c>
      <c r="AY28" s="759" t="str">
        <f t="shared" ref="AY28" si="33">IF(M28="", "", M28)</f>
        <v/>
      </c>
      <c r="AZ28" s="759" t="str">
        <f t="shared" ref="AZ28" si="34">IF(AD28="", "", AD28)</f>
        <v/>
      </c>
      <c r="BA28" s="771" t="str">
        <f>IF(OR(C28="",E28="",G28="",K28="",M28="",O28="",Q28="",S28="",Z28="",AD28="",AF28="",AH28="",AJ28=""),"",
IF(OR(ISNUMBER(SEARCH("Exterior",E28)),ISNUMBER(SEARCH("Garage",E28)),M02S04F22="Unconditioned",M02S04F22="Electric Heat Only",M02S04F22="Natural Gas Heat Only"),ROUND(M28*O28*Q28/1000,4),
ROUND(M28*O28*Q28/1000*INDEX(BUILDINGTYPE[Waste Heat Factor (e)],MATCH(M02S04F19,BUILDINGTYPE[Building Type],0)),4)))</f>
        <v/>
      </c>
      <c r="BB28" s="771" t="str">
        <f>IF(OR(C28="",E28="",G28="",K28="",M28="",O28="",Q28="",S28="",Z28="",AD28="",AF28="",AH28="",AJ28=""),"",
IF(OR(ISNUMBER(SEARCH("Exterior",E28)),ISNUMBER(SEARCH("Garage",E28)),M02S04F22="Unconditioned",M02S04F22="Electric Heat Only",M02S04F22="Natural Gas Heat Only"),ROUND(AD28*AF28*Q28/1000,4),
ROUND(AD28*AF28*Q28/1000*INDEX(BUILDINGTYPE[Waste Heat Factor (e)],MATCH(M02S04F19,BUILDINGTYPE[Building Type],0)),4)))</f>
        <v/>
      </c>
      <c r="BC28" s="773" t="str">
        <f t="shared" ref="BC28" si="35">IF(OR(E28="",G28="",S28=""),"",IF(ISNUMBER(SEARCH("24/7",E28)),"Ext Lighting w/ Peak",IF(E28="Interior","Interior Lighting",IF(OR(E28="Garage",E28="Exterior"),"Ext Lighting w/o Peak","Err"))))</f>
        <v/>
      </c>
      <c r="BD28" s="757" t="str">
        <f t="shared" ref="BD28" si="36">IF(BE28&lt;&gt;"", "Calculated", "")</f>
        <v/>
      </c>
      <c r="BE28" s="775" t="str">
        <f t="shared" ref="BE28" si="37">IF(AND(BA28&lt;&gt;"", BB28&lt;&gt;""), ROUND(BA28-BB28,4), "")</f>
        <v/>
      </c>
      <c r="BF28" s="775" t="str">
        <f>IFERROR(IF(OR(C28="",E28="",G28="",K28="",M28="",O28="",Q28="",Z28="",AD28="",AF28="",AH28="",AJ28=""),"",IF(OR(E28="Garage",E28="Exterior"),0,
IF(OR(ISNUMBER(SEARCH("Garage",E28)),M02S04F22="Unconditioned",M02S04F22="Electric Heat Only",M02S04F22="Natural Gas Heat Only"),ROUND((((M28*O28)-(AD28*AF28))/1000)*INDEX(BUILDINGTYPE[Lighting Coincidence Factor],MATCH(M02S04F19,BUILDINGTYPE[Building Type],0)),4),
ROUND((((M28*O28)-(AD28*AF28))/1000)*INDEX(BUILDINGTYPE[WHFd],MATCH(M02S04F19,BUILDINGTYPE[Building Type],0))*INDEX(BUILDINGTYPE[Lighting Coincidence Factor],MATCH(M02S04F19,BUILDINGTYPE[Building Type],0)),4)))),"")</f>
        <v/>
      </c>
      <c r="BG28" s="775" t="str">
        <f>IFERROR(IF(OR(C28="",E28="",G28="",K28="",M28="",O28="",Q28="",Z28="",AD28="",AF28="",AH28="",AJ28=""),"",ROUND(AO28*INDEX(ENDUSEALL[Factor],MATCH(BC28,ENDUSEALL[End Use to Coincident Peak Demand Factors],0)),4)),"")</f>
        <v/>
      </c>
      <c r="BH28" s="761"/>
      <c r="BI28" s="761"/>
      <c r="BJ28" s="777" t="str">
        <f>IF(OR(G28="",S28=""),"",IF(INDEX(CMLIGHTEFF[EUL],MATCH(S28,CMLIGHTEFF[Eff Desc 1],0))="","",INDEX(CMLIGHTEFF[EUL],MATCH(S28,CMLIGHTEFF[Eff Desc 1],0))))</f>
        <v/>
      </c>
      <c r="BK28" s="767" t="str">
        <f>IFERROR(IF(OR(C28="",E28="",G28="",K28="",M28="",O28="",Q28="",Z28="",AD28="",AF28="",AH28="",AJ28=""),"",
ROUND(((1+ELOSS)*((AO28*INDEX(ELECCB[NPV AEC $/kWh],MATCH(BJ28,ELECCB[Year Number],1)))+(BG28*INDEX(ELECCB[NPV ACC $/kW],MATCH(BJ28,ELECCB[Year Number],1))))),2)),0)</f>
        <v/>
      </c>
      <c r="BL28" s="767" t="str">
        <f t="shared" si="2"/>
        <v/>
      </c>
      <c r="BM28" s="765"/>
      <c r="BN28" s="763" t="str">
        <f t="shared" si="3"/>
        <v/>
      </c>
      <c r="BO28" s="763" t="str">
        <f>IFERROR(IF(BM28 &lt;&gt; "", BM28, BL28) / M02S04F06 / AO28, "")</f>
        <v/>
      </c>
      <c r="BP28" s="769"/>
      <c r="BQ28" s="765"/>
      <c r="BR28" s="767" t="str">
        <f t="shared" ref="BR28" si="38">IFERROR(ROUND(AO28*BV28,2),"")</f>
        <v/>
      </c>
      <c r="BS28" s="765"/>
      <c r="BT28" s="765"/>
      <c r="BU28" s="757" t="str">
        <f>IFERROR(IF(BP28="", IF(AND(ROUND(AR28/AL28,2)=TOTCOSTCAP, BR28/AL28&gt;TOTCOSTCAP),"75% Total Cost",
IF(FALSE,"100% Incremental Cost",
IF(BV28&lt;KWHRATEMIN, "kWh Incentive Rate Min",
IF(BV28&gt;KWHRATEMAX,"kWh Incentive Rate Cap",
IF(AR28=BT28,"Bonus Incentive",
"kWh Incentive"))))), ""),"")</f>
        <v/>
      </c>
      <c r="BV28" s="767"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57" t="str" cm="1">
        <f t="array" ref="BW28">IF(OR(C28="",E28="",G28="",K28="",M28="",O28="",Q28="",Z28="",AD28="",AF28="",AH28="",AJ28=""),"",
IF(BY28&lt;&gt;"",SPILLOVERNUMBER,
_xlfn.LET(
_xlpm.Program, IF(Program_Banner= "Business Energy Savings", 2, IF(Program_Banner="Small Business / Non-Profit", 3, "#")),
_xlpm.Location, INDEX( LOCATIONTYPE[Measure Number], MATCH(E28, LOCATIONTYPE[Location Type], 0)),
_xlpm.Eff_Desc_1, INDEX(CMLIGHTEFF[Measure Number],MATCH(S28,CMLIGHTEFF[Eff Desc 1],0)),
"11" &amp; _xlpm.Program &amp; "2" &amp; _xlpm.Location &amp; _xlpm.Eff_Desc_1
)))</f>
        <v/>
      </c>
      <c r="BX28" s="757" t="str" cm="1">
        <f t="array" ref="BX28">IFERROR(INDEX(_xlfn.SWITCH(Program_Banner,"Business Energy Savings",ENDUSEALL[Primary Key WBE],"Small Business / Non-Profit",ENDUSEALL[Primary Key HTRB],0),MATCH(BC28,ENDUSEALL[End Use to Coincident Peak Demand Factors],0)),"")</f>
        <v/>
      </c>
      <c r="BY28" s="757" t="str">
        <f ca="1">IFERROR(
IF(EXPIRATION&lt;&gt;"",PROJSTATEXP,
IF(BP28&gt;0,"",
IF(OR(M02S04F06="",M02S04F06="Select Rate Code",M02S04F06=0),MEASURERATE,
IF(M02S04F19="",MEASUREBLDG,
IF(BA28-BB28&lt;=0,MEASURESAVE,
IF(PAYCUSE&lt;PAYBACKREQ,PROJECTSTATPAYBACK,
IF(CBCUSE&lt;CBREQ,PROJECTSTATCB,""))))))),
MEASURESUBMIT)</f>
        <v>Enter Utility Rate</v>
      </c>
      <c r="BZ28" s="753"/>
      <c r="CA28" s="753"/>
      <c r="CB28" s="753"/>
      <c r="CC28" s="753"/>
    </row>
    <row r="29" spans="1:81" ht="15.95" customHeight="1">
      <c r="B29" s="785"/>
      <c r="C29" s="1002"/>
      <c r="D29" s="1002"/>
      <c r="E29" s="1002"/>
      <c r="F29" s="1003"/>
      <c r="G29" s="1004"/>
      <c r="H29" s="1002"/>
      <c r="I29" s="1002"/>
      <c r="J29" s="1002"/>
      <c r="K29" s="1002"/>
      <c r="L29" s="1002"/>
      <c r="M29" s="989"/>
      <c r="N29" s="989"/>
      <c r="O29" s="1008"/>
      <c r="P29" s="1008"/>
      <c r="Q29" s="1015"/>
      <c r="R29" s="1016"/>
      <c r="S29" s="1017"/>
      <c r="T29" s="1002"/>
      <c r="U29" s="1002"/>
      <c r="V29" s="1002"/>
      <c r="W29" s="1012"/>
      <c r="X29" s="1013"/>
      <c r="Y29" s="1013"/>
      <c r="Z29" s="1012"/>
      <c r="AA29" s="1013"/>
      <c r="AB29" s="1013"/>
      <c r="AC29" s="1014"/>
      <c r="AD29" s="989"/>
      <c r="AE29" s="989"/>
      <c r="AF29" s="990"/>
      <c r="AG29" s="991"/>
      <c r="AH29" s="992"/>
      <c r="AI29" s="993"/>
      <c r="AJ29" s="993"/>
      <c r="AK29" s="1005"/>
      <c r="AL29" s="1006"/>
      <c r="AM29" s="1007"/>
      <c r="AN29" s="1007"/>
      <c r="AO29" s="997"/>
      <c r="AP29" s="998"/>
      <c r="AQ29" s="999"/>
      <c r="AR29" s="1001"/>
      <c r="AS29" s="1001"/>
      <c r="AT29" s="1001"/>
      <c r="AU29" s="1001"/>
      <c r="AX29" s="774"/>
      <c r="AY29" s="760"/>
      <c r="AZ29" s="760"/>
      <c r="BA29" s="772"/>
      <c r="BB29" s="772"/>
      <c r="BC29" s="774"/>
      <c r="BD29" s="758"/>
      <c r="BE29" s="776"/>
      <c r="BF29" s="776"/>
      <c r="BG29" s="776"/>
      <c r="BH29" s="762"/>
      <c r="BI29" s="762"/>
      <c r="BJ29" s="778"/>
      <c r="BK29" s="768"/>
      <c r="BL29" s="768"/>
      <c r="BM29" s="766"/>
      <c r="BN29" s="764"/>
      <c r="BO29" s="764"/>
      <c r="BP29" s="770"/>
      <c r="BQ29" s="766"/>
      <c r="BR29" s="768"/>
      <c r="BS29" s="766"/>
      <c r="BT29" s="766"/>
      <c r="BU29" s="758"/>
      <c r="BV29" s="768"/>
      <c r="BW29" s="758"/>
      <c r="BX29" s="758"/>
      <c r="BY29" s="758"/>
      <c r="BZ29" s="754"/>
      <c r="CA29" s="754"/>
      <c r="CB29" s="754"/>
      <c r="CC29" s="754"/>
    </row>
    <row r="30" spans="1:81" ht="15.95" customHeight="1">
      <c r="B30" s="785">
        <v>7</v>
      </c>
      <c r="C30" s="1002"/>
      <c r="D30" s="1002"/>
      <c r="E30" s="1002"/>
      <c r="F30" s="1003"/>
      <c r="G30" s="1004"/>
      <c r="H30" s="1002"/>
      <c r="I30" s="1002"/>
      <c r="J30" s="1002"/>
      <c r="K30" s="1002"/>
      <c r="L30" s="1002"/>
      <c r="M30" s="989"/>
      <c r="N30" s="989"/>
      <c r="O30" s="1008" t="str">
        <f>IFERROR(IF(G30="","",INDEX(CMLIGHTBASE[Base Watt 1],MATCH(G30,CMLIGHTBASE[Base Desc 1],0))),"")</f>
        <v/>
      </c>
      <c r="P30" s="1008"/>
      <c r="Q30" s="1015"/>
      <c r="R30" s="1016"/>
      <c r="S30" s="1017"/>
      <c r="T30" s="1002"/>
      <c r="U30" s="1002"/>
      <c r="V30" s="1002"/>
      <c r="W30" s="1009"/>
      <c r="X30" s="1010"/>
      <c r="Y30" s="1010"/>
      <c r="Z30" s="1009"/>
      <c r="AA30" s="1010"/>
      <c r="AB30" s="1010"/>
      <c r="AC30" s="1011"/>
      <c r="AD30" s="989"/>
      <c r="AE30" s="989"/>
      <c r="AF30" s="990"/>
      <c r="AG30" s="991"/>
      <c r="AH30" s="992"/>
      <c r="AI30" s="993"/>
      <c r="AJ30" s="993"/>
      <c r="AK30" s="1005"/>
      <c r="AL30" s="1006" t="str">
        <f>IF(OR(C30="",E30="",G30="",K30="",M30="",O30="",Q30="",S30="",Z30="",AD30="",AF30="",AH30="",AJ30=""),"",ROUND(AH30+AJ30,2))</f>
        <v/>
      </c>
      <c r="AM30" s="1007"/>
      <c r="AN30" s="1007"/>
      <c r="AO30" s="994" t="str">
        <f t="shared" ref="AO30" si="39">IF(OR(C30="",E30="",G30="",K30="",M30="",O30="",Q30="",S30="",Z30="",AD30="",AF30="",AH30="",AJ30=""),"",IF(BA30-BB30&lt;=0,0,BA30-BB30))</f>
        <v/>
      </c>
      <c r="AP30" s="995"/>
      <c r="AQ30" s="996"/>
      <c r="AR30" s="1000" t="str">
        <f>IF(OR(C30="",E30="",G30="",K30="",M30="",O30="",Q30="",S30="",Z30="",AD30="",AF30="",AH30="",AJ30=""),"", IF(BY30&lt;&gt;"", BY30, IF(BP30&gt;0,BP30, IF(ACTIVEBLOCK="Yes",ROUND(MIN(AL30*0.75,AO30*BLOCKBIDRATE),2),ROUND(MIN(AL30*0.75,BR30),2)))))</f>
        <v/>
      </c>
      <c r="AS30" s="1000"/>
      <c r="AT30" s="1000"/>
      <c r="AU30" s="1000"/>
      <c r="AX30" s="773" t="str">
        <f>IF(S30="","",
_xlfn.LET( _xlpm.Unit, INDEX(CMLIGHTEFF[Unit],MATCH(S30,CMLIGHTEFF[Eff Desc 1],0)),
IFERROR(_xlpm.Unit,"")))</f>
        <v/>
      </c>
      <c r="AY30" s="759" t="str">
        <f t="shared" ref="AY30" si="40">IF(M30="", "", M30)</f>
        <v/>
      </c>
      <c r="AZ30" s="759" t="str">
        <f t="shared" ref="AZ30" si="41">IF(AD30="", "", AD30)</f>
        <v/>
      </c>
      <c r="BA30" s="771" t="str">
        <f>IF(OR(C30="",E30="",G30="",K30="",M30="",O30="",Q30="",S30="",Z30="",AD30="",AF30="",AH30="",AJ30=""),"",
IF(OR(ISNUMBER(SEARCH("Exterior",E30)),ISNUMBER(SEARCH("Garage",E30)),M02S04F22="Unconditioned",M02S04F22="Electric Heat Only",M02S04F22="Natural Gas Heat Only"),ROUND(M30*O30*Q30/1000,4),
ROUND(M30*O30*Q30/1000*INDEX(BUILDINGTYPE[Waste Heat Factor (e)],MATCH(M02S04F19,BUILDINGTYPE[Building Type],0)),4)))</f>
        <v/>
      </c>
      <c r="BB30" s="771" t="str">
        <f>IF(OR(C30="",E30="",G30="",K30="",M30="",O30="",Q30="",S30="",Z30="",AD30="",AF30="",AH30="",AJ30=""),"",
IF(OR(ISNUMBER(SEARCH("Exterior",E30)),ISNUMBER(SEARCH("Garage",E30)),M02S04F22="Unconditioned",M02S04F22="Electric Heat Only",M02S04F22="Natural Gas Heat Only"),ROUND(AD30*AF30*Q30/1000,4),
ROUND(AD30*AF30*Q30/1000*INDEX(BUILDINGTYPE[Waste Heat Factor (e)],MATCH(M02S04F19,BUILDINGTYPE[Building Type],0)),4)))</f>
        <v/>
      </c>
      <c r="BC30" s="773" t="str">
        <f t="shared" ref="BC30" si="42">IF(OR(E30="",G30="",S30=""),"",IF(ISNUMBER(SEARCH("24/7",E30)),"Ext Lighting w/ Peak",IF(E30="Interior","Interior Lighting",IF(OR(E30="Garage",E30="Exterior"),"Ext Lighting w/o Peak","Err"))))</f>
        <v/>
      </c>
      <c r="BD30" s="757" t="str">
        <f t="shared" ref="BD30" si="43">IF(BE30&lt;&gt;"", "Calculated", "")</f>
        <v/>
      </c>
      <c r="BE30" s="775" t="str">
        <f t="shared" ref="BE30" si="44">IF(AND(BA30&lt;&gt;"", BB30&lt;&gt;""), ROUND(BA30-BB30,4), "")</f>
        <v/>
      </c>
      <c r="BF30" s="775" t="str">
        <f>IFERROR(IF(OR(C30="",E30="",G30="",K30="",M30="",O30="",Q30="",Z30="",AD30="",AF30="",AH30="",AJ30=""),"",IF(OR(E30="Garage",E30="Exterior"),0,
IF(OR(ISNUMBER(SEARCH("Garage",E30)),M02S04F22="Unconditioned",M02S04F22="Electric Heat Only",M02S04F22="Natural Gas Heat Only"),ROUND((((M30*O30)-(AD30*AF30))/1000)*INDEX(BUILDINGTYPE[Lighting Coincidence Factor],MATCH(M02S04F19,BUILDINGTYPE[Building Type],0)),4),
ROUND((((M30*O30)-(AD30*AF30))/1000)*INDEX(BUILDINGTYPE[WHFd],MATCH(M02S04F19,BUILDINGTYPE[Building Type],0))*INDEX(BUILDINGTYPE[Lighting Coincidence Factor],MATCH(M02S04F19,BUILDINGTYPE[Building Type],0)),4)))),"")</f>
        <v/>
      </c>
      <c r="BG30" s="775" t="str">
        <f>IFERROR(IF(OR(C30="",E30="",G30="",K30="",M30="",O30="",Q30="",Z30="",AD30="",AF30="",AH30="",AJ30=""),"",ROUND(AO30*INDEX(ENDUSEALL[Factor],MATCH(BC30,ENDUSEALL[End Use to Coincident Peak Demand Factors],0)),4)),"")</f>
        <v/>
      </c>
      <c r="BH30" s="761"/>
      <c r="BI30" s="761"/>
      <c r="BJ30" s="777" t="str">
        <f>IF(OR(G30="",S30=""),"",IF(INDEX(CMLIGHTEFF[EUL],MATCH(S30,CMLIGHTEFF[Eff Desc 1],0))="","",INDEX(CMLIGHTEFF[EUL],MATCH(S30,CMLIGHTEFF[Eff Desc 1],0))))</f>
        <v/>
      </c>
      <c r="BK30" s="767" t="str">
        <f>IFERROR(IF(OR(C30="",E30="",G30="",K30="",M30="",O30="",Q30="",Z30="",AD30="",AF30="",AH30="",AJ30=""),"",
ROUND(((1+ELOSS)*((AO30*INDEX(ELECCB[NPV AEC $/kWh],MATCH(BJ30,ELECCB[Year Number],1)))+(BG30*INDEX(ELECCB[NPV ACC $/kW],MATCH(BJ30,ELECCB[Year Number],1))))),2)),0)</f>
        <v/>
      </c>
      <c r="BL30" s="767" t="str">
        <f t="shared" si="2"/>
        <v/>
      </c>
      <c r="BM30" s="765"/>
      <c r="BN30" s="763" t="str">
        <f t="shared" si="3"/>
        <v/>
      </c>
      <c r="BO30" s="763" t="str">
        <f>IFERROR(IF(BM30 &lt;&gt; "", BM30, BL30) / M02S04F06 / AO30, "")</f>
        <v/>
      </c>
      <c r="BP30" s="769"/>
      <c r="BQ30" s="765"/>
      <c r="BR30" s="767" t="str">
        <f t="shared" ref="BR30" si="45">IFERROR(ROUND(AO30*BV30,2),"")</f>
        <v/>
      </c>
      <c r="BS30" s="765"/>
      <c r="BT30" s="765"/>
      <c r="BU30" s="757" t="str">
        <f>IFERROR(IF(BP30="", IF(AND(ROUND(AR30/AL30,2)=TOTCOSTCAP, BR30/AL30&gt;TOTCOSTCAP),"75% Total Cost",
IF(FALSE,"100% Incremental Cost",
IF(BV30&lt;KWHRATEMIN, "kWh Incentive Rate Min",
IF(BV30&gt;KWHRATEMAX,"kWh Incentive Rate Cap",
IF(AR30=BT30,"Bonus Incentive",
"kWh Incentive"))))), ""),"")</f>
        <v/>
      </c>
      <c r="BV30" s="767"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57" t="str" cm="1">
        <f t="array" ref="BW30">IF(OR(C30="",E30="",G30="",K30="",M30="",O30="",Q30="",Z30="",AD30="",AF30="",AH30="",AJ30=""),"",
IF(BY30&lt;&gt;"",SPILLOVERNUMBER,
_xlfn.LET(
_xlpm.Program, IF(Program_Banner= "Business Energy Savings", 2, IF(Program_Banner="Small Business / Non-Profit", 3, "#")),
_xlpm.Location, INDEX( LOCATIONTYPE[Measure Number], MATCH(E30, LOCATIONTYPE[Location Type], 0)),
_xlpm.Eff_Desc_1, INDEX(CMLIGHTEFF[Measure Number],MATCH(S30,CMLIGHTEFF[Eff Desc 1],0)),
"11" &amp; _xlpm.Program &amp; "2" &amp; _xlpm.Location &amp; _xlpm.Eff_Desc_1
)))</f>
        <v/>
      </c>
      <c r="BX30" s="757" t="str" cm="1">
        <f t="array" ref="BX30">IFERROR(INDEX(_xlfn.SWITCH(Program_Banner,"Business Energy Savings",ENDUSEALL[Primary Key WBE],"Small Business / Non-Profit",ENDUSEALL[Primary Key HTRB],0),MATCH(BC30,ENDUSEALL[End Use to Coincident Peak Demand Factors],0)),"")</f>
        <v/>
      </c>
      <c r="BY30" s="757" t="str">
        <f ca="1">IFERROR(
IF(EXPIRATION&lt;&gt;"",PROJSTATEXP,
IF(BP30&gt;0,"",
IF(OR(M02S04F06="",M02S04F06="Select Rate Code",M02S04F06=0),MEASURERATE,
IF(M02S04F19="",MEASUREBLDG,
IF(BA30-BB30&lt;=0,MEASURESAVE,
IF(PAYCUSE&lt;PAYBACKREQ,PROJECTSTATPAYBACK,
IF(CBCUSE&lt;CBREQ,PROJECTSTATCB,""))))))),
MEASURESUBMIT)</f>
        <v>Enter Utility Rate</v>
      </c>
      <c r="BZ30" s="753"/>
      <c r="CA30" s="753"/>
      <c r="CB30" s="753"/>
      <c r="CC30" s="753"/>
    </row>
    <row r="31" spans="1:81" ht="15.95" customHeight="1">
      <c r="B31" s="785"/>
      <c r="C31" s="1002"/>
      <c r="D31" s="1002"/>
      <c r="E31" s="1002"/>
      <c r="F31" s="1003"/>
      <c r="G31" s="1004"/>
      <c r="H31" s="1002"/>
      <c r="I31" s="1002"/>
      <c r="J31" s="1002"/>
      <c r="K31" s="1002"/>
      <c r="L31" s="1002"/>
      <c r="M31" s="989"/>
      <c r="N31" s="989"/>
      <c r="O31" s="1008"/>
      <c r="P31" s="1008"/>
      <c r="Q31" s="1015"/>
      <c r="R31" s="1016"/>
      <c r="S31" s="1017"/>
      <c r="T31" s="1002"/>
      <c r="U31" s="1002"/>
      <c r="V31" s="1002"/>
      <c r="W31" s="1012"/>
      <c r="X31" s="1013"/>
      <c r="Y31" s="1013"/>
      <c r="Z31" s="1012"/>
      <c r="AA31" s="1013"/>
      <c r="AB31" s="1013"/>
      <c r="AC31" s="1014"/>
      <c r="AD31" s="989"/>
      <c r="AE31" s="989"/>
      <c r="AF31" s="990"/>
      <c r="AG31" s="991"/>
      <c r="AH31" s="992"/>
      <c r="AI31" s="993"/>
      <c r="AJ31" s="993"/>
      <c r="AK31" s="1005"/>
      <c r="AL31" s="1006"/>
      <c r="AM31" s="1007"/>
      <c r="AN31" s="1007"/>
      <c r="AO31" s="997"/>
      <c r="AP31" s="998"/>
      <c r="AQ31" s="999"/>
      <c r="AR31" s="1001"/>
      <c r="AS31" s="1001"/>
      <c r="AT31" s="1001"/>
      <c r="AU31" s="1001"/>
      <c r="AX31" s="774"/>
      <c r="AY31" s="760"/>
      <c r="AZ31" s="760"/>
      <c r="BA31" s="772"/>
      <c r="BB31" s="772"/>
      <c r="BC31" s="774"/>
      <c r="BD31" s="758"/>
      <c r="BE31" s="776"/>
      <c r="BF31" s="776"/>
      <c r="BG31" s="776"/>
      <c r="BH31" s="762"/>
      <c r="BI31" s="762"/>
      <c r="BJ31" s="778"/>
      <c r="BK31" s="768"/>
      <c r="BL31" s="768"/>
      <c r="BM31" s="766"/>
      <c r="BN31" s="764"/>
      <c r="BO31" s="764"/>
      <c r="BP31" s="770"/>
      <c r="BQ31" s="766"/>
      <c r="BR31" s="768"/>
      <c r="BS31" s="766"/>
      <c r="BT31" s="766"/>
      <c r="BU31" s="758"/>
      <c r="BV31" s="768"/>
      <c r="BW31" s="758"/>
      <c r="BX31" s="758"/>
      <c r="BY31" s="758"/>
      <c r="BZ31" s="754"/>
      <c r="CA31" s="754"/>
      <c r="CB31" s="754"/>
      <c r="CC31" s="754"/>
    </row>
    <row r="32" spans="1:81" ht="15.95" customHeight="1">
      <c r="B32" s="785">
        <v>8</v>
      </c>
      <c r="C32" s="1002"/>
      <c r="D32" s="1002"/>
      <c r="E32" s="1002"/>
      <c r="F32" s="1003"/>
      <c r="G32" s="1004"/>
      <c r="H32" s="1002"/>
      <c r="I32" s="1002"/>
      <c r="J32" s="1002"/>
      <c r="K32" s="1002"/>
      <c r="L32" s="1002"/>
      <c r="M32" s="989"/>
      <c r="N32" s="989"/>
      <c r="O32" s="1008" t="str">
        <f>IFERROR(IF(G32="","",INDEX(CMLIGHTBASE[Base Watt 1],MATCH(G32,CMLIGHTBASE[Base Desc 1],0))),"")</f>
        <v/>
      </c>
      <c r="P32" s="1008"/>
      <c r="Q32" s="1015"/>
      <c r="R32" s="1016"/>
      <c r="S32" s="1017"/>
      <c r="T32" s="1002"/>
      <c r="U32" s="1002"/>
      <c r="V32" s="1002"/>
      <c r="W32" s="1009"/>
      <c r="X32" s="1010"/>
      <c r="Y32" s="1010"/>
      <c r="Z32" s="1009"/>
      <c r="AA32" s="1010"/>
      <c r="AB32" s="1010"/>
      <c r="AC32" s="1011"/>
      <c r="AD32" s="989"/>
      <c r="AE32" s="989"/>
      <c r="AF32" s="990"/>
      <c r="AG32" s="991"/>
      <c r="AH32" s="992"/>
      <c r="AI32" s="993"/>
      <c r="AJ32" s="993"/>
      <c r="AK32" s="1005"/>
      <c r="AL32" s="1006" t="str">
        <f>IF(OR(C32="",E32="",G32="",K32="",M32="",O32="",Q32="",S32="",Z32="",AD32="",AF32="",AH32="",AJ32=""),"",ROUND(AH32+AJ32,2))</f>
        <v/>
      </c>
      <c r="AM32" s="1007"/>
      <c r="AN32" s="1007"/>
      <c r="AO32" s="994" t="str">
        <f t="shared" ref="AO32" si="46">IF(OR(C32="",E32="",G32="",K32="",M32="",O32="",Q32="",S32="",Z32="",AD32="",AF32="",AH32="",AJ32=""),"",IF(BA32-BB32&lt;=0,0,BA32-BB32))</f>
        <v/>
      </c>
      <c r="AP32" s="995"/>
      <c r="AQ32" s="996"/>
      <c r="AR32" s="1000" t="str">
        <f>IF(OR(C32="",E32="",G32="",K32="",M32="",O32="",Q32="",S32="",Z32="",AD32="",AF32="",AH32="",AJ32=""),"", IF(BY32&lt;&gt;"", BY32, IF(BP32&gt;0,BP32, IF(ACTIVEBLOCK="Yes",ROUND(MIN(AL32*0.75,AO32*BLOCKBIDRATE),2),ROUND(MIN(AL32*0.75,BR32),2)))))</f>
        <v/>
      </c>
      <c r="AS32" s="1000"/>
      <c r="AT32" s="1000"/>
      <c r="AU32" s="1000"/>
      <c r="AX32" s="773" t="str">
        <f>IF(S32="","",
_xlfn.LET( _xlpm.Unit, INDEX(CMLIGHTEFF[Unit],MATCH(S32,CMLIGHTEFF[Eff Desc 1],0)),
IFERROR(_xlpm.Unit,"")))</f>
        <v/>
      </c>
      <c r="AY32" s="759" t="str">
        <f t="shared" ref="AY32" si="47">IF(M32="", "", M32)</f>
        <v/>
      </c>
      <c r="AZ32" s="759" t="str">
        <f t="shared" ref="AZ32" si="48">IF(AD32="", "", AD32)</f>
        <v/>
      </c>
      <c r="BA32" s="771" t="str">
        <f>IF(OR(C32="",E32="",G32="",K32="",M32="",O32="",Q32="",S32="",Z32="",AD32="",AF32="",AH32="",AJ32=""),"",
IF(OR(ISNUMBER(SEARCH("Exterior",E32)),ISNUMBER(SEARCH("Garage",E32)),M02S04F22="Unconditioned",M02S04F22="Electric Heat Only",M02S04F22="Natural Gas Heat Only"),ROUND(M32*O32*Q32/1000,4),
ROUND(M32*O32*Q32/1000*INDEX(BUILDINGTYPE[Waste Heat Factor (e)],MATCH(M02S04F19,BUILDINGTYPE[Building Type],0)),4)))</f>
        <v/>
      </c>
      <c r="BB32" s="771" t="str">
        <f>IF(OR(C32="",E32="",G32="",K32="",M32="",O32="",Q32="",S32="",Z32="",AD32="",AF32="",AH32="",AJ32=""),"",
IF(OR(ISNUMBER(SEARCH("Exterior",E32)),ISNUMBER(SEARCH("Garage",E32)),M02S04F22="Unconditioned",M02S04F22="Electric Heat Only",M02S04F22="Natural Gas Heat Only"),ROUND(AD32*AF32*Q32/1000,4),
ROUND(AD32*AF32*Q32/1000*INDEX(BUILDINGTYPE[Waste Heat Factor (e)],MATCH(M02S04F19,BUILDINGTYPE[Building Type],0)),4)))</f>
        <v/>
      </c>
      <c r="BC32" s="773" t="str">
        <f t="shared" ref="BC32" si="49">IF(OR(E32="",G32="",S32=""),"",IF(ISNUMBER(SEARCH("24/7",E32)),"Ext Lighting w/ Peak",IF(E32="Interior","Interior Lighting",IF(OR(E32="Garage",E32="Exterior"),"Ext Lighting w/o Peak","Err"))))</f>
        <v/>
      </c>
      <c r="BD32" s="757" t="str">
        <f t="shared" ref="BD32" si="50">IF(BE32&lt;&gt;"", "Calculated", "")</f>
        <v/>
      </c>
      <c r="BE32" s="775" t="str">
        <f t="shared" ref="BE32" si="51">IF(AND(BA32&lt;&gt;"", BB32&lt;&gt;""), ROUND(BA32-BB32,4), "")</f>
        <v/>
      </c>
      <c r="BF32" s="775" t="str">
        <f>IFERROR(IF(OR(C32="",E32="",G32="",K32="",M32="",O32="",Q32="",Z32="",AD32="",AF32="",AH32="",AJ32=""),"",IF(OR(E32="Garage",E32="Exterior"),0,
IF(OR(ISNUMBER(SEARCH("Garage",E32)),M02S04F22="Unconditioned",M02S04F22="Electric Heat Only",M02S04F22="Natural Gas Heat Only"),ROUND((((M32*O32)-(AD32*AF32))/1000)*INDEX(BUILDINGTYPE[Lighting Coincidence Factor],MATCH(M02S04F19,BUILDINGTYPE[Building Type],0)),4),
ROUND((((M32*O32)-(AD32*AF32))/1000)*INDEX(BUILDINGTYPE[WHFd],MATCH(M02S04F19,BUILDINGTYPE[Building Type],0))*INDEX(BUILDINGTYPE[Lighting Coincidence Factor],MATCH(M02S04F19,BUILDINGTYPE[Building Type],0)),4)))),"")</f>
        <v/>
      </c>
      <c r="BG32" s="775" t="str">
        <f>IFERROR(IF(OR(C32="",E32="",G32="",K32="",M32="",O32="",Q32="",Z32="",AD32="",AF32="",AH32="",AJ32=""),"",ROUND(AO32*INDEX(ENDUSEALL[Factor],MATCH(BC32,ENDUSEALL[End Use to Coincident Peak Demand Factors],0)),4)),"")</f>
        <v/>
      </c>
      <c r="BH32" s="761"/>
      <c r="BI32" s="761"/>
      <c r="BJ32" s="777" t="str">
        <f>IF(OR(G32="",S32=""),"",IF(INDEX(CMLIGHTEFF[EUL],MATCH(S32,CMLIGHTEFF[Eff Desc 1],0))="","",INDEX(CMLIGHTEFF[EUL],MATCH(S32,CMLIGHTEFF[Eff Desc 1],0))))</f>
        <v/>
      </c>
      <c r="BK32" s="767" t="str">
        <f>IFERROR(IF(OR(C32="",E32="",G32="",K32="",M32="",O32="",Q32="",Z32="",AD32="",AF32="",AH32="",AJ32=""),"",
ROUND(((1+ELOSS)*((AO32*INDEX(ELECCB[NPV AEC $/kWh],MATCH(BJ32,ELECCB[Year Number],1)))+(BG32*INDEX(ELECCB[NPV ACC $/kW],MATCH(BJ32,ELECCB[Year Number],1))))),2)),0)</f>
        <v/>
      </c>
      <c r="BL32" s="767" t="str">
        <f t="shared" si="2"/>
        <v/>
      </c>
      <c r="BM32" s="765"/>
      <c r="BN32" s="763" t="str">
        <f t="shared" si="3"/>
        <v/>
      </c>
      <c r="BO32" s="763" t="str">
        <f>IFERROR(IF(BM32 &lt;&gt; "", BM32, BL32) / M02S04F06 / AO32, "")</f>
        <v/>
      </c>
      <c r="BP32" s="769"/>
      <c r="BQ32" s="765"/>
      <c r="BR32" s="767" t="str">
        <f t="shared" ref="BR32" si="52">IFERROR(ROUND(AO32*BV32,2),"")</f>
        <v/>
      </c>
      <c r="BS32" s="765"/>
      <c r="BT32" s="765"/>
      <c r="BU32" s="757" t="str">
        <f>IFERROR(IF(BP32="", IF(AND(ROUND(AR32/AL32,2)=TOTCOSTCAP, BR32/AL32&gt;TOTCOSTCAP),"75% Total Cost",
IF(FALSE,"100% Incremental Cost",
IF(BV32&lt;KWHRATEMIN, "kWh Incentive Rate Min",
IF(BV32&gt;KWHRATEMAX,"kWh Incentive Rate Cap",
IF(AR32=BT32,"Bonus Incentive",
"kWh Incentive"))))), ""),"")</f>
        <v/>
      </c>
      <c r="BV32" s="767"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57" t="str" cm="1">
        <f t="array" ref="BW32">IF(OR(C32="",E32="",G32="",K32="",M32="",O32="",Q32="",Z32="",AD32="",AF32="",AH32="",AJ32=""),"",
IF(BY32&lt;&gt;"",SPILLOVERNUMBER,
_xlfn.LET(
_xlpm.Program, IF(Program_Banner= "Business Energy Savings", 2, IF(Program_Banner="Small Business / Non-Profit", 3, "#")),
_xlpm.Location, INDEX( LOCATIONTYPE[Measure Number], MATCH(E32, LOCATIONTYPE[Location Type], 0)),
_xlpm.Eff_Desc_1, INDEX(CMLIGHTEFF[Measure Number],MATCH(S32,CMLIGHTEFF[Eff Desc 1],0)),
"11" &amp; _xlpm.Program &amp; "2" &amp; _xlpm.Location &amp; _xlpm.Eff_Desc_1
)))</f>
        <v/>
      </c>
      <c r="BX32" s="757" t="str" cm="1">
        <f t="array" ref="BX32">IFERROR(INDEX(_xlfn.SWITCH(Program_Banner,"Business Energy Savings",ENDUSEALL[Primary Key WBE],"Small Business / Non-Profit",ENDUSEALL[Primary Key HTRB],0),MATCH(BC32,ENDUSEALL[End Use to Coincident Peak Demand Factors],0)),"")</f>
        <v/>
      </c>
      <c r="BY32" s="757" t="str">
        <f ca="1">IFERROR(
IF(EXPIRATION&lt;&gt;"",PROJSTATEXP,
IF(BP32&gt;0,"",
IF(OR(M02S04F06="",M02S04F06="Select Rate Code",M02S04F06=0),MEASURERATE,
IF(M02S04F19="",MEASUREBLDG,
IF(BA32-BB32&lt;=0,MEASURESAVE,
IF(PAYCUSE&lt;PAYBACKREQ,PROJECTSTATPAYBACK,
IF(CBCUSE&lt;CBREQ,PROJECTSTATCB,""))))))),
MEASURESUBMIT)</f>
        <v>Enter Utility Rate</v>
      </c>
      <c r="BZ32" s="753"/>
      <c r="CA32" s="753"/>
      <c r="CB32" s="753"/>
      <c r="CC32" s="753"/>
    </row>
    <row r="33" spans="2:81" ht="15.95" customHeight="1">
      <c r="B33" s="785"/>
      <c r="C33" s="1002"/>
      <c r="D33" s="1002"/>
      <c r="E33" s="1002"/>
      <c r="F33" s="1003"/>
      <c r="G33" s="1004"/>
      <c r="H33" s="1002"/>
      <c r="I33" s="1002"/>
      <c r="J33" s="1002"/>
      <c r="K33" s="1002"/>
      <c r="L33" s="1002"/>
      <c r="M33" s="989"/>
      <c r="N33" s="989"/>
      <c r="O33" s="1008"/>
      <c r="P33" s="1008"/>
      <c r="Q33" s="1015"/>
      <c r="R33" s="1016"/>
      <c r="S33" s="1017"/>
      <c r="T33" s="1002"/>
      <c r="U33" s="1002"/>
      <c r="V33" s="1002"/>
      <c r="W33" s="1012"/>
      <c r="X33" s="1013"/>
      <c r="Y33" s="1013"/>
      <c r="Z33" s="1012"/>
      <c r="AA33" s="1013"/>
      <c r="AB33" s="1013"/>
      <c r="AC33" s="1014"/>
      <c r="AD33" s="989"/>
      <c r="AE33" s="989"/>
      <c r="AF33" s="990"/>
      <c r="AG33" s="991"/>
      <c r="AH33" s="992"/>
      <c r="AI33" s="993"/>
      <c r="AJ33" s="993"/>
      <c r="AK33" s="1005"/>
      <c r="AL33" s="1006"/>
      <c r="AM33" s="1007"/>
      <c r="AN33" s="1007"/>
      <c r="AO33" s="997"/>
      <c r="AP33" s="998"/>
      <c r="AQ33" s="999"/>
      <c r="AR33" s="1001"/>
      <c r="AS33" s="1001"/>
      <c r="AT33" s="1001"/>
      <c r="AU33" s="1001"/>
      <c r="AX33" s="774"/>
      <c r="AY33" s="760"/>
      <c r="AZ33" s="760"/>
      <c r="BA33" s="772"/>
      <c r="BB33" s="772"/>
      <c r="BC33" s="774"/>
      <c r="BD33" s="758"/>
      <c r="BE33" s="776"/>
      <c r="BF33" s="776"/>
      <c r="BG33" s="776"/>
      <c r="BH33" s="762"/>
      <c r="BI33" s="762"/>
      <c r="BJ33" s="778"/>
      <c r="BK33" s="768"/>
      <c r="BL33" s="768"/>
      <c r="BM33" s="766"/>
      <c r="BN33" s="764"/>
      <c r="BO33" s="764"/>
      <c r="BP33" s="770"/>
      <c r="BQ33" s="766"/>
      <c r="BR33" s="768"/>
      <c r="BS33" s="766"/>
      <c r="BT33" s="766"/>
      <c r="BU33" s="758"/>
      <c r="BV33" s="768"/>
      <c r="BW33" s="758"/>
      <c r="BX33" s="758"/>
      <c r="BY33" s="758"/>
      <c r="BZ33" s="754"/>
      <c r="CA33" s="754"/>
      <c r="CB33" s="754"/>
      <c r="CC33" s="754"/>
    </row>
    <row r="34" spans="2:81" ht="15.95" customHeight="1">
      <c r="B34" s="785">
        <v>9</v>
      </c>
      <c r="C34" s="1002"/>
      <c r="D34" s="1002"/>
      <c r="E34" s="1002"/>
      <c r="F34" s="1003"/>
      <c r="G34" s="1004"/>
      <c r="H34" s="1002"/>
      <c r="I34" s="1002"/>
      <c r="J34" s="1002"/>
      <c r="K34" s="1002"/>
      <c r="L34" s="1002"/>
      <c r="M34" s="989"/>
      <c r="N34" s="989"/>
      <c r="O34" s="1008" t="str">
        <f>IFERROR(IF(G34="","",INDEX(CMLIGHTBASE[Base Watt 1],MATCH(G34,CMLIGHTBASE[Base Desc 1],0))),"")</f>
        <v/>
      </c>
      <c r="P34" s="1008"/>
      <c r="Q34" s="1015"/>
      <c r="R34" s="1016"/>
      <c r="S34" s="1017"/>
      <c r="T34" s="1002"/>
      <c r="U34" s="1002"/>
      <c r="V34" s="1002"/>
      <c r="W34" s="1009"/>
      <c r="X34" s="1010"/>
      <c r="Y34" s="1010"/>
      <c r="Z34" s="1009"/>
      <c r="AA34" s="1010"/>
      <c r="AB34" s="1010"/>
      <c r="AC34" s="1011"/>
      <c r="AD34" s="989"/>
      <c r="AE34" s="989"/>
      <c r="AF34" s="990"/>
      <c r="AG34" s="991"/>
      <c r="AH34" s="992"/>
      <c r="AI34" s="993"/>
      <c r="AJ34" s="993"/>
      <c r="AK34" s="1005"/>
      <c r="AL34" s="1006" t="str">
        <f>IF(OR(C34="",E34="",G34="",K34="",M34="",O34="",Q34="",S34="",Z34="",AD34="",AF34="",AH34="",AJ34=""),"",ROUND(AH34+AJ34,2))</f>
        <v/>
      </c>
      <c r="AM34" s="1007"/>
      <c r="AN34" s="1007"/>
      <c r="AO34" s="994" t="str">
        <f t="shared" ref="AO34" si="53">IF(OR(C34="",E34="",G34="",K34="",M34="",O34="",Q34="",S34="",Z34="",AD34="",AF34="",AH34="",AJ34=""),"",IF(BA34-BB34&lt;=0,0,BA34-BB34))</f>
        <v/>
      </c>
      <c r="AP34" s="995"/>
      <c r="AQ34" s="996"/>
      <c r="AR34" s="1000" t="str">
        <f>IF(OR(C34="",E34="",G34="",K34="",M34="",O34="",Q34="",S34="",Z34="",AD34="",AF34="",AH34="",AJ34=""),"", IF(BY34&lt;&gt;"", BY34, IF(BP34&gt;0,BP34, IF(ACTIVEBLOCK="Yes",ROUND(MIN(AL34*0.75,AO34*BLOCKBIDRATE),2),ROUND(MIN(AL34*0.75,BR34),2)))))</f>
        <v/>
      </c>
      <c r="AS34" s="1000"/>
      <c r="AT34" s="1000"/>
      <c r="AU34" s="1000"/>
      <c r="AX34" s="773" t="str">
        <f>IF(S34="","",
_xlfn.LET( _xlpm.Unit, INDEX(CMLIGHTEFF[Unit],MATCH(S34,CMLIGHTEFF[Eff Desc 1],0)),
IFERROR(_xlpm.Unit,"")))</f>
        <v/>
      </c>
      <c r="AY34" s="759" t="str">
        <f t="shared" ref="AY34" si="54">IF(M34="", "", M34)</f>
        <v/>
      </c>
      <c r="AZ34" s="759" t="str">
        <f t="shared" ref="AZ34" si="55">IF(AD34="", "", AD34)</f>
        <v/>
      </c>
      <c r="BA34" s="771" t="str">
        <f>IF(OR(C34="",E34="",G34="",K34="",M34="",O34="",Q34="",S34="",Z34="",AD34="",AF34="",AH34="",AJ34=""),"",
IF(OR(ISNUMBER(SEARCH("Exterior",E34)),ISNUMBER(SEARCH("Garage",E34)),M02S04F22="Unconditioned",M02S04F22="Electric Heat Only",M02S04F22="Natural Gas Heat Only"),ROUND(M34*O34*Q34/1000,4),
ROUND(M34*O34*Q34/1000*INDEX(BUILDINGTYPE[Waste Heat Factor (e)],MATCH(M02S04F19,BUILDINGTYPE[Building Type],0)),4)))</f>
        <v/>
      </c>
      <c r="BB34" s="771" t="str">
        <f>IF(OR(C34="",E34="",G34="",K34="",M34="",O34="",Q34="",S34="",Z34="",AD34="",AF34="",AH34="",AJ34=""),"",
IF(OR(ISNUMBER(SEARCH("Exterior",E34)),ISNUMBER(SEARCH("Garage",E34)),M02S04F22="Unconditioned",M02S04F22="Electric Heat Only",M02S04F22="Natural Gas Heat Only"),ROUND(AD34*AF34*Q34/1000,4),
ROUND(AD34*AF34*Q34/1000*INDEX(BUILDINGTYPE[Waste Heat Factor (e)],MATCH(M02S04F19,BUILDINGTYPE[Building Type],0)),4)))</f>
        <v/>
      </c>
      <c r="BC34" s="773" t="str">
        <f t="shared" ref="BC34" si="56">IF(OR(E34="",G34="",S34=""),"",IF(ISNUMBER(SEARCH("24/7",E34)),"Ext Lighting w/ Peak",IF(E34="Interior","Interior Lighting",IF(OR(E34="Garage",E34="Exterior"),"Ext Lighting w/o Peak","Err"))))</f>
        <v/>
      </c>
      <c r="BD34" s="757" t="str">
        <f t="shared" ref="BD34" si="57">IF(BE34&lt;&gt;"", "Calculated", "")</f>
        <v/>
      </c>
      <c r="BE34" s="775" t="str">
        <f t="shared" ref="BE34" si="58">IF(AND(BA34&lt;&gt;"", BB34&lt;&gt;""), ROUND(BA34-BB34,4), "")</f>
        <v/>
      </c>
      <c r="BF34" s="775" t="str">
        <f>IFERROR(IF(OR(C34="",E34="",G34="",K34="",M34="",O34="",Q34="",Z34="",AD34="",AF34="",AH34="",AJ34=""),"",IF(OR(E34="Garage",E34="Exterior"),0,
IF(OR(ISNUMBER(SEARCH("Garage",E34)),M02S04F22="Unconditioned",M02S04F22="Electric Heat Only",M02S04F22="Natural Gas Heat Only"),ROUND((((M34*O34)-(AD34*AF34))/1000)*INDEX(BUILDINGTYPE[Lighting Coincidence Factor],MATCH(M02S04F19,BUILDINGTYPE[Building Type],0)),4),
ROUND((((M34*O34)-(AD34*AF34))/1000)*INDEX(BUILDINGTYPE[WHFd],MATCH(M02S04F19,BUILDINGTYPE[Building Type],0))*INDEX(BUILDINGTYPE[Lighting Coincidence Factor],MATCH(M02S04F19,BUILDINGTYPE[Building Type],0)),4)))),"")</f>
        <v/>
      </c>
      <c r="BG34" s="775" t="str">
        <f>IFERROR(IF(OR(C34="",E34="",G34="",K34="",M34="",O34="",Q34="",Z34="",AD34="",AF34="",AH34="",AJ34=""),"",ROUND(AO34*INDEX(ENDUSEALL[Factor],MATCH(BC34,ENDUSEALL[End Use to Coincident Peak Demand Factors],0)),4)),"")</f>
        <v/>
      </c>
      <c r="BH34" s="761"/>
      <c r="BI34" s="761"/>
      <c r="BJ34" s="777" t="str">
        <f>IF(OR(G34="",S34=""),"",IF(INDEX(CMLIGHTEFF[EUL],MATCH(S34,CMLIGHTEFF[Eff Desc 1],0))="","",INDEX(CMLIGHTEFF[EUL],MATCH(S34,CMLIGHTEFF[Eff Desc 1],0))))</f>
        <v/>
      </c>
      <c r="BK34" s="767" t="str">
        <f>IFERROR(IF(OR(C34="",E34="",G34="",K34="",M34="",O34="",Q34="",Z34="",AD34="",AF34="",AH34="",AJ34=""),"",
ROUND(((1+ELOSS)*((AO34*INDEX(ELECCB[NPV AEC $/kWh],MATCH(BJ34,ELECCB[Year Number],1)))+(BG34*INDEX(ELECCB[NPV ACC $/kW],MATCH(BJ34,ELECCB[Year Number],1))))),2)),0)</f>
        <v/>
      </c>
      <c r="BL34" s="767" t="str">
        <f t="shared" si="2"/>
        <v/>
      </c>
      <c r="BM34" s="765"/>
      <c r="BN34" s="763" t="str">
        <f t="shared" si="3"/>
        <v/>
      </c>
      <c r="BO34" s="763" t="str">
        <f>IFERROR(IF(BM34 &lt;&gt; "", BM34, BL34) / M02S04F06 / AO34, "")</f>
        <v/>
      </c>
      <c r="BP34" s="769"/>
      <c r="BQ34" s="765"/>
      <c r="BR34" s="767" t="str">
        <f t="shared" ref="BR34" si="59">IFERROR(ROUND(AO34*BV34,2),"")</f>
        <v/>
      </c>
      <c r="BS34" s="765"/>
      <c r="BT34" s="765"/>
      <c r="BU34" s="757" t="str">
        <f>IFERROR(IF(BP34="", IF(AND(ROUND(AR34/AL34,2)=TOTCOSTCAP, BR34/AL34&gt;TOTCOSTCAP),"75% Total Cost",
IF(FALSE,"100% Incremental Cost",
IF(BV34&lt;KWHRATEMIN, "kWh Incentive Rate Min",
IF(BV34&gt;KWHRATEMAX,"kWh Incentive Rate Cap",
IF(AR34=BT34,"Bonus Incentive",
"kWh Incentive"))))), ""),"")</f>
        <v/>
      </c>
      <c r="BV34" s="767"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57" t="str" cm="1">
        <f t="array" ref="BW34">IF(OR(C34="",E34="",G34="",K34="",M34="",O34="",Q34="",Z34="",AD34="",AF34="",AH34="",AJ34=""),"",
IF(BY34&lt;&gt;"",SPILLOVERNUMBER,
_xlfn.LET(
_xlpm.Program, IF(Program_Banner= "Business Energy Savings", 2, IF(Program_Banner="Small Business / Non-Profit", 3, "#")),
_xlpm.Location, INDEX( LOCATIONTYPE[Measure Number], MATCH(E34, LOCATIONTYPE[Location Type], 0)),
_xlpm.Eff_Desc_1, INDEX(CMLIGHTEFF[Measure Number],MATCH(S34,CMLIGHTEFF[Eff Desc 1],0)),
"11" &amp; _xlpm.Program &amp; "2" &amp; _xlpm.Location &amp; _xlpm.Eff_Desc_1
)))</f>
        <v/>
      </c>
      <c r="BX34" s="757" t="str" cm="1">
        <f t="array" ref="BX34">IFERROR(INDEX(_xlfn.SWITCH(Program_Banner,"Business Energy Savings",ENDUSEALL[Primary Key WBE],"Small Business / Non-Profit",ENDUSEALL[Primary Key HTRB],0),MATCH(BC34,ENDUSEALL[End Use to Coincident Peak Demand Factors],0)),"")</f>
        <v/>
      </c>
      <c r="BY34" s="757" t="str">
        <f ca="1">IFERROR(
IF(EXPIRATION&lt;&gt;"",PROJSTATEXP,
IF(BP34&gt;0,"",
IF(OR(M02S04F06="",M02S04F06="Select Rate Code",M02S04F06=0),MEASURERATE,
IF(M02S04F19="",MEASUREBLDG,
IF(BA34-BB34&lt;=0,MEASURESAVE,
IF(PAYCUSE&lt;PAYBACKREQ,PROJECTSTATPAYBACK,
IF(CBCUSE&lt;CBREQ,PROJECTSTATCB,""))))))),
MEASURESUBMIT)</f>
        <v>Enter Utility Rate</v>
      </c>
      <c r="BZ34" s="753"/>
      <c r="CA34" s="753"/>
      <c r="CB34" s="753"/>
      <c r="CC34" s="753"/>
    </row>
    <row r="35" spans="2:81" ht="15.95" customHeight="1">
      <c r="B35" s="785"/>
      <c r="C35" s="1002"/>
      <c r="D35" s="1002"/>
      <c r="E35" s="1002"/>
      <c r="F35" s="1003"/>
      <c r="G35" s="1004"/>
      <c r="H35" s="1002"/>
      <c r="I35" s="1002"/>
      <c r="J35" s="1002"/>
      <c r="K35" s="1002"/>
      <c r="L35" s="1002"/>
      <c r="M35" s="989"/>
      <c r="N35" s="989"/>
      <c r="O35" s="1008"/>
      <c r="P35" s="1008"/>
      <c r="Q35" s="1015"/>
      <c r="R35" s="1016"/>
      <c r="S35" s="1017"/>
      <c r="T35" s="1002"/>
      <c r="U35" s="1002"/>
      <c r="V35" s="1002"/>
      <c r="W35" s="1012"/>
      <c r="X35" s="1013"/>
      <c r="Y35" s="1013"/>
      <c r="Z35" s="1012"/>
      <c r="AA35" s="1013"/>
      <c r="AB35" s="1013"/>
      <c r="AC35" s="1014"/>
      <c r="AD35" s="989"/>
      <c r="AE35" s="989"/>
      <c r="AF35" s="990"/>
      <c r="AG35" s="991"/>
      <c r="AH35" s="992"/>
      <c r="AI35" s="993"/>
      <c r="AJ35" s="993"/>
      <c r="AK35" s="1005"/>
      <c r="AL35" s="1006"/>
      <c r="AM35" s="1007"/>
      <c r="AN35" s="1007"/>
      <c r="AO35" s="997"/>
      <c r="AP35" s="998"/>
      <c r="AQ35" s="999"/>
      <c r="AR35" s="1001"/>
      <c r="AS35" s="1001"/>
      <c r="AT35" s="1001"/>
      <c r="AU35" s="1001"/>
      <c r="AX35" s="774"/>
      <c r="AY35" s="760"/>
      <c r="AZ35" s="760"/>
      <c r="BA35" s="772"/>
      <c r="BB35" s="772"/>
      <c r="BC35" s="774"/>
      <c r="BD35" s="758"/>
      <c r="BE35" s="776"/>
      <c r="BF35" s="776"/>
      <c r="BG35" s="776"/>
      <c r="BH35" s="762"/>
      <c r="BI35" s="762"/>
      <c r="BJ35" s="778"/>
      <c r="BK35" s="768"/>
      <c r="BL35" s="768"/>
      <c r="BM35" s="766"/>
      <c r="BN35" s="764"/>
      <c r="BO35" s="764"/>
      <c r="BP35" s="770"/>
      <c r="BQ35" s="766"/>
      <c r="BR35" s="768"/>
      <c r="BS35" s="766"/>
      <c r="BT35" s="766"/>
      <c r="BU35" s="758"/>
      <c r="BV35" s="768"/>
      <c r="BW35" s="758"/>
      <c r="BX35" s="758"/>
      <c r="BY35" s="758"/>
      <c r="BZ35" s="754"/>
      <c r="CA35" s="754"/>
      <c r="CB35" s="754"/>
      <c r="CC35" s="754"/>
    </row>
    <row r="36" spans="2:81" ht="15.95" customHeight="1">
      <c r="B36" s="785">
        <v>10</v>
      </c>
      <c r="C36" s="1002"/>
      <c r="D36" s="1002"/>
      <c r="E36" s="1002"/>
      <c r="F36" s="1003"/>
      <c r="G36" s="1004"/>
      <c r="H36" s="1002"/>
      <c r="I36" s="1002"/>
      <c r="J36" s="1002"/>
      <c r="K36" s="1002"/>
      <c r="L36" s="1002"/>
      <c r="M36" s="989"/>
      <c r="N36" s="989"/>
      <c r="O36" s="1008" t="str">
        <f>IFERROR(IF(G36="","",INDEX(CMLIGHTBASE[Base Watt 1],MATCH(G36,CMLIGHTBASE[Base Desc 1],0))),"")</f>
        <v/>
      </c>
      <c r="P36" s="1008"/>
      <c r="Q36" s="1015"/>
      <c r="R36" s="1016"/>
      <c r="S36" s="1017"/>
      <c r="T36" s="1002"/>
      <c r="U36" s="1002"/>
      <c r="V36" s="1002"/>
      <c r="W36" s="1009"/>
      <c r="X36" s="1010"/>
      <c r="Y36" s="1010"/>
      <c r="Z36" s="1009"/>
      <c r="AA36" s="1010"/>
      <c r="AB36" s="1010"/>
      <c r="AC36" s="1011"/>
      <c r="AD36" s="989"/>
      <c r="AE36" s="989"/>
      <c r="AF36" s="990"/>
      <c r="AG36" s="991"/>
      <c r="AH36" s="992"/>
      <c r="AI36" s="993"/>
      <c r="AJ36" s="993"/>
      <c r="AK36" s="1005"/>
      <c r="AL36" s="1006" t="str">
        <f>IF(OR(C36="",E36="",G36="",K36="",M36="",O36="",Q36="",S36="",Z36="",AD36="",AF36="",AH36="",AJ36=""),"",ROUND(AH36+AJ36,2))</f>
        <v/>
      </c>
      <c r="AM36" s="1007"/>
      <c r="AN36" s="1007"/>
      <c r="AO36" s="994" t="str">
        <f t="shared" ref="AO36" si="60">IF(OR(C36="",E36="",G36="",K36="",M36="",O36="",Q36="",S36="",Z36="",AD36="",AF36="",AH36="",AJ36=""),"",IF(BA36-BB36&lt;=0,0,BA36-BB36))</f>
        <v/>
      </c>
      <c r="AP36" s="995"/>
      <c r="AQ36" s="996"/>
      <c r="AR36" s="1000" t="str">
        <f>IF(OR(C36="",E36="",G36="",K36="",M36="",O36="",Q36="",S36="",Z36="",AD36="",AF36="",AH36="",AJ36=""),"", IF(BY36&lt;&gt;"", BY36, IF(BP36&gt;0,BP36, IF(ACTIVEBLOCK="Yes",ROUND(MIN(AL36*0.75,AO36*BLOCKBIDRATE),2),ROUND(MIN(AL36*0.75,BR36),2)))))</f>
        <v/>
      </c>
      <c r="AS36" s="1000"/>
      <c r="AT36" s="1000"/>
      <c r="AU36" s="1000"/>
      <c r="AX36" s="773" t="str">
        <f>IF(S36="","",
_xlfn.LET( _xlpm.Unit, INDEX(CMLIGHTEFF[Unit],MATCH(S36,CMLIGHTEFF[Eff Desc 1],0)),
IFERROR(_xlpm.Unit,"")))</f>
        <v/>
      </c>
      <c r="AY36" s="759" t="str">
        <f t="shared" ref="AY36" si="61">IF(M36="", "", M36)</f>
        <v/>
      </c>
      <c r="AZ36" s="759" t="str">
        <f t="shared" ref="AZ36" si="62">IF(AD36="", "", AD36)</f>
        <v/>
      </c>
      <c r="BA36" s="771" t="str">
        <f>IF(OR(C36="",E36="",G36="",K36="",M36="",O36="",Q36="",S36="",Z36="",AD36="",AF36="",AH36="",AJ36=""),"",
IF(OR(ISNUMBER(SEARCH("Exterior",E36)),ISNUMBER(SEARCH("Garage",E36)),M02S04F22="Unconditioned",M02S04F22="Electric Heat Only",M02S04F22="Natural Gas Heat Only"),ROUND(M36*O36*Q36/1000,4),
ROUND(M36*O36*Q36/1000*INDEX(BUILDINGTYPE[Waste Heat Factor (e)],MATCH(M02S04F19,BUILDINGTYPE[Building Type],0)),4)))</f>
        <v/>
      </c>
      <c r="BB36" s="771" t="str">
        <f>IF(OR(C36="",E36="",G36="",K36="",M36="",O36="",Q36="",S36="",Z36="",AD36="",AF36="",AH36="",AJ36=""),"",
IF(OR(ISNUMBER(SEARCH("Exterior",E36)),ISNUMBER(SEARCH("Garage",E36)),M02S04F22="Unconditioned",M02S04F22="Electric Heat Only",M02S04F22="Natural Gas Heat Only"),ROUND(AD36*AF36*Q36/1000,4),
ROUND(AD36*AF36*Q36/1000*INDEX(BUILDINGTYPE[Waste Heat Factor (e)],MATCH(M02S04F19,BUILDINGTYPE[Building Type],0)),4)))</f>
        <v/>
      </c>
      <c r="BC36" s="773" t="str">
        <f t="shared" ref="BC36" si="63">IF(OR(E36="",G36="",S36=""),"",IF(ISNUMBER(SEARCH("24/7",E36)),"Ext Lighting w/ Peak",IF(E36="Interior","Interior Lighting",IF(OR(E36="Garage",E36="Exterior"),"Ext Lighting w/o Peak","Err"))))</f>
        <v/>
      </c>
      <c r="BD36" s="757" t="str">
        <f t="shared" ref="BD36" si="64">IF(BE36&lt;&gt;"", "Calculated", "")</f>
        <v/>
      </c>
      <c r="BE36" s="775" t="str">
        <f t="shared" ref="BE36" si="65">IF(AND(BA36&lt;&gt;"", BB36&lt;&gt;""), ROUND(BA36-BB36,4), "")</f>
        <v/>
      </c>
      <c r="BF36" s="775" t="str">
        <f>IFERROR(IF(OR(C36="",E36="",G36="",K36="",M36="",O36="",Q36="",Z36="",AD36="",AF36="",AH36="",AJ36=""),"",IF(OR(E36="Garage",E36="Exterior"),0,
IF(OR(ISNUMBER(SEARCH("Garage",E36)),M02S04F22="Unconditioned",M02S04F22="Electric Heat Only",M02S04F22="Natural Gas Heat Only"),ROUND((((M36*O36)-(AD36*AF36))/1000)*INDEX(BUILDINGTYPE[Lighting Coincidence Factor],MATCH(M02S04F19,BUILDINGTYPE[Building Type],0)),4),
ROUND((((M36*O36)-(AD36*AF36))/1000)*INDEX(BUILDINGTYPE[WHFd],MATCH(M02S04F19,BUILDINGTYPE[Building Type],0))*INDEX(BUILDINGTYPE[Lighting Coincidence Factor],MATCH(M02S04F19,BUILDINGTYPE[Building Type],0)),4)))),"")</f>
        <v/>
      </c>
      <c r="BG36" s="775" t="str">
        <f>IFERROR(IF(OR(C36="",E36="",G36="",K36="",M36="",O36="",Q36="",Z36="",AD36="",AF36="",AH36="",AJ36=""),"",ROUND(AO36*INDEX(ENDUSEALL[Factor],MATCH(BC36,ENDUSEALL[End Use to Coincident Peak Demand Factors],0)),4)),"")</f>
        <v/>
      </c>
      <c r="BH36" s="761"/>
      <c r="BI36" s="761"/>
      <c r="BJ36" s="777" t="str">
        <f>IF(OR(G36="",S36=""),"",IF(INDEX(CMLIGHTEFF[EUL],MATCH(S36,CMLIGHTEFF[Eff Desc 1],0))="","",INDEX(CMLIGHTEFF[EUL],MATCH(S36,CMLIGHTEFF[Eff Desc 1],0))))</f>
        <v/>
      </c>
      <c r="BK36" s="767" t="str">
        <f>IFERROR(IF(OR(C36="",E36="",G36="",K36="",M36="",O36="",Q36="",Z36="",AD36="",AF36="",AH36="",AJ36=""),"",
ROUND(((1+ELOSS)*((AO36*INDEX(ELECCB[NPV AEC $/kWh],MATCH(BJ36,ELECCB[Year Number],1)))+(BG36*INDEX(ELECCB[NPV ACC $/kW],MATCH(BJ36,ELECCB[Year Number],1))))),2)),0)</f>
        <v/>
      </c>
      <c r="BL36" s="767" t="str">
        <f t="shared" si="2"/>
        <v/>
      </c>
      <c r="BM36" s="765"/>
      <c r="BN36" s="763" t="str">
        <f t="shared" si="3"/>
        <v/>
      </c>
      <c r="BO36" s="763" t="str">
        <f>IFERROR(IF(BM36 &lt;&gt; "", BM36, BL36) / M02S04F06 / AO36, "")</f>
        <v/>
      </c>
      <c r="BP36" s="769"/>
      <c r="BQ36" s="765"/>
      <c r="BR36" s="767" t="str">
        <f t="shared" ref="BR36" si="66">IFERROR(ROUND(AO36*BV36,2),"")</f>
        <v/>
      </c>
      <c r="BS36" s="765"/>
      <c r="BT36" s="765"/>
      <c r="BU36" s="757" t="str">
        <f>IFERROR(IF(BP36="", IF(AND(ROUND(AR36/AL36,2)=TOTCOSTCAP, BR36/AL36&gt;TOTCOSTCAP),"75% Total Cost",
IF(FALSE,"100% Incremental Cost",
IF(BV36&lt;KWHRATEMIN, "kWh Incentive Rate Min",
IF(BV36&gt;KWHRATEMAX,"kWh Incentive Rate Cap",
IF(AR36=BT36,"Bonus Incentive",
"kWh Incentive"))))), ""),"")</f>
        <v/>
      </c>
      <c r="BV36" s="767"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57" t="str" cm="1">
        <f t="array" ref="BW36">IF(OR(C36="",E36="",G36="",K36="",M36="",O36="",Q36="",Z36="",AD36="",AF36="",AH36="",AJ36=""),"",
IF(BY36&lt;&gt;"",SPILLOVERNUMBER,
_xlfn.LET(
_xlpm.Program, IF(Program_Banner= "Business Energy Savings", 2, IF(Program_Banner="Small Business / Non-Profit", 3, "#")),
_xlpm.Location, INDEX( LOCATIONTYPE[Measure Number], MATCH(E36, LOCATIONTYPE[Location Type], 0)),
_xlpm.Eff_Desc_1, INDEX(CMLIGHTEFF[Measure Number],MATCH(S36,CMLIGHTEFF[Eff Desc 1],0)),
"11" &amp; _xlpm.Program &amp; "2" &amp; _xlpm.Location &amp; _xlpm.Eff_Desc_1
)))</f>
        <v/>
      </c>
      <c r="BX36" s="757" t="str" cm="1">
        <f t="array" ref="BX36">IFERROR(INDEX(_xlfn.SWITCH(Program_Banner,"Business Energy Savings",ENDUSEALL[Primary Key WBE],"Small Business / Non-Profit",ENDUSEALL[Primary Key HTRB],0),MATCH(BC36,ENDUSEALL[End Use to Coincident Peak Demand Factors],0)),"")</f>
        <v/>
      </c>
      <c r="BY36" s="757" t="str">
        <f ca="1">IFERROR(
IF(EXPIRATION&lt;&gt;"",PROJSTATEXP,
IF(BP36&gt;0,"",
IF(OR(M02S04F06="",M02S04F06="Select Rate Code",M02S04F06=0),MEASURERATE,
IF(M02S04F19="",MEASUREBLDG,
IF(BA36-BB36&lt;=0,MEASURESAVE,
IF(PAYCUSE&lt;PAYBACKREQ,PROJECTSTATPAYBACK,
IF(CBCUSE&lt;CBREQ,PROJECTSTATCB,""))))))),
MEASURESUBMIT)</f>
        <v>Enter Utility Rate</v>
      </c>
      <c r="BZ36" s="753"/>
      <c r="CA36" s="753"/>
      <c r="CB36" s="753"/>
      <c r="CC36" s="753"/>
    </row>
    <row r="37" spans="2:81" ht="15.95" customHeight="1">
      <c r="B37" s="785"/>
      <c r="C37" s="1002"/>
      <c r="D37" s="1002"/>
      <c r="E37" s="1002"/>
      <c r="F37" s="1003"/>
      <c r="G37" s="1004"/>
      <c r="H37" s="1002"/>
      <c r="I37" s="1002"/>
      <c r="J37" s="1002"/>
      <c r="K37" s="1002"/>
      <c r="L37" s="1002"/>
      <c r="M37" s="989"/>
      <c r="N37" s="989"/>
      <c r="O37" s="1008"/>
      <c r="P37" s="1008"/>
      <c r="Q37" s="1015"/>
      <c r="R37" s="1016"/>
      <c r="S37" s="1017"/>
      <c r="T37" s="1002"/>
      <c r="U37" s="1002"/>
      <c r="V37" s="1002"/>
      <c r="W37" s="1012"/>
      <c r="X37" s="1013"/>
      <c r="Y37" s="1013"/>
      <c r="Z37" s="1012"/>
      <c r="AA37" s="1013"/>
      <c r="AB37" s="1013"/>
      <c r="AC37" s="1014"/>
      <c r="AD37" s="989"/>
      <c r="AE37" s="989"/>
      <c r="AF37" s="990"/>
      <c r="AG37" s="991"/>
      <c r="AH37" s="992"/>
      <c r="AI37" s="993"/>
      <c r="AJ37" s="993"/>
      <c r="AK37" s="1005"/>
      <c r="AL37" s="1006"/>
      <c r="AM37" s="1007"/>
      <c r="AN37" s="1007"/>
      <c r="AO37" s="997"/>
      <c r="AP37" s="998"/>
      <c r="AQ37" s="999"/>
      <c r="AR37" s="1001"/>
      <c r="AS37" s="1001"/>
      <c r="AT37" s="1001"/>
      <c r="AU37" s="1001"/>
      <c r="AX37" s="774"/>
      <c r="AY37" s="760"/>
      <c r="AZ37" s="760"/>
      <c r="BA37" s="772"/>
      <c r="BB37" s="772"/>
      <c r="BC37" s="774"/>
      <c r="BD37" s="758"/>
      <c r="BE37" s="776"/>
      <c r="BF37" s="776"/>
      <c r="BG37" s="776"/>
      <c r="BH37" s="762"/>
      <c r="BI37" s="762"/>
      <c r="BJ37" s="778"/>
      <c r="BK37" s="768"/>
      <c r="BL37" s="768"/>
      <c r="BM37" s="766"/>
      <c r="BN37" s="764"/>
      <c r="BO37" s="764"/>
      <c r="BP37" s="770"/>
      <c r="BQ37" s="766"/>
      <c r="BR37" s="768"/>
      <c r="BS37" s="766"/>
      <c r="BT37" s="766"/>
      <c r="BU37" s="758"/>
      <c r="BV37" s="768"/>
      <c r="BW37" s="758"/>
      <c r="BX37" s="758"/>
      <c r="BY37" s="758"/>
      <c r="BZ37" s="754"/>
      <c r="CA37" s="754"/>
      <c r="CB37" s="754"/>
      <c r="CC37" s="754"/>
    </row>
    <row r="38" spans="2:81" ht="15.95" customHeight="1">
      <c r="B38" s="785">
        <v>11</v>
      </c>
      <c r="C38" s="1002"/>
      <c r="D38" s="1002"/>
      <c r="E38" s="1002"/>
      <c r="F38" s="1003"/>
      <c r="G38" s="1004"/>
      <c r="H38" s="1002"/>
      <c r="I38" s="1002"/>
      <c r="J38" s="1002"/>
      <c r="K38" s="1002"/>
      <c r="L38" s="1002"/>
      <c r="M38" s="989"/>
      <c r="N38" s="989"/>
      <c r="O38" s="1008" t="str">
        <f>IFERROR(IF(G38="","",INDEX(CMLIGHTBASE[Base Watt 1],MATCH(G38,CMLIGHTBASE[Base Desc 1],0))),"")</f>
        <v/>
      </c>
      <c r="P38" s="1008"/>
      <c r="Q38" s="1015"/>
      <c r="R38" s="1016"/>
      <c r="S38" s="1017"/>
      <c r="T38" s="1002"/>
      <c r="U38" s="1002"/>
      <c r="V38" s="1002"/>
      <c r="W38" s="1009"/>
      <c r="X38" s="1010"/>
      <c r="Y38" s="1010"/>
      <c r="Z38" s="1009"/>
      <c r="AA38" s="1010"/>
      <c r="AB38" s="1010"/>
      <c r="AC38" s="1011"/>
      <c r="AD38" s="989"/>
      <c r="AE38" s="989"/>
      <c r="AF38" s="990"/>
      <c r="AG38" s="991"/>
      <c r="AH38" s="992"/>
      <c r="AI38" s="993"/>
      <c r="AJ38" s="993"/>
      <c r="AK38" s="1005"/>
      <c r="AL38" s="1006" t="str">
        <f>IF(OR(C38="",E38="",G38="",K38="",M38="",O38="",Q38="",S38="",Z38="",AD38="",AF38="",AH38="",AJ38=""),"",ROUND(AH38+AJ38,2))</f>
        <v/>
      </c>
      <c r="AM38" s="1007"/>
      <c r="AN38" s="1007"/>
      <c r="AO38" s="994" t="str">
        <f t="shared" ref="AO38" si="67">IF(OR(C38="",E38="",G38="",K38="",M38="",O38="",Q38="",S38="",Z38="",AD38="",AF38="",AH38="",AJ38=""),"",IF(BA38-BB38&lt;=0,0,BA38-BB38))</f>
        <v/>
      </c>
      <c r="AP38" s="995"/>
      <c r="AQ38" s="996"/>
      <c r="AR38" s="1000" t="str">
        <f>IF(OR(C38="",E38="",G38="",K38="",M38="",O38="",Q38="",S38="",Z38="",AD38="",AF38="",AH38="",AJ38=""),"", IF(BY38&lt;&gt;"", BY38, IF(BP38&gt;0,BP38, IF(ACTIVEBLOCK="Yes",ROUND(MIN(AL38*0.75,AO38*BLOCKBIDRATE),2),ROUND(MIN(AL38*0.75,BR38),2)))))</f>
        <v/>
      </c>
      <c r="AS38" s="1000"/>
      <c r="AT38" s="1000"/>
      <c r="AU38" s="1000"/>
      <c r="AX38" s="773" t="str">
        <f>IF(S38="","",
_xlfn.LET( _xlpm.Unit, INDEX(CMLIGHTEFF[Unit],MATCH(S38,CMLIGHTEFF[Eff Desc 1],0)),
IFERROR(_xlpm.Unit,"")))</f>
        <v/>
      </c>
      <c r="AY38" s="759" t="str">
        <f t="shared" ref="AY38" si="68">IF(M38="", "", M38)</f>
        <v/>
      </c>
      <c r="AZ38" s="759" t="str">
        <f t="shared" ref="AZ38" si="69">IF(AD38="", "", AD38)</f>
        <v/>
      </c>
      <c r="BA38" s="771" t="str">
        <f>IF(OR(C38="",E38="",G38="",K38="",M38="",O38="",Q38="",S38="",Z38="",AD38="",AF38="",AH38="",AJ38=""),"",
IF(OR(ISNUMBER(SEARCH("Exterior",E38)),ISNUMBER(SEARCH("Garage",E38)),M02S04F22="Unconditioned",M02S04F22="Electric Heat Only",M02S04F22="Natural Gas Heat Only"),ROUND(M38*O38*Q38/1000,4),
ROUND(M38*O38*Q38/1000*INDEX(BUILDINGTYPE[Waste Heat Factor (e)],MATCH(M02S04F19,BUILDINGTYPE[Building Type],0)),4)))</f>
        <v/>
      </c>
      <c r="BB38" s="771" t="str">
        <f>IF(OR(C38="",E38="",G38="",K38="",M38="",O38="",Q38="",S38="",Z38="",AD38="",AF38="",AH38="",AJ38=""),"",
IF(OR(ISNUMBER(SEARCH("Exterior",E38)),ISNUMBER(SEARCH("Garage",E38)),M02S04F22="Unconditioned",M02S04F22="Electric Heat Only",M02S04F22="Natural Gas Heat Only"),ROUND(AD38*AF38*Q38/1000,4),
ROUND(AD38*AF38*Q38/1000*INDEX(BUILDINGTYPE[Waste Heat Factor (e)],MATCH(M02S04F19,BUILDINGTYPE[Building Type],0)),4)))</f>
        <v/>
      </c>
      <c r="BC38" s="773" t="str">
        <f t="shared" ref="BC38" si="70">IF(OR(E38="",G38="",S38=""),"",IF(ISNUMBER(SEARCH("24/7",E38)),"Ext Lighting w/ Peak",IF(E38="Interior","Interior Lighting",IF(OR(E38="Garage",E38="Exterior"),"Ext Lighting w/o Peak","Err"))))</f>
        <v/>
      </c>
      <c r="BD38" s="757" t="str">
        <f t="shared" ref="BD38" si="71">IF(BE38&lt;&gt;"", "Calculated", "")</f>
        <v/>
      </c>
      <c r="BE38" s="775" t="str">
        <f t="shared" ref="BE38" si="72">IF(AND(BA38&lt;&gt;"", BB38&lt;&gt;""), ROUND(BA38-BB38,4), "")</f>
        <v/>
      </c>
      <c r="BF38" s="775" t="str">
        <f>IFERROR(IF(OR(C38="",E38="",G38="",K38="",M38="",O38="",Q38="",Z38="",AD38="",AF38="",AH38="",AJ38=""),"",IF(OR(E38="Garage",E38="Exterior"),0,
IF(OR(ISNUMBER(SEARCH("Garage",E38)),M02S04F22="Unconditioned",M02S04F22="Electric Heat Only",M02S04F22="Natural Gas Heat Only"),ROUND((((M38*O38)-(AD38*AF38))/1000)*INDEX(BUILDINGTYPE[Lighting Coincidence Factor],MATCH(M02S04F19,BUILDINGTYPE[Building Type],0)),4),
ROUND((((M38*O38)-(AD38*AF38))/1000)*INDEX(BUILDINGTYPE[WHFd],MATCH(M02S04F19,BUILDINGTYPE[Building Type],0))*INDEX(BUILDINGTYPE[Lighting Coincidence Factor],MATCH(M02S04F19,BUILDINGTYPE[Building Type],0)),4)))),"")</f>
        <v/>
      </c>
      <c r="BG38" s="775" t="str">
        <f>IFERROR(IF(OR(C38="",E38="",G38="",K38="",M38="",O38="",Q38="",Z38="",AD38="",AF38="",AH38="",AJ38=""),"",ROUND(AO38*INDEX(ENDUSEALL[Factor],MATCH(BC38,ENDUSEALL[End Use to Coincident Peak Demand Factors],0)),4)),"")</f>
        <v/>
      </c>
      <c r="BH38" s="761"/>
      <c r="BI38" s="761"/>
      <c r="BJ38" s="777" t="str">
        <f>IF(OR(G38="",S38=""),"",IF(INDEX(CMLIGHTEFF[EUL],MATCH(S38,CMLIGHTEFF[Eff Desc 1],0))="","",INDEX(CMLIGHTEFF[EUL],MATCH(S38,CMLIGHTEFF[Eff Desc 1],0))))</f>
        <v/>
      </c>
      <c r="BK38" s="767" t="str">
        <f>IFERROR(IF(OR(C38="",E38="",G38="",K38="",M38="",O38="",Q38="",Z38="",AD38="",AF38="",AH38="",AJ38=""),"",
ROUND(((1+ELOSS)*((AO38*INDEX(ELECCB[NPV AEC $/kWh],MATCH(BJ38,ELECCB[Year Number],1)))+(BG38*INDEX(ELECCB[NPV ACC $/kW],MATCH(BJ38,ELECCB[Year Number],1))))),2)),0)</f>
        <v/>
      </c>
      <c r="BL38" s="767" t="str">
        <f t="shared" si="2"/>
        <v/>
      </c>
      <c r="BM38" s="765"/>
      <c r="BN38" s="763" t="str">
        <f t="shared" si="3"/>
        <v/>
      </c>
      <c r="BO38" s="763" t="str">
        <f>IFERROR(IF(BM38 &lt;&gt; "", BM38, BL38) / M02S04F06 / AO38, "")</f>
        <v/>
      </c>
      <c r="BP38" s="769"/>
      <c r="BQ38" s="765"/>
      <c r="BR38" s="767" t="str">
        <f t="shared" ref="BR38" si="73">IFERROR(ROUND(AO38*BV38,2),"")</f>
        <v/>
      </c>
      <c r="BS38" s="765"/>
      <c r="BT38" s="765"/>
      <c r="BU38" s="757" t="str">
        <f>IFERROR(IF(BP38="", IF(AND(ROUND(AR38/AL38,2)=TOTCOSTCAP, BR38/AL38&gt;TOTCOSTCAP),"75% Total Cost",
IF(FALSE,"100% Incremental Cost",
IF(BV38&lt;KWHRATEMIN, "kWh Incentive Rate Min",
IF(BV38&gt;KWHRATEMAX,"kWh Incentive Rate Cap",
IF(AR38=BT38,"Bonus Incentive",
"kWh Incentive"))))), ""),"")</f>
        <v/>
      </c>
      <c r="BV38" s="767" t="str" cm="1">
        <f t="array" ref="BV38">_xlfn.LET(_xlpm.ROWS,MATCH(BC38,ENDUSEALL[End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8" s="757" t="str" cm="1">
        <f t="array" ref="BW38">IF(OR(C38="",E38="",G38="",K38="",M38="",O38="",Q38="",Z38="",AD38="",AF38="",AH38="",AJ38=""),"",
IF(BY38&lt;&gt;"",SPILLOVERNUMBER,
_xlfn.LET(
_xlpm.Program, IF(Program_Banner= "Business Energy Savings", 2, IF(Program_Banner="Small Business / Non-Profit", 3, "#")),
_xlpm.Location, INDEX( LOCATIONTYPE[Measure Number], MATCH(E38, LOCATIONTYPE[Location Type], 0)),
_xlpm.Eff_Desc_1, INDEX(CMLIGHTEFF[Measure Number],MATCH(S38,CMLIGHTEFF[Eff Desc 1],0)),
"11" &amp; _xlpm.Program &amp; "2" &amp; _xlpm.Location &amp; _xlpm.Eff_Desc_1
)))</f>
        <v/>
      </c>
      <c r="BX38" s="757" t="str" cm="1">
        <f t="array" ref="BX38">IFERROR(INDEX(_xlfn.SWITCH(Program_Banner,"Business Energy Savings",ENDUSEALL[Primary Key WBE],"Small Business / Non-Profit",ENDUSEALL[Primary Key HTRB],0),MATCH(BC38,ENDUSEALL[End Use to Coincident Peak Demand Factors],0)),"")</f>
        <v/>
      </c>
      <c r="BY38" s="757" t="str">
        <f ca="1">IFERROR(
IF(EXPIRATION&lt;&gt;"",PROJSTATEXP,
IF(BP38&gt;0,"",
IF(OR(M02S04F06="",M02S04F06="Select Rate Code",M02S04F06=0),MEASURERATE,
IF(M02S04F19="",MEASUREBLDG,
IF(BA38-BB38&lt;=0,MEASURESAVE,
IF(PAYCUSE&lt;PAYBACKREQ,PROJECTSTATPAYBACK,
IF(CBCUSE&lt;CBREQ,PROJECTSTATCB,""))))))),
MEASURESUBMIT)</f>
        <v>Enter Utility Rate</v>
      </c>
      <c r="BZ38" s="753"/>
      <c r="CA38" s="753"/>
      <c r="CB38" s="753"/>
      <c r="CC38" s="753"/>
    </row>
    <row r="39" spans="2:81" ht="15.95" customHeight="1">
      <c r="B39" s="785"/>
      <c r="C39" s="1002"/>
      <c r="D39" s="1002"/>
      <c r="E39" s="1002"/>
      <c r="F39" s="1003"/>
      <c r="G39" s="1004"/>
      <c r="H39" s="1002"/>
      <c r="I39" s="1002"/>
      <c r="J39" s="1002"/>
      <c r="K39" s="1002"/>
      <c r="L39" s="1002"/>
      <c r="M39" s="989"/>
      <c r="N39" s="989"/>
      <c r="O39" s="1008"/>
      <c r="P39" s="1008"/>
      <c r="Q39" s="1015"/>
      <c r="R39" s="1016"/>
      <c r="S39" s="1017"/>
      <c r="T39" s="1002"/>
      <c r="U39" s="1002"/>
      <c r="V39" s="1002"/>
      <c r="W39" s="1012"/>
      <c r="X39" s="1013"/>
      <c r="Y39" s="1013"/>
      <c r="Z39" s="1012"/>
      <c r="AA39" s="1013"/>
      <c r="AB39" s="1013"/>
      <c r="AC39" s="1014"/>
      <c r="AD39" s="989"/>
      <c r="AE39" s="989"/>
      <c r="AF39" s="990"/>
      <c r="AG39" s="991"/>
      <c r="AH39" s="992"/>
      <c r="AI39" s="993"/>
      <c r="AJ39" s="993"/>
      <c r="AK39" s="1005"/>
      <c r="AL39" s="1006"/>
      <c r="AM39" s="1007"/>
      <c r="AN39" s="1007"/>
      <c r="AO39" s="997"/>
      <c r="AP39" s="998"/>
      <c r="AQ39" s="999"/>
      <c r="AR39" s="1001"/>
      <c r="AS39" s="1001"/>
      <c r="AT39" s="1001"/>
      <c r="AU39" s="1001"/>
      <c r="AX39" s="774"/>
      <c r="AY39" s="760"/>
      <c r="AZ39" s="760"/>
      <c r="BA39" s="772"/>
      <c r="BB39" s="772"/>
      <c r="BC39" s="774"/>
      <c r="BD39" s="758"/>
      <c r="BE39" s="776"/>
      <c r="BF39" s="776"/>
      <c r="BG39" s="776"/>
      <c r="BH39" s="762"/>
      <c r="BI39" s="762"/>
      <c r="BJ39" s="778"/>
      <c r="BK39" s="768"/>
      <c r="BL39" s="768"/>
      <c r="BM39" s="766"/>
      <c r="BN39" s="764"/>
      <c r="BO39" s="764"/>
      <c r="BP39" s="770"/>
      <c r="BQ39" s="766"/>
      <c r="BR39" s="768"/>
      <c r="BS39" s="766"/>
      <c r="BT39" s="766"/>
      <c r="BU39" s="758"/>
      <c r="BV39" s="768"/>
      <c r="BW39" s="758"/>
      <c r="BX39" s="758"/>
      <c r="BY39" s="758"/>
      <c r="BZ39" s="754"/>
      <c r="CA39" s="754"/>
      <c r="CB39" s="754"/>
      <c r="CC39" s="754"/>
    </row>
    <row r="40" spans="2:81" ht="15.95" customHeight="1">
      <c r="B40" s="785">
        <v>12</v>
      </c>
      <c r="C40" s="1002"/>
      <c r="D40" s="1002"/>
      <c r="E40" s="1002"/>
      <c r="F40" s="1003"/>
      <c r="G40" s="1004"/>
      <c r="H40" s="1002"/>
      <c r="I40" s="1002"/>
      <c r="J40" s="1002"/>
      <c r="K40" s="1002"/>
      <c r="L40" s="1002"/>
      <c r="M40" s="989"/>
      <c r="N40" s="989"/>
      <c r="O40" s="1008" t="str">
        <f>IFERROR(IF(G40="","",INDEX(CMLIGHTBASE[Base Watt 1],MATCH(G40,CMLIGHTBASE[Base Desc 1],0))),"")</f>
        <v/>
      </c>
      <c r="P40" s="1008"/>
      <c r="Q40" s="1015"/>
      <c r="R40" s="1016"/>
      <c r="S40" s="1017"/>
      <c r="T40" s="1002"/>
      <c r="U40" s="1002"/>
      <c r="V40" s="1002"/>
      <c r="W40" s="1009"/>
      <c r="X40" s="1010"/>
      <c r="Y40" s="1010"/>
      <c r="Z40" s="1009"/>
      <c r="AA40" s="1010"/>
      <c r="AB40" s="1010"/>
      <c r="AC40" s="1011"/>
      <c r="AD40" s="989"/>
      <c r="AE40" s="989"/>
      <c r="AF40" s="990"/>
      <c r="AG40" s="991"/>
      <c r="AH40" s="992"/>
      <c r="AI40" s="993"/>
      <c r="AJ40" s="993"/>
      <c r="AK40" s="1005"/>
      <c r="AL40" s="1006" t="str">
        <f>IF(OR(C40="",E40="",G40="",K40="",M40="",O40="",Q40="",S40="",Z40="",AD40="",AF40="",AH40="",AJ40=""),"",ROUND(AH40+AJ40,2))</f>
        <v/>
      </c>
      <c r="AM40" s="1007"/>
      <c r="AN40" s="1007"/>
      <c r="AO40" s="994" t="str">
        <f t="shared" ref="AO40" si="74">IF(OR(C40="",E40="",G40="",K40="",M40="",O40="",Q40="",S40="",Z40="",AD40="",AF40="",AH40="",AJ40=""),"",IF(BA40-BB40&lt;=0,0,BA40-BB40))</f>
        <v/>
      </c>
      <c r="AP40" s="995"/>
      <c r="AQ40" s="996"/>
      <c r="AR40" s="1000" t="str">
        <f>IF(OR(C40="",E40="",G40="",K40="",M40="",O40="",Q40="",S40="",Z40="",AD40="",AF40="",AH40="",AJ40=""),"", IF(BY40&lt;&gt;"", BY40, IF(BP40&gt;0,BP40, IF(ACTIVEBLOCK="Yes",ROUND(MIN(AL40*0.75,AO40*BLOCKBIDRATE),2),ROUND(MIN(AL40*0.75,BR40),2)))))</f>
        <v/>
      </c>
      <c r="AS40" s="1000"/>
      <c r="AT40" s="1000"/>
      <c r="AU40" s="1000"/>
      <c r="AX40" s="773" t="str">
        <f>IF(S40="","",
_xlfn.LET( _xlpm.Unit, INDEX(CMLIGHTEFF[Unit],MATCH(S40,CMLIGHTEFF[Eff Desc 1],0)),
IFERROR(_xlpm.Unit,"")))</f>
        <v/>
      </c>
      <c r="AY40" s="759" t="str">
        <f t="shared" ref="AY40" si="75">IF(M40="", "", M40)</f>
        <v/>
      </c>
      <c r="AZ40" s="759" t="str">
        <f t="shared" ref="AZ40" si="76">IF(AD40="", "", AD40)</f>
        <v/>
      </c>
      <c r="BA40" s="771" t="str">
        <f>IF(OR(C40="",E40="",G40="",K40="",M40="",O40="",Q40="",S40="",Z40="",AD40="",AF40="",AH40="",AJ40=""),"",
IF(OR(ISNUMBER(SEARCH("Exterior",E40)),ISNUMBER(SEARCH("Garage",E40)),M02S04F22="Unconditioned",M02S04F22="Electric Heat Only",M02S04F22="Natural Gas Heat Only"),ROUND(M40*O40*Q40/1000,4),
ROUND(M40*O40*Q40/1000*INDEX(BUILDINGTYPE[Waste Heat Factor (e)],MATCH(M02S04F19,BUILDINGTYPE[Building Type],0)),4)))</f>
        <v/>
      </c>
      <c r="BB40" s="771" t="str">
        <f>IF(OR(C40="",E40="",G40="",K40="",M40="",O40="",Q40="",S40="",Z40="",AD40="",AF40="",AH40="",AJ40=""),"",
IF(OR(ISNUMBER(SEARCH("Exterior",E40)),ISNUMBER(SEARCH("Garage",E40)),M02S04F22="Unconditioned",M02S04F22="Electric Heat Only",M02S04F22="Natural Gas Heat Only"),ROUND(AD40*AF40*Q40/1000,4),
ROUND(AD40*AF40*Q40/1000*INDEX(BUILDINGTYPE[Waste Heat Factor (e)],MATCH(M02S04F19,BUILDINGTYPE[Building Type],0)),4)))</f>
        <v/>
      </c>
      <c r="BC40" s="773" t="str">
        <f t="shared" ref="BC40" si="77">IF(OR(E40="",G40="",S40=""),"",IF(ISNUMBER(SEARCH("24/7",E40)),"Ext Lighting w/ Peak",IF(E40="Interior","Interior Lighting",IF(OR(E40="Garage",E40="Exterior"),"Ext Lighting w/o Peak","Err"))))</f>
        <v/>
      </c>
      <c r="BD40" s="757" t="str">
        <f t="shared" ref="BD40" si="78">IF(BE40&lt;&gt;"", "Calculated", "")</f>
        <v/>
      </c>
      <c r="BE40" s="775" t="str">
        <f t="shared" ref="BE40" si="79">IF(AND(BA40&lt;&gt;"", BB40&lt;&gt;""), ROUND(BA40-BB40,4), "")</f>
        <v/>
      </c>
      <c r="BF40" s="775" t="str">
        <f>IFERROR(IF(OR(C40="",E40="",G40="",K40="",M40="",O40="",Q40="",Z40="",AD40="",AF40="",AH40="",AJ40=""),"",IF(OR(E40="Garage",E40="Exterior"),0,
IF(OR(ISNUMBER(SEARCH("Garage",E40)),M02S04F22="Unconditioned",M02S04F22="Electric Heat Only",M02S04F22="Natural Gas Heat Only"),ROUND((((M40*O40)-(AD40*AF40))/1000)*INDEX(BUILDINGTYPE[Lighting Coincidence Factor],MATCH(M02S04F19,BUILDINGTYPE[Building Type],0)),4),
ROUND((((M40*O40)-(AD40*AF40))/1000)*INDEX(BUILDINGTYPE[WHFd],MATCH(M02S04F19,BUILDINGTYPE[Building Type],0))*INDEX(BUILDINGTYPE[Lighting Coincidence Factor],MATCH(M02S04F19,BUILDINGTYPE[Building Type],0)),4)))),"")</f>
        <v/>
      </c>
      <c r="BG40" s="775" t="str">
        <f>IFERROR(IF(OR(C40="",E40="",G40="",K40="",M40="",O40="",Q40="",Z40="",AD40="",AF40="",AH40="",AJ40=""),"",ROUND(AO40*INDEX(ENDUSEALL[Factor],MATCH(BC40,ENDUSEALL[End Use to Coincident Peak Demand Factors],0)),4)),"")</f>
        <v/>
      </c>
      <c r="BH40" s="761"/>
      <c r="BI40" s="761"/>
      <c r="BJ40" s="777" t="str">
        <f>IF(OR(G40="",S40=""),"",IF(INDEX(CMLIGHTEFF[EUL],MATCH(S40,CMLIGHTEFF[Eff Desc 1],0))="","",INDEX(CMLIGHTEFF[EUL],MATCH(S40,CMLIGHTEFF[Eff Desc 1],0))))</f>
        <v/>
      </c>
      <c r="BK40" s="767" t="str">
        <f>IFERROR(IF(OR(C40="",E40="",G40="",K40="",M40="",O40="",Q40="",Z40="",AD40="",AF40="",AH40="",AJ40=""),"",
ROUND(((1+ELOSS)*((AO40*INDEX(ELECCB[NPV AEC $/kWh],MATCH(BJ40,ELECCB[Year Number],1)))+(BG40*INDEX(ELECCB[NPV ACC $/kW],MATCH(BJ40,ELECCB[Year Number],1))))),2)),0)</f>
        <v/>
      </c>
      <c r="BL40" s="767" t="str">
        <f t="shared" si="2"/>
        <v/>
      </c>
      <c r="BM40" s="765"/>
      <c r="BN40" s="763" t="str">
        <f t="shared" si="3"/>
        <v/>
      </c>
      <c r="BO40" s="763" t="str">
        <f>IFERROR(IF(BM40 &lt;&gt; "", BM40, BL40) / M02S04F06 / AO40, "")</f>
        <v/>
      </c>
      <c r="BP40" s="769"/>
      <c r="BQ40" s="765"/>
      <c r="BR40" s="767" t="str">
        <f t="shared" ref="BR40" si="80">IFERROR(ROUND(AO40*BV40,2),"")</f>
        <v/>
      </c>
      <c r="BS40" s="765"/>
      <c r="BT40" s="765"/>
      <c r="BU40" s="757" t="str">
        <f>IFERROR(IF(BP40="", IF(AND(ROUND(AR40/AL40,2)=TOTCOSTCAP, BR40/AL40&gt;TOTCOSTCAP),"75% Total Cost",
IF(FALSE,"100% Incremental Cost",
IF(BV40&lt;KWHRATEMIN, "kWh Incentive Rate Min",
IF(BV40&gt;KWHRATEMAX,"kWh Incentive Rate Cap",
IF(AR40=BT40,"Bonus Incentive",
"kWh Incentive"))))), ""),"")</f>
        <v/>
      </c>
      <c r="BV40" s="767" t="str" cm="1">
        <f t="array" ref="BV40">_xlfn.LET(_xlpm.ROWS,MATCH(BC40,ENDUSEALL[End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0" s="757" t="str" cm="1">
        <f t="array" ref="BW40">IF(OR(C40="",E40="",G40="",K40="",M40="",O40="",Q40="",Z40="",AD40="",AF40="",AH40="",AJ40=""),"",
IF(BY40&lt;&gt;"",SPILLOVERNUMBER,
_xlfn.LET(
_xlpm.Program, IF(Program_Banner= "Business Energy Savings", 2, IF(Program_Banner="Small Business / Non-Profit", 3, "#")),
_xlpm.Location, INDEX( LOCATIONTYPE[Measure Number], MATCH(E40, LOCATIONTYPE[Location Type], 0)),
_xlpm.Eff_Desc_1, INDEX(CMLIGHTEFF[Measure Number],MATCH(S40,CMLIGHTEFF[Eff Desc 1],0)),
"11" &amp; _xlpm.Program &amp; "2" &amp; _xlpm.Location &amp; _xlpm.Eff_Desc_1
)))</f>
        <v/>
      </c>
      <c r="BX40" s="757" t="str" cm="1">
        <f t="array" ref="BX40">IFERROR(INDEX(_xlfn.SWITCH(Program_Banner,"Business Energy Savings",ENDUSEALL[Primary Key WBE],"Small Business / Non-Profit",ENDUSEALL[Primary Key HTRB],0),MATCH(BC40,ENDUSEALL[End Use to Coincident Peak Demand Factors],0)),"")</f>
        <v/>
      </c>
      <c r="BY40" s="757" t="str">
        <f ca="1">IFERROR(
IF(EXPIRATION&lt;&gt;"",PROJSTATEXP,
IF(BP40&gt;0,"",
IF(OR(M02S04F06="",M02S04F06="Select Rate Code",M02S04F06=0),MEASURERATE,
IF(M02S04F19="",MEASUREBLDG,
IF(BA40-BB40&lt;=0,MEASURESAVE,
IF(PAYCUSE&lt;PAYBACKREQ,PROJECTSTATPAYBACK,
IF(CBCUSE&lt;CBREQ,PROJECTSTATCB,""))))))),
MEASURESUBMIT)</f>
        <v>Enter Utility Rate</v>
      </c>
      <c r="BZ40" s="753"/>
      <c r="CA40" s="753"/>
      <c r="CB40" s="753"/>
      <c r="CC40" s="753"/>
    </row>
    <row r="41" spans="2:81" ht="15.95" customHeight="1">
      <c r="B41" s="785"/>
      <c r="C41" s="1002"/>
      <c r="D41" s="1002"/>
      <c r="E41" s="1002"/>
      <c r="F41" s="1003"/>
      <c r="G41" s="1004"/>
      <c r="H41" s="1002"/>
      <c r="I41" s="1002"/>
      <c r="J41" s="1002"/>
      <c r="K41" s="1002"/>
      <c r="L41" s="1002"/>
      <c r="M41" s="989"/>
      <c r="N41" s="989"/>
      <c r="O41" s="1008"/>
      <c r="P41" s="1008"/>
      <c r="Q41" s="1015"/>
      <c r="R41" s="1016"/>
      <c r="S41" s="1017"/>
      <c r="T41" s="1002"/>
      <c r="U41" s="1002"/>
      <c r="V41" s="1002"/>
      <c r="W41" s="1012"/>
      <c r="X41" s="1013"/>
      <c r="Y41" s="1013"/>
      <c r="Z41" s="1012"/>
      <c r="AA41" s="1013"/>
      <c r="AB41" s="1013"/>
      <c r="AC41" s="1014"/>
      <c r="AD41" s="989"/>
      <c r="AE41" s="989"/>
      <c r="AF41" s="990"/>
      <c r="AG41" s="991"/>
      <c r="AH41" s="992"/>
      <c r="AI41" s="993"/>
      <c r="AJ41" s="993"/>
      <c r="AK41" s="1005"/>
      <c r="AL41" s="1006"/>
      <c r="AM41" s="1007"/>
      <c r="AN41" s="1007"/>
      <c r="AO41" s="997"/>
      <c r="AP41" s="998"/>
      <c r="AQ41" s="999"/>
      <c r="AR41" s="1001"/>
      <c r="AS41" s="1001"/>
      <c r="AT41" s="1001"/>
      <c r="AU41" s="1001"/>
      <c r="AX41" s="774"/>
      <c r="AY41" s="760"/>
      <c r="AZ41" s="760"/>
      <c r="BA41" s="772"/>
      <c r="BB41" s="772"/>
      <c r="BC41" s="774"/>
      <c r="BD41" s="758"/>
      <c r="BE41" s="776"/>
      <c r="BF41" s="776"/>
      <c r="BG41" s="776"/>
      <c r="BH41" s="762"/>
      <c r="BI41" s="762"/>
      <c r="BJ41" s="778"/>
      <c r="BK41" s="768"/>
      <c r="BL41" s="768"/>
      <c r="BM41" s="766"/>
      <c r="BN41" s="764"/>
      <c r="BO41" s="764"/>
      <c r="BP41" s="770"/>
      <c r="BQ41" s="766"/>
      <c r="BR41" s="768"/>
      <c r="BS41" s="766"/>
      <c r="BT41" s="766"/>
      <c r="BU41" s="758"/>
      <c r="BV41" s="768"/>
      <c r="BW41" s="758"/>
      <c r="BX41" s="758"/>
      <c r="BY41" s="758"/>
      <c r="BZ41" s="754"/>
      <c r="CA41" s="754"/>
      <c r="CB41" s="754"/>
      <c r="CC41" s="754"/>
    </row>
    <row r="42" spans="2:81" ht="15.95" customHeight="1">
      <c r="B42" s="785">
        <v>13</v>
      </c>
      <c r="C42" s="1002"/>
      <c r="D42" s="1002"/>
      <c r="E42" s="1002"/>
      <c r="F42" s="1003"/>
      <c r="G42" s="1004"/>
      <c r="H42" s="1002"/>
      <c r="I42" s="1002"/>
      <c r="J42" s="1002"/>
      <c r="K42" s="1002"/>
      <c r="L42" s="1002"/>
      <c r="M42" s="989"/>
      <c r="N42" s="989"/>
      <c r="O42" s="1008" t="str">
        <f>IFERROR(IF(G42="","",INDEX(CMLIGHTBASE[Base Watt 1],MATCH(G42,CMLIGHTBASE[Base Desc 1],0))),"")</f>
        <v/>
      </c>
      <c r="P42" s="1008"/>
      <c r="Q42" s="1015"/>
      <c r="R42" s="1016"/>
      <c r="S42" s="1017"/>
      <c r="T42" s="1002"/>
      <c r="U42" s="1002"/>
      <c r="V42" s="1002"/>
      <c r="W42" s="1009"/>
      <c r="X42" s="1010"/>
      <c r="Y42" s="1010"/>
      <c r="Z42" s="1009"/>
      <c r="AA42" s="1010"/>
      <c r="AB42" s="1010"/>
      <c r="AC42" s="1011"/>
      <c r="AD42" s="989"/>
      <c r="AE42" s="989"/>
      <c r="AF42" s="990"/>
      <c r="AG42" s="991"/>
      <c r="AH42" s="992"/>
      <c r="AI42" s="993"/>
      <c r="AJ42" s="993"/>
      <c r="AK42" s="1005"/>
      <c r="AL42" s="1006" t="str">
        <f>IF(OR(C42="",E42="",G42="",K42="",M42="",O42="",Q42="",S42="",Z42="",AD42="",AF42="",AH42="",AJ42=""),"",ROUND(AH42+AJ42,2))</f>
        <v/>
      </c>
      <c r="AM42" s="1007"/>
      <c r="AN42" s="1007"/>
      <c r="AO42" s="994" t="str">
        <f t="shared" ref="AO42" si="81">IF(OR(C42="",E42="",G42="",K42="",M42="",O42="",Q42="",S42="",Z42="",AD42="",AF42="",AH42="",AJ42=""),"",IF(BA42-BB42&lt;=0,0,BA42-BB42))</f>
        <v/>
      </c>
      <c r="AP42" s="995"/>
      <c r="AQ42" s="996"/>
      <c r="AR42" s="1000" t="str">
        <f>IF(OR(C42="",E42="",G42="",K42="",M42="",O42="",Q42="",S42="",Z42="",AD42="",AF42="",AH42="",AJ42=""),"", IF(BY42&lt;&gt;"", BY42, IF(BP42&gt;0,BP42, IF(ACTIVEBLOCK="Yes",ROUND(MIN(AL42*0.75,AO42*BLOCKBIDRATE),2),ROUND(MIN(AL42*0.75,BR42),2)))))</f>
        <v/>
      </c>
      <c r="AS42" s="1000"/>
      <c r="AT42" s="1000"/>
      <c r="AU42" s="1000"/>
      <c r="AX42" s="773" t="str">
        <f>IF(S42="","",
_xlfn.LET( _xlpm.Unit, INDEX(CMLIGHTEFF[Unit],MATCH(S42,CMLIGHTEFF[Eff Desc 1],0)),
IFERROR(_xlpm.Unit,"")))</f>
        <v/>
      </c>
      <c r="AY42" s="759" t="str">
        <f t="shared" ref="AY42" si="82">IF(M42="", "", M42)</f>
        <v/>
      </c>
      <c r="AZ42" s="759" t="str">
        <f t="shared" ref="AZ42" si="83">IF(AD42="", "", AD42)</f>
        <v/>
      </c>
      <c r="BA42" s="771" t="str">
        <f>IF(OR(C42="",E42="",G42="",K42="",M42="",O42="",Q42="",S42="",Z42="",AD42="",AF42="",AH42="",AJ42=""),"",
IF(OR(ISNUMBER(SEARCH("Exterior",E42)),ISNUMBER(SEARCH("Garage",E42)),M02S04F22="Unconditioned",M02S04F22="Electric Heat Only",M02S04F22="Natural Gas Heat Only"),ROUND(M42*O42*Q42/1000,4),
ROUND(M42*O42*Q42/1000*INDEX(BUILDINGTYPE[Waste Heat Factor (e)],MATCH(M02S04F19,BUILDINGTYPE[Building Type],0)),4)))</f>
        <v/>
      </c>
      <c r="BB42" s="771" t="str">
        <f>IF(OR(C42="",E42="",G42="",K42="",M42="",O42="",Q42="",S42="",Z42="",AD42="",AF42="",AH42="",AJ42=""),"",
IF(OR(ISNUMBER(SEARCH("Exterior",E42)),ISNUMBER(SEARCH("Garage",E42)),M02S04F22="Unconditioned",M02S04F22="Electric Heat Only",M02S04F22="Natural Gas Heat Only"),ROUND(AD42*AF42*Q42/1000,4),
ROUND(AD42*AF42*Q42/1000*INDEX(BUILDINGTYPE[Waste Heat Factor (e)],MATCH(M02S04F19,BUILDINGTYPE[Building Type],0)),4)))</f>
        <v/>
      </c>
      <c r="BC42" s="773" t="str">
        <f t="shared" ref="BC42" si="84">IF(OR(E42="",G42="",S42=""),"",IF(ISNUMBER(SEARCH("24/7",E42)),"Ext Lighting w/ Peak",IF(E42="Interior","Interior Lighting",IF(OR(E42="Garage",E42="Exterior"),"Ext Lighting w/o Peak","Err"))))</f>
        <v/>
      </c>
      <c r="BD42" s="757" t="str">
        <f t="shared" ref="BD42" si="85">IF(BE42&lt;&gt;"", "Calculated", "")</f>
        <v/>
      </c>
      <c r="BE42" s="775" t="str">
        <f t="shared" ref="BE42" si="86">IF(AND(BA42&lt;&gt;"", BB42&lt;&gt;""), ROUND(BA42-BB42,4), "")</f>
        <v/>
      </c>
      <c r="BF42" s="775" t="str">
        <f>IFERROR(IF(OR(C42="",E42="",G42="",K42="",M42="",O42="",Q42="",Z42="",AD42="",AF42="",AH42="",AJ42=""),"",IF(OR(E42="Garage",E42="Exterior"),0,
IF(OR(ISNUMBER(SEARCH("Garage",E42)),M02S04F22="Unconditioned",M02S04F22="Electric Heat Only",M02S04F22="Natural Gas Heat Only"),ROUND((((M42*O42)-(AD42*AF42))/1000)*INDEX(BUILDINGTYPE[Lighting Coincidence Factor],MATCH(M02S04F19,BUILDINGTYPE[Building Type],0)),4),
ROUND((((M42*O42)-(AD42*AF42))/1000)*INDEX(BUILDINGTYPE[WHFd],MATCH(M02S04F19,BUILDINGTYPE[Building Type],0))*INDEX(BUILDINGTYPE[Lighting Coincidence Factor],MATCH(M02S04F19,BUILDINGTYPE[Building Type],0)),4)))),"")</f>
        <v/>
      </c>
      <c r="BG42" s="775" t="str">
        <f>IFERROR(IF(OR(C42="",E42="",G42="",K42="",M42="",O42="",Q42="",Z42="",AD42="",AF42="",AH42="",AJ42=""),"",ROUND(AO42*INDEX(ENDUSEALL[Factor],MATCH(BC42,ENDUSEALL[End Use to Coincident Peak Demand Factors],0)),4)),"")</f>
        <v/>
      </c>
      <c r="BH42" s="761"/>
      <c r="BI42" s="761"/>
      <c r="BJ42" s="777" t="str">
        <f>IF(OR(G42="",S42=""),"",IF(INDEX(CMLIGHTEFF[EUL],MATCH(S42,CMLIGHTEFF[Eff Desc 1],0))="","",INDEX(CMLIGHTEFF[EUL],MATCH(S42,CMLIGHTEFF[Eff Desc 1],0))))</f>
        <v/>
      </c>
      <c r="BK42" s="767" t="str">
        <f>IFERROR(IF(OR(C42="",E42="",G42="",K42="",M42="",O42="",Q42="",Z42="",AD42="",AF42="",AH42="",AJ42=""),"",
ROUND(((1+ELOSS)*((AO42*INDEX(ELECCB[NPV AEC $/kWh],MATCH(BJ42,ELECCB[Year Number],1)))+(BG42*INDEX(ELECCB[NPV ACC $/kW],MATCH(BJ42,ELECCB[Year Number],1))))),2)),0)</f>
        <v/>
      </c>
      <c r="BL42" s="767" t="str">
        <f t="shared" si="2"/>
        <v/>
      </c>
      <c r="BM42" s="765"/>
      <c r="BN42" s="763" t="str">
        <f t="shared" si="3"/>
        <v/>
      </c>
      <c r="BO42" s="763" t="str">
        <f>IFERROR(IF(BM42 &lt;&gt; "", BM42, BL42) / M02S04F06 / AO42, "")</f>
        <v/>
      </c>
      <c r="BP42" s="769"/>
      <c r="BQ42" s="765"/>
      <c r="BR42" s="767" t="str">
        <f t="shared" ref="BR42" si="87">IFERROR(ROUND(AO42*BV42,2),"")</f>
        <v/>
      </c>
      <c r="BS42" s="765"/>
      <c r="BT42" s="765"/>
      <c r="BU42" s="757" t="str">
        <f>IFERROR(IF(BP42="", IF(AND(ROUND(AR42/AL42,2)=TOTCOSTCAP, BR42/AL42&gt;TOTCOSTCAP),"75% Total Cost",
IF(FALSE,"100% Incremental Cost",
IF(BV42&lt;KWHRATEMIN, "kWh Incentive Rate Min",
IF(BV42&gt;KWHRATEMAX,"kWh Incentive Rate Cap",
IF(AR42=BT42,"Bonus Incentive",
"kWh Incentive"))))), ""),"")</f>
        <v/>
      </c>
      <c r="BV42" s="767" t="str" cm="1">
        <f t="array" ref="BV42">_xlfn.LET(_xlpm.ROWS,MATCH(BC42,ENDUSEALL[End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2" s="757" t="str" cm="1">
        <f t="array" ref="BW42">IF(OR(C42="",E42="",G42="",K42="",M42="",O42="",Q42="",Z42="",AD42="",AF42="",AH42="",AJ42=""),"",
IF(BY42&lt;&gt;"",SPILLOVERNUMBER,
_xlfn.LET(
_xlpm.Program, IF(Program_Banner= "Business Energy Savings", 2, IF(Program_Banner="Small Business / Non-Profit", 3, "#")),
_xlpm.Location, INDEX( LOCATIONTYPE[Measure Number], MATCH(E42, LOCATIONTYPE[Location Type], 0)),
_xlpm.Eff_Desc_1, INDEX(CMLIGHTEFF[Measure Number],MATCH(S42,CMLIGHTEFF[Eff Desc 1],0)),
"11" &amp; _xlpm.Program &amp; "2" &amp; _xlpm.Location &amp; _xlpm.Eff_Desc_1
)))</f>
        <v/>
      </c>
      <c r="BX42" s="757" t="str" cm="1">
        <f t="array" ref="BX42">IFERROR(INDEX(_xlfn.SWITCH(Program_Banner,"Business Energy Savings",ENDUSEALL[Primary Key WBE],"Small Business / Non-Profit",ENDUSEALL[Primary Key HTRB],0),MATCH(BC42,ENDUSEALL[End Use to Coincident Peak Demand Factors],0)),"")</f>
        <v/>
      </c>
      <c r="BY42" s="757" t="str">
        <f ca="1">IFERROR(
IF(EXPIRATION&lt;&gt;"",PROJSTATEXP,
IF(BP42&gt;0,"",
IF(OR(M02S04F06="",M02S04F06="Select Rate Code",M02S04F06=0),MEASURERATE,
IF(M02S04F19="",MEASUREBLDG,
IF(BA42-BB42&lt;=0,MEASURESAVE,
IF(PAYCUSE&lt;PAYBACKREQ,PROJECTSTATPAYBACK,
IF(CBCUSE&lt;CBREQ,PROJECTSTATCB,""))))))),
MEASURESUBMIT)</f>
        <v>Enter Utility Rate</v>
      </c>
      <c r="BZ42" s="753"/>
      <c r="CA42" s="753"/>
      <c r="CB42" s="753"/>
      <c r="CC42" s="753"/>
    </row>
    <row r="43" spans="2:81" ht="15.95" customHeight="1">
      <c r="B43" s="785"/>
      <c r="C43" s="1002"/>
      <c r="D43" s="1002"/>
      <c r="E43" s="1002"/>
      <c r="F43" s="1003"/>
      <c r="G43" s="1004"/>
      <c r="H43" s="1002"/>
      <c r="I43" s="1002"/>
      <c r="J43" s="1002"/>
      <c r="K43" s="1002"/>
      <c r="L43" s="1002"/>
      <c r="M43" s="989"/>
      <c r="N43" s="989"/>
      <c r="O43" s="1008"/>
      <c r="P43" s="1008"/>
      <c r="Q43" s="1015"/>
      <c r="R43" s="1016"/>
      <c r="S43" s="1017"/>
      <c r="T43" s="1002"/>
      <c r="U43" s="1002"/>
      <c r="V43" s="1002"/>
      <c r="W43" s="1012"/>
      <c r="X43" s="1013"/>
      <c r="Y43" s="1013"/>
      <c r="Z43" s="1012"/>
      <c r="AA43" s="1013"/>
      <c r="AB43" s="1013"/>
      <c r="AC43" s="1014"/>
      <c r="AD43" s="989"/>
      <c r="AE43" s="989"/>
      <c r="AF43" s="990"/>
      <c r="AG43" s="991"/>
      <c r="AH43" s="992"/>
      <c r="AI43" s="993"/>
      <c r="AJ43" s="993"/>
      <c r="AK43" s="1005"/>
      <c r="AL43" s="1006"/>
      <c r="AM43" s="1007"/>
      <c r="AN43" s="1007"/>
      <c r="AO43" s="997"/>
      <c r="AP43" s="998"/>
      <c r="AQ43" s="999"/>
      <c r="AR43" s="1001"/>
      <c r="AS43" s="1001"/>
      <c r="AT43" s="1001"/>
      <c r="AU43" s="1001"/>
      <c r="AX43" s="774"/>
      <c r="AY43" s="760"/>
      <c r="AZ43" s="760"/>
      <c r="BA43" s="772"/>
      <c r="BB43" s="772"/>
      <c r="BC43" s="774"/>
      <c r="BD43" s="758"/>
      <c r="BE43" s="776"/>
      <c r="BF43" s="776"/>
      <c r="BG43" s="776"/>
      <c r="BH43" s="762"/>
      <c r="BI43" s="762"/>
      <c r="BJ43" s="778"/>
      <c r="BK43" s="768"/>
      <c r="BL43" s="768"/>
      <c r="BM43" s="766"/>
      <c r="BN43" s="764"/>
      <c r="BO43" s="764"/>
      <c r="BP43" s="770"/>
      <c r="BQ43" s="766"/>
      <c r="BR43" s="768"/>
      <c r="BS43" s="766"/>
      <c r="BT43" s="766"/>
      <c r="BU43" s="758"/>
      <c r="BV43" s="768"/>
      <c r="BW43" s="758"/>
      <c r="BX43" s="758"/>
      <c r="BY43" s="758"/>
      <c r="BZ43" s="754"/>
      <c r="CA43" s="754"/>
      <c r="CB43" s="754"/>
      <c r="CC43" s="754"/>
    </row>
    <row r="44" spans="2:81" ht="15.95" customHeight="1">
      <c r="B44" s="785">
        <v>14</v>
      </c>
      <c r="C44" s="1002"/>
      <c r="D44" s="1002"/>
      <c r="E44" s="1002"/>
      <c r="F44" s="1003"/>
      <c r="G44" s="1004"/>
      <c r="H44" s="1002"/>
      <c r="I44" s="1002"/>
      <c r="J44" s="1002"/>
      <c r="K44" s="1002"/>
      <c r="L44" s="1002"/>
      <c r="M44" s="989"/>
      <c r="N44" s="989"/>
      <c r="O44" s="1008" t="str">
        <f>IFERROR(IF(G44="","",INDEX(CMLIGHTBASE[Base Watt 1],MATCH(G44,CMLIGHTBASE[Base Desc 1],0))),"")</f>
        <v/>
      </c>
      <c r="P44" s="1008"/>
      <c r="Q44" s="1015"/>
      <c r="R44" s="1016"/>
      <c r="S44" s="1017"/>
      <c r="T44" s="1002"/>
      <c r="U44" s="1002"/>
      <c r="V44" s="1002"/>
      <c r="W44" s="1009"/>
      <c r="X44" s="1010"/>
      <c r="Y44" s="1010"/>
      <c r="Z44" s="1009"/>
      <c r="AA44" s="1010"/>
      <c r="AB44" s="1010"/>
      <c r="AC44" s="1011"/>
      <c r="AD44" s="989"/>
      <c r="AE44" s="989"/>
      <c r="AF44" s="990"/>
      <c r="AG44" s="991"/>
      <c r="AH44" s="992"/>
      <c r="AI44" s="993"/>
      <c r="AJ44" s="993"/>
      <c r="AK44" s="1005"/>
      <c r="AL44" s="1006" t="str">
        <f>IF(OR(C44="",E44="",G44="",K44="",M44="",O44="",Q44="",S44="",Z44="",AD44="",AF44="",AH44="",AJ44=""),"",ROUND(AH44+AJ44,2))</f>
        <v/>
      </c>
      <c r="AM44" s="1007"/>
      <c r="AN44" s="1007"/>
      <c r="AO44" s="994" t="str">
        <f t="shared" ref="AO44" si="88">IF(OR(C44="",E44="",G44="",K44="",M44="",O44="",Q44="",S44="",Z44="",AD44="",AF44="",AH44="",AJ44=""),"",IF(BA44-BB44&lt;=0,0,BA44-BB44))</f>
        <v/>
      </c>
      <c r="AP44" s="995"/>
      <c r="AQ44" s="996"/>
      <c r="AR44" s="1000" t="str">
        <f>IF(OR(C44="",E44="",G44="",K44="",M44="",O44="",Q44="",S44="",Z44="",AD44="",AF44="",AH44="",AJ44=""),"", IF(BY44&lt;&gt;"", BY44, IF(BP44&gt;0,BP44, IF(ACTIVEBLOCK="Yes",ROUND(MIN(AL44*0.75,AO44*BLOCKBIDRATE),2),ROUND(MIN(AL44*0.75,BR44),2)))))</f>
        <v/>
      </c>
      <c r="AS44" s="1000"/>
      <c r="AT44" s="1000"/>
      <c r="AU44" s="1000"/>
      <c r="AX44" s="773" t="str">
        <f>IF(S44="","",
_xlfn.LET( _xlpm.Unit, INDEX(CMLIGHTEFF[Unit],MATCH(S44,CMLIGHTEFF[Eff Desc 1],0)),
IFERROR(_xlpm.Unit,"")))</f>
        <v/>
      </c>
      <c r="AY44" s="759" t="str">
        <f t="shared" ref="AY44" si="89">IF(M44="", "", M44)</f>
        <v/>
      </c>
      <c r="AZ44" s="759" t="str">
        <f t="shared" ref="AZ44" si="90">IF(AD44="", "", AD44)</f>
        <v/>
      </c>
      <c r="BA44" s="771" t="str">
        <f>IF(OR(C44="",E44="",G44="",K44="",M44="",O44="",Q44="",S44="",Z44="",AD44="",AF44="",AH44="",AJ44=""),"",
IF(OR(ISNUMBER(SEARCH("Exterior",E44)),ISNUMBER(SEARCH("Garage",E44)),M02S04F22="Unconditioned",M02S04F22="Electric Heat Only",M02S04F22="Natural Gas Heat Only"),ROUND(M44*O44*Q44/1000,4),
ROUND(M44*O44*Q44/1000*INDEX(BUILDINGTYPE[Waste Heat Factor (e)],MATCH(M02S04F19,BUILDINGTYPE[Building Type],0)),4)))</f>
        <v/>
      </c>
      <c r="BB44" s="771" t="str">
        <f>IF(OR(C44="",E44="",G44="",K44="",M44="",O44="",Q44="",S44="",Z44="",AD44="",AF44="",AH44="",AJ44=""),"",
IF(OR(ISNUMBER(SEARCH("Exterior",E44)),ISNUMBER(SEARCH("Garage",E44)),M02S04F22="Unconditioned",M02S04F22="Electric Heat Only",M02S04F22="Natural Gas Heat Only"),ROUND(AD44*AF44*Q44/1000,4),
ROUND(AD44*AF44*Q44/1000*INDEX(BUILDINGTYPE[Waste Heat Factor (e)],MATCH(M02S04F19,BUILDINGTYPE[Building Type],0)),4)))</f>
        <v/>
      </c>
      <c r="BC44" s="773" t="str">
        <f t="shared" ref="BC44" si="91">IF(OR(E44="",G44="",S44=""),"",IF(ISNUMBER(SEARCH("24/7",E44)),"Ext Lighting w/ Peak",IF(E44="Interior","Interior Lighting",IF(OR(E44="Garage",E44="Exterior"),"Ext Lighting w/o Peak","Err"))))</f>
        <v/>
      </c>
      <c r="BD44" s="757" t="str">
        <f t="shared" ref="BD44" si="92">IF(BE44&lt;&gt;"", "Calculated", "")</f>
        <v/>
      </c>
      <c r="BE44" s="775" t="str">
        <f t="shared" ref="BE44" si="93">IF(AND(BA44&lt;&gt;"", BB44&lt;&gt;""), ROUND(BA44-BB44,4), "")</f>
        <v/>
      </c>
      <c r="BF44" s="775" t="str">
        <f>IFERROR(IF(OR(C44="",E44="",G44="",K44="",M44="",O44="",Q44="",Z44="",AD44="",AF44="",AH44="",AJ44=""),"",IF(OR(E44="Garage",E44="Exterior"),0,
IF(OR(ISNUMBER(SEARCH("Garage",E44)),M02S04F22="Unconditioned",M02S04F22="Electric Heat Only",M02S04F22="Natural Gas Heat Only"),ROUND((((M44*O44)-(AD44*AF44))/1000)*INDEX(BUILDINGTYPE[Lighting Coincidence Factor],MATCH(M02S04F19,BUILDINGTYPE[Building Type],0)),4),
ROUND((((M44*O44)-(AD44*AF44))/1000)*INDEX(BUILDINGTYPE[WHFd],MATCH(M02S04F19,BUILDINGTYPE[Building Type],0))*INDEX(BUILDINGTYPE[Lighting Coincidence Factor],MATCH(M02S04F19,BUILDINGTYPE[Building Type],0)),4)))),"")</f>
        <v/>
      </c>
      <c r="BG44" s="775" t="str">
        <f>IFERROR(IF(OR(C44="",E44="",G44="",K44="",M44="",O44="",Q44="",Z44="",AD44="",AF44="",AH44="",AJ44=""),"",ROUND(AO44*INDEX(ENDUSEALL[Factor],MATCH(BC44,ENDUSEALL[End Use to Coincident Peak Demand Factors],0)),4)),"")</f>
        <v/>
      </c>
      <c r="BH44" s="761"/>
      <c r="BI44" s="761"/>
      <c r="BJ44" s="777" t="str">
        <f>IF(OR(G44="",S44=""),"",IF(INDEX(CMLIGHTEFF[EUL],MATCH(S44,CMLIGHTEFF[Eff Desc 1],0))="","",INDEX(CMLIGHTEFF[EUL],MATCH(S44,CMLIGHTEFF[Eff Desc 1],0))))</f>
        <v/>
      </c>
      <c r="BK44" s="767" t="str">
        <f>IFERROR(IF(OR(C44="",E44="",G44="",K44="",M44="",O44="",Q44="",Z44="",AD44="",AF44="",AH44="",AJ44=""),"",
ROUND(((1+ELOSS)*((AO44*INDEX(ELECCB[NPV AEC $/kWh],MATCH(BJ44,ELECCB[Year Number],1)))+(BG44*INDEX(ELECCB[NPV ACC $/kW],MATCH(BJ44,ELECCB[Year Number],1))))),2)),0)</f>
        <v/>
      </c>
      <c r="BL44" s="767" t="str">
        <f t="shared" si="2"/>
        <v/>
      </c>
      <c r="BM44" s="765"/>
      <c r="BN44" s="763" t="str">
        <f t="shared" si="3"/>
        <v/>
      </c>
      <c r="BO44" s="763" t="str">
        <f>IFERROR(IF(BM44 &lt;&gt; "", BM44, BL44) / M02S04F06 / AO44, "")</f>
        <v/>
      </c>
      <c r="BP44" s="769"/>
      <c r="BQ44" s="765"/>
      <c r="BR44" s="767" t="str">
        <f t="shared" ref="BR44" si="94">IFERROR(ROUND(AO44*BV44,2),"")</f>
        <v/>
      </c>
      <c r="BS44" s="765"/>
      <c r="BT44" s="765"/>
      <c r="BU44" s="757" t="str">
        <f>IFERROR(IF(BP44="", IF(AND(ROUND(AR44/AL44,2)=TOTCOSTCAP, BR44/AL44&gt;TOTCOSTCAP),"75% Total Cost",
IF(FALSE,"100% Incremental Cost",
IF(BV44&lt;KWHRATEMIN, "kWh Incentive Rate Min",
IF(BV44&gt;KWHRATEMAX,"kWh Incentive Rate Cap",
IF(AR44=BT44,"Bonus Incentive",
"kWh Incentive"))))), ""),"")</f>
        <v/>
      </c>
      <c r="BV44" s="767" t="str" cm="1">
        <f t="array" ref="BV44">_xlfn.LET(_xlpm.ROWS,MATCH(BC44,ENDUSEALL[End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4" s="757" t="str" cm="1">
        <f t="array" ref="BW44">IF(OR(C44="",E44="",G44="",K44="",M44="",O44="",Q44="",Z44="",AD44="",AF44="",AH44="",AJ44=""),"",
IF(BY44&lt;&gt;"",SPILLOVERNUMBER,
_xlfn.LET(
_xlpm.Program, IF(Program_Banner= "Business Energy Savings", 2, IF(Program_Banner="Small Business / Non-Profit", 3, "#")),
_xlpm.Location, INDEX( LOCATIONTYPE[Measure Number], MATCH(E44, LOCATIONTYPE[Location Type], 0)),
_xlpm.Eff_Desc_1, INDEX(CMLIGHTEFF[Measure Number],MATCH(S44,CMLIGHTEFF[Eff Desc 1],0)),
"11" &amp; _xlpm.Program &amp; "2" &amp; _xlpm.Location &amp; _xlpm.Eff_Desc_1
)))</f>
        <v/>
      </c>
      <c r="BX44" s="757" t="str" cm="1">
        <f t="array" ref="BX44">IFERROR(INDEX(_xlfn.SWITCH(Program_Banner,"Business Energy Savings",ENDUSEALL[Primary Key WBE],"Small Business / Non-Profit",ENDUSEALL[Primary Key HTRB],0),MATCH(BC44,ENDUSEALL[End Use to Coincident Peak Demand Factors],0)),"")</f>
        <v/>
      </c>
      <c r="BY44" s="757" t="str">
        <f ca="1">IFERROR(
IF(EXPIRATION&lt;&gt;"",PROJSTATEXP,
IF(BP44&gt;0,"",
IF(OR(M02S04F06="",M02S04F06="Select Rate Code",M02S04F06=0),MEASURERATE,
IF(M02S04F19="",MEASUREBLDG,
IF(BA44-BB44&lt;=0,MEASURESAVE,
IF(PAYCUSE&lt;PAYBACKREQ,PROJECTSTATPAYBACK,
IF(CBCUSE&lt;CBREQ,PROJECTSTATCB,""))))))),
MEASURESUBMIT)</f>
        <v>Enter Utility Rate</v>
      </c>
      <c r="BZ44" s="753"/>
      <c r="CA44" s="753"/>
      <c r="CB44" s="753"/>
      <c r="CC44" s="753"/>
    </row>
    <row r="45" spans="2:81" ht="15.95" customHeight="1">
      <c r="B45" s="785"/>
      <c r="C45" s="1002"/>
      <c r="D45" s="1002"/>
      <c r="E45" s="1002"/>
      <c r="F45" s="1003"/>
      <c r="G45" s="1004"/>
      <c r="H45" s="1002"/>
      <c r="I45" s="1002"/>
      <c r="J45" s="1002"/>
      <c r="K45" s="1002"/>
      <c r="L45" s="1002"/>
      <c r="M45" s="989"/>
      <c r="N45" s="989"/>
      <c r="O45" s="1008"/>
      <c r="P45" s="1008"/>
      <c r="Q45" s="1015"/>
      <c r="R45" s="1016"/>
      <c r="S45" s="1017"/>
      <c r="T45" s="1002"/>
      <c r="U45" s="1002"/>
      <c r="V45" s="1002"/>
      <c r="W45" s="1012"/>
      <c r="X45" s="1013"/>
      <c r="Y45" s="1013"/>
      <c r="Z45" s="1012"/>
      <c r="AA45" s="1013"/>
      <c r="AB45" s="1013"/>
      <c r="AC45" s="1014"/>
      <c r="AD45" s="989"/>
      <c r="AE45" s="989"/>
      <c r="AF45" s="990"/>
      <c r="AG45" s="991"/>
      <c r="AH45" s="992"/>
      <c r="AI45" s="993"/>
      <c r="AJ45" s="993"/>
      <c r="AK45" s="1005"/>
      <c r="AL45" s="1006"/>
      <c r="AM45" s="1007"/>
      <c r="AN45" s="1007"/>
      <c r="AO45" s="997"/>
      <c r="AP45" s="998"/>
      <c r="AQ45" s="999"/>
      <c r="AR45" s="1001"/>
      <c r="AS45" s="1001"/>
      <c r="AT45" s="1001"/>
      <c r="AU45" s="1001"/>
      <c r="AX45" s="774"/>
      <c r="AY45" s="760"/>
      <c r="AZ45" s="760"/>
      <c r="BA45" s="772"/>
      <c r="BB45" s="772"/>
      <c r="BC45" s="774"/>
      <c r="BD45" s="758"/>
      <c r="BE45" s="776"/>
      <c r="BF45" s="776"/>
      <c r="BG45" s="776"/>
      <c r="BH45" s="762"/>
      <c r="BI45" s="762"/>
      <c r="BJ45" s="778"/>
      <c r="BK45" s="768"/>
      <c r="BL45" s="768"/>
      <c r="BM45" s="766"/>
      <c r="BN45" s="764"/>
      <c r="BO45" s="764"/>
      <c r="BP45" s="770"/>
      <c r="BQ45" s="766"/>
      <c r="BR45" s="768"/>
      <c r="BS45" s="766"/>
      <c r="BT45" s="766"/>
      <c r="BU45" s="758"/>
      <c r="BV45" s="768"/>
      <c r="BW45" s="758"/>
      <c r="BX45" s="758"/>
      <c r="BY45" s="758"/>
      <c r="BZ45" s="754"/>
      <c r="CA45" s="754"/>
      <c r="CB45" s="754"/>
      <c r="CC45" s="754"/>
    </row>
    <row r="46" spans="2:81" ht="15.95" customHeight="1">
      <c r="B46" s="785">
        <v>15</v>
      </c>
      <c r="C46" s="1002"/>
      <c r="D46" s="1002"/>
      <c r="E46" s="1002"/>
      <c r="F46" s="1003"/>
      <c r="G46" s="1004"/>
      <c r="H46" s="1002"/>
      <c r="I46" s="1002"/>
      <c r="J46" s="1002"/>
      <c r="K46" s="1002"/>
      <c r="L46" s="1002"/>
      <c r="M46" s="989"/>
      <c r="N46" s="989"/>
      <c r="O46" s="1008" t="str">
        <f>IFERROR(IF(G46="","",INDEX(CMLIGHTBASE[Base Watt 1],MATCH(G46,CMLIGHTBASE[Base Desc 1],0))),"")</f>
        <v/>
      </c>
      <c r="P46" s="1008"/>
      <c r="Q46" s="1015"/>
      <c r="R46" s="1016"/>
      <c r="S46" s="1017"/>
      <c r="T46" s="1002"/>
      <c r="U46" s="1002"/>
      <c r="V46" s="1002"/>
      <c r="W46" s="1009"/>
      <c r="X46" s="1010"/>
      <c r="Y46" s="1010"/>
      <c r="Z46" s="1009"/>
      <c r="AA46" s="1010"/>
      <c r="AB46" s="1010"/>
      <c r="AC46" s="1011"/>
      <c r="AD46" s="989"/>
      <c r="AE46" s="989"/>
      <c r="AF46" s="990"/>
      <c r="AG46" s="991"/>
      <c r="AH46" s="992"/>
      <c r="AI46" s="993"/>
      <c r="AJ46" s="993"/>
      <c r="AK46" s="1005"/>
      <c r="AL46" s="1006" t="str">
        <f>IF(OR(C46="",E46="",G46="",K46="",M46="",O46="",Q46="",S46="",Z46="",AD46="",AF46="",AH46="",AJ46=""),"",ROUND(AH46+AJ46,2))</f>
        <v/>
      </c>
      <c r="AM46" s="1007"/>
      <c r="AN46" s="1007"/>
      <c r="AO46" s="994" t="str">
        <f t="shared" ref="AO46" si="95">IF(OR(C46="",E46="",G46="",K46="",M46="",O46="",Q46="",S46="",Z46="",AD46="",AF46="",AH46="",AJ46=""),"",IF(BA46-BB46&lt;=0,0,BA46-BB46))</f>
        <v/>
      </c>
      <c r="AP46" s="995"/>
      <c r="AQ46" s="996"/>
      <c r="AR46" s="1000" t="str">
        <f>IF(OR(C46="",E46="",G46="",K46="",M46="",O46="",Q46="",S46="",Z46="",AD46="",AF46="",AH46="",AJ46=""),"", IF(BY46&lt;&gt;"", BY46, IF(BP46&gt;0,BP46, IF(ACTIVEBLOCK="Yes",ROUND(MIN(AL46*0.75,AO46*BLOCKBIDRATE),2),ROUND(MIN(AL46*0.75,BR46),2)))))</f>
        <v/>
      </c>
      <c r="AS46" s="1000"/>
      <c r="AT46" s="1000"/>
      <c r="AU46" s="1000"/>
      <c r="AX46" s="773" t="str">
        <f>IF(S46="","",
_xlfn.LET( _xlpm.Unit, INDEX(CMLIGHTEFF[Unit],MATCH(S46,CMLIGHTEFF[Eff Desc 1],0)),
IFERROR(_xlpm.Unit,"")))</f>
        <v/>
      </c>
      <c r="AY46" s="759" t="str">
        <f t="shared" ref="AY46" si="96">IF(M46="", "", M46)</f>
        <v/>
      </c>
      <c r="AZ46" s="759" t="str">
        <f t="shared" ref="AZ46" si="97">IF(AD46="", "", AD46)</f>
        <v/>
      </c>
      <c r="BA46" s="771" t="str">
        <f>IF(OR(C46="",E46="",G46="",K46="",M46="",O46="",Q46="",S46="",Z46="",AD46="",AF46="",AH46="",AJ46=""),"",
IF(OR(ISNUMBER(SEARCH("Exterior",E46)),ISNUMBER(SEARCH("Garage",E46)),M02S04F22="Unconditioned",M02S04F22="Electric Heat Only",M02S04F22="Natural Gas Heat Only"),ROUND(M46*O46*Q46/1000,4),
ROUND(M46*O46*Q46/1000*INDEX(BUILDINGTYPE[Waste Heat Factor (e)],MATCH(M02S04F19,BUILDINGTYPE[Building Type],0)),4)))</f>
        <v/>
      </c>
      <c r="BB46" s="771" t="str">
        <f>IF(OR(C46="",E46="",G46="",K46="",M46="",O46="",Q46="",S46="",Z46="",AD46="",AF46="",AH46="",AJ46=""),"",
IF(OR(ISNUMBER(SEARCH("Exterior",E46)),ISNUMBER(SEARCH("Garage",E46)),M02S04F22="Unconditioned",M02S04F22="Electric Heat Only",M02S04F22="Natural Gas Heat Only"),ROUND(AD46*AF46*Q46/1000,4),
ROUND(AD46*AF46*Q46/1000*INDEX(BUILDINGTYPE[Waste Heat Factor (e)],MATCH(M02S04F19,BUILDINGTYPE[Building Type],0)),4)))</f>
        <v/>
      </c>
      <c r="BC46" s="773" t="str">
        <f t="shared" ref="BC46" si="98">IF(OR(E46="",G46="",S46=""),"",IF(ISNUMBER(SEARCH("24/7",E46)),"Ext Lighting w/ Peak",IF(E46="Interior","Interior Lighting",IF(OR(E46="Garage",E46="Exterior"),"Ext Lighting w/o Peak","Err"))))</f>
        <v/>
      </c>
      <c r="BD46" s="757" t="str">
        <f t="shared" ref="BD46" si="99">IF(BE46&lt;&gt;"", "Calculated", "")</f>
        <v/>
      </c>
      <c r="BE46" s="775" t="str">
        <f t="shared" ref="BE46" si="100">IF(AND(BA46&lt;&gt;"", BB46&lt;&gt;""), ROUND(BA46-BB46,4), "")</f>
        <v/>
      </c>
      <c r="BF46" s="775" t="str">
        <f>IFERROR(IF(OR(C46="",E46="",G46="",K46="",M46="",O46="",Q46="",Z46="",AD46="",AF46="",AH46="",AJ46=""),"",IF(OR(E46="Garage",E46="Exterior"),0,
IF(OR(ISNUMBER(SEARCH("Garage",E46)),M02S04F22="Unconditioned",M02S04F22="Electric Heat Only",M02S04F22="Natural Gas Heat Only"),ROUND((((M46*O46)-(AD46*AF46))/1000)*INDEX(BUILDINGTYPE[Lighting Coincidence Factor],MATCH(M02S04F19,BUILDINGTYPE[Building Type],0)),4),
ROUND((((M46*O46)-(AD46*AF46))/1000)*INDEX(BUILDINGTYPE[WHFd],MATCH(M02S04F19,BUILDINGTYPE[Building Type],0))*INDEX(BUILDINGTYPE[Lighting Coincidence Factor],MATCH(M02S04F19,BUILDINGTYPE[Building Type],0)),4)))),"")</f>
        <v/>
      </c>
      <c r="BG46" s="775" t="str">
        <f>IFERROR(IF(OR(C46="",E46="",G46="",K46="",M46="",O46="",Q46="",Z46="",AD46="",AF46="",AH46="",AJ46=""),"",ROUND(AO46*INDEX(ENDUSEALL[Factor],MATCH(BC46,ENDUSEALL[End Use to Coincident Peak Demand Factors],0)),4)),"")</f>
        <v/>
      </c>
      <c r="BH46" s="761"/>
      <c r="BI46" s="761"/>
      <c r="BJ46" s="777" t="str">
        <f>IF(OR(G46="",S46=""),"",IF(INDEX(CMLIGHTEFF[EUL],MATCH(S46,CMLIGHTEFF[Eff Desc 1],0))="","",INDEX(CMLIGHTEFF[EUL],MATCH(S46,CMLIGHTEFF[Eff Desc 1],0))))</f>
        <v/>
      </c>
      <c r="BK46" s="767" t="str">
        <f>IFERROR(IF(OR(C46="",E46="",G46="",K46="",M46="",O46="",Q46="",Z46="",AD46="",AF46="",AH46="",AJ46=""),"",
ROUND(((1+ELOSS)*((AO46*INDEX(ELECCB[NPV AEC $/kWh],MATCH(BJ46,ELECCB[Year Number],1)))+(BG46*INDEX(ELECCB[NPV ACC $/kW],MATCH(BJ46,ELECCB[Year Number],1))))),2)),0)</f>
        <v/>
      </c>
      <c r="BL46" s="767" t="str">
        <f t="shared" si="2"/>
        <v/>
      </c>
      <c r="BM46" s="765"/>
      <c r="BN46" s="763" t="str">
        <f t="shared" si="3"/>
        <v/>
      </c>
      <c r="BO46" s="763" t="str">
        <f>IFERROR(IF(BM46 &lt;&gt; "", BM46, BL46) / M02S04F06 / AO46, "")</f>
        <v/>
      </c>
      <c r="BP46" s="769"/>
      <c r="BQ46" s="765"/>
      <c r="BR46" s="767" t="str">
        <f t="shared" ref="BR46" si="101">IFERROR(ROUND(AO46*BV46,2),"")</f>
        <v/>
      </c>
      <c r="BS46" s="765"/>
      <c r="BT46" s="765"/>
      <c r="BU46" s="757" t="str">
        <f>IFERROR(IF(BP46="", IF(AND(ROUND(AR46/AL46,2)=TOTCOSTCAP, BR46/AL46&gt;TOTCOSTCAP),"75% Total Cost",
IF(FALSE,"100% Incremental Cost",
IF(BV46&lt;KWHRATEMIN, "kWh Incentive Rate Min",
IF(BV46&gt;KWHRATEMAX,"kWh Incentive Rate Cap",
IF(AR46=BT46,"Bonus Incentive",
"kWh Incentive"))))), ""),"")</f>
        <v/>
      </c>
      <c r="BV46" s="767" t="str" cm="1">
        <f t="array" ref="BV46">_xlfn.LET(_xlpm.ROWS,MATCH(BC46,ENDUSEALL[End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6" s="757" t="str" cm="1">
        <f t="array" ref="BW46">IF(OR(C46="",E46="",G46="",K46="",M46="",O46="",Q46="",Z46="",AD46="",AF46="",AH46="",AJ46=""),"",
IF(BY46&lt;&gt;"",SPILLOVERNUMBER,
_xlfn.LET(
_xlpm.Program, IF(Program_Banner= "Business Energy Savings", 2, IF(Program_Banner="Small Business / Non-Profit", 3, "#")),
_xlpm.Location, INDEX( LOCATIONTYPE[Measure Number], MATCH(E46, LOCATIONTYPE[Location Type], 0)),
_xlpm.Eff_Desc_1, INDEX(CMLIGHTEFF[Measure Number],MATCH(S46,CMLIGHTEFF[Eff Desc 1],0)),
"11" &amp; _xlpm.Program &amp; "2" &amp; _xlpm.Location &amp; _xlpm.Eff_Desc_1
)))</f>
        <v/>
      </c>
      <c r="BX46" s="757" t="str" cm="1">
        <f t="array" ref="BX46">IFERROR(INDEX(_xlfn.SWITCH(Program_Banner,"Business Energy Savings",ENDUSEALL[Primary Key WBE],"Small Business / Non-Profit",ENDUSEALL[Primary Key HTRB],0),MATCH(BC46,ENDUSEALL[End Use to Coincident Peak Demand Factors],0)),"")</f>
        <v/>
      </c>
      <c r="BY46" s="757" t="str">
        <f ca="1">IFERROR(
IF(EXPIRATION&lt;&gt;"",PROJSTATEXP,
IF(BP46&gt;0,"",
IF(OR(M02S04F06="",M02S04F06="Select Rate Code",M02S04F06=0),MEASURERATE,
IF(M02S04F19="",MEASUREBLDG,
IF(BA46-BB46&lt;=0,MEASURESAVE,
IF(PAYCUSE&lt;PAYBACKREQ,PROJECTSTATPAYBACK,
IF(CBCUSE&lt;CBREQ,PROJECTSTATCB,""))))))),
MEASURESUBMIT)</f>
        <v>Enter Utility Rate</v>
      </c>
      <c r="BZ46" s="753"/>
      <c r="CA46" s="753"/>
      <c r="CB46" s="753"/>
      <c r="CC46" s="753"/>
    </row>
    <row r="47" spans="2:81" ht="15.95" customHeight="1">
      <c r="B47" s="785"/>
      <c r="C47" s="1002"/>
      <c r="D47" s="1002"/>
      <c r="E47" s="1002"/>
      <c r="F47" s="1003"/>
      <c r="G47" s="1004"/>
      <c r="H47" s="1002"/>
      <c r="I47" s="1002"/>
      <c r="J47" s="1002"/>
      <c r="K47" s="1002"/>
      <c r="L47" s="1002"/>
      <c r="M47" s="989"/>
      <c r="N47" s="989"/>
      <c r="O47" s="1008"/>
      <c r="P47" s="1008"/>
      <c r="Q47" s="1015"/>
      <c r="R47" s="1016"/>
      <c r="S47" s="1017"/>
      <c r="T47" s="1002"/>
      <c r="U47" s="1002"/>
      <c r="V47" s="1002"/>
      <c r="W47" s="1012"/>
      <c r="X47" s="1013"/>
      <c r="Y47" s="1013"/>
      <c r="Z47" s="1012"/>
      <c r="AA47" s="1013"/>
      <c r="AB47" s="1013"/>
      <c r="AC47" s="1014"/>
      <c r="AD47" s="989"/>
      <c r="AE47" s="989"/>
      <c r="AF47" s="990"/>
      <c r="AG47" s="991"/>
      <c r="AH47" s="992"/>
      <c r="AI47" s="993"/>
      <c r="AJ47" s="993"/>
      <c r="AK47" s="1005"/>
      <c r="AL47" s="1006"/>
      <c r="AM47" s="1007"/>
      <c r="AN47" s="1007"/>
      <c r="AO47" s="997"/>
      <c r="AP47" s="998"/>
      <c r="AQ47" s="999"/>
      <c r="AR47" s="1001"/>
      <c r="AS47" s="1001"/>
      <c r="AT47" s="1001"/>
      <c r="AU47" s="1001"/>
      <c r="AX47" s="774"/>
      <c r="AY47" s="760"/>
      <c r="AZ47" s="760"/>
      <c r="BA47" s="772"/>
      <c r="BB47" s="772"/>
      <c r="BC47" s="774"/>
      <c r="BD47" s="758"/>
      <c r="BE47" s="776"/>
      <c r="BF47" s="776"/>
      <c r="BG47" s="776"/>
      <c r="BH47" s="762"/>
      <c r="BI47" s="762"/>
      <c r="BJ47" s="778"/>
      <c r="BK47" s="768"/>
      <c r="BL47" s="768"/>
      <c r="BM47" s="766"/>
      <c r="BN47" s="764"/>
      <c r="BO47" s="764"/>
      <c r="BP47" s="770"/>
      <c r="BQ47" s="766"/>
      <c r="BR47" s="768"/>
      <c r="BS47" s="766"/>
      <c r="BT47" s="766"/>
      <c r="BU47" s="758"/>
      <c r="BV47" s="768"/>
      <c r="BW47" s="758"/>
      <c r="BX47" s="758"/>
      <c r="BY47" s="758"/>
      <c r="BZ47" s="754"/>
      <c r="CA47" s="754"/>
      <c r="CB47" s="754"/>
      <c r="CC47" s="754"/>
    </row>
    <row r="48" spans="2:81" ht="15.95" customHeight="1">
      <c r="B48" s="785">
        <v>16</v>
      </c>
      <c r="C48" s="1002"/>
      <c r="D48" s="1002"/>
      <c r="E48" s="1002"/>
      <c r="F48" s="1003"/>
      <c r="G48" s="1004"/>
      <c r="H48" s="1002"/>
      <c r="I48" s="1002"/>
      <c r="J48" s="1002"/>
      <c r="K48" s="1002"/>
      <c r="L48" s="1002"/>
      <c r="M48" s="989"/>
      <c r="N48" s="989"/>
      <c r="O48" s="1008" t="str">
        <f>IFERROR(IF(G48="","",INDEX(CMLIGHTBASE[Base Watt 1],MATCH(G48,CMLIGHTBASE[Base Desc 1],0))),"")</f>
        <v/>
      </c>
      <c r="P48" s="1008"/>
      <c r="Q48" s="1015"/>
      <c r="R48" s="1016"/>
      <c r="S48" s="1017"/>
      <c r="T48" s="1002"/>
      <c r="U48" s="1002"/>
      <c r="V48" s="1002"/>
      <c r="W48" s="1009"/>
      <c r="X48" s="1010"/>
      <c r="Y48" s="1010"/>
      <c r="Z48" s="1009"/>
      <c r="AA48" s="1010"/>
      <c r="AB48" s="1010"/>
      <c r="AC48" s="1011"/>
      <c r="AD48" s="989"/>
      <c r="AE48" s="989"/>
      <c r="AF48" s="990"/>
      <c r="AG48" s="991"/>
      <c r="AH48" s="992"/>
      <c r="AI48" s="993"/>
      <c r="AJ48" s="993"/>
      <c r="AK48" s="1005"/>
      <c r="AL48" s="1006" t="str">
        <f>IF(OR(C48="",E48="",G48="",K48="",M48="",O48="",Q48="",S48="",Z48="",AD48="",AF48="",AH48="",AJ48=""),"",ROUND(AH48+AJ48,2))</f>
        <v/>
      </c>
      <c r="AM48" s="1007"/>
      <c r="AN48" s="1007"/>
      <c r="AO48" s="994" t="str">
        <f t="shared" ref="AO48" si="102">IF(OR(C48="",E48="",G48="",K48="",M48="",O48="",Q48="",S48="",Z48="",AD48="",AF48="",AH48="",AJ48=""),"",IF(BA48-BB48&lt;=0,0,BA48-BB48))</f>
        <v/>
      </c>
      <c r="AP48" s="995"/>
      <c r="AQ48" s="996"/>
      <c r="AR48" s="1000" t="str">
        <f>IF(OR(C48="",E48="",G48="",K48="",M48="",O48="",Q48="",S48="",Z48="",AD48="",AF48="",AH48="",AJ48=""),"", IF(BY48&lt;&gt;"", BY48, IF(BP48&gt;0,BP48, IF(ACTIVEBLOCK="Yes",ROUND(MIN(AL48*0.75,AO48*BLOCKBIDRATE),2),ROUND(MIN(AL48*0.75,BR48),2)))))</f>
        <v/>
      </c>
      <c r="AS48" s="1000"/>
      <c r="AT48" s="1000"/>
      <c r="AU48" s="1000"/>
      <c r="AX48" s="773" t="str">
        <f>IF(S48="","",
_xlfn.LET( _xlpm.Unit, INDEX(CMLIGHTEFF[Unit],MATCH(S48,CMLIGHTEFF[Eff Desc 1],0)),
IFERROR(_xlpm.Unit,"")))</f>
        <v/>
      </c>
      <c r="AY48" s="759" t="str">
        <f t="shared" ref="AY48" si="103">IF(M48="", "", M48)</f>
        <v/>
      </c>
      <c r="AZ48" s="759" t="str">
        <f t="shared" ref="AZ48" si="104">IF(AD48="", "", AD48)</f>
        <v/>
      </c>
      <c r="BA48" s="771" t="str">
        <f>IF(OR(C48="",E48="",G48="",K48="",M48="",O48="",Q48="",S48="",Z48="",AD48="",AF48="",AH48="",AJ48=""),"",
IF(OR(ISNUMBER(SEARCH("Exterior",E48)),ISNUMBER(SEARCH("Garage",E48)),M02S04F22="Unconditioned",M02S04F22="Electric Heat Only",M02S04F22="Natural Gas Heat Only"),ROUND(M48*O48*Q48/1000,4),
ROUND(M48*O48*Q48/1000*INDEX(BUILDINGTYPE[Waste Heat Factor (e)],MATCH(M02S04F19,BUILDINGTYPE[Building Type],0)),4)))</f>
        <v/>
      </c>
      <c r="BB48" s="771" t="str">
        <f>IF(OR(C48="",E48="",G48="",K48="",M48="",O48="",Q48="",S48="",Z48="",AD48="",AF48="",AH48="",AJ48=""),"",
IF(OR(ISNUMBER(SEARCH("Exterior",E48)),ISNUMBER(SEARCH("Garage",E48)),M02S04F22="Unconditioned",M02S04F22="Electric Heat Only",M02S04F22="Natural Gas Heat Only"),ROUND(AD48*AF48*Q48/1000,4),
ROUND(AD48*AF48*Q48/1000*INDEX(BUILDINGTYPE[Waste Heat Factor (e)],MATCH(M02S04F19,BUILDINGTYPE[Building Type],0)),4)))</f>
        <v/>
      </c>
      <c r="BC48" s="773" t="str">
        <f t="shared" ref="BC48" si="105">IF(OR(E48="",G48="",S48=""),"",IF(ISNUMBER(SEARCH("24/7",E48)),"Ext Lighting w/ Peak",IF(E48="Interior","Interior Lighting",IF(OR(E48="Garage",E48="Exterior"),"Ext Lighting w/o Peak","Err"))))</f>
        <v/>
      </c>
      <c r="BD48" s="757" t="str">
        <f t="shared" ref="BD48" si="106">IF(BE48&lt;&gt;"", "Calculated", "")</f>
        <v/>
      </c>
      <c r="BE48" s="775" t="str">
        <f t="shared" ref="BE48" si="107">IF(AND(BA48&lt;&gt;"", BB48&lt;&gt;""), ROUND(BA48-BB48,4), "")</f>
        <v/>
      </c>
      <c r="BF48" s="775" t="str">
        <f>IFERROR(IF(OR(C48="",E48="",G48="",K48="",M48="",O48="",Q48="",Z48="",AD48="",AF48="",AH48="",AJ48=""),"",IF(OR(E48="Garage",E48="Exterior"),0,
IF(OR(ISNUMBER(SEARCH("Garage",E48)),M02S04F22="Unconditioned",M02S04F22="Electric Heat Only",M02S04F22="Natural Gas Heat Only"),ROUND((((M48*O48)-(AD48*AF48))/1000)*INDEX(BUILDINGTYPE[Lighting Coincidence Factor],MATCH(M02S04F19,BUILDINGTYPE[Building Type],0)),4),
ROUND((((M48*O48)-(AD48*AF48))/1000)*INDEX(BUILDINGTYPE[WHFd],MATCH(M02S04F19,BUILDINGTYPE[Building Type],0))*INDEX(BUILDINGTYPE[Lighting Coincidence Factor],MATCH(M02S04F19,BUILDINGTYPE[Building Type],0)),4)))),"")</f>
        <v/>
      </c>
      <c r="BG48" s="775" t="str">
        <f>IFERROR(IF(OR(C48="",E48="",G48="",K48="",M48="",O48="",Q48="",Z48="",AD48="",AF48="",AH48="",AJ48=""),"",ROUND(AO48*INDEX(ENDUSEALL[Factor],MATCH(BC48,ENDUSEALL[End Use to Coincident Peak Demand Factors],0)),4)),"")</f>
        <v/>
      </c>
      <c r="BH48" s="761"/>
      <c r="BI48" s="761"/>
      <c r="BJ48" s="777" t="str">
        <f>IF(OR(G48="",S48=""),"",IF(INDEX(CMLIGHTEFF[EUL],MATCH(S48,CMLIGHTEFF[Eff Desc 1],0))="","",INDEX(CMLIGHTEFF[EUL],MATCH(S48,CMLIGHTEFF[Eff Desc 1],0))))</f>
        <v/>
      </c>
      <c r="BK48" s="767" t="str">
        <f>IFERROR(IF(OR(C48="",E48="",G48="",K48="",M48="",O48="",Q48="",Z48="",AD48="",AF48="",AH48="",AJ48=""),"",
ROUND(((1+ELOSS)*((AO48*INDEX(ELECCB[NPV AEC $/kWh],MATCH(BJ48,ELECCB[Year Number],1)))+(BG48*INDEX(ELECCB[NPV ACC $/kW],MATCH(BJ48,ELECCB[Year Number],1))))),2)),0)</f>
        <v/>
      </c>
      <c r="BL48" s="767" t="str">
        <f t="shared" si="2"/>
        <v/>
      </c>
      <c r="BM48" s="765"/>
      <c r="BN48" s="763" t="str">
        <f t="shared" si="3"/>
        <v/>
      </c>
      <c r="BO48" s="763" t="str">
        <f>IFERROR(IF(BM48 &lt;&gt; "", BM48, BL48) / M02S04F06 / AO48, "")</f>
        <v/>
      </c>
      <c r="BP48" s="769"/>
      <c r="BQ48" s="765"/>
      <c r="BR48" s="767" t="str">
        <f t="shared" ref="BR48" si="108">IFERROR(ROUND(AO48*BV48,2),"")</f>
        <v/>
      </c>
      <c r="BS48" s="765"/>
      <c r="BT48" s="765"/>
      <c r="BU48" s="757" t="str">
        <f>IFERROR(IF(BP48="", IF(AND(ROUND(AR48/AL48,2)=TOTCOSTCAP, BR48/AL48&gt;TOTCOSTCAP),"75% Total Cost",
IF(FALSE,"100% Incremental Cost",
IF(BV48&lt;KWHRATEMIN, "kWh Incentive Rate Min",
IF(BV48&gt;KWHRATEMAX,"kWh Incentive Rate Cap",
IF(AR48=BT48,"Bonus Incentive",
"kWh Incentive"))))), ""),"")</f>
        <v/>
      </c>
      <c r="BV48" s="767" t="str" cm="1">
        <f t="array" ref="BV48">_xlfn.LET(_xlpm.ROWS,MATCH(BC48,ENDUSEALL[End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8" s="757" t="str" cm="1">
        <f t="array" ref="BW48">IF(OR(C48="",E48="",G48="",K48="",M48="",O48="",Q48="",Z48="",AD48="",AF48="",AH48="",AJ48=""),"",
IF(BY48&lt;&gt;"",SPILLOVERNUMBER,
_xlfn.LET(
_xlpm.Program, IF(Program_Banner= "Business Energy Savings", 2, IF(Program_Banner="Small Business / Non-Profit", 3, "#")),
_xlpm.Location, INDEX( LOCATIONTYPE[Measure Number], MATCH(E48, LOCATIONTYPE[Location Type], 0)),
_xlpm.Eff_Desc_1, INDEX(CMLIGHTEFF[Measure Number],MATCH(S48,CMLIGHTEFF[Eff Desc 1],0)),
"11" &amp; _xlpm.Program &amp; "2" &amp; _xlpm.Location &amp; _xlpm.Eff_Desc_1
)))</f>
        <v/>
      </c>
      <c r="BX48" s="757" t="str" cm="1">
        <f t="array" ref="BX48">IFERROR(INDEX(_xlfn.SWITCH(Program_Banner,"Business Energy Savings",ENDUSEALL[Primary Key WBE],"Small Business / Non-Profit",ENDUSEALL[Primary Key HTRB],0),MATCH(BC48,ENDUSEALL[End Use to Coincident Peak Demand Factors],0)),"")</f>
        <v/>
      </c>
      <c r="BY48" s="757" t="str">
        <f ca="1">IFERROR(
IF(EXPIRATION&lt;&gt;"",PROJSTATEXP,
IF(BP48&gt;0,"",
IF(OR(M02S04F06="",M02S04F06="Select Rate Code",M02S04F06=0),MEASURERATE,
IF(M02S04F19="",MEASUREBLDG,
IF(BA48-BB48&lt;=0,MEASURESAVE,
IF(PAYCUSE&lt;PAYBACKREQ,PROJECTSTATPAYBACK,
IF(CBCUSE&lt;CBREQ,PROJECTSTATCB,""))))))),
MEASURESUBMIT)</f>
        <v>Enter Utility Rate</v>
      </c>
      <c r="BZ48" s="753"/>
      <c r="CA48" s="753"/>
      <c r="CB48" s="753"/>
      <c r="CC48" s="753"/>
    </row>
    <row r="49" spans="2:81" ht="15.95" customHeight="1">
      <c r="B49" s="785"/>
      <c r="C49" s="1002"/>
      <c r="D49" s="1002"/>
      <c r="E49" s="1002"/>
      <c r="F49" s="1003"/>
      <c r="G49" s="1004"/>
      <c r="H49" s="1002"/>
      <c r="I49" s="1002"/>
      <c r="J49" s="1002"/>
      <c r="K49" s="1002"/>
      <c r="L49" s="1002"/>
      <c r="M49" s="989"/>
      <c r="N49" s="989"/>
      <c r="O49" s="1008"/>
      <c r="P49" s="1008"/>
      <c r="Q49" s="1015"/>
      <c r="R49" s="1016"/>
      <c r="S49" s="1017"/>
      <c r="T49" s="1002"/>
      <c r="U49" s="1002"/>
      <c r="V49" s="1002"/>
      <c r="W49" s="1012"/>
      <c r="X49" s="1013"/>
      <c r="Y49" s="1013"/>
      <c r="Z49" s="1012"/>
      <c r="AA49" s="1013"/>
      <c r="AB49" s="1013"/>
      <c r="AC49" s="1014"/>
      <c r="AD49" s="989"/>
      <c r="AE49" s="989"/>
      <c r="AF49" s="990"/>
      <c r="AG49" s="991"/>
      <c r="AH49" s="992"/>
      <c r="AI49" s="993"/>
      <c r="AJ49" s="993"/>
      <c r="AK49" s="1005"/>
      <c r="AL49" s="1006"/>
      <c r="AM49" s="1007"/>
      <c r="AN49" s="1007"/>
      <c r="AO49" s="997"/>
      <c r="AP49" s="998"/>
      <c r="AQ49" s="999"/>
      <c r="AR49" s="1001"/>
      <c r="AS49" s="1001"/>
      <c r="AT49" s="1001"/>
      <c r="AU49" s="1001"/>
      <c r="AX49" s="774"/>
      <c r="AY49" s="760"/>
      <c r="AZ49" s="760"/>
      <c r="BA49" s="772"/>
      <c r="BB49" s="772"/>
      <c r="BC49" s="774"/>
      <c r="BD49" s="758"/>
      <c r="BE49" s="776"/>
      <c r="BF49" s="776"/>
      <c r="BG49" s="776"/>
      <c r="BH49" s="762"/>
      <c r="BI49" s="762"/>
      <c r="BJ49" s="778"/>
      <c r="BK49" s="768"/>
      <c r="BL49" s="768"/>
      <c r="BM49" s="766"/>
      <c r="BN49" s="764"/>
      <c r="BO49" s="764"/>
      <c r="BP49" s="770"/>
      <c r="BQ49" s="766"/>
      <c r="BR49" s="768"/>
      <c r="BS49" s="766"/>
      <c r="BT49" s="766"/>
      <c r="BU49" s="758"/>
      <c r="BV49" s="768"/>
      <c r="BW49" s="758"/>
      <c r="BX49" s="758"/>
      <c r="BY49" s="758"/>
      <c r="BZ49" s="754"/>
      <c r="CA49" s="754"/>
      <c r="CB49" s="754"/>
      <c r="CC49" s="754"/>
    </row>
    <row r="50" spans="2:81" ht="15.95" customHeight="1">
      <c r="B50" s="785">
        <v>17</v>
      </c>
      <c r="C50" s="1002"/>
      <c r="D50" s="1002"/>
      <c r="E50" s="1002"/>
      <c r="F50" s="1003"/>
      <c r="G50" s="1004"/>
      <c r="H50" s="1002"/>
      <c r="I50" s="1002"/>
      <c r="J50" s="1002"/>
      <c r="K50" s="1002"/>
      <c r="L50" s="1002"/>
      <c r="M50" s="989"/>
      <c r="N50" s="989"/>
      <c r="O50" s="1008" t="str">
        <f>IFERROR(IF(G50="","",INDEX(CMLIGHTBASE[Base Watt 1],MATCH(G50,CMLIGHTBASE[Base Desc 1],0))),"")</f>
        <v/>
      </c>
      <c r="P50" s="1008"/>
      <c r="Q50" s="1015"/>
      <c r="R50" s="1016"/>
      <c r="S50" s="1017"/>
      <c r="T50" s="1002"/>
      <c r="U50" s="1002"/>
      <c r="V50" s="1002"/>
      <c r="W50" s="1009"/>
      <c r="X50" s="1010"/>
      <c r="Y50" s="1010"/>
      <c r="Z50" s="1009"/>
      <c r="AA50" s="1010"/>
      <c r="AB50" s="1010"/>
      <c r="AC50" s="1011"/>
      <c r="AD50" s="989"/>
      <c r="AE50" s="989"/>
      <c r="AF50" s="990"/>
      <c r="AG50" s="991"/>
      <c r="AH50" s="992"/>
      <c r="AI50" s="993"/>
      <c r="AJ50" s="993"/>
      <c r="AK50" s="1005"/>
      <c r="AL50" s="1006" t="str">
        <f>IF(OR(C50="",E50="",G50="",K50="",M50="",O50="",Q50="",S50="",Z50="",AD50="",AF50="",AH50="",AJ50=""),"",ROUND(AH50+AJ50,2))</f>
        <v/>
      </c>
      <c r="AM50" s="1007"/>
      <c r="AN50" s="1007"/>
      <c r="AO50" s="994" t="str">
        <f t="shared" ref="AO50" si="109">IF(OR(C50="",E50="",G50="",K50="",M50="",O50="",Q50="",S50="",Z50="",AD50="",AF50="",AH50="",AJ50=""),"",IF(BA50-BB50&lt;=0,0,BA50-BB50))</f>
        <v/>
      </c>
      <c r="AP50" s="995"/>
      <c r="AQ50" s="996"/>
      <c r="AR50" s="1000" t="str">
        <f>IF(OR(C50="",E50="",G50="",K50="",M50="",O50="",Q50="",S50="",Z50="",AD50="",AF50="",AH50="",AJ50=""),"", IF(BY50&lt;&gt;"", BY50, IF(BP50&gt;0,BP50, IF(ACTIVEBLOCK="Yes",ROUND(MIN(AL50*0.75,AO50*BLOCKBIDRATE),2),ROUND(MIN(AL50*0.75,BR50),2)))))</f>
        <v/>
      </c>
      <c r="AS50" s="1000"/>
      <c r="AT50" s="1000"/>
      <c r="AU50" s="1000"/>
      <c r="AX50" s="773" t="str">
        <f>IF(S50="","",
_xlfn.LET( _xlpm.Unit, INDEX(CMLIGHTEFF[Unit],MATCH(S50,CMLIGHTEFF[Eff Desc 1],0)),
IFERROR(_xlpm.Unit,"")))</f>
        <v/>
      </c>
      <c r="AY50" s="759" t="str">
        <f t="shared" ref="AY50" si="110">IF(M50="", "", M50)</f>
        <v/>
      </c>
      <c r="AZ50" s="759" t="str">
        <f t="shared" ref="AZ50" si="111">IF(AD50="", "", AD50)</f>
        <v/>
      </c>
      <c r="BA50" s="771" t="str">
        <f>IF(OR(C50="",E50="",G50="",K50="",M50="",O50="",Q50="",S50="",Z50="",AD50="",AF50="",AH50="",AJ50=""),"",
IF(OR(ISNUMBER(SEARCH("Exterior",E50)),ISNUMBER(SEARCH("Garage",E50)),M02S04F22="Unconditioned",M02S04F22="Electric Heat Only",M02S04F22="Natural Gas Heat Only"),ROUND(M50*O50*Q50/1000,4),
ROUND(M50*O50*Q50/1000*INDEX(BUILDINGTYPE[Waste Heat Factor (e)],MATCH(M02S04F19,BUILDINGTYPE[Building Type],0)),4)))</f>
        <v/>
      </c>
      <c r="BB50" s="771" t="str">
        <f>IF(OR(C50="",E50="",G50="",K50="",M50="",O50="",Q50="",S50="",Z50="",AD50="",AF50="",AH50="",AJ50=""),"",
IF(OR(ISNUMBER(SEARCH("Exterior",E50)),ISNUMBER(SEARCH("Garage",E50)),M02S04F22="Unconditioned",M02S04F22="Electric Heat Only",M02S04F22="Natural Gas Heat Only"),ROUND(AD50*AF50*Q50/1000,4),
ROUND(AD50*AF50*Q50/1000*INDEX(BUILDINGTYPE[Waste Heat Factor (e)],MATCH(M02S04F19,BUILDINGTYPE[Building Type],0)),4)))</f>
        <v/>
      </c>
      <c r="BC50" s="773" t="str">
        <f t="shared" ref="BC50" si="112">IF(OR(E50="",G50="",S50=""),"",IF(ISNUMBER(SEARCH("24/7",E50)),"Ext Lighting w/ Peak",IF(E50="Interior","Interior Lighting",IF(OR(E50="Garage",E50="Exterior"),"Ext Lighting w/o Peak","Err"))))</f>
        <v/>
      </c>
      <c r="BD50" s="757" t="str">
        <f t="shared" ref="BD50" si="113">IF(BE50&lt;&gt;"", "Calculated", "")</f>
        <v/>
      </c>
      <c r="BE50" s="775" t="str">
        <f t="shared" ref="BE50" si="114">IF(AND(BA50&lt;&gt;"", BB50&lt;&gt;""), ROUND(BA50-BB50,4), "")</f>
        <v/>
      </c>
      <c r="BF50" s="775" t="str">
        <f>IFERROR(IF(OR(C50="",E50="",G50="",K50="",M50="",O50="",Q50="",Z50="",AD50="",AF50="",AH50="",AJ50=""),"",IF(OR(E50="Garage",E50="Exterior"),0,
IF(OR(ISNUMBER(SEARCH("Garage",E50)),M02S04F22="Unconditioned",M02S04F22="Electric Heat Only",M02S04F22="Natural Gas Heat Only"),ROUND((((M50*O50)-(AD50*AF50))/1000)*INDEX(BUILDINGTYPE[Lighting Coincidence Factor],MATCH(M02S04F19,BUILDINGTYPE[Building Type],0)),4),
ROUND((((M50*O50)-(AD50*AF50))/1000)*INDEX(BUILDINGTYPE[WHFd],MATCH(M02S04F19,BUILDINGTYPE[Building Type],0))*INDEX(BUILDINGTYPE[Lighting Coincidence Factor],MATCH(M02S04F19,BUILDINGTYPE[Building Type],0)),4)))),"")</f>
        <v/>
      </c>
      <c r="BG50" s="775" t="str">
        <f>IFERROR(IF(OR(C50="",E50="",G50="",K50="",M50="",O50="",Q50="",Z50="",AD50="",AF50="",AH50="",AJ50=""),"",ROUND(AO50*INDEX(ENDUSEALL[Factor],MATCH(BC50,ENDUSEALL[End Use to Coincident Peak Demand Factors],0)),4)),"")</f>
        <v/>
      </c>
      <c r="BH50" s="761"/>
      <c r="BI50" s="761"/>
      <c r="BJ50" s="777" t="str">
        <f>IF(OR(G50="",S50=""),"",IF(INDEX(CMLIGHTEFF[EUL],MATCH(S50,CMLIGHTEFF[Eff Desc 1],0))="","",INDEX(CMLIGHTEFF[EUL],MATCH(S50,CMLIGHTEFF[Eff Desc 1],0))))</f>
        <v/>
      </c>
      <c r="BK50" s="767" t="str">
        <f>IFERROR(IF(OR(C50="",E50="",G50="",K50="",M50="",O50="",Q50="",Z50="",AD50="",AF50="",AH50="",AJ50=""),"",
ROUND(((1+ELOSS)*((AO50*INDEX(ELECCB[NPV AEC $/kWh],MATCH(BJ50,ELECCB[Year Number],1)))+(BG50*INDEX(ELECCB[NPV ACC $/kW],MATCH(BJ50,ELECCB[Year Number],1))))),2)),0)</f>
        <v/>
      </c>
      <c r="BL50" s="767" t="str">
        <f t="shared" si="2"/>
        <v/>
      </c>
      <c r="BM50" s="765"/>
      <c r="BN50" s="763" t="str">
        <f t="shared" si="3"/>
        <v/>
      </c>
      <c r="BO50" s="763" t="str">
        <f>IFERROR(IF(BM50 &lt;&gt; "", BM50, BL50) / M02S04F06 / AO50, "")</f>
        <v/>
      </c>
      <c r="BP50" s="769"/>
      <c r="BQ50" s="765"/>
      <c r="BR50" s="767" t="str">
        <f t="shared" ref="BR50" si="115">IFERROR(ROUND(AO50*BV50,2),"")</f>
        <v/>
      </c>
      <c r="BS50" s="765"/>
      <c r="BT50" s="765"/>
      <c r="BU50" s="757" t="str">
        <f>IFERROR(IF(BP50="", IF(AND(ROUND(AR50/AL50,2)=TOTCOSTCAP, BR50/AL50&gt;TOTCOSTCAP),"75% Total Cost",
IF(FALSE,"100% Incremental Cost",
IF(BV50&lt;KWHRATEMIN, "kWh Incentive Rate Min",
IF(BV50&gt;KWHRATEMAX,"kWh Incentive Rate Cap",
IF(AR50=BT50,"Bonus Incentive",
"kWh Incentive"))))), ""),"")</f>
        <v/>
      </c>
      <c r="BV50" s="767" t="str" cm="1">
        <f t="array" ref="BV50">_xlfn.LET(_xlpm.ROWS,MATCH(BC50,ENDUSEALL[End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0" s="757" t="str" cm="1">
        <f t="array" ref="BW50">IF(OR(C50="",E50="",G50="",K50="",M50="",O50="",Q50="",Z50="",AD50="",AF50="",AH50="",AJ50=""),"",
IF(BY50&lt;&gt;"",SPILLOVERNUMBER,
_xlfn.LET(
_xlpm.Program, IF(Program_Banner= "Business Energy Savings", 2, IF(Program_Banner="Small Business / Non-Profit", 3, "#")),
_xlpm.Location, INDEX( LOCATIONTYPE[Measure Number], MATCH(E50, LOCATIONTYPE[Location Type], 0)),
_xlpm.Eff_Desc_1, INDEX(CMLIGHTEFF[Measure Number],MATCH(S50,CMLIGHTEFF[Eff Desc 1],0)),
"11" &amp; _xlpm.Program &amp; "2" &amp; _xlpm.Location &amp; _xlpm.Eff_Desc_1
)))</f>
        <v/>
      </c>
      <c r="BX50" s="757" t="str" cm="1">
        <f t="array" ref="BX50">IFERROR(INDEX(_xlfn.SWITCH(Program_Banner,"Business Energy Savings",ENDUSEALL[Primary Key WBE],"Small Business / Non-Profit",ENDUSEALL[Primary Key HTRB],0),MATCH(BC50,ENDUSEALL[End Use to Coincident Peak Demand Factors],0)),"")</f>
        <v/>
      </c>
      <c r="BY50" s="757" t="str">
        <f ca="1">IFERROR(
IF(EXPIRATION&lt;&gt;"",PROJSTATEXP,
IF(BP50&gt;0,"",
IF(OR(M02S04F06="",M02S04F06="Select Rate Code",M02S04F06=0),MEASURERATE,
IF(M02S04F19="",MEASUREBLDG,
IF(BA50-BB50&lt;=0,MEASURESAVE,
IF(PAYCUSE&lt;PAYBACKREQ,PROJECTSTATPAYBACK,
IF(CBCUSE&lt;CBREQ,PROJECTSTATCB,""))))))),
MEASURESUBMIT)</f>
        <v>Enter Utility Rate</v>
      </c>
      <c r="BZ50" s="753"/>
      <c r="CA50" s="753"/>
      <c r="CB50" s="753"/>
      <c r="CC50" s="753"/>
    </row>
    <row r="51" spans="2:81" ht="15.95" customHeight="1">
      <c r="B51" s="785"/>
      <c r="C51" s="1002"/>
      <c r="D51" s="1002"/>
      <c r="E51" s="1002"/>
      <c r="F51" s="1003"/>
      <c r="G51" s="1004"/>
      <c r="H51" s="1002"/>
      <c r="I51" s="1002"/>
      <c r="J51" s="1002"/>
      <c r="K51" s="1002"/>
      <c r="L51" s="1002"/>
      <c r="M51" s="989"/>
      <c r="N51" s="989"/>
      <c r="O51" s="1008"/>
      <c r="P51" s="1008"/>
      <c r="Q51" s="1015"/>
      <c r="R51" s="1016"/>
      <c r="S51" s="1017"/>
      <c r="T51" s="1002"/>
      <c r="U51" s="1002"/>
      <c r="V51" s="1002"/>
      <c r="W51" s="1012"/>
      <c r="X51" s="1013"/>
      <c r="Y51" s="1013"/>
      <c r="Z51" s="1012"/>
      <c r="AA51" s="1013"/>
      <c r="AB51" s="1013"/>
      <c r="AC51" s="1014"/>
      <c r="AD51" s="989"/>
      <c r="AE51" s="989"/>
      <c r="AF51" s="990"/>
      <c r="AG51" s="991"/>
      <c r="AH51" s="992"/>
      <c r="AI51" s="993"/>
      <c r="AJ51" s="993"/>
      <c r="AK51" s="1005"/>
      <c r="AL51" s="1006"/>
      <c r="AM51" s="1007"/>
      <c r="AN51" s="1007"/>
      <c r="AO51" s="997"/>
      <c r="AP51" s="998"/>
      <c r="AQ51" s="999"/>
      <c r="AR51" s="1001"/>
      <c r="AS51" s="1001"/>
      <c r="AT51" s="1001"/>
      <c r="AU51" s="1001"/>
      <c r="AX51" s="774"/>
      <c r="AY51" s="760"/>
      <c r="AZ51" s="760"/>
      <c r="BA51" s="772"/>
      <c r="BB51" s="772"/>
      <c r="BC51" s="774"/>
      <c r="BD51" s="758"/>
      <c r="BE51" s="776"/>
      <c r="BF51" s="776"/>
      <c r="BG51" s="776"/>
      <c r="BH51" s="762"/>
      <c r="BI51" s="762"/>
      <c r="BJ51" s="778"/>
      <c r="BK51" s="768"/>
      <c r="BL51" s="768"/>
      <c r="BM51" s="766"/>
      <c r="BN51" s="764"/>
      <c r="BO51" s="764"/>
      <c r="BP51" s="770"/>
      <c r="BQ51" s="766"/>
      <c r="BR51" s="768"/>
      <c r="BS51" s="766"/>
      <c r="BT51" s="766"/>
      <c r="BU51" s="758"/>
      <c r="BV51" s="768"/>
      <c r="BW51" s="758"/>
      <c r="BX51" s="758"/>
      <c r="BY51" s="758"/>
      <c r="BZ51" s="754"/>
      <c r="CA51" s="754"/>
      <c r="CB51" s="754"/>
      <c r="CC51" s="754"/>
    </row>
    <row r="52" spans="2:81" ht="15.95" customHeight="1">
      <c r="B52" s="785">
        <v>18</v>
      </c>
      <c r="C52" s="1002"/>
      <c r="D52" s="1002"/>
      <c r="E52" s="1002"/>
      <c r="F52" s="1003"/>
      <c r="G52" s="1004"/>
      <c r="H52" s="1002"/>
      <c r="I52" s="1002"/>
      <c r="J52" s="1002"/>
      <c r="K52" s="1002"/>
      <c r="L52" s="1002"/>
      <c r="M52" s="989"/>
      <c r="N52" s="989"/>
      <c r="O52" s="1008" t="str">
        <f>IFERROR(IF(G52="","",INDEX(CMLIGHTBASE[Base Watt 1],MATCH(G52,CMLIGHTBASE[Base Desc 1],0))),"")</f>
        <v/>
      </c>
      <c r="P52" s="1008"/>
      <c r="Q52" s="1015"/>
      <c r="R52" s="1016"/>
      <c r="S52" s="1017"/>
      <c r="T52" s="1002"/>
      <c r="U52" s="1002"/>
      <c r="V52" s="1002"/>
      <c r="W52" s="1009"/>
      <c r="X52" s="1010"/>
      <c r="Y52" s="1010"/>
      <c r="Z52" s="1009"/>
      <c r="AA52" s="1010"/>
      <c r="AB52" s="1010"/>
      <c r="AC52" s="1011"/>
      <c r="AD52" s="989"/>
      <c r="AE52" s="989"/>
      <c r="AF52" s="990"/>
      <c r="AG52" s="991"/>
      <c r="AH52" s="992"/>
      <c r="AI52" s="993"/>
      <c r="AJ52" s="993"/>
      <c r="AK52" s="1005"/>
      <c r="AL52" s="1006" t="str">
        <f>IF(OR(C52="",E52="",G52="",K52="",M52="",O52="",Q52="",S52="",Z52="",AD52="",AF52="",AH52="",AJ52=""),"",ROUND(AH52+AJ52,2))</f>
        <v/>
      </c>
      <c r="AM52" s="1007"/>
      <c r="AN52" s="1007"/>
      <c r="AO52" s="994" t="str">
        <f t="shared" ref="AO52" si="116">IF(OR(C52="",E52="",G52="",K52="",M52="",O52="",Q52="",S52="",Z52="",AD52="",AF52="",AH52="",AJ52=""),"",IF(BA52-BB52&lt;=0,0,BA52-BB52))</f>
        <v/>
      </c>
      <c r="AP52" s="995"/>
      <c r="AQ52" s="996"/>
      <c r="AR52" s="1000" t="str">
        <f>IF(OR(C52="",E52="",G52="",K52="",M52="",O52="",Q52="",S52="",Z52="",AD52="",AF52="",AH52="",AJ52=""),"", IF(BY52&lt;&gt;"", BY52, IF(BP52&gt;0,BP52, IF(ACTIVEBLOCK="Yes",ROUND(MIN(AL52*0.75,AO52*BLOCKBIDRATE),2),ROUND(MIN(AL52*0.75,BR52),2)))))</f>
        <v/>
      </c>
      <c r="AS52" s="1000"/>
      <c r="AT52" s="1000"/>
      <c r="AU52" s="1000"/>
      <c r="AX52" s="773" t="str">
        <f>IF(S52="","",
_xlfn.LET( _xlpm.Unit, INDEX(CMLIGHTEFF[Unit],MATCH(S52,CMLIGHTEFF[Eff Desc 1],0)),
IFERROR(_xlpm.Unit,"")))</f>
        <v/>
      </c>
      <c r="AY52" s="759" t="str">
        <f t="shared" ref="AY52" si="117">IF(M52="", "", M52)</f>
        <v/>
      </c>
      <c r="AZ52" s="759" t="str">
        <f t="shared" ref="AZ52" si="118">IF(AD52="", "", AD52)</f>
        <v/>
      </c>
      <c r="BA52" s="771" t="str">
        <f>IF(OR(C52="",E52="",G52="",K52="",M52="",O52="",Q52="",S52="",Z52="",AD52="",AF52="",AH52="",AJ52=""),"",
IF(OR(ISNUMBER(SEARCH("Exterior",E52)),ISNUMBER(SEARCH("Garage",E52)),M02S04F22="Unconditioned",M02S04F22="Electric Heat Only",M02S04F22="Natural Gas Heat Only"),ROUND(M52*O52*Q52/1000,4),
ROUND(M52*O52*Q52/1000*INDEX(BUILDINGTYPE[Waste Heat Factor (e)],MATCH(M02S04F19,BUILDINGTYPE[Building Type],0)),4)))</f>
        <v/>
      </c>
      <c r="BB52" s="771" t="str">
        <f>IF(OR(C52="",E52="",G52="",K52="",M52="",O52="",Q52="",S52="",Z52="",AD52="",AF52="",AH52="",AJ52=""),"",
IF(OR(ISNUMBER(SEARCH("Exterior",E52)),ISNUMBER(SEARCH("Garage",E52)),M02S04F22="Unconditioned",M02S04F22="Electric Heat Only",M02S04F22="Natural Gas Heat Only"),ROUND(AD52*AF52*Q52/1000,4),
ROUND(AD52*AF52*Q52/1000*INDEX(BUILDINGTYPE[Waste Heat Factor (e)],MATCH(M02S04F19,BUILDINGTYPE[Building Type],0)),4)))</f>
        <v/>
      </c>
      <c r="BC52" s="773" t="str">
        <f t="shared" ref="BC52" si="119">IF(OR(E52="",G52="",S52=""),"",IF(ISNUMBER(SEARCH("24/7",E52)),"Ext Lighting w/ Peak",IF(E52="Interior","Interior Lighting",IF(OR(E52="Garage",E52="Exterior"),"Ext Lighting w/o Peak","Err"))))</f>
        <v/>
      </c>
      <c r="BD52" s="757" t="str">
        <f t="shared" ref="BD52" si="120">IF(BE52&lt;&gt;"", "Calculated", "")</f>
        <v/>
      </c>
      <c r="BE52" s="775" t="str">
        <f t="shared" ref="BE52" si="121">IF(AND(BA52&lt;&gt;"", BB52&lt;&gt;""), ROUND(BA52-BB52,4), "")</f>
        <v/>
      </c>
      <c r="BF52" s="775" t="str">
        <f>IFERROR(IF(OR(C52="",E52="",G52="",K52="",M52="",O52="",Q52="",Z52="",AD52="",AF52="",AH52="",AJ52=""),"",IF(OR(E52="Garage",E52="Exterior"),0,
IF(OR(ISNUMBER(SEARCH("Garage",E52)),M02S04F22="Unconditioned",M02S04F22="Electric Heat Only",M02S04F22="Natural Gas Heat Only"),ROUND((((M52*O52)-(AD52*AF52))/1000)*INDEX(BUILDINGTYPE[Lighting Coincidence Factor],MATCH(M02S04F19,BUILDINGTYPE[Building Type],0)),4),
ROUND((((M52*O52)-(AD52*AF52))/1000)*INDEX(BUILDINGTYPE[WHFd],MATCH(M02S04F19,BUILDINGTYPE[Building Type],0))*INDEX(BUILDINGTYPE[Lighting Coincidence Factor],MATCH(M02S04F19,BUILDINGTYPE[Building Type],0)),4)))),"")</f>
        <v/>
      </c>
      <c r="BG52" s="775" t="str">
        <f>IFERROR(IF(OR(C52="",E52="",G52="",K52="",M52="",O52="",Q52="",Z52="",AD52="",AF52="",AH52="",AJ52=""),"",ROUND(AO52*INDEX(ENDUSEALL[Factor],MATCH(BC52,ENDUSEALL[End Use to Coincident Peak Demand Factors],0)),4)),"")</f>
        <v/>
      </c>
      <c r="BH52" s="761"/>
      <c r="BI52" s="761"/>
      <c r="BJ52" s="777" t="str">
        <f>IF(OR(G52="",S52=""),"",IF(INDEX(CMLIGHTEFF[EUL],MATCH(S52,CMLIGHTEFF[Eff Desc 1],0))="","",INDEX(CMLIGHTEFF[EUL],MATCH(S52,CMLIGHTEFF[Eff Desc 1],0))))</f>
        <v/>
      </c>
      <c r="BK52" s="767" t="str">
        <f>IFERROR(IF(OR(C52="",E52="",G52="",K52="",M52="",O52="",Q52="",Z52="",AD52="",AF52="",AH52="",AJ52=""),"",
ROUND(((1+ELOSS)*((AO52*INDEX(ELECCB[NPV AEC $/kWh],MATCH(BJ52,ELECCB[Year Number],1)))+(BG52*INDEX(ELECCB[NPV ACC $/kW],MATCH(BJ52,ELECCB[Year Number],1))))),2)),0)</f>
        <v/>
      </c>
      <c r="BL52" s="767" t="str">
        <f t="shared" si="2"/>
        <v/>
      </c>
      <c r="BM52" s="765"/>
      <c r="BN52" s="763" t="str">
        <f t="shared" si="3"/>
        <v/>
      </c>
      <c r="BO52" s="763" t="str">
        <f>IFERROR(IF(BM52 &lt;&gt; "", BM52, BL52) / M02S04F06 / AO52, "")</f>
        <v/>
      </c>
      <c r="BP52" s="769"/>
      <c r="BQ52" s="765"/>
      <c r="BR52" s="767" t="str">
        <f t="shared" ref="BR52" si="122">IFERROR(ROUND(AO52*BV52,2),"")</f>
        <v/>
      </c>
      <c r="BS52" s="765"/>
      <c r="BT52" s="765"/>
      <c r="BU52" s="757" t="str">
        <f>IFERROR(IF(BP52="", IF(AND(ROUND(AR52/AL52,2)=TOTCOSTCAP, BR52/AL52&gt;TOTCOSTCAP),"75% Total Cost",
IF(FALSE,"100% Incremental Cost",
IF(BV52&lt;KWHRATEMIN, "kWh Incentive Rate Min",
IF(BV52&gt;KWHRATEMAX,"kWh Incentive Rate Cap",
IF(AR52=BT52,"Bonus Incentive",
"kWh Incentive"))))), ""),"")</f>
        <v/>
      </c>
      <c r="BV52" s="767" t="str" cm="1">
        <f t="array" ref="BV52">_xlfn.LET(_xlpm.ROWS,MATCH(BC52,ENDUSEALL[End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2" s="757" t="str" cm="1">
        <f t="array" ref="BW52">IF(OR(C52="",E52="",G52="",K52="",M52="",O52="",Q52="",Z52="",AD52="",AF52="",AH52="",AJ52=""),"",
IF(BY52&lt;&gt;"",SPILLOVERNUMBER,
_xlfn.LET(
_xlpm.Program, IF(Program_Banner= "Business Energy Savings", 2, IF(Program_Banner="Small Business / Non-Profit", 3, "#")),
_xlpm.Location, INDEX( LOCATIONTYPE[Measure Number], MATCH(E52, LOCATIONTYPE[Location Type], 0)),
_xlpm.Eff_Desc_1, INDEX(CMLIGHTEFF[Measure Number],MATCH(S52,CMLIGHTEFF[Eff Desc 1],0)),
"11" &amp; _xlpm.Program &amp; "2" &amp; _xlpm.Location &amp; _xlpm.Eff_Desc_1
)))</f>
        <v/>
      </c>
      <c r="BX52" s="757" t="str" cm="1">
        <f t="array" ref="BX52">IFERROR(INDEX(_xlfn.SWITCH(Program_Banner,"Business Energy Savings",ENDUSEALL[Primary Key WBE],"Small Business / Non-Profit",ENDUSEALL[Primary Key HTRB],0),MATCH(BC52,ENDUSEALL[End Use to Coincident Peak Demand Factors],0)),"")</f>
        <v/>
      </c>
      <c r="BY52" s="757" t="str">
        <f ca="1">IFERROR(
IF(EXPIRATION&lt;&gt;"",PROJSTATEXP,
IF(BP52&gt;0,"",
IF(OR(M02S04F06="",M02S04F06="Select Rate Code",M02S04F06=0),MEASURERATE,
IF(M02S04F19="",MEASUREBLDG,
IF(BA52-BB52&lt;=0,MEASURESAVE,
IF(PAYCUSE&lt;PAYBACKREQ,PROJECTSTATPAYBACK,
IF(CBCUSE&lt;CBREQ,PROJECTSTATCB,""))))))),
MEASURESUBMIT)</f>
        <v>Enter Utility Rate</v>
      </c>
      <c r="BZ52" s="753"/>
      <c r="CA52" s="753"/>
      <c r="CB52" s="753"/>
      <c r="CC52" s="753"/>
    </row>
    <row r="53" spans="2:81" ht="15.95" customHeight="1">
      <c r="B53" s="785"/>
      <c r="C53" s="1002"/>
      <c r="D53" s="1002"/>
      <c r="E53" s="1002"/>
      <c r="F53" s="1003"/>
      <c r="G53" s="1004"/>
      <c r="H53" s="1002"/>
      <c r="I53" s="1002"/>
      <c r="J53" s="1002"/>
      <c r="K53" s="1002"/>
      <c r="L53" s="1002"/>
      <c r="M53" s="989"/>
      <c r="N53" s="989"/>
      <c r="O53" s="1008"/>
      <c r="P53" s="1008"/>
      <c r="Q53" s="1015"/>
      <c r="R53" s="1016"/>
      <c r="S53" s="1017"/>
      <c r="T53" s="1002"/>
      <c r="U53" s="1002"/>
      <c r="V53" s="1002"/>
      <c r="W53" s="1012"/>
      <c r="X53" s="1013"/>
      <c r="Y53" s="1013"/>
      <c r="Z53" s="1012"/>
      <c r="AA53" s="1013"/>
      <c r="AB53" s="1013"/>
      <c r="AC53" s="1014"/>
      <c r="AD53" s="989"/>
      <c r="AE53" s="989"/>
      <c r="AF53" s="990"/>
      <c r="AG53" s="991"/>
      <c r="AH53" s="992"/>
      <c r="AI53" s="993"/>
      <c r="AJ53" s="993"/>
      <c r="AK53" s="1005"/>
      <c r="AL53" s="1006"/>
      <c r="AM53" s="1007"/>
      <c r="AN53" s="1007"/>
      <c r="AO53" s="997"/>
      <c r="AP53" s="998"/>
      <c r="AQ53" s="999"/>
      <c r="AR53" s="1001"/>
      <c r="AS53" s="1001"/>
      <c r="AT53" s="1001"/>
      <c r="AU53" s="1001"/>
      <c r="AX53" s="774"/>
      <c r="AY53" s="760"/>
      <c r="AZ53" s="760"/>
      <c r="BA53" s="772"/>
      <c r="BB53" s="772"/>
      <c r="BC53" s="774"/>
      <c r="BD53" s="758"/>
      <c r="BE53" s="776"/>
      <c r="BF53" s="776"/>
      <c r="BG53" s="776"/>
      <c r="BH53" s="762"/>
      <c r="BI53" s="762"/>
      <c r="BJ53" s="778"/>
      <c r="BK53" s="768"/>
      <c r="BL53" s="768"/>
      <c r="BM53" s="766"/>
      <c r="BN53" s="764"/>
      <c r="BO53" s="764"/>
      <c r="BP53" s="770"/>
      <c r="BQ53" s="766"/>
      <c r="BR53" s="768"/>
      <c r="BS53" s="766"/>
      <c r="BT53" s="766"/>
      <c r="BU53" s="758"/>
      <c r="BV53" s="768"/>
      <c r="BW53" s="758"/>
      <c r="BX53" s="758"/>
      <c r="BY53" s="758"/>
      <c r="BZ53" s="754"/>
      <c r="CA53" s="754"/>
      <c r="CB53" s="754"/>
      <c r="CC53" s="754"/>
    </row>
    <row r="54" spans="2:81" ht="15.95" customHeight="1">
      <c r="B54" s="785">
        <v>19</v>
      </c>
      <c r="C54" s="1002"/>
      <c r="D54" s="1002"/>
      <c r="E54" s="1002"/>
      <c r="F54" s="1003"/>
      <c r="G54" s="1004"/>
      <c r="H54" s="1002"/>
      <c r="I54" s="1002"/>
      <c r="J54" s="1002"/>
      <c r="K54" s="1002"/>
      <c r="L54" s="1002"/>
      <c r="M54" s="989"/>
      <c r="N54" s="989"/>
      <c r="O54" s="1008" t="str">
        <f>IFERROR(IF(G54="","",INDEX(CMLIGHTBASE[Base Watt 1],MATCH(G54,CMLIGHTBASE[Base Desc 1],0))),"")</f>
        <v/>
      </c>
      <c r="P54" s="1008"/>
      <c r="Q54" s="1015"/>
      <c r="R54" s="1016"/>
      <c r="S54" s="1017"/>
      <c r="T54" s="1002"/>
      <c r="U54" s="1002"/>
      <c r="V54" s="1002"/>
      <c r="W54" s="1009"/>
      <c r="X54" s="1010"/>
      <c r="Y54" s="1010"/>
      <c r="Z54" s="1009"/>
      <c r="AA54" s="1010"/>
      <c r="AB54" s="1010"/>
      <c r="AC54" s="1011"/>
      <c r="AD54" s="989"/>
      <c r="AE54" s="989"/>
      <c r="AF54" s="990"/>
      <c r="AG54" s="991"/>
      <c r="AH54" s="992"/>
      <c r="AI54" s="993"/>
      <c r="AJ54" s="993"/>
      <c r="AK54" s="1005"/>
      <c r="AL54" s="1006" t="str">
        <f>IF(OR(C54="",E54="",G54="",K54="",M54="",O54="",Q54="",S54="",Z54="",AD54="",AF54="",AH54="",AJ54=""),"",ROUND(AH54+AJ54,2))</f>
        <v/>
      </c>
      <c r="AM54" s="1007"/>
      <c r="AN54" s="1007"/>
      <c r="AO54" s="994" t="str">
        <f t="shared" ref="AO54" si="123">IF(OR(C54="",E54="",G54="",K54="",M54="",O54="",Q54="",S54="",Z54="",AD54="",AF54="",AH54="",AJ54=""),"",IF(BA54-BB54&lt;=0,0,BA54-BB54))</f>
        <v/>
      </c>
      <c r="AP54" s="995"/>
      <c r="AQ54" s="996"/>
      <c r="AR54" s="1000" t="str">
        <f>IF(OR(C54="",E54="",G54="",K54="",M54="",O54="",Q54="",S54="",Z54="",AD54="",AF54="",AH54="",AJ54=""),"", IF(BY54&lt;&gt;"", BY54, IF(BP54&gt;0,BP54, IF(ACTIVEBLOCK="Yes",ROUND(MIN(AL54*0.75,AO54*BLOCKBIDRATE),2),ROUND(MIN(AL54*0.75,BR54),2)))))</f>
        <v/>
      </c>
      <c r="AS54" s="1000"/>
      <c r="AT54" s="1000"/>
      <c r="AU54" s="1000"/>
      <c r="AX54" s="773" t="str">
        <f>IF(S54="","",
_xlfn.LET( _xlpm.Unit, INDEX(CMLIGHTEFF[Unit],MATCH(S54,CMLIGHTEFF[Eff Desc 1],0)),
IFERROR(_xlpm.Unit,"")))</f>
        <v/>
      </c>
      <c r="AY54" s="759" t="str">
        <f t="shared" ref="AY54" si="124">IF(M54="", "", M54)</f>
        <v/>
      </c>
      <c r="AZ54" s="759" t="str">
        <f t="shared" ref="AZ54" si="125">IF(AD54="", "", AD54)</f>
        <v/>
      </c>
      <c r="BA54" s="771" t="str">
        <f>IF(OR(C54="",E54="",G54="",K54="",M54="",O54="",Q54="",S54="",Z54="",AD54="",AF54="",AH54="",AJ54=""),"",
IF(OR(ISNUMBER(SEARCH("Exterior",E54)),ISNUMBER(SEARCH("Garage",E54)),M02S04F22="Unconditioned",M02S04F22="Electric Heat Only",M02S04F22="Natural Gas Heat Only"),ROUND(M54*O54*Q54/1000,4),
ROUND(M54*O54*Q54/1000*INDEX(BUILDINGTYPE[Waste Heat Factor (e)],MATCH(M02S04F19,BUILDINGTYPE[Building Type],0)),4)))</f>
        <v/>
      </c>
      <c r="BB54" s="771" t="str">
        <f>IF(OR(C54="",E54="",G54="",K54="",M54="",O54="",Q54="",S54="",Z54="",AD54="",AF54="",AH54="",AJ54=""),"",
IF(OR(ISNUMBER(SEARCH("Exterior",E54)),ISNUMBER(SEARCH("Garage",E54)),M02S04F22="Unconditioned",M02S04F22="Electric Heat Only",M02S04F22="Natural Gas Heat Only"),ROUND(AD54*AF54*Q54/1000,4),
ROUND(AD54*AF54*Q54/1000*INDEX(BUILDINGTYPE[Waste Heat Factor (e)],MATCH(M02S04F19,BUILDINGTYPE[Building Type],0)),4)))</f>
        <v/>
      </c>
      <c r="BC54" s="773" t="str">
        <f t="shared" ref="BC54" si="126">IF(OR(E54="",G54="",S54=""),"",IF(ISNUMBER(SEARCH("24/7",E54)),"Ext Lighting w/ Peak",IF(E54="Interior","Interior Lighting",IF(OR(E54="Garage",E54="Exterior"),"Ext Lighting w/o Peak","Err"))))</f>
        <v/>
      </c>
      <c r="BD54" s="757" t="str">
        <f t="shared" ref="BD54" si="127">IF(BE54&lt;&gt;"", "Calculated", "")</f>
        <v/>
      </c>
      <c r="BE54" s="775" t="str">
        <f t="shared" ref="BE54" si="128">IF(AND(BA54&lt;&gt;"", BB54&lt;&gt;""), ROUND(BA54-BB54,4), "")</f>
        <v/>
      </c>
      <c r="BF54" s="775" t="str">
        <f>IFERROR(IF(OR(C54="",E54="",G54="",K54="",M54="",O54="",Q54="",Z54="",AD54="",AF54="",AH54="",AJ54=""),"",IF(OR(E54="Garage",E54="Exterior"),0,
IF(OR(ISNUMBER(SEARCH("Garage",E54)),M02S04F22="Unconditioned",M02S04F22="Electric Heat Only",M02S04F22="Natural Gas Heat Only"),ROUND((((M54*O54)-(AD54*AF54))/1000)*INDEX(BUILDINGTYPE[Lighting Coincidence Factor],MATCH(M02S04F19,BUILDINGTYPE[Building Type],0)),4),
ROUND((((M54*O54)-(AD54*AF54))/1000)*INDEX(BUILDINGTYPE[WHFd],MATCH(M02S04F19,BUILDINGTYPE[Building Type],0))*INDEX(BUILDINGTYPE[Lighting Coincidence Factor],MATCH(M02S04F19,BUILDINGTYPE[Building Type],0)),4)))),"")</f>
        <v/>
      </c>
      <c r="BG54" s="775" t="str">
        <f>IFERROR(IF(OR(C54="",E54="",G54="",K54="",M54="",O54="",Q54="",Z54="",AD54="",AF54="",AH54="",AJ54=""),"",ROUND(AO54*INDEX(ENDUSEALL[Factor],MATCH(BC54,ENDUSEALL[End Use to Coincident Peak Demand Factors],0)),4)),"")</f>
        <v/>
      </c>
      <c r="BH54" s="761"/>
      <c r="BI54" s="761"/>
      <c r="BJ54" s="777" t="str">
        <f>IF(OR(G54="",S54=""),"",IF(INDEX(CMLIGHTEFF[EUL],MATCH(S54,CMLIGHTEFF[Eff Desc 1],0))="","",INDEX(CMLIGHTEFF[EUL],MATCH(S54,CMLIGHTEFF[Eff Desc 1],0))))</f>
        <v/>
      </c>
      <c r="BK54" s="767" t="str">
        <f>IFERROR(IF(OR(C54="",E54="",G54="",K54="",M54="",O54="",Q54="",Z54="",AD54="",AF54="",AH54="",AJ54=""),"",
ROUND(((1+ELOSS)*((AO54*INDEX(ELECCB[NPV AEC $/kWh],MATCH(BJ54,ELECCB[Year Number],1)))+(BG54*INDEX(ELECCB[NPV ACC $/kW],MATCH(BJ54,ELECCB[Year Number],1))))),2)),0)</f>
        <v/>
      </c>
      <c r="BL54" s="767" t="str">
        <f t="shared" si="2"/>
        <v/>
      </c>
      <c r="BM54" s="765"/>
      <c r="BN54" s="763" t="str">
        <f t="shared" si="3"/>
        <v/>
      </c>
      <c r="BO54" s="763" t="str">
        <f>IFERROR(IF(BM54 &lt;&gt; "", BM54, BL54) / M02S04F06 / AO54, "")</f>
        <v/>
      </c>
      <c r="BP54" s="769"/>
      <c r="BQ54" s="765"/>
      <c r="BR54" s="767" t="str">
        <f t="shared" ref="BR54" si="129">IFERROR(ROUND(AO54*BV54,2),"")</f>
        <v/>
      </c>
      <c r="BS54" s="765"/>
      <c r="BT54" s="765"/>
      <c r="BU54" s="757" t="str">
        <f>IFERROR(IF(BP54="", IF(AND(ROUND(AR54/AL54,2)=TOTCOSTCAP, BR54/AL54&gt;TOTCOSTCAP),"75% Total Cost",
IF(FALSE,"100% Incremental Cost",
IF(BV54&lt;KWHRATEMIN, "kWh Incentive Rate Min",
IF(BV54&gt;KWHRATEMAX,"kWh Incentive Rate Cap",
IF(AR54=BT54,"Bonus Incentive",
"kWh Incentive"))))), ""),"")</f>
        <v/>
      </c>
      <c r="BV54" s="767" t="str" cm="1">
        <f t="array" ref="BV54">_xlfn.LET(_xlpm.ROWS,MATCH(BC54,ENDUSEALL[End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4" s="757" t="str" cm="1">
        <f t="array" ref="BW54">IF(OR(C54="",E54="",G54="",K54="",M54="",O54="",Q54="",Z54="",AD54="",AF54="",AH54="",AJ54=""),"",
IF(BY54&lt;&gt;"",SPILLOVERNUMBER,
_xlfn.LET(
_xlpm.Program, IF(Program_Banner= "Business Energy Savings", 2, IF(Program_Banner="Small Business / Non-Profit", 3, "#")),
_xlpm.Location, INDEX( LOCATIONTYPE[Measure Number], MATCH(E54, LOCATIONTYPE[Location Type], 0)),
_xlpm.Eff_Desc_1, INDEX(CMLIGHTEFF[Measure Number],MATCH(S54,CMLIGHTEFF[Eff Desc 1],0)),
"11" &amp; _xlpm.Program &amp; "2" &amp; _xlpm.Location &amp; _xlpm.Eff_Desc_1
)))</f>
        <v/>
      </c>
      <c r="BX54" s="757" t="str" cm="1">
        <f t="array" ref="BX54">IFERROR(INDEX(_xlfn.SWITCH(Program_Banner,"Business Energy Savings",ENDUSEALL[Primary Key WBE],"Small Business / Non-Profit",ENDUSEALL[Primary Key HTRB],0),MATCH(BC54,ENDUSEALL[End Use to Coincident Peak Demand Factors],0)),"")</f>
        <v/>
      </c>
      <c r="BY54" s="757" t="str">
        <f ca="1">IFERROR(
IF(EXPIRATION&lt;&gt;"",PROJSTATEXP,
IF(BP54&gt;0,"",
IF(OR(M02S04F06="",M02S04F06="Select Rate Code",M02S04F06=0),MEASURERATE,
IF(M02S04F19="",MEASUREBLDG,
IF(BA54-BB54&lt;=0,MEASURESAVE,
IF(PAYCUSE&lt;PAYBACKREQ,PROJECTSTATPAYBACK,
IF(CBCUSE&lt;CBREQ,PROJECTSTATCB,""))))))),
MEASURESUBMIT)</f>
        <v>Enter Utility Rate</v>
      </c>
      <c r="BZ54" s="753"/>
      <c r="CA54" s="753"/>
      <c r="CB54" s="753"/>
      <c r="CC54" s="753"/>
    </row>
    <row r="55" spans="2:81" ht="15.95" customHeight="1">
      <c r="B55" s="785"/>
      <c r="C55" s="1002"/>
      <c r="D55" s="1002"/>
      <c r="E55" s="1002"/>
      <c r="F55" s="1003"/>
      <c r="G55" s="1004"/>
      <c r="H55" s="1002"/>
      <c r="I55" s="1002"/>
      <c r="J55" s="1002"/>
      <c r="K55" s="1002"/>
      <c r="L55" s="1002"/>
      <c r="M55" s="989"/>
      <c r="N55" s="989"/>
      <c r="O55" s="1008"/>
      <c r="P55" s="1008"/>
      <c r="Q55" s="1015"/>
      <c r="R55" s="1016"/>
      <c r="S55" s="1017"/>
      <c r="T55" s="1002"/>
      <c r="U55" s="1002"/>
      <c r="V55" s="1002"/>
      <c r="W55" s="1012"/>
      <c r="X55" s="1013"/>
      <c r="Y55" s="1013"/>
      <c r="Z55" s="1012"/>
      <c r="AA55" s="1013"/>
      <c r="AB55" s="1013"/>
      <c r="AC55" s="1014"/>
      <c r="AD55" s="989"/>
      <c r="AE55" s="989"/>
      <c r="AF55" s="990"/>
      <c r="AG55" s="991"/>
      <c r="AH55" s="992"/>
      <c r="AI55" s="993"/>
      <c r="AJ55" s="993"/>
      <c r="AK55" s="1005"/>
      <c r="AL55" s="1006"/>
      <c r="AM55" s="1007"/>
      <c r="AN55" s="1007"/>
      <c r="AO55" s="997"/>
      <c r="AP55" s="998"/>
      <c r="AQ55" s="999"/>
      <c r="AR55" s="1001"/>
      <c r="AS55" s="1001"/>
      <c r="AT55" s="1001"/>
      <c r="AU55" s="1001"/>
      <c r="AX55" s="774"/>
      <c r="AY55" s="760"/>
      <c r="AZ55" s="760"/>
      <c r="BA55" s="772"/>
      <c r="BB55" s="772"/>
      <c r="BC55" s="774"/>
      <c r="BD55" s="758"/>
      <c r="BE55" s="776"/>
      <c r="BF55" s="776"/>
      <c r="BG55" s="776"/>
      <c r="BH55" s="762"/>
      <c r="BI55" s="762"/>
      <c r="BJ55" s="778"/>
      <c r="BK55" s="768"/>
      <c r="BL55" s="768"/>
      <c r="BM55" s="766"/>
      <c r="BN55" s="764"/>
      <c r="BO55" s="764"/>
      <c r="BP55" s="770"/>
      <c r="BQ55" s="766"/>
      <c r="BR55" s="768"/>
      <c r="BS55" s="766"/>
      <c r="BT55" s="766"/>
      <c r="BU55" s="758"/>
      <c r="BV55" s="768"/>
      <c r="BW55" s="758"/>
      <c r="BX55" s="758"/>
      <c r="BY55" s="758"/>
      <c r="BZ55" s="754"/>
      <c r="CA55" s="754"/>
      <c r="CB55" s="754"/>
      <c r="CC55" s="754"/>
    </row>
    <row r="56" spans="2:81" ht="15.95" customHeight="1">
      <c r="B56" s="785">
        <v>20</v>
      </c>
      <c r="C56" s="1002"/>
      <c r="D56" s="1002"/>
      <c r="E56" s="1002"/>
      <c r="F56" s="1003"/>
      <c r="G56" s="1004"/>
      <c r="H56" s="1002"/>
      <c r="I56" s="1002"/>
      <c r="J56" s="1002"/>
      <c r="K56" s="1002"/>
      <c r="L56" s="1002"/>
      <c r="M56" s="989"/>
      <c r="N56" s="989"/>
      <c r="O56" s="1008" t="str">
        <f>IFERROR(IF(G56="","",INDEX(CMLIGHTBASE[Base Watt 1],MATCH(G56,CMLIGHTBASE[Base Desc 1],0))),"")</f>
        <v/>
      </c>
      <c r="P56" s="1008"/>
      <c r="Q56" s="1015"/>
      <c r="R56" s="1016"/>
      <c r="S56" s="1017"/>
      <c r="T56" s="1002"/>
      <c r="U56" s="1002"/>
      <c r="V56" s="1002"/>
      <c r="W56" s="1009"/>
      <c r="X56" s="1010"/>
      <c r="Y56" s="1010"/>
      <c r="Z56" s="1009"/>
      <c r="AA56" s="1010"/>
      <c r="AB56" s="1010"/>
      <c r="AC56" s="1011"/>
      <c r="AD56" s="989"/>
      <c r="AE56" s="989"/>
      <c r="AF56" s="990"/>
      <c r="AG56" s="991"/>
      <c r="AH56" s="992"/>
      <c r="AI56" s="993"/>
      <c r="AJ56" s="993"/>
      <c r="AK56" s="1005"/>
      <c r="AL56" s="1006" t="str">
        <f>IF(OR(C56="",E56="",G56="",K56="",M56="",O56="",Q56="",S56="",Z56="",AD56="",AF56="",AH56="",AJ56=""),"",ROUND(AH56+AJ56,2))</f>
        <v/>
      </c>
      <c r="AM56" s="1007"/>
      <c r="AN56" s="1007"/>
      <c r="AO56" s="994" t="str">
        <f t="shared" ref="AO56" si="130">IF(OR(C56="",E56="",G56="",K56="",M56="",O56="",Q56="",S56="",Z56="",AD56="",AF56="",AH56="",AJ56=""),"",IF(BA56-BB56&lt;=0,0,BA56-BB56))</f>
        <v/>
      </c>
      <c r="AP56" s="995"/>
      <c r="AQ56" s="996"/>
      <c r="AR56" s="1000" t="str">
        <f>IF(OR(C56="",E56="",G56="",K56="",M56="",O56="",Q56="",S56="",Z56="",AD56="",AF56="",AH56="",AJ56=""),"", IF(BY56&lt;&gt;"", BY56, IF(BP56&gt;0,BP56, IF(ACTIVEBLOCK="Yes",ROUND(MIN(AL56*0.75,AO56*BLOCKBIDRATE),2),ROUND(MIN(AL56*0.75,BR56),2)))))</f>
        <v/>
      </c>
      <c r="AS56" s="1000"/>
      <c r="AT56" s="1000"/>
      <c r="AU56" s="1000"/>
      <c r="AX56" s="773" t="str">
        <f>IF(S56="","",
_xlfn.LET( _xlpm.Unit, INDEX(CMLIGHTEFF[Unit],MATCH(S56,CMLIGHTEFF[Eff Desc 1],0)),
IFERROR(_xlpm.Unit,"")))</f>
        <v/>
      </c>
      <c r="AY56" s="759" t="str">
        <f t="shared" ref="AY56" si="131">IF(M56="", "", M56)</f>
        <v/>
      </c>
      <c r="AZ56" s="759" t="str">
        <f t="shared" ref="AZ56" si="132">IF(AD56="", "", AD56)</f>
        <v/>
      </c>
      <c r="BA56" s="771" t="str">
        <f>IF(OR(C56="",E56="",G56="",K56="",M56="",O56="",Q56="",S56="",Z56="",AD56="",AF56="",AH56="",AJ56=""),"",
IF(OR(ISNUMBER(SEARCH("Exterior",E56)),ISNUMBER(SEARCH("Garage",E56)),M02S04F22="Unconditioned",M02S04F22="Electric Heat Only",M02S04F22="Natural Gas Heat Only"),ROUND(M56*O56*Q56/1000,4),
ROUND(M56*O56*Q56/1000*INDEX(BUILDINGTYPE[Waste Heat Factor (e)],MATCH(M02S04F19,BUILDINGTYPE[Building Type],0)),4)))</f>
        <v/>
      </c>
      <c r="BB56" s="771" t="str">
        <f>IF(OR(C56="",E56="",G56="",K56="",M56="",O56="",Q56="",S56="",Z56="",AD56="",AF56="",AH56="",AJ56=""),"",
IF(OR(ISNUMBER(SEARCH("Exterior",E56)),ISNUMBER(SEARCH("Garage",E56)),M02S04F22="Unconditioned",M02S04F22="Electric Heat Only",M02S04F22="Natural Gas Heat Only"),ROUND(AD56*AF56*Q56/1000,4),
ROUND(AD56*AF56*Q56/1000*INDEX(BUILDINGTYPE[Waste Heat Factor (e)],MATCH(M02S04F19,BUILDINGTYPE[Building Type],0)),4)))</f>
        <v/>
      </c>
      <c r="BC56" s="773" t="str">
        <f t="shared" ref="BC56" si="133">IF(OR(E56="",G56="",S56=""),"",IF(ISNUMBER(SEARCH("24/7",E56)),"Ext Lighting w/ Peak",IF(E56="Interior","Interior Lighting",IF(OR(E56="Garage",E56="Exterior"),"Ext Lighting w/o Peak","Err"))))</f>
        <v/>
      </c>
      <c r="BD56" s="757" t="str">
        <f t="shared" ref="BD56" si="134">IF(BE56&lt;&gt;"", "Calculated", "")</f>
        <v/>
      </c>
      <c r="BE56" s="775" t="str">
        <f t="shared" ref="BE56" si="135">IF(AND(BA56&lt;&gt;"", BB56&lt;&gt;""), ROUND(BA56-BB56,4), "")</f>
        <v/>
      </c>
      <c r="BF56" s="775" t="str">
        <f>IFERROR(IF(OR(C56="",E56="",G56="",K56="",M56="",O56="",Q56="",Z56="",AD56="",AF56="",AH56="",AJ56=""),"",IF(OR(E56="Garage",E56="Exterior"),0,
IF(OR(ISNUMBER(SEARCH("Garage",E56)),M02S04F22="Unconditioned",M02S04F22="Electric Heat Only",M02S04F22="Natural Gas Heat Only"),ROUND((((M56*O56)-(AD56*AF56))/1000)*INDEX(BUILDINGTYPE[Lighting Coincidence Factor],MATCH(M02S04F19,BUILDINGTYPE[Building Type],0)),4),
ROUND((((M56*O56)-(AD56*AF56))/1000)*INDEX(BUILDINGTYPE[WHFd],MATCH(M02S04F19,BUILDINGTYPE[Building Type],0))*INDEX(BUILDINGTYPE[Lighting Coincidence Factor],MATCH(M02S04F19,BUILDINGTYPE[Building Type],0)),4)))),"")</f>
        <v/>
      </c>
      <c r="BG56" s="775" t="str">
        <f>IFERROR(IF(OR(C56="",E56="",G56="",K56="",M56="",O56="",Q56="",Z56="",AD56="",AF56="",AH56="",AJ56=""),"",ROUND(AO56*INDEX(ENDUSEALL[Factor],MATCH(BC56,ENDUSEALL[End Use to Coincident Peak Demand Factors],0)),4)),"")</f>
        <v/>
      </c>
      <c r="BH56" s="761"/>
      <c r="BI56" s="761"/>
      <c r="BJ56" s="777" t="str">
        <f>IF(OR(G56="",S56=""),"",IF(INDEX(CMLIGHTEFF[EUL],MATCH(S56,CMLIGHTEFF[Eff Desc 1],0))="","",INDEX(CMLIGHTEFF[EUL],MATCH(S56,CMLIGHTEFF[Eff Desc 1],0))))</f>
        <v/>
      </c>
      <c r="BK56" s="767" t="str">
        <f>IFERROR(IF(OR(C56="",E56="",G56="",K56="",M56="",O56="",Q56="",Z56="",AD56="",AF56="",AH56="",AJ56=""),"",
ROUND(((1+ELOSS)*((AO56*INDEX(ELECCB[NPV AEC $/kWh],MATCH(BJ56,ELECCB[Year Number],1)))+(BG56*INDEX(ELECCB[NPV ACC $/kW],MATCH(BJ56,ELECCB[Year Number],1))))),2)),0)</f>
        <v/>
      </c>
      <c r="BL56" s="767" t="str">
        <f t="shared" si="2"/>
        <v/>
      </c>
      <c r="BM56" s="765"/>
      <c r="BN56" s="763" t="str">
        <f t="shared" si="3"/>
        <v/>
      </c>
      <c r="BO56" s="763" t="str">
        <f>IFERROR(IF(BM56 &lt;&gt; "", BM56, BL56) / M02S04F06 / AO56, "")</f>
        <v/>
      </c>
      <c r="BP56" s="769"/>
      <c r="BQ56" s="765"/>
      <c r="BR56" s="767" t="str">
        <f t="shared" ref="BR56" si="136">IFERROR(ROUND(AO56*BV56,2),"")</f>
        <v/>
      </c>
      <c r="BS56" s="765"/>
      <c r="BT56" s="765"/>
      <c r="BU56" s="757" t="str">
        <f>IFERROR(IF(BP56="", IF(AND(ROUND(AR56/AL56,2)=TOTCOSTCAP, BR56/AL56&gt;TOTCOSTCAP),"75% Total Cost",
IF(FALSE,"100% Incremental Cost",
IF(BV56&lt;KWHRATEMIN, "kWh Incentive Rate Min",
IF(BV56&gt;KWHRATEMAX,"kWh Incentive Rate Cap",
IF(AR56=BT56,"Bonus Incentive",
"kWh Incentive"))))), ""),"")</f>
        <v/>
      </c>
      <c r="BV56" s="767" t="str" cm="1">
        <f t="array" ref="BV56">_xlfn.LET(_xlpm.ROWS,MATCH(BC56,ENDUSEALL[End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6" s="757" t="str" cm="1">
        <f t="array" ref="BW56">IF(OR(C56="",E56="",G56="",K56="",M56="",O56="",Q56="",Z56="",AD56="",AF56="",AH56="",AJ56=""),"",
IF(BY56&lt;&gt;"",SPILLOVERNUMBER,
_xlfn.LET(
_xlpm.Program, IF(Program_Banner= "Business Energy Savings", 2, IF(Program_Banner="Small Business / Non-Profit", 3, "#")),
_xlpm.Location, INDEX( LOCATIONTYPE[Measure Number], MATCH(E56, LOCATIONTYPE[Location Type], 0)),
_xlpm.Eff_Desc_1, INDEX(CMLIGHTEFF[Measure Number],MATCH(S56,CMLIGHTEFF[Eff Desc 1],0)),
"11" &amp; _xlpm.Program &amp; "2" &amp; _xlpm.Location &amp; _xlpm.Eff_Desc_1
)))</f>
        <v/>
      </c>
      <c r="BX56" s="757" t="str" cm="1">
        <f t="array" ref="BX56">IFERROR(INDEX(_xlfn.SWITCH(Program_Banner,"Business Energy Savings",ENDUSEALL[Primary Key WBE],"Small Business / Non-Profit",ENDUSEALL[Primary Key HTRB],0),MATCH(BC56,ENDUSEALL[End Use to Coincident Peak Demand Factors],0)),"")</f>
        <v/>
      </c>
      <c r="BY56" s="757" t="str">
        <f ca="1">IFERROR(
IF(EXPIRATION&lt;&gt;"",PROJSTATEXP,
IF(BP56&gt;0,"",
IF(OR(M02S04F06="",M02S04F06="Select Rate Code",M02S04F06=0),MEASURERATE,
IF(M02S04F19="",MEASUREBLDG,
IF(BA56-BB56&lt;=0,MEASURESAVE,
IF(PAYCUSE&lt;PAYBACKREQ,PROJECTSTATPAYBACK,
IF(CBCUSE&lt;CBREQ,PROJECTSTATCB,""))))))),
MEASURESUBMIT)</f>
        <v>Enter Utility Rate</v>
      </c>
      <c r="BZ56" s="753"/>
      <c r="CA56" s="753"/>
      <c r="CB56" s="753"/>
      <c r="CC56" s="753"/>
    </row>
    <row r="57" spans="2:81" ht="15.95" customHeight="1">
      <c r="B57" s="785"/>
      <c r="C57" s="1002"/>
      <c r="D57" s="1002"/>
      <c r="E57" s="1002"/>
      <c r="F57" s="1003"/>
      <c r="G57" s="1004"/>
      <c r="H57" s="1002"/>
      <c r="I57" s="1002"/>
      <c r="J57" s="1002"/>
      <c r="K57" s="1002"/>
      <c r="L57" s="1002"/>
      <c r="M57" s="989"/>
      <c r="N57" s="989"/>
      <c r="O57" s="1008"/>
      <c r="P57" s="1008"/>
      <c r="Q57" s="1015"/>
      <c r="R57" s="1016"/>
      <c r="S57" s="1017"/>
      <c r="T57" s="1002"/>
      <c r="U57" s="1002"/>
      <c r="V57" s="1002"/>
      <c r="W57" s="1012"/>
      <c r="X57" s="1013"/>
      <c r="Y57" s="1013"/>
      <c r="Z57" s="1012"/>
      <c r="AA57" s="1013"/>
      <c r="AB57" s="1013"/>
      <c r="AC57" s="1014"/>
      <c r="AD57" s="989"/>
      <c r="AE57" s="989"/>
      <c r="AF57" s="990"/>
      <c r="AG57" s="991"/>
      <c r="AH57" s="992"/>
      <c r="AI57" s="993"/>
      <c r="AJ57" s="993"/>
      <c r="AK57" s="1005"/>
      <c r="AL57" s="1006"/>
      <c r="AM57" s="1007"/>
      <c r="AN57" s="1007"/>
      <c r="AO57" s="997"/>
      <c r="AP57" s="998"/>
      <c r="AQ57" s="999"/>
      <c r="AR57" s="1001"/>
      <c r="AS57" s="1001"/>
      <c r="AT57" s="1001"/>
      <c r="AU57" s="1001"/>
      <c r="AX57" s="774"/>
      <c r="AY57" s="760"/>
      <c r="AZ57" s="760"/>
      <c r="BA57" s="772"/>
      <c r="BB57" s="772"/>
      <c r="BC57" s="774"/>
      <c r="BD57" s="758"/>
      <c r="BE57" s="776"/>
      <c r="BF57" s="776"/>
      <c r="BG57" s="776"/>
      <c r="BH57" s="762"/>
      <c r="BI57" s="762"/>
      <c r="BJ57" s="778"/>
      <c r="BK57" s="768"/>
      <c r="BL57" s="768"/>
      <c r="BM57" s="766"/>
      <c r="BN57" s="764"/>
      <c r="BO57" s="764"/>
      <c r="BP57" s="770"/>
      <c r="BQ57" s="766"/>
      <c r="BR57" s="768"/>
      <c r="BS57" s="766"/>
      <c r="BT57" s="766"/>
      <c r="BU57" s="758"/>
      <c r="BV57" s="768"/>
      <c r="BW57" s="758"/>
      <c r="BX57" s="758"/>
      <c r="BY57" s="758"/>
      <c r="BZ57" s="754"/>
      <c r="CA57" s="754"/>
      <c r="CB57" s="754"/>
      <c r="CC57" s="754"/>
    </row>
    <row r="58" spans="2:81" ht="15.95" customHeight="1">
      <c r="B58" s="785">
        <v>21</v>
      </c>
      <c r="C58" s="1002"/>
      <c r="D58" s="1002"/>
      <c r="E58" s="1002"/>
      <c r="F58" s="1003"/>
      <c r="G58" s="1004"/>
      <c r="H58" s="1002"/>
      <c r="I58" s="1002"/>
      <c r="J58" s="1002"/>
      <c r="K58" s="1002"/>
      <c r="L58" s="1002"/>
      <c r="M58" s="989"/>
      <c r="N58" s="989"/>
      <c r="O58" s="1008" t="str">
        <f>IFERROR(IF(G58="","",INDEX(CMLIGHTBASE[Base Watt 1],MATCH(G58,CMLIGHTBASE[Base Desc 1],0))),"")</f>
        <v/>
      </c>
      <c r="P58" s="1008"/>
      <c r="Q58" s="1015"/>
      <c r="R58" s="1016"/>
      <c r="S58" s="1017"/>
      <c r="T58" s="1002"/>
      <c r="U58" s="1002"/>
      <c r="V58" s="1002"/>
      <c r="W58" s="1009"/>
      <c r="X58" s="1010"/>
      <c r="Y58" s="1010"/>
      <c r="Z58" s="1009"/>
      <c r="AA58" s="1010"/>
      <c r="AB58" s="1010"/>
      <c r="AC58" s="1011"/>
      <c r="AD58" s="989"/>
      <c r="AE58" s="989"/>
      <c r="AF58" s="990"/>
      <c r="AG58" s="991"/>
      <c r="AH58" s="992"/>
      <c r="AI58" s="993"/>
      <c r="AJ58" s="993"/>
      <c r="AK58" s="1005"/>
      <c r="AL58" s="1006" t="str">
        <f>IF(OR(C58="",E58="",G58="",K58="",M58="",O58="",Q58="",S58="",Z58="",AD58="",AF58="",AH58="",AJ58=""),"",ROUND(AH58+AJ58,2))</f>
        <v/>
      </c>
      <c r="AM58" s="1007"/>
      <c r="AN58" s="1007"/>
      <c r="AO58" s="994" t="str">
        <f t="shared" ref="AO58" si="137">IF(OR(C58="",E58="",G58="",K58="",M58="",O58="",Q58="",S58="",Z58="",AD58="",AF58="",AH58="",AJ58=""),"",IF(BA58-BB58&lt;=0,0,BA58-BB58))</f>
        <v/>
      </c>
      <c r="AP58" s="995"/>
      <c r="AQ58" s="996"/>
      <c r="AR58" s="1000" t="str">
        <f>IF(OR(C58="",E58="",G58="",K58="",M58="",O58="",Q58="",S58="",Z58="",AD58="",AF58="",AH58="",AJ58=""),"", IF(BY58&lt;&gt;"", BY58, IF(BP58&gt;0,BP58, IF(ACTIVEBLOCK="Yes",ROUND(MIN(AL58*0.75,AO58*BLOCKBIDRATE),2),ROUND(MIN(AL58*0.75,BR58),2)))))</f>
        <v/>
      </c>
      <c r="AS58" s="1000"/>
      <c r="AT58" s="1000"/>
      <c r="AU58" s="1000"/>
      <c r="AX58" s="773" t="str">
        <f>IF(S58="","",
_xlfn.LET( _xlpm.Unit, INDEX(CMLIGHTEFF[Unit],MATCH(S58,CMLIGHTEFF[Eff Desc 1],0)),
IFERROR(_xlpm.Unit,"")))</f>
        <v/>
      </c>
      <c r="AY58" s="759" t="str">
        <f t="shared" ref="AY58" si="138">IF(M58="", "", M58)</f>
        <v/>
      </c>
      <c r="AZ58" s="759" t="str">
        <f t="shared" ref="AZ58" si="139">IF(AD58="", "", AD58)</f>
        <v/>
      </c>
      <c r="BA58" s="771" t="str">
        <f>IF(OR(C58="",E58="",G58="",K58="",M58="",O58="",Q58="",S58="",Z58="",AD58="",AF58="",AH58="",AJ58=""),"",
IF(OR(ISNUMBER(SEARCH("Exterior",E58)),ISNUMBER(SEARCH("Garage",E58)),M02S04F22="Unconditioned",M02S04F22="Electric Heat Only",M02S04F22="Natural Gas Heat Only"),ROUND(M58*O58*Q58/1000,4),
ROUND(M58*O58*Q58/1000*INDEX(BUILDINGTYPE[Waste Heat Factor (e)],MATCH(M02S04F19,BUILDINGTYPE[Building Type],0)),4)))</f>
        <v/>
      </c>
      <c r="BB58" s="771" t="str">
        <f>IF(OR(C58="",E58="",G58="",K58="",M58="",O58="",Q58="",S58="",Z58="",AD58="",AF58="",AH58="",AJ58=""),"",
IF(OR(ISNUMBER(SEARCH("Exterior",E58)),ISNUMBER(SEARCH("Garage",E58)),M02S04F22="Unconditioned",M02S04F22="Electric Heat Only",M02S04F22="Natural Gas Heat Only"),ROUND(AD58*AF58*Q58/1000,4),
ROUND(AD58*AF58*Q58/1000*INDEX(BUILDINGTYPE[Waste Heat Factor (e)],MATCH(M02S04F19,BUILDINGTYPE[Building Type],0)),4)))</f>
        <v/>
      </c>
      <c r="BC58" s="773" t="str">
        <f t="shared" ref="BC58" si="140">IF(OR(E58="",G58="",S58=""),"",IF(ISNUMBER(SEARCH("24/7",E58)),"Ext Lighting w/ Peak",IF(E58="Interior","Interior Lighting",IF(OR(E58="Garage",E58="Exterior"),"Ext Lighting w/o Peak","Err"))))</f>
        <v/>
      </c>
      <c r="BD58" s="757" t="str">
        <f t="shared" ref="BD58" si="141">IF(BE58&lt;&gt;"", "Calculated", "")</f>
        <v/>
      </c>
      <c r="BE58" s="775" t="str">
        <f t="shared" ref="BE58" si="142">IF(AND(BA58&lt;&gt;"", BB58&lt;&gt;""), ROUND(BA58-BB58,4), "")</f>
        <v/>
      </c>
      <c r="BF58" s="775" t="str">
        <f>IFERROR(IF(OR(C58="",E58="",G58="",K58="",M58="",O58="",Q58="",Z58="",AD58="",AF58="",AH58="",AJ58=""),"",IF(OR(E58="Garage",E58="Exterior"),0,
IF(OR(ISNUMBER(SEARCH("Garage",E58)),M02S04F22="Unconditioned",M02S04F22="Electric Heat Only",M02S04F22="Natural Gas Heat Only"),ROUND((((M58*O58)-(AD58*AF58))/1000)*INDEX(BUILDINGTYPE[Lighting Coincidence Factor],MATCH(M02S04F19,BUILDINGTYPE[Building Type],0)),4),
ROUND((((M58*O58)-(AD58*AF58))/1000)*INDEX(BUILDINGTYPE[WHFd],MATCH(M02S04F19,BUILDINGTYPE[Building Type],0))*INDEX(BUILDINGTYPE[Lighting Coincidence Factor],MATCH(M02S04F19,BUILDINGTYPE[Building Type],0)),4)))),"")</f>
        <v/>
      </c>
      <c r="BG58" s="775" t="str">
        <f>IFERROR(IF(OR(C58="",E58="",G58="",K58="",M58="",O58="",Q58="",Z58="",AD58="",AF58="",AH58="",AJ58=""),"",ROUND(AO58*INDEX(ENDUSEALL[Factor],MATCH(BC58,ENDUSEALL[End Use to Coincident Peak Demand Factors],0)),4)),"")</f>
        <v/>
      </c>
      <c r="BH58" s="761"/>
      <c r="BI58" s="761"/>
      <c r="BJ58" s="777" t="str">
        <f>IF(OR(G58="",S58=""),"",IF(INDEX(CMLIGHTEFF[EUL],MATCH(S58,CMLIGHTEFF[Eff Desc 1],0))="","",INDEX(CMLIGHTEFF[EUL],MATCH(S58,CMLIGHTEFF[Eff Desc 1],0))))</f>
        <v/>
      </c>
      <c r="BK58" s="767" t="str">
        <f>IFERROR(IF(OR(C58="",E58="",G58="",K58="",M58="",O58="",Q58="",Z58="",AD58="",AF58="",AH58="",AJ58=""),"",
ROUND(((1+ELOSS)*((AO58*INDEX(ELECCB[NPV AEC $/kWh],MATCH(BJ58,ELECCB[Year Number],1)))+(BG58*INDEX(ELECCB[NPV ACC $/kW],MATCH(BJ58,ELECCB[Year Number],1))))),2)),0)</f>
        <v/>
      </c>
      <c r="BL58" s="767" t="str">
        <f t="shared" si="2"/>
        <v/>
      </c>
      <c r="BM58" s="765"/>
      <c r="BN58" s="763" t="str">
        <f t="shared" si="3"/>
        <v/>
      </c>
      <c r="BO58" s="763" t="str">
        <f>IFERROR(IF(BM58 &lt;&gt; "", BM58, BL58) / M02S04F06 / AO58, "")</f>
        <v/>
      </c>
      <c r="BP58" s="769"/>
      <c r="BQ58" s="765"/>
      <c r="BR58" s="767" t="str">
        <f t="shared" ref="BR58" si="143">IFERROR(ROUND(AO58*BV58,2),"")</f>
        <v/>
      </c>
      <c r="BS58" s="765"/>
      <c r="BT58" s="765"/>
      <c r="BU58" s="757" t="str">
        <f>IFERROR(IF(BP58="", IF(AND(ROUND(AR58/AL58,2)=TOTCOSTCAP, BR58/AL58&gt;TOTCOSTCAP),"75% Total Cost",
IF(FALSE,"100% Incremental Cost",
IF(BV58&lt;KWHRATEMIN, "kWh Incentive Rate Min",
IF(BV58&gt;KWHRATEMAX,"kWh Incentive Rate Cap",
IF(AR58=BT58,"Bonus Incentive",
"kWh Incentive"))))), ""),"")</f>
        <v/>
      </c>
      <c r="BV58" s="767" t="str" cm="1">
        <f t="array" ref="BV58">_xlfn.LET(_xlpm.ROWS,MATCH(BC58,ENDUSEALL[End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8" s="757" t="str" cm="1">
        <f t="array" ref="BW58">IF(OR(C58="",E58="",G58="",K58="",M58="",O58="",Q58="",Z58="",AD58="",AF58="",AH58="",AJ58=""),"",
IF(BY58&lt;&gt;"",SPILLOVERNUMBER,
_xlfn.LET(
_xlpm.Program, IF(Program_Banner= "Business Energy Savings", 2, IF(Program_Banner="Small Business / Non-Profit", 3, "#")),
_xlpm.Location, INDEX( LOCATIONTYPE[Measure Number], MATCH(E58, LOCATIONTYPE[Location Type], 0)),
_xlpm.Eff_Desc_1, INDEX(CMLIGHTEFF[Measure Number],MATCH(S58,CMLIGHTEFF[Eff Desc 1],0)),
"11" &amp; _xlpm.Program &amp; "2" &amp; _xlpm.Location &amp; _xlpm.Eff_Desc_1
)))</f>
        <v/>
      </c>
      <c r="BX58" s="757" t="str" cm="1">
        <f t="array" ref="BX58">IFERROR(INDEX(_xlfn.SWITCH(Program_Banner,"Business Energy Savings",ENDUSEALL[Primary Key WBE],"Small Business / Non-Profit",ENDUSEALL[Primary Key HTRB],0),MATCH(BC58,ENDUSEALL[End Use to Coincident Peak Demand Factors],0)),"")</f>
        <v/>
      </c>
      <c r="BY58" s="757" t="str">
        <f ca="1">IFERROR(
IF(EXPIRATION&lt;&gt;"",PROJSTATEXP,
IF(BP58&gt;0,"",
IF(OR(M02S04F06="",M02S04F06="Select Rate Code",M02S04F06=0),MEASURERATE,
IF(M02S04F19="",MEASUREBLDG,
IF(BA58-BB58&lt;=0,MEASURESAVE,
IF(PAYCUSE&lt;PAYBACKREQ,PROJECTSTATPAYBACK,
IF(CBCUSE&lt;CBREQ,PROJECTSTATCB,""))))))),
MEASURESUBMIT)</f>
        <v>Enter Utility Rate</v>
      </c>
      <c r="BZ58" s="753"/>
      <c r="CA58" s="753"/>
      <c r="CB58" s="753"/>
      <c r="CC58" s="753"/>
    </row>
    <row r="59" spans="2:81" ht="15.95" customHeight="1">
      <c r="B59" s="785"/>
      <c r="C59" s="1002"/>
      <c r="D59" s="1002"/>
      <c r="E59" s="1002"/>
      <c r="F59" s="1003"/>
      <c r="G59" s="1004"/>
      <c r="H59" s="1002"/>
      <c r="I59" s="1002"/>
      <c r="J59" s="1002"/>
      <c r="K59" s="1002"/>
      <c r="L59" s="1002"/>
      <c r="M59" s="989"/>
      <c r="N59" s="989"/>
      <c r="O59" s="1008"/>
      <c r="P59" s="1008"/>
      <c r="Q59" s="1015"/>
      <c r="R59" s="1016"/>
      <c r="S59" s="1017"/>
      <c r="T59" s="1002"/>
      <c r="U59" s="1002"/>
      <c r="V59" s="1002"/>
      <c r="W59" s="1012"/>
      <c r="X59" s="1013"/>
      <c r="Y59" s="1013"/>
      <c r="Z59" s="1012"/>
      <c r="AA59" s="1013"/>
      <c r="AB59" s="1013"/>
      <c r="AC59" s="1014"/>
      <c r="AD59" s="989"/>
      <c r="AE59" s="989"/>
      <c r="AF59" s="990"/>
      <c r="AG59" s="991"/>
      <c r="AH59" s="992"/>
      <c r="AI59" s="993"/>
      <c r="AJ59" s="993"/>
      <c r="AK59" s="1005"/>
      <c r="AL59" s="1006"/>
      <c r="AM59" s="1007"/>
      <c r="AN59" s="1007"/>
      <c r="AO59" s="997"/>
      <c r="AP59" s="998"/>
      <c r="AQ59" s="999"/>
      <c r="AR59" s="1001"/>
      <c r="AS59" s="1001"/>
      <c r="AT59" s="1001"/>
      <c r="AU59" s="1001"/>
      <c r="AX59" s="774"/>
      <c r="AY59" s="760"/>
      <c r="AZ59" s="760"/>
      <c r="BA59" s="772"/>
      <c r="BB59" s="772"/>
      <c r="BC59" s="774"/>
      <c r="BD59" s="758"/>
      <c r="BE59" s="776"/>
      <c r="BF59" s="776"/>
      <c r="BG59" s="776"/>
      <c r="BH59" s="762"/>
      <c r="BI59" s="762"/>
      <c r="BJ59" s="778"/>
      <c r="BK59" s="768"/>
      <c r="BL59" s="768"/>
      <c r="BM59" s="766"/>
      <c r="BN59" s="764"/>
      <c r="BO59" s="764"/>
      <c r="BP59" s="770"/>
      <c r="BQ59" s="766"/>
      <c r="BR59" s="768"/>
      <c r="BS59" s="766"/>
      <c r="BT59" s="766"/>
      <c r="BU59" s="758"/>
      <c r="BV59" s="768"/>
      <c r="BW59" s="758"/>
      <c r="BX59" s="758"/>
      <c r="BY59" s="758"/>
      <c r="BZ59" s="754"/>
      <c r="CA59" s="754"/>
      <c r="CB59" s="754"/>
      <c r="CC59" s="754"/>
    </row>
    <row r="60" spans="2:81" ht="15.95" customHeight="1">
      <c r="B60" s="785">
        <v>22</v>
      </c>
      <c r="C60" s="1002"/>
      <c r="D60" s="1002"/>
      <c r="E60" s="1002"/>
      <c r="F60" s="1003"/>
      <c r="G60" s="1004"/>
      <c r="H60" s="1002"/>
      <c r="I60" s="1002"/>
      <c r="J60" s="1002"/>
      <c r="K60" s="1002"/>
      <c r="L60" s="1002"/>
      <c r="M60" s="989"/>
      <c r="N60" s="989"/>
      <c r="O60" s="1008" t="str">
        <f>IFERROR(IF(G60="","",INDEX(CMLIGHTBASE[Base Watt 1],MATCH(G60,CMLIGHTBASE[Base Desc 1],0))),"")</f>
        <v/>
      </c>
      <c r="P60" s="1008"/>
      <c r="Q60" s="1015"/>
      <c r="R60" s="1016"/>
      <c r="S60" s="1017"/>
      <c r="T60" s="1002"/>
      <c r="U60" s="1002"/>
      <c r="V60" s="1002"/>
      <c r="W60" s="1009"/>
      <c r="X60" s="1010"/>
      <c r="Y60" s="1010"/>
      <c r="Z60" s="1009"/>
      <c r="AA60" s="1010"/>
      <c r="AB60" s="1010"/>
      <c r="AC60" s="1011"/>
      <c r="AD60" s="989"/>
      <c r="AE60" s="989"/>
      <c r="AF60" s="990"/>
      <c r="AG60" s="991"/>
      <c r="AH60" s="992"/>
      <c r="AI60" s="993"/>
      <c r="AJ60" s="993"/>
      <c r="AK60" s="1005"/>
      <c r="AL60" s="1006" t="str">
        <f>IF(OR(C60="",E60="",G60="",K60="",M60="",O60="",Q60="",S60="",Z60="",AD60="",AF60="",AH60="",AJ60=""),"",ROUND(AH60+AJ60,2))</f>
        <v/>
      </c>
      <c r="AM60" s="1007"/>
      <c r="AN60" s="1007"/>
      <c r="AO60" s="994" t="str">
        <f t="shared" ref="AO60" si="144">IF(OR(C60="",E60="",G60="",K60="",M60="",O60="",Q60="",S60="",Z60="",AD60="",AF60="",AH60="",AJ60=""),"",IF(BA60-BB60&lt;=0,0,BA60-BB60))</f>
        <v/>
      </c>
      <c r="AP60" s="995"/>
      <c r="AQ60" s="996"/>
      <c r="AR60" s="1000" t="str">
        <f>IF(OR(C60="",E60="",G60="",K60="",M60="",O60="",Q60="",S60="",Z60="",AD60="",AF60="",AH60="",AJ60=""),"", IF(BY60&lt;&gt;"", BY60, IF(BP60&gt;0,BP60, IF(ACTIVEBLOCK="Yes",ROUND(MIN(AL60*0.75,AO60*BLOCKBIDRATE),2),ROUND(MIN(AL60*0.75,BR60),2)))))</f>
        <v/>
      </c>
      <c r="AS60" s="1000"/>
      <c r="AT60" s="1000"/>
      <c r="AU60" s="1000"/>
      <c r="AX60" s="773" t="str">
        <f>IF(S60="","",
_xlfn.LET( _xlpm.Unit, INDEX(CMLIGHTEFF[Unit],MATCH(S60,CMLIGHTEFF[Eff Desc 1],0)),
IFERROR(_xlpm.Unit,"")))</f>
        <v/>
      </c>
      <c r="AY60" s="759" t="str">
        <f t="shared" ref="AY60" si="145">IF(M60="", "", M60)</f>
        <v/>
      </c>
      <c r="AZ60" s="759" t="str">
        <f t="shared" ref="AZ60" si="146">IF(AD60="", "", AD60)</f>
        <v/>
      </c>
      <c r="BA60" s="771" t="str">
        <f>IF(OR(C60="",E60="",G60="",K60="",M60="",O60="",Q60="",S60="",Z60="",AD60="",AF60="",AH60="",AJ60=""),"",
IF(OR(ISNUMBER(SEARCH("Exterior",E60)),ISNUMBER(SEARCH("Garage",E60)),M02S04F22="Unconditioned",M02S04F22="Electric Heat Only",M02S04F22="Natural Gas Heat Only"),ROUND(M60*O60*Q60/1000,4),
ROUND(M60*O60*Q60/1000*INDEX(BUILDINGTYPE[Waste Heat Factor (e)],MATCH(M02S04F19,BUILDINGTYPE[Building Type],0)),4)))</f>
        <v/>
      </c>
      <c r="BB60" s="771" t="str">
        <f>IF(OR(C60="",E60="",G60="",K60="",M60="",O60="",Q60="",S60="",Z60="",AD60="",AF60="",AH60="",AJ60=""),"",
IF(OR(ISNUMBER(SEARCH("Exterior",E60)),ISNUMBER(SEARCH("Garage",E60)),M02S04F22="Unconditioned",M02S04F22="Electric Heat Only",M02S04F22="Natural Gas Heat Only"),ROUND(AD60*AF60*Q60/1000,4),
ROUND(AD60*AF60*Q60/1000*INDEX(BUILDINGTYPE[Waste Heat Factor (e)],MATCH(M02S04F19,BUILDINGTYPE[Building Type],0)),4)))</f>
        <v/>
      </c>
      <c r="BC60" s="773" t="str">
        <f t="shared" ref="BC60" si="147">IF(OR(E60="",G60="",S60=""),"",IF(ISNUMBER(SEARCH("24/7",E60)),"Ext Lighting w/ Peak",IF(E60="Interior","Interior Lighting",IF(OR(E60="Garage",E60="Exterior"),"Ext Lighting w/o Peak","Err"))))</f>
        <v/>
      </c>
      <c r="BD60" s="757" t="str">
        <f t="shared" ref="BD60" si="148">IF(BE60&lt;&gt;"", "Calculated", "")</f>
        <v/>
      </c>
      <c r="BE60" s="775" t="str">
        <f t="shared" ref="BE60" si="149">IF(AND(BA60&lt;&gt;"", BB60&lt;&gt;""), ROUND(BA60-BB60,4), "")</f>
        <v/>
      </c>
      <c r="BF60" s="775" t="str">
        <f>IFERROR(IF(OR(C60="",E60="",G60="",K60="",M60="",O60="",Q60="",Z60="",AD60="",AF60="",AH60="",AJ60=""),"",IF(OR(E60="Garage",E60="Exterior"),0,
IF(OR(ISNUMBER(SEARCH("Garage",E60)),M02S04F22="Unconditioned",M02S04F22="Electric Heat Only",M02S04F22="Natural Gas Heat Only"),ROUND((((M60*O60)-(AD60*AF60))/1000)*INDEX(BUILDINGTYPE[Lighting Coincidence Factor],MATCH(M02S04F19,BUILDINGTYPE[Building Type],0)),4),
ROUND((((M60*O60)-(AD60*AF60))/1000)*INDEX(BUILDINGTYPE[WHFd],MATCH(M02S04F19,BUILDINGTYPE[Building Type],0))*INDEX(BUILDINGTYPE[Lighting Coincidence Factor],MATCH(M02S04F19,BUILDINGTYPE[Building Type],0)),4)))),"")</f>
        <v/>
      </c>
      <c r="BG60" s="775" t="str">
        <f>IFERROR(IF(OR(C60="",E60="",G60="",K60="",M60="",O60="",Q60="",Z60="",AD60="",AF60="",AH60="",AJ60=""),"",ROUND(AO60*INDEX(ENDUSEALL[Factor],MATCH(BC60,ENDUSEALL[End Use to Coincident Peak Demand Factors],0)),4)),"")</f>
        <v/>
      </c>
      <c r="BH60" s="761"/>
      <c r="BI60" s="761"/>
      <c r="BJ60" s="777" t="str">
        <f>IF(OR(G60="",S60=""),"",IF(INDEX(CMLIGHTEFF[EUL],MATCH(S60,CMLIGHTEFF[Eff Desc 1],0))="","",INDEX(CMLIGHTEFF[EUL],MATCH(S60,CMLIGHTEFF[Eff Desc 1],0))))</f>
        <v/>
      </c>
      <c r="BK60" s="767" t="str">
        <f>IFERROR(IF(OR(C60="",E60="",G60="",K60="",M60="",O60="",Q60="",Z60="",AD60="",AF60="",AH60="",AJ60=""),"",
ROUND(((1+ELOSS)*((AO60*INDEX(ELECCB[NPV AEC $/kWh],MATCH(BJ60,ELECCB[Year Number],1)))+(BG60*INDEX(ELECCB[NPV ACC $/kW],MATCH(BJ60,ELECCB[Year Number],1))))),2)),0)</f>
        <v/>
      </c>
      <c r="BL60" s="767" t="str">
        <f t="shared" si="2"/>
        <v/>
      </c>
      <c r="BM60" s="765"/>
      <c r="BN60" s="763" t="str">
        <f t="shared" si="3"/>
        <v/>
      </c>
      <c r="BO60" s="763" t="str">
        <f>IFERROR(IF(BM60 &lt;&gt; "", BM60, BL60) / M02S04F06 / AO60, "")</f>
        <v/>
      </c>
      <c r="BP60" s="769"/>
      <c r="BQ60" s="765"/>
      <c r="BR60" s="767" t="str">
        <f t="shared" ref="BR60" si="150">IFERROR(ROUND(AO60*BV60,2),"")</f>
        <v/>
      </c>
      <c r="BS60" s="765"/>
      <c r="BT60" s="765"/>
      <c r="BU60" s="757" t="str">
        <f>IFERROR(IF(BP60="", IF(AND(ROUND(AR60/AL60,2)=TOTCOSTCAP, BR60/AL60&gt;TOTCOSTCAP),"75% Total Cost",
IF(FALSE,"100% Incremental Cost",
IF(BV60&lt;KWHRATEMIN, "kWh Incentive Rate Min",
IF(BV60&gt;KWHRATEMAX,"kWh Incentive Rate Cap",
IF(AR60=BT60,"Bonus Incentive",
"kWh Incentive"))))), ""),"")</f>
        <v/>
      </c>
      <c r="BV60" s="767" t="str" cm="1">
        <f t="array" ref="BV60">_xlfn.LET(_xlpm.ROWS,MATCH(BC60,ENDUSEALL[End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0" s="757" t="str" cm="1">
        <f t="array" ref="BW60">IF(OR(C60="",E60="",G60="",K60="",M60="",O60="",Q60="",Z60="",AD60="",AF60="",AH60="",AJ60=""),"",
IF(BY60&lt;&gt;"",SPILLOVERNUMBER,
_xlfn.LET(
_xlpm.Program, IF(Program_Banner= "Business Energy Savings", 2, IF(Program_Banner="Small Business / Non-Profit", 3, "#")),
_xlpm.Location, INDEX( LOCATIONTYPE[Measure Number], MATCH(E60, LOCATIONTYPE[Location Type], 0)),
_xlpm.Eff_Desc_1, INDEX(CMLIGHTEFF[Measure Number],MATCH(S60,CMLIGHTEFF[Eff Desc 1],0)),
"11" &amp; _xlpm.Program &amp; "2" &amp; _xlpm.Location &amp; _xlpm.Eff_Desc_1
)))</f>
        <v/>
      </c>
      <c r="BX60" s="757" t="str" cm="1">
        <f t="array" ref="BX60">IFERROR(INDEX(_xlfn.SWITCH(Program_Banner,"Business Energy Savings",ENDUSEALL[Primary Key WBE],"Small Business / Non-Profit",ENDUSEALL[Primary Key HTRB],0),MATCH(BC60,ENDUSEALL[End Use to Coincident Peak Demand Factors],0)),"")</f>
        <v/>
      </c>
      <c r="BY60" s="757" t="str">
        <f ca="1">IFERROR(
IF(EXPIRATION&lt;&gt;"",PROJSTATEXP,
IF(BP60&gt;0,"",
IF(OR(M02S04F06="",M02S04F06="Select Rate Code",M02S04F06=0),MEASURERATE,
IF(M02S04F19="",MEASUREBLDG,
IF(BA60-BB60&lt;=0,MEASURESAVE,
IF(PAYCUSE&lt;PAYBACKREQ,PROJECTSTATPAYBACK,
IF(CBCUSE&lt;CBREQ,PROJECTSTATCB,""))))))),
MEASURESUBMIT)</f>
        <v>Enter Utility Rate</v>
      </c>
      <c r="BZ60" s="753"/>
      <c r="CA60" s="753"/>
      <c r="CB60" s="753"/>
      <c r="CC60" s="753"/>
    </row>
    <row r="61" spans="2:81" ht="15.95" customHeight="1">
      <c r="B61" s="785"/>
      <c r="C61" s="1002"/>
      <c r="D61" s="1002"/>
      <c r="E61" s="1002"/>
      <c r="F61" s="1003"/>
      <c r="G61" s="1004"/>
      <c r="H61" s="1002"/>
      <c r="I61" s="1002"/>
      <c r="J61" s="1002"/>
      <c r="K61" s="1002"/>
      <c r="L61" s="1002"/>
      <c r="M61" s="989"/>
      <c r="N61" s="989"/>
      <c r="O61" s="1008"/>
      <c r="P61" s="1008"/>
      <c r="Q61" s="1015"/>
      <c r="R61" s="1016"/>
      <c r="S61" s="1017"/>
      <c r="T61" s="1002"/>
      <c r="U61" s="1002"/>
      <c r="V61" s="1002"/>
      <c r="W61" s="1012"/>
      <c r="X61" s="1013"/>
      <c r="Y61" s="1013"/>
      <c r="Z61" s="1012"/>
      <c r="AA61" s="1013"/>
      <c r="AB61" s="1013"/>
      <c r="AC61" s="1014"/>
      <c r="AD61" s="989"/>
      <c r="AE61" s="989"/>
      <c r="AF61" s="990"/>
      <c r="AG61" s="991"/>
      <c r="AH61" s="992"/>
      <c r="AI61" s="993"/>
      <c r="AJ61" s="993"/>
      <c r="AK61" s="1005"/>
      <c r="AL61" s="1006"/>
      <c r="AM61" s="1007"/>
      <c r="AN61" s="1007"/>
      <c r="AO61" s="997"/>
      <c r="AP61" s="998"/>
      <c r="AQ61" s="999"/>
      <c r="AR61" s="1001"/>
      <c r="AS61" s="1001"/>
      <c r="AT61" s="1001"/>
      <c r="AU61" s="1001"/>
      <c r="AX61" s="774"/>
      <c r="AY61" s="760"/>
      <c r="AZ61" s="760"/>
      <c r="BA61" s="772"/>
      <c r="BB61" s="772"/>
      <c r="BC61" s="774"/>
      <c r="BD61" s="758"/>
      <c r="BE61" s="776"/>
      <c r="BF61" s="776"/>
      <c r="BG61" s="776"/>
      <c r="BH61" s="762"/>
      <c r="BI61" s="762"/>
      <c r="BJ61" s="778"/>
      <c r="BK61" s="768"/>
      <c r="BL61" s="768"/>
      <c r="BM61" s="766"/>
      <c r="BN61" s="764"/>
      <c r="BO61" s="764"/>
      <c r="BP61" s="770"/>
      <c r="BQ61" s="766"/>
      <c r="BR61" s="768"/>
      <c r="BS61" s="766"/>
      <c r="BT61" s="766"/>
      <c r="BU61" s="758"/>
      <c r="BV61" s="768"/>
      <c r="BW61" s="758"/>
      <c r="BX61" s="758"/>
      <c r="BY61" s="758"/>
      <c r="BZ61" s="754"/>
      <c r="CA61" s="754"/>
      <c r="CB61" s="754"/>
      <c r="CC61" s="754"/>
    </row>
    <row r="62" spans="2:81" ht="15.95" customHeight="1">
      <c r="B62" s="785">
        <v>23</v>
      </c>
      <c r="C62" s="1002"/>
      <c r="D62" s="1002"/>
      <c r="E62" s="1002"/>
      <c r="F62" s="1003"/>
      <c r="G62" s="1004"/>
      <c r="H62" s="1002"/>
      <c r="I62" s="1002"/>
      <c r="J62" s="1002"/>
      <c r="K62" s="1002"/>
      <c r="L62" s="1002"/>
      <c r="M62" s="989"/>
      <c r="N62" s="989"/>
      <c r="O62" s="1008" t="str">
        <f>IFERROR(IF(G62="","",INDEX(CMLIGHTBASE[Base Watt 1],MATCH(G62,CMLIGHTBASE[Base Desc 1],0))),"")</f>
        <v/>
      </c>
      <c r="P62" s="1008"/>
      <c r="Q62" s="1015"/>
      <c r="R62" s="1016"/>
      <c r="S62" s="1017"/>
      <c r="T62" s="1002"/>
      <c r="U62" s="1002"/>
      <c r="V62" s="1002"/>
      <c r="W62" s="1009"/>
      <c r="X62" s="1010"/>
      <c r="Y62" s="1010"/>
      <c r="Z62" s="1009"/>
      <c r="AA62" s="1010"/>
      <c r="AB62" s="1010"/>
      <c r="AC62" s="1011"/>
      <c r="AD62" s="989"/>
      <c r="AE62" s="989"/>
      <c r="AF62" s="990"/>
      <c r="AG62" s="991"/>
      <c r="AH62" s="992"/>
      <c r="AI62" s="993"/>
      <c r="AJ62" s="993"/>
      <c r="AK62" s="1005"/>
      <c r="AL62" s="1006" t="str">
        <f>IF(OR(C62="",E62="",G62="",K62="",M62="",O62="",Q62="",S62="",Z62="",AD62="",AF62="",AH62="",AJ62=""),"",ROUND(AH62+AJ62,2))</f>
        <v/>
      </c>
      <c r="AM62" s="1007"/>
      <c r="AN62" s="1007"/>
      <c r="AO62" s="994" t="str">
        <f t="shared" ref="AO62" si="151">IF(OR(C62="",E62="",G62="",K62="",M62="",O62="",Q62="",S62="",Z62="",AD62="",AF62="",AH62="",AJ62=""),"",IF(BA62-BB62&lt;=0,0,BA62-BB62))</f>
        <v/>
      </c>
      <c r="AP62" s="995"/>
      <c r="AQ62" s="996"/>
      <c r="AR62" s="1000" t="str">
        <f>IF(OR(C62="",E62="",G62="",K62="",M62="",O62="",Q62="",S62="",Z62="",AD62="",AF62="",AH62="",AJ62=""),"", IF(BY62&lt;&gt;"", BY62, IF(BP62&gt;0,BP62, IF(ACTIVEBLOCK="Yes",ROUND(MIN(AL62*0.75,AO62*BLOCKBIDRATE),2),ROUND(MIN(AL62*0.75,BR62),2)))))</f>
        <v/>
      </c>
      <c r="AS62" s="1000"/>
      <c r="AT62" s="1000"/>
      <c r="AU62" s="1000"/>
      <c r="AX62" s="773" t="str">
        <f>IF(S62="","",
_xlfn.LET( _xlpm.Unit, INDEX(CMLIGHTEFF[Unit],MATCH(S62,CMLIGHTEFF[Eff Desc 1],0)),
IFERROR(_xlpm.Unit,"")))</f>
        <v/>
      </c>
      <c r="AY62" s="759" t="str">
        <f t="shared" ref="AY62" si="152">IF(M62="", "", M62)</f>
        <v/>
      </c>
      <c r="AZ62" s="759" t="str">
        <f t="shared" ref="AZ62" si="153">IF(AD62="", "", AD62)</f>
        <v/>
      </c>
      <c r="BA62" s="771" t="str">
        <f>IF(OR(C62="",E62="",G62="",K62="",M62="",O62="",Q62="",S62="",Z62="",AD62="",AF62="",AH62="",AJ62=""),"",
IF(OR(ISNUMBER(SEARCH("Exterior",E62)),ISNUMBER(SEARCH("Garage",E62)),M02S04F22="Unconditioned",M02S04F22="Electric Heat Only",M02S04F22="Natural Gas Heat Only"),ROUND(M62*O62*Q62/1000,4),
ROUND(M62*O62*Q62/1000*INDEX(BUILDINGTYPE[Waste Heat Factor (e)],MATCH(M02S04F19,BUILDINGTYPE[Building Type],0)),4)))</f>
        <v/>
      </c>
      <c r="BB62" s="771" t="str">
        <f>IF(OR(C62="",E62="",G62="",K62="",M62="",O62="",Q62="",S62="",Z62="",AD62="",AF62="",AH62="",AJ62=""),"",
IF(OR(ISNUMBER(SEARCH("Exterior",E62)),ISNUMBER(SEARCH("Garage",E62)),M02S04F22="Unconditioned",M02S04F22="Electric Heat Only",M02S04F22="Natural Gas Heat Only"),ROUND(AD62*AF62*Q62/1000,4),
ROUND(AD62*AF62*Q62/1000*INDEX(BUILDINGTYPE[Waste Heat Factor (e)],MATCH(M02S04F19,BUILDINGTYPE[Building Type],0)),4)))</f>
        <v/>
      </c>
      <c r="BC62" s="773" t="str">
        <f t="shared" ref="BC62" si="154">IF(OR(E62="",G62="",S62=""),"",IF(ISNUMBER(SEARCH("24/7",E62)),"Ext Lighting w/ Peak",IF(E62="Interior","Interior Lighting",IF(OR(E62="Garage",E62="Exterior"),"Ext Lighting w/o Peak","Err"))))</f>
        <v/>
      </c>
      <c r="BD62" s="757" t="str">
        <f t="shared" ref="BD62" si="155">IF(BE62&lt;&gt;"", "Calculated", "")</f>
        <v/>
      </c>
      <c r="BE62" s="775" t="str">
        <f t="shared" ref="BE62" si="156">IF(AND(BA62&lt;&gt;"", BB62&lt;&gt;""), ROUND(BA62-BB62,4), "")</f>
        <v/>
      </c>
      <c r="BF62" s="775" t="str">
        <f>IFERROR(IF(OR(C62="",E62="",G62="",K62="",M62="",O62="",Q62="",Z62="",AD62="",AF62="",AH62="",AJ62=""),"",IF(OR(E62="Garage",E62="Exterior"),0,
IF(OR(ISNUMBER(SEARCH("Garage",E62)),M02S04F22="Unconditioned",M02S04F22="Electric Heat Only",M02S04F22="Natural Gas Heat Only"),ROUND((((M62*O62)-(AD62*AF62))/1000)*INDEX(BUILDINGTYPE[Lighting Coincidence Factor],MATCH(M02S04F19,BUILDINGTYPE[Building Type],0)),4),
ROUND((((M62*O62)-(AD62*AF62))/1000)*INDEX(BUILDINGTYPE[WHFd],MATCH(M02S04F19,BUILDINGTYPE[Building Type],0))*INDEX(BUILDINGTYPE[Lighting Coincidence Factor],MATCH(M02S04F19,BUILDINGTYPE[Building Type],0)),4)))),"")</f>
        <v/>
      </c>
      <c r="BG62" s="775" t="str">
        <f>IFERROR(IF(OR(C62="",E62="",G62="",K62="",M62="",O62="",Q62="",Z62="",AD62="",AF62="",AH62="",AJ62=""),"",ROUND(AO62*INDEX(ENDUSEALL[Factor],MATCH(BC62,ENDUSEALL[End Use to Coincident Peak Demand Factors],0)),4)),"")</f>
        <v/>
      </c>
      <c r="BH62" s="761"/>
      <c r="BI62" s="761"/>
      <c r="BJ62" s="777" t="str">
        <f>IF(OR(G62="",S62=""),"",IF(INDEX(CMLIGHTEFF[EUL],MATCH(S62,CMLIGHTEFF[Eff Desc 1],0))="","",INDEX(CMLIGHTEFF[EUL],MATCH(S62,CMLIGHTEFF[Eff Desc 1],0))))</f>
        <v/>
      </c>
      <c r="BK62" s="767" t="str">
        <f>IFERROR(IF(OR(C62="",E62="",G62="",K62="",M62="",O62="",Q62="",Z62="",AD62="",AF62="",AH62="",AJ62=""),"",
ROUND(((1+ELOSS)*((AO62*INDEX(ELECCB[NPV AEC $/kWh],MATCH(BJ62,ELECCB[Year Number],1)))+(BG62*INDEX(ELECCB[NPV ACC $/kW],MATCH(BJ62,ELECCB[Year Number],1))))),2)),0)</f>
        <v/>
      </c>
      <c r="BL62" s="767" t="str">
        <f t="shared" si="2"/>
        <v/>
      </c>
      <c r="BM62" s="765"/>
      <c r="BN62" s="763" t="str">
        <f t="shared" si="3"/>
        <v/>
      </c>
      <c r="BO62" s="763" t="str">
        <f>IFERROR(IF(BM62 &lt;&gt; "", BM62, BL62) / M02S04F06 / AO62, "")</f>
        <v/>
      </c>
      <c r="BP62" s="769"/>
      <c r="BQ62" s="765"/>
      <c r="BR62" s="767" t="str">
        <f t="shared" ref="BR62" si="157">IFERROR(ROUND(AO62*BV62,2),"")</f>
        <v/>
      </c>
      <c r="BS62" s="765"/>
      <c r="BT62" s="765"/>
      <c r="BU62" s="757" t="str">
        <f>IFERROR(IF(BP62="", IF(AND(ROUND(AR62/AL62,2)=TOTCOSTCAP, BR62/AL62&gt;TOTCOSTCAP),"75% Total Cost",
IF(FALSE,"100% Incremental Cost",
IF(BV62&lt;KWHRATEMIN, "kWh Incentive Rate Min",
IF(BV62&gt;KWHRATEMAX,"kWh Incentive Rate Cap",
IF(AR62=BT62,"Bonus Incentive",
"kWh Incentive"))))), ""),"")</f>
        <v/>
      </c>
      <c r="BV62" s="767" t="str" cm="1">
        <f t="array" ref="BV62">_xlfn.LET(_xlpm.ROWS,MATCH(BC62,ENDUSEALL[End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2" s="757" t="str" cm="1">
        <f t="array" ref="BW62">IF(OR(C62="",E62="",G62="",K62="",M62="",O62="",Q62="",Z62="",AD62="",AF62="",AH62="",AJ62=""),"",
IF(BY62&lt;&gt;"",SPILLOVERNUMBER,
_xlfn.LET(
_xlpm.Program, IF(Program_Banner= "Business Energy Savings", 2, IF(Program_Banner="Small Business / Non-Profit", 3, "#")),
_xlpm.Location, INDEX( LOCATIONTYPE[Measure Number], MATCH(E62, LOCATIONTYPE[Location Type], 0)),
_xlpm.Eff_Desc_1, INDEX(CMLIGHTEFF[Measure Number],MATCH(S62,CMLIGHTEFF[Eff Desc 1],0)),
"11" &amp; _xlpm.Program &amp; "2" &amp; _xlpm.Location &amp; _xlpm.Eff_Desc_1
)))</f>
        <v/>
      </c>
      <c r="BX62" s="757" t="str" cm="1">
        <f t="array" ref="BX62">IFERROR(INDEX(_xlfn.SWITCH(Program_Banner,"Business Energy Savings",ENDUSEALL[Primary Key WBE],"Small Business / Non-Profit",ENDUSEALL[Primary Key HTRB],0),MATCH(BC62,ENDUSEALL[End Use to Coincident Peak Demand Factors],0)),"")</f>
        <v/>
      </c>
      <c r="BY62" s="757" t="str">
        <f ca="1">IFERROR(
IF(EXPIRATION&lt;&gt;"",PROJSTATEXP,
IF(BP62&gt;0,"",
IF(OR(M02S04F06="",M02S04F06="Select Rate Code",M02S04F06=0),MEASURERATE,
IF(M02S04F19="",MEASUREBLDG,
IF(BA62-BB62&lt;=0,MEASURESAVE,
IF(PAYCUSE&lt;PAYBACKREQ,PROJECTSTATPAYBACK,
IF(CBCUSE&lt;CBREQ,PROJECTSTATCB,""))))))),
MEASURESUBMIT)</f>
        <v>Enter Utility Rate</v>
      </c>
      <c r="BZ62" s="753"/>
      <c r="CA62" s="753"/>
      <c r="CB62" s="753"/>
      <c r="CC62" s="753"/>
    </row>
    <row r="63" spans="2:81" ht="15.95" customHeight="1">
      <c r="B63" s="785"/>
      <c r="C63" s="1002"/>
      <c r="D63" s="1002"/>
      <c r="E63" s="1002"/>
      <c r="F63" s="1003"/>
      <c r="G63" s="1004"/>
      <c r="H63" s="1002"/>
      <c r="I63" s="1002"/>
      <c r="J63" s="1002"/>
      <c r="K63" s="1002"/>
      <c r="L63" s="1002"/>
      <c r="M63" s="989"/>
      <c r="N63" s="989"/>
      <c r="O63" s="1008"/>
      <c r="P63" s="1008"/>
      <c r="Q63" s="1015"/>
      <c r="R63" s="1016"/>
      <c r="S63" s="1017"/>
      <c r="T63" s="1002"/>
      <c r="U63" s="1002"/>
      <c r="V63" s="1002"/>
      <c r="W63" s="1012"/>
      <c r="X63" s="1013"/>
      <c r="Y63" s="1013"/>
      <c r="Z63" s="1012"/>
      <c r="AA63" s="1013"/>
      <c r="AB63" s="1013"/>
      <c r="AC63" s="1014"/>
      <c r="AD63" s="989"/>
      <c r="AE63" s="989"/>
      <c r="AF63" s="990"/>
      <c r="AG63" s="991"/>
      <c r="AH63" s="992"/>
      <c r="AI63" s="993"/>
      <c r="AJ63" s="993"/>
      <c r="AK63" s="1005"/>
      <c r="AL63" s="1006"/>
      <c r="AM63" s="1007"/>
      <c r="AN63" s="1007"/>
      <c r="AO63" s="997"/>
      <c r="AP63" s="998"/>
      <c r="AQ63" s="999"/>
      <c r="AR63" s="1001"/>
      <c r="AS63" s="1001"/>
      <c r="AT63" s="1001"/>
      <c r="AU63" s="1001"/>
      <c r="AX63" s="774"/>
      <c r="AY63" s="760"/>
      <c r="AZ63" s="760"/>
      <c r="BA63" s="772"/>
      <c r="BB63" s="772"/>
      <c r="BC63" s="774"/>
      <c r="BD63" s="758"/>
      <c r="BE63" s="776"/>
      <c r="BF63" s="776"/>
      <c r="BG63" s="776"/>
      <c r="BH63" s="762"/>
      <c r="BI63" s="762"/>
      <c r="BJ63" s="778"/>
      <c r="BK63" s="768"/>
      <c r="BL63" s="768"/>
      <c r="BM63" s="766"/>
      <c r="BN63" s="764"/>
      <c r="BO63" s="764"/>
      <c r="BP63" s="770"/>
      <c r="BQ63" s="766"/>
      <c r="BR63" s="768"/>
      <c r="BS63" s="766"/>
      <c r="BT63" s="766"/>
      <c r="BU63" s="758"/>
      <c r="BV63" s="768"/>
      <c r="BW63" s="758"/>
      <c r="BX63" s="758"/>
      <c r="BY63" s="758"/>
      <c r="BZ63" s="754"/>
      <c r="CA63" s="754"/>
      <c r="CB63" s="754"/>
      <c r="CC63" s="754"/>
    </row>
    <row r="64" spans="2:81" ht="15.95" customHeight="1">
      <c r="B64" s="785">
        <v>24</v>
      </c>
      <c r="C64" s="1002"/>
      <c r="D64" s="1002"/>
      <c r="E64" s="1002"/>
      <c r="F64" s="1003"/>
      <c r="G64" s="1004"/>
      <c r="H64" s="1002"/>
      <c r="I64" s="1002"/>
      <c r="J64" s="1002"/>
      <c r="K64" s="1002"/>
      <c r="L64" s="1002"/>
      <c r="M64" s="989"/>
      <c r="N64" s="989"/>
      <c r="O64" s="1008" t="str">
        <f>IFERROR(IF(G64="","",INDEX(CMLIGHTBASE[Base Watt 1],MATCH(G64,CMLIGHTBASE[Base Desc 1],0))),"")</f>
        <v/>
      </c>
      <c r="P64" s="1008"/>
      <c r="Q64" s="1015"/>
      <c r="R64" s="1016"/>
      <c r="S64" s="1017"/>
      <c r="T64" s="1002"/>
      <c r="U64" s="1002"/>
      <c r="V64" s="1002"/>
      <c r="W64" s="1009"/>
      <c r="X64" s="1010"/>
      <c r="Y64" s="1010"/>
      <c r="Z64" s="1009"/>
      <c r="AA64" s="1010"/>
      <c r="AB64" s="1010"/>
      <c r="AC64" s="1011"/>
      <c r="AD64" s="989"/>
      <c r="AE64" s="989"/>
      <c r="AF64" s="990"/>
      <c r="AG64" s="991"/>
      <c r="AH64" s="992"/>
      <c r="AI64" s="993"/>
      <c r="AJ64" s="993"/>
      <c r="AK64" s="1005"/>
      <c r="AL64" s="1006" t="str">
        <f>IF(OR(C64="",E64="",G64="",K64="",M64="",O64="",Q64="",S64="",Z64="",AD64="",AF64="",AH64="",AJ64=""),"",ROUND(AH64+AJ64,2))</f>
        <v/>
      </c>
      <c r="AM64" s="1007"/>
      <c r="AN64" s="1007"/>
      <c r="AO64" s="994" t="str">
        <f t="shared" ref="AO64" si="158">IF(OR(C64="",E64="",G64="",K64="",M64="",O64="",Q64="",S64="",Z64="",AD64="",AF64="",AH64="",AJ64=""),"",IF(BA64-BB64&lt;=0,0,BA64-BB64))</f>
        <v/>
      </c>
      <c r="AP64" s="995"/>
      <c r="AQ64" s="996"/>
      <c r="AR64" s="1000" t="str">
        <f>IF(OR(C64="",E64="",G64="",K64="",M64="",O64="",Q64="",S64="",Z64="",AD64="",AF64="",AH64="",AJ64=""),"", IF(BY64&lt;&gt;"", BY64, IF(BP64&gt;0,BP64, IF(ACTIVEBLOCK="Yes",ROUND(MIN(AL64*0.75,AO64*BLOCKBIDRATE),2),ROUND(MIN(AL64*0.75,BR64),2)))))</f>
        <v/>
      </c>
      <c r="AS64" s="1000"/>
      <c r="AT64" s="1000"/>
      <c r="AU64" s="1000"/>
      <c r="AX64" s="773" t="str">
        <f>IF(S64="","",
_xlfn.LET( _xlpm.Unit, INDEX(CMLIGHTEFF[Unit],MATCH(S64,CMLIGHTEFF[Eff Desc 1],0)),
IFERROR(_xlpm.Unit,"")))</f>
        <v/>
      </c>
      <c r="AY64" s="759" t="str">
        <f t="shared" ref="AY64" si="159">IF(M64="", "", M64)</f>
        <v/>
      </c>
      <c r="AZ64" s="759" t="str">
        <f t="shared" ref="AZ64" si="160">IF(AD64="", "", AD64)</f>
        <v/>
      </c>
      <c r="BA64" s="771" t="str">
        <f>IF(OR(C64="",E64="",G64="",K64="",M64="",O64="",Q64="",S64="",Z64="",AD64="",AF64="",AH64="",AJ64=""),"",
IF(OR(ISNUMBER(SEARCH("Exterior",E64)),ISNUMBER(SEARCH("Garage",E64)),M02S04F22="Unconditioned",M02S04F22="Electric Heat Only",M02S04F22="Natural Gas Heat Only"),ROUND(M64*O64*Q64/1000,4),
ROUND(M64*O64*Q64/1000*INDEX(BUILDINGTYPE[Waste Heat Factor (e)],MATCH(M02S04F19,BUILDINGTYPE[Building Type],0)),4)))</f>
        <v/>
      </c>
      <c r="BB64" s="771" t="str">
        <f>IF(OR(C64="",E64="",G64="",K64="",M64="",O64="",Q64="",S64="",Z64="",AD64="",AF64="",AH64="",AJ64=""),"",
IF(OR(ISNUMBER(SEARCH("Exterior",E64)),ISNUMBER(SEARCH("Garage",E64)),M02S04F22="Unconditioned",M02S04F22="Electric Heat Only",M02S04F22="Natural Gas Heat Only"),ROUND(AD64*AF64*Q64/1000,4),
ROUND(AD64*AF64*Q64/1000*INDEX(BUILDINGTYPE[Waste Heat Factor (e)],MATCH(M02S04F19,BUILDINGTYPE[Building Type],0)),4)))</f>
        <v/>
      </c>
      <c r="BC64" s="773" t="str">
        <f t="shared" ref="BC64" si="161">IF(OR(E64="",G64="",S64=""),"",IF(ISNUMBER(SEARCH("24/7",E64)),"Ext Lighting w/ Peak",IF(E64="Interior","Interior Lighting",IF(OR(E64="Garage",E64="Exterior"),"Ext Lighting w/o Peak","Err"))))</f>
        <v/>
      </c>
      <c r="BD64" s="757" t="str">
        <f t="shared" ref="BD64" si="162">IF(BE64&lt;&gt;"", "Calculated", "")</f>
        <v/>
      </c>
      <c r="BE64" s="775" t="str">
        <f t="shared" ref="BE64" si="163">IF(AND(BA64&lt;&gt;"", BB64&lt;&gt;""), ROUND(BA64-BB64,4), "")</f>
        <v/>
      </c>
      <c r="BF64" s="775" t="str">
        <f>IFERROR(IF(OR(C64="",E64="",G64="",K64="",M64="",O64="",Q64="",Z64="",AD64="",AF64="",AH64="",AJ64=""),"",IF(OR(E64="Garage",E64="Exterior"),0,
IF(OR(ISNUMBER(SEARCH("Garage",E64)),M02S04F22="Unconditioned",M02S04F22="Electric Heat Only",M02S04F22="Natural Gas Heat Only"),ROUND((((M64*O64)-(AD64*AF64))/1000)*INDEX(BUILDINGTYPE[Lighting Coincidence Factor],MATCH(M02S04F19,BUILDINGTYPE[Building Type],0)),4),
ROUND((((M64*O64)-(AD64*AF64))/1000)*INDEX(BUILDINGTYPE[WHFd],MATCH(M02S04F19,BUILDINGTYPE[Building Type],0))*INDEX(BUILDINGTYPE[Lighting Coincidence Factor],MATCH(M02S04F19,BUILDINGTYPE[Building Type],0)),4)))),"")</f>
        <v/>
      </c>
      <c r="BG64" s="775" t="str">
        <f>IFERROR(IF(OR(C64="",E64="",G64="",K64="",M64="",O64="",Q64="",Z64="",AD64="",AF64="",AH64="",AJ64=""),"",ROUND(AO64*INDEX(ENDUSEALL[Factor],MATCH(BC64,ENDUSEALL[End Use to Coincident Peak Demand Factors],0)),4)),"")</f>
        <v/>
      </c>
      <c r="BH64" s="761"/>
      <c r="BI64" s="761"/>
      <c r="BJ64" s="777" t="str">
        <f>IF(OR(G64="",S64=""),"",IF(INDEX(CMLIGHTEFF[EUL],MATCH(S64,CMLIGHTEFF[Eff Desc 1],0))="","",INDEX(CMLIGHTEFF[EUL],MATCH(S64,CMLIGHTEFF[Eff Desc 1],0))))</f>
        <v/>
      </c>
      <c r="BK64" s="767" t="str">
        <f>IFERROR(IF(OR(C64="",E64="",G64="",K64="",M64="",O64="",Q64="",Z64="",AD64="",AF64="",AH64="",AJ64=""),"",
ROUND(((1+ELOSS)*((AO64*INDEX(ELECCB[NPV AEC $/kWh],MATCH(BJ64,ELECCB[Year Number],1)))+(BG64*INDEX(ELECCB[NPV ACC $/kW],MATCH(BJ64,ELECCB[Year Number],1))))),2)),0)</f>
        <v/>
      </c>
      <c r="BL64" s="767" t="str">
        <f t="shared" si="2"/>
        <v/>
      </c>
      <c r="BM64" s="765"/>
      <c r="BN64" s="763" t="str">
        <f t="shared" si="3"/>
        <v/>
      </c>
      <c r="BO64" s="763" t="str">
        <f>IFERROR(IF(BM64 &lt;&gt; "", BM64, BL64) / M02S04F06 / AO64, "")</f>
        <v/>
      </c>
      <c r="BP64" s="769"/>
      <c r="BQ64" s="765"/>
      <c r="BR64" s="767" t="str">
        <f t="shared" ref="BR64" si="164">IFERROR(ROUND(AO64*BV64,2),"")</f>
        <v/>
      </c>
      <c r="BS64" s="765"/>
      <c r="BT64" s="765"/>
      <c r="BU64" s="757" t="str">
        <f>IFERROR(IF(BP64="", IF(AND(ROUND(AR64/AL64,2)=TOTCOSTCAP, BR64/AL64&gt;TOTCOSTCAP),"75% Total Cost",
IF(FALSE,"100% Incremental Cost",
IF(BV64&lt;KWHRATEMIN, "kWh Incentive Rate Min",
IF(BV64&gt;KWHRATEMAX,"kWh Incentive Rate Cap",
IF(AR64=BT64,"Bonus Incentive",
"kWh Incentive"))))), ""),"")</f>
        <v/>
      </c>
      <c r="BV64" s="767" t="str" cm="1">
        <f t="array" ref="BV64">_xlfn.LET(_xlpm.ROWS,MATCH(BC64,ENDUSEALL[End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4" s="757" t="str" cm="1">
        <f t="array" ref="BW64">IF(OR(C64="",E64="",G64="",K64="",M64="",O64="",Q64="",Z64="",AD64="",AF64="",AH64="",AJ64=""),"",
IF(BY64&lt;&gt;"",SPILLOVERNUMBER,
_xlfn.LET(
_xlpm.Program, IF(Program_Banner= "Business Energy Savings", 2, IF(Program_Banner="Small Business / Non-Profit", 3, "#")),
_xlpm.Location, INDEX( LOCATIONTYPE[Measure Number], MATCH(E64, LOCATIONTYPE[Location Type], 0)),
_xlpm.Eff_Desc_1, INDEX(CMLIGHTEFF[Measure Number],MATCH(S64,CMLIGHTEFF[Eff Desc 1],0)),
"11" &amp; _xlpm.Program &amp; "2" &amp; _xlpm.Location &amp; _xlpm.Eff_Desc_1
)))</f>
        <v/>
      </c>
      <c r="BX64" s="757" t="str" cm="1">
        <f t="array" ref="BX64">IFERROR(INDEX(_xlfn.SWITCH(Program_Banner,"Business Energy Savings",ENDUSEALL[Primary Key WBE],"Small Business / Non-Profit",ENDUSEALL[Primary Key HTRB],0),MATCH(BC64,ENDUSEALL[End Use to Coincident Peak Demand Factors],0)),"")</f>
        <v/>
      </c>
      <c r="BY64" s="757" t="str">
        <f ca="1">IFERROR(
IF(EXPIRATION&lt;&gt;"",PROJSTATEXP,
IF(BP64&gt;0,"",
IF(OR(M02S04F06="",M02S04F06="Select Rate Code",M02S04F06=0),MEASURERATE,
IF(M02S04F19="",MEASUREBLDG,
IF(BA64-BB64&lt;=0,MEASURESAVE,
IF(PAYCUSE&lt;PAYBACKREQ,PROJECTSTATPAYBACK,
IF(CBCUSE&lt;CBREQ,PROJECTSTATCB,""))))))),
MEASURESUBMIT)</f>
        <v>Enter Utility Rate</v>
      </c>
      <c r="BZ64" s="753"/>
      <c r="CA64" s="753"/>
      <c r="CB64" s="753"/>
      <c r="CC64" s="753"/>
    </row>
    <row r="65" spans="2:81" ht="15.95" customHeight="1">
      <c r="B65" s="785"/>
      <c r="C65" s="1002"/>
      <c r="D65" s="1002"/>
      <c r="E65" s="1002"/>
      <c r="F65" s="1003"/>
      <c r="G65" s="1004"/>
      <c r="H65" s="1002"/>
      <c r="I65" s="1002"/>
      <c r="J65" s="1002"/>
      <c r="K65" s="1002"/>
      <c r="L65" s="1002"/>
      <c r="M65" s="989"/>
      <c r="N65" s="989"/>
      <c r="O65" s="1008"/>
      <c r="P65" s="1008"/>
      <c r="Q65" s="1015"/>
      <c r="R65" s="1016"/>
      <c r="S65" s="1017"/>
      <c r="T65" s="1002"/>
      <c r="U65" s="1002"/>
      <c r="V65" s="1002"/>
      <c r="W65" s="1012"/>
      <c r="X65" s="1013"/>
      <c r="Y65" s="1013"/>
      <c r="Z65" s="1012"/>
      <c r="AA65" s="1013"/>
      <c r="AB65" s="1013"/>
      <c r="AC65" s="1014"/>
      <c r="AD65" s="989"/>
      <c r="AE65" s="989"/>
      <c r="AF65" s="990"/>
      <c r="AG65" s="991"/>
      <c r="AH65" s="992"/>
      <c r="AI65" s="993"/>
      <c r="AJ65" s="993"/>
      <c r="AK65" s="1005"/>
      <c r="AL65" s="1006"/>
      <c r="AM65" s="1007"/>
      <c r="AN65" s="1007"/>
      <c r="AO65" s="997"/>
      <c r="AP65" s="998"/>
      <c r="AQ65" s="999"/>
      <c r="AR65" s="1001"/>
      <c r="AS65" s="1001"/>
      <c r="AT65" s="1001"/>
      <c r="AU65" s="1001"/>
      <c r="AX65" s="774"/>
      <c r="AY65" s="760"/>
      <c r="AZ65" s="760"/>
      <c r="BA65" s="772"/>
      <c r="BB65" s="772"/>
      <c r="BC65" s="774"/>
      <c r="BD65" s="758"/>
      <c r="BE65" s="776"/>
      <c r="BF65" s="776"/>
      <c r="BG65" s="776"/>
      <c r="BH65" s="762"/>
      <c r="BI65" s="762"/>
      <c r="BJ65" s="778"/>
      <c r="BK65" s="768"/>
      <c r="BL65" s="768"/>
      <c r="BM65" s="766"/>
      <c r="BN65" s="764"/>
      <c r="BO65" s="764"/>
      <c r="BP65" s="770"/>
      <c r="BQ65" s="766"/>
      <c r="BR65" s="768"/>
      <c r="BS65" s="766"/>
      <c r="BT65" s="766"/>
      <c r="BU65" s="758"/>
      <c r="BV65" s="768"/>
      <c r="BW65" s="758"/>
      <c r="BX65" s="758"/>
      <c r="BY65" s="758"/>
      <c r="BZ65" s="754"/>
      <c r="CA65" s="754"/>
      <c r="CB65" s="754"/>
      <c r="CC65" s="754"/>
    </row>
    <row r="66" spans="2:81" ht="15.95" customHeight="1">
      <c r="B66" s="785">
        <v>25</v>
      </c>
      <c r="C66" s="1002"/>
      <c r="D66" s="1002"/>
      <c r="E66" s="1002"/>
      <c r="F66" s="1003"/>
      <c r="G66" s="1004"/>
      <c r="H66" s="1002"/>
      <c r="I66" s="1002"/>
      <c r="J66" s="1002"/>
      <c r="K66" s="1002"/>
      <c r="L66" s="1002"/>
      <c r="M66" s="989"/>
      <c r="N66" s="989"/>
      <c r="O66" s="1008" t="str">
        <f>IFERROR(IF(G66="","",INDEX(CMLIGHTBASE[Base Watt 1],MATCH(G66,CMLIGHTBASE[Base Desc 1],0))),"")</f>
        <v/>
      </c>
      <c r="P66" s="1008"/>
      <c r="Q66" s="1015"/>
      <c r="R66" s="1016"/>
      <c r="S66" s="1017"/>
      <c r="T66" s="1002"/>
      <c r="U66" s="1002"/>
      <c r="V66" s="1002"/>
      <c r="W66" s="1009"/>
      <c r="X66" s="1010"/>
      <c r="Y66" s="1010"/>
      <c r="Z66" s="1009"/>
      <c r="AA66" s="1010"/>
      <c r="AB66" s="1010"/>
      <c r="AC66" s="1011"/>
      <c r="AD66" s="989"/>
      <c r="AE66" s="989"/>
      <c r="AF66" s="990"/>
      <c r="AG66" s="991"/>
      <c r="AH66" s="992"/>
      <c r="AI66" s="993"/>
      <c r="AJ66" s="993"/>
      <c r="AK66" s="1005"/>
      <c r="AL66" s="1006" t="str">
        <f>IF(OR(C66="",E66="",G66="",K66="",M66="",O66="",Q66="",S66="",Z66="",AD66="",AF66="",AH66="",AJ66=""),"",ROUND(AH66+AJ66,2))</f>
        <v/>
      </c>
      <c r="AM66" s="1007"/>
      <c r="AN66" s="1007"/>
      <c r="AO66" s="994" t="str">
        <f t="shared" ref="AO66" si="165">IF(OR(C66="",E66="",G66="",K66="",M66="",O66="",Q66="",S66="",Z66="",AD66="",AF66="",AH66="",AJ66=""),"",IF(BA66-BB66&lt;=0,0,BA66-BB66))</f>
        <v/>
      </c>
      <c r="AP66" s="995"/>
      <c r="AQ66" s="996"/>
      <c r="AR66" s="1000" t="str">
        <f>IF(OR(C66="",E66="",G66="",K66="",M66="",O66="",Q66="",S66="",Z66="",AD66="",AF66="",AH66="",AJ66=""),"", IF(BY66&lt;&gt;"", BY66, IF(BP66&gt;0,BP66, IF(ACTIVEBLOCK="Yes",ROUND(MIN(AL66*0.75,AO66*BLOCKBIDRATE),2),ROUND(MIN(AL66*0.75,BR66),2)))))</f>
        <v/>
      </c>
      <c r="AS66" s="1000"/>
      <c r="AT66" s="1000"/>
      <c r="AU66" s="1000"/>
      <c r="AX66" s="773" t="str">
        <f>IF(S66="","",
_xlfn.LET( _xlpm.Unit, INDEX(CMLIGHTEFF[Unit],MATCH(S66,CMLIGHTEFF[Eff Desc 1],0)),
IFERROR(_xlpm.Unit,"")))</f>
        <v/>
      </c>
      <c r="AY66" s="759" t="str">
        <f t="shared" ref="AY66" si="166">IF(M66="", "", M66)</f>
        <v/>
      </c>
      <c r="AZ66" s="759" t="str">
        <f t="shared" ref="AZ66" si="167">IF(AD66="", "", AD66)</f>
        <v/>
      </c>
      <c r="BA66" s="771" t="str">
        <f>IF(OR(C66="",E66="",G66="",K66="",M66="",O66="",Q66="",S66="",Z66="",AD66="",AF66="",AH66="",AJ66=""),"",
IF(OR(ISNUMBER(SEARCH("Exterior",E66)),ISNUMBER(SEARCH("Garage",E66)),M02S04F22="Unconditioned",M02S04F22="Electric Heat Only",M02S04F22="Natural Gas Heat Only"),ROUND(M66*O66*Q66/1000,4),
ROUND(M66*O66*Q66/1000*INDEX(BUILDINGTYPE[Waste Heat Factor (e)],MATCH(M02S04F19,BUILDINGTYPE[Building Type],0)),4)))</f>
        <v/>
      </c>
      <c r="BB66" s="771" t="str">
        <f>IF(OR(C66="",E66="",G66="",K66="",M66="",O66="",Q66="",S66="",Z66="",AD66="",AF66="",AH66="",AJ66=""),"",
IF(OR(ISNUMBER(SEARCH("Exterior",E66)),ISNUMBER(SEARCH("Garage",E66)),M02S04F22="Unconditioned",M02S04F22="Electric Heat Only",M02S04F22="Natural Gas Heat Only"),ROUND(AD66*AF66*Q66/1000,4),
ROUND(AD66*AF66*Q66/1000*INDEX(BUILDINGTYPE[Waste Heat Factor (e)],MATCH(M02S04F19,BUILDINGTYPE[Building Type],0)),4)))</f>
        <v/>
      </c>
      <c r="BC66" s="773" t="str">
        <f t="shared" ref="BC66" si="168">IF(OR(E66="",G66="",S66=""),"",IF(ISNUMBER(SEARCH("24/7",E66)),"Ext Lighting w/ Peak",IF(E66="Interior","Interior Lighting",IF(OR(E66="Garage",E66="Exterior"),"Ext Lighting w/o Peak","Err"))))</f>
        <v/>
      </c>
      <c r="BD66" s="757" t="str">
        <f t="shared" ref="BD66" si="169">IF(BE66&lt;&gt;"", "Calculated", "")</f>
        <v/>
      </c>
      <c r="BE66" s="775" t="str">
        <f t="shared" ref="BE66" si="170">IF(AND(BA66&lt;&gt;"", BB66&lt;&gt;""), ROUND(BA66-BB66,4), "")</f>
        <v/>
      </c>
      <c r="BF66" s="775" t="str">
        <f>IFERROR(IF(OR(C66="",E66="",G66="",K66="",M66="",O66="",Q66="",Z66="",AD66="",AF66="",AH66="",AJ66=""),"",IF(OR(E66="Garage",E66="Exterior"),0,
IF(OR(ISNUMBER(SEARCH("Garage",E66)),M02S04F22="Unconditioned",M02S04F22="Electric Heat Only",M02S04F22="Natural Gas Heat Only"),ROUND((((M66*O66)-(AD66*AF66))/1000)*INDEX(BUILDINGTYPE[Lighting Coincidence Factor],MATCH(M02S04F19,BUILDINGTYPE[Building Type],0)),4),
ROUND((((M66*O66)-(AD66*AF66))/1000)*INDEX(BUILDINGTYPE[WHFd],MATCH(M02S04F19,BUILDINGTYPE[Building Type],0))*INDEX(BUILDINGTYPE[Lighting Coincidence Factor],MATCH(M02S04F19,BUILDINGTYPE[Building Type],0)),4)))),"")</f>
        <v/>
      </c>
      <c r="BG66" s="775" t="str">
        <f>IFERROR(IF(OR(C66="",E66="",G66="",K66="",M66="",O66="",Q66="",Z66="",AD66="",AF66="",AH66="",AJ66=""),"",ROUND(AO66*INDEX(ENDUSEALL[Factor],MATCH(BC66,ENDUSEALL[End Use to Coincident Peak Demand Factors],0)),4)),"")</f>
        <v/>
      </c>
      <c r="BH66" s="761"/>
      <c r="BI66" s="761"/>
      <c r="BJ66" s="777" t="str">
        <f>IF(OR(G66="",S66=""),"",IF(INDEX(CMLIGHTEFF[EUL],MATCH(S66,CMLIGHTEFF[Eff Desc 1],0))="","",INDEX(CMLIGHTEFF[EUL],MATCH(S66,CMLIGHTEFF[Eff Desc 1],0))))</f>
        <v/>
      </c>
      <c r="BK66" s="767" t="str">
        <f>IFERROR(IF(OR(C66="",E66="",G66="",K66="",M66="",O66="",Q66="",Z66="",AD66="",AF66="",AH66="",AJ66=""),"",
ROUND(((1+ELOSS)*((AO66*INDEX(ELECCB[NPV AEC $/kWh],MATCH(BJ66,ELECCB[Year Number],1)))+(BG66*INDEX(ELECCB[NPV ACC $/kW],MATCH(BJ66,ELECCB[Year Number],1))))),2)),0)</f>
        <v/>
      </c>
      <c r="BL66" s="767" t="str">
        <f t="shared" si="2"/>
        <v/>
      </c>
      <c r="BM66" s="765"/>
      <c r="BN66" s="763" t="str">
        <f t="shared" si="3"/>
        <v/>
      </c>
      <c r="BO66" s="763" t="str">
        <f>IFERROR(IF(BM66 &lt;&gt; "", BM66, BL66) / M02S04F06 / AO66, "")</f>
        <v/>
      </c>
      <c r="BP66" s="769"/>
      <c r="BQ66" s="765"/>
      <c r="BR66" s="767" t="str">
        <f t="shared" ref="BR66" si="171">IFERROR(ROUND(AO66*BV66,2),"")</f>
        <v/>
      </c>
      <c r="BS66" s="765"/>
      <c r="BT66" s="765"/>
      <c r="BU66" s="757" t="str">
        <f>IFERROR(IF(BP66="", IF(AND(ROUND(AR66/AL66,2)=TOTCOSTCAP, BR66/AL66&gt;TOTCOSTCAP),"75% Total Cost",
IF(FALSE,"100% Incremental Cost",
IF(BV66&lt;KWHRATEMIN, "kWh Incentive Rate Min",
IF(BV66&gt;KWHRATEMAX,"kWh Incentive Rate Cap",
IF(AR66=BT66,"Bonus Incentive",
"kWh Incentive"))))), ""),"")</f>
        <v/>
      </c>
      <c r="BV66" s="767" t="str" cm="1">
        <f t="array" ref="BV66">_xlfn.LET(_xlpm.ROWS,MATCH(BC66,ENDUSEALL[End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6" s="757" t="str" cm="1">
        <f t="array" ref="BW66">IF(OR(C66="",E66="",G66="",K66="",M66="",O66="",Q66="",Z66="",AD66="",AF66="",AH66="",AJ66=""),"",
IF(BY66&lt;&gt;"",SPILLOVERNUMBER,
_xlfn.LET(
_xlpm.Program, IF(Program_Banner= "Business Energy Savings", 2, IF(Program_Banner="Small Business / Non-Profit", 3, "#")),
_xlpm.Location, INDEX( LOCATIONTYPE[Measure Number], MATCH(E66, LOCATIONTYPE[Location Type], 0)),
_xlpm.Eff_Desc_1, INDEX(CMLIGHTEFF[Measure Number],MATCH(S66,CMLIGHTEFF[Eff Desc 1],0)),
"11" &amp; _xlpm.Program &amp; "2" &amp; _xlpm.Location &amp; _xlpm.Eff_Desc_1
)))</f>
        <v/>
      </c>
      <c r="BX66" s="757" t="str" cm="1">
        <f t="array" ref="BX66">IFERROR(INDEX(_xlfn.SWITCH(Program_Banner,"Business Energy Savings",ENDUSEALL[Primary Key WBE],"Small Business / Non-Profit",ENDUSEALL[Primary Key HTRB],0),MATCH(BC66,ENDUSEALL[End Use to Coincident Peak Demand Factors],0)),"")</f>
        <v/>
      </c>
      <c r="BY66" s="757" t="str">
        <f ca="1">IFERROR(
IF(EXPIRATION&lt;&gt;"",PROJSTATEXP,
IF(BP66&gt;0,"",
IF(OR(M02S04F06="",M02S04F06="Select Rate Code",M02S04F06=0),MEASURERATE,
IF(M02S04F19="",MEASUREBLDG,
IF(BA66-BB66&lt;=0,MEASURESAVE,
IF(PAYCUSE&lt;PAYBACKREQ,PROJECTSTATPAYBACK,
IF(CBCUSE&lt;CBREQ,PROJECTSTATCB,""))))))),
MEASURESUBMIT)</f>
        <v>Enter Utility Rate</v>
      </c>
      <c r="BZ66" s="753"/>
      <c r="CA66" s="753"/>
      <c r="CB66" s="753"/>
      <c r="CC66" s="753"/>
    </row>
    <row r="67" spans="2:81" ht="15.95" customHeight="1">
      <c r="B67" s="785"/>
      <c r="C67" s="1002"/>
      <c r="D67" s="1002"/>
      <c r="E67" s="1002"/>
      <c r="F67" s="1003"/>
      <c r="G67" s="1004"/>
      <c r="H67" s="1002"/>
      <c r="I67" s="1002"/>
      <c r="J67" s="1002"/>
      <c r="K67" s="1002"/>
      <c r="L67" s="1002"/>
      <c r="M67" s="989"/>
      <c r="N67" s="989"/>
      <c r="O67" s="1008"/>
      <c r="P67" s="1008"/>
      <c r="Q67" s="1015"/>
      <c r="R67" s="1016"/>
      <c r="S67" s="1017"/>
      <c r="T67" s="1002"/>
      <c r="U67" s="1002"/>
      <c r="V67" s="1002"/>
      <c r="W67" s="1012"/>
      <c r="X67" s="1013"/>
      <c r="Y67" s="1013"/>
      <c r="Z67" s="1012"/>
      <c r="AA67" s="1013"/>
      <c r="AB67" s="1013"/>
      <c r="AC67" s="1014"/>
      <c r="AD67" s="989"/>
      <c r="AE67" s="989"/>
      <c r="AF67" s="990"/>
      <c r="AG67" s="991"/>
      <c r="AH67" s="992"/>
      <c r="AI67" s="993"/>
      <c r="AJ67" s="993"/>
      <c r="AK67" s="1005"/>
      <c r="AL67" s="1006"/>
      <c r="AM67" s="1007"/>
      <c r="AN67" s="1007"/>
      <c r="AO67" s="997"/>
      <c r="AP67" s="998"/>
      <c r="AQ67" s="999"/>
      <c r="AR67" s="1001"/>
      <c r="AS67" s="1001"/>
      <c r="AT67" s="1001"/>
      <c r="AU67" s="1001"/>
      <c r="AX67" s="774"/>
      <c r="AY67" s="760"/>
      <c r="AZ67" s="760"/>
      <c r="BA67" s="772"/>
      <c r="BB67" s="772"/>
      <c r="BC67" s="774"/>
      <c r="BD67" s="758"/>
      <c r="BE67" s="776"/>
      <c r="BF67" s="776"/>
      <c r="BG67" s="776"/>
      <c r="BH67" s="762"/>
      <c r="BI67" s="762"/>
      <c r="BJ67" s="778"/>
      <c r="BK67" s="768"/>
      <c r="BL67" s="768"/>
      <c r="BM67" s="766"/>
      <c r="BN67" s="764"/>
      <c r="BO67" s="764"/>
      <c r="BP67" s="770"/>
      <c r="BQ67" s="766"/>
      <c r="BR67" s="768"/>
      <c r="BS67" s="766"/>
      <c r="BT67" s="766"/>
      <c r="BU67" s="758"/>
      <c r="BV67" s="768"/>
      <c r="BW67" s="758"/>
      <c r="BX67" s="758"/>
      <c r="BY67" s="758"/>
      <c r="BZ67" s="754"/>
      <c r="CA67" s="754"/>
      <c r="CB67" s="754"/>
      <c r="CC67" s="754"/>
    </row>
    <row r="68" spans="2:81" ht="15.95" customHeight="1">
      <c r="B68" s="785">
        <v>26</v>
      </c>
      <c r="C68" s="1002"/>
      <c r="D68" s="1002"/>
      <c r="E68" s="1002"/>
      <c r="F68" s="1003"/>
      <c r="G68" s="1004"/>
      <c r="H68" s="1002"/>
      <c r="I68" s="1002"/>
      <c r="J68" s="1002"/>
      <c r="K68" s="1002"/>
      <c r="L68" s="1002"/>
      <c r="M68" s="989"/>
      <c r="N68" s="989"/>
      <c r="O68" s="1008" t="str">
        <f>IFERROR(IF(G68="","",INDEX(CMLIGHTBASE[Base Watt 1],MATCH(G68,CMLIGHTBASE[Base Desc 1],0))),"")</f>
        <v/>
      </c>
      <c r="P68" s="1008"/>
      <c r="Q68" s="1015"/>
      <c r="R68" s="1016"/>
      <c r="S68" s="1017"/>
      <c r="T68" s="1002"/>
      <c r="U68" s="1002"/>
      <c r="V68" s="1002"/>
      <c r="W68" s="1009"/>
      <c r="X68" s="1010"/>
      <c r="Y68" s="1010"/>
      <c r="Z68" s="1009"/>
      <c r="AA68" s="1010"/>
      <c r="AB68" s="1010"/>
      <c r="AC68" s="1011"/>
      <c r="AD68" s="989"/>
      <c r="AE68" s="989"/>
      <c r="AF68" s="990"/>
      <c r="AG68" s="991"/>
      <c r="AH68" s="992"/>
      <c r="AI68" s="993"/>
      <c r="AJ68" s="993"/>
      <c r="AK68" s="1005"/>
      <c r="AL68" s="1006" t="str">
        <f>IF(OR(C68="",E68="",G68="",K68="",M68="",O68="",Q68="",S68="",Z68="",AD68="",AF68="",AH68="",AJ68=""),"",ROUND(AH68+AJ68,2))</f>
        <v/>
      </c>
      <c r="AM68" s="1007"/>
      <c r="AN68" s="1007"/>
      <c r="AO68" s="994" t="str">
        <f t="shared" ref="AO68" si="172">IF(OR(C68="",E68="",G68="",K68="",M68="",O68="",Q68="",S68="",Z68="",AD68="",AF68="",AH68="",AJ68=""),"",IF(BA68-BB68&lt;=0,0,BA68-BB68))</f>
        <v/>
      </c>
      <c r="AP68" s="995"/>
      <c r="AQ68" s="996"/>
      <c r="AR68" s="1000" t="str">
        <f>IF(OR(C68="",E68="",G68="",K68="",M68="",O68="",Q68="",S68="",Z68="",AD68="",AF68="",AH68="",AJ68=""),"", IF(BY68&lt;&gt;"", BY68, IF(BP68&gt;0,BP68, IF(ACTIVEBLOCK="Yes",ROUND(MIN(AL68*0.75,AO68*BLOCKBIDRATE),2),ROUND(MIN(AL68*0.75,BR68),2)))))</f>
        <v/>
      </c>
      <c r="AS68" s="1000"/>
      <c r="AT68" s="1000"/>
      <c r="AU68" s="1000"/>
      <c r="AX68" s="773" t="str">
        <f>IF(S68="","",
_xlfn.LET( _xlpm.Unit, INDEX(CMLIGHTEFF[Unit],MATCH(S68,CMLIGHTEFF[Eff Desc 1],0)),
IFERROR(_xlpm.Unit,"")))</f>
        <v/>
      </c>
      <c r="AY68" s="759" t="str">
        <f t="shared" ref="AY68" si="173">IF(M68="", "", M68)</f>
        <v/>
      </c>
      <c r="AZ68" s="759" t="str">
        <f t="shared" ref="AZ68" si="174">IF(AD68="", "", AD68)</f>
        <v/>
      </c>
      <c r="BA68" s="771" t="str">
        <f>IF(OR(C68="",E68="",G68="",K68="",M68="",O68="",Q68="",S68="",Z68="",AD68="",AF68="",AH68="",AJ68=""),"",
IF(OR(ISNUMBER(SEARCH("Exterior",E68)),ISNUMBER(SEARCH("Garage",E68)),M02S04F22="Unconditioned",M02S04F22="Electric Heat Only",M02S04F22="Natural Gas Heat Only"),ROUND(M68*O68*Q68/1000,4),
ROUND(M68*O68*Q68/1000*INDEX(BUILDINGTYPE[Waste Heat Factor (e)],MATCH(M02S04F19,BUILDINGTYPE[Building Type],0)),4)))</f>
        <v/>
      </c>
      <c r="BB68" s="771" t="str">
        <f>IF(OR(C68="",E68="",G68="",K68="",M68="",O68="",Q68="",S68="",Z68="",AD68="",AF68="",AH68="",AJ68=""),"",
IF(OR(ISNUMBER(SEARCH("Exterior",E68)),ISNUMBER(SEARCH("Garage",E68)),M02S04F22="Unconditioned",M02S04F22="Electric Heat Only",M02S04F22="Natural Gas Heat Only"),ROUND(AD68*AF68*Q68/1000,4),
ROUND(AD68*AF68*Q68/1000*INDEX(BUILDINGTYPE[Waste Heat Factor (e)],MATCH(M02S04F19,BUILDINGTYPE[Building Type],0)),4)))</f>
        <v/>
      </c>
      <c r="BC68" s="773" t="str">
        <f t="shared" ref="BC68" si="175">IF(OR(E68="",G68="",S68=""),"",IF(ISNUMBER(SEARCH("24/7",E68)),"Ext Lighting w/ Peak",IF(E68="Interior","Interior Lighting",IF(OR(E68="Garage",E68="Exterior"),"Ext Lighting w/o Peak","Err"))))</f>
        <v/>
      </c>
      <c r="BD68" s="757" t="str">
        <f t="shared" ref="BD68" si="176">IF(BE68&lt;&gt;"", "Calculated", "")</f>
        <v/>
      </c>
      <c r="BE68" s="775" t="str">
        <f t="shared" ref="BE68" si="177">IF(AND(BA68&lt;&gt;"", BB68&lt;&gt;""), ROUND(BA68-BB68,4), "")</f>
        <v/>
      </c>
      <c r="BF68" s="775" t="str">
        <f>IFERROR(IF(OR(C68="",E68="",G68="",K68="",M68="",O68="",Q68="",Z68="",AD68="",AF68="",AH68="",AJ68=""),"",IF(OR(E68="Garage",E68="Exterior"),0,
IF(OR(ISNUMBER(SEARCH("Garage",E68)),M02S04F22="Unconditioned",M02S04F22="Electric Heat Only",M02S04F22="Natural Gas Heat Only"),ROUND((((M68*O68)-(AD68*AF68))/1000)*INDEX(BUILDINGTYPE[Lighting Coincidence Factor],MATCH(M02S04F19,BUILDINGTYPE[Building Type],0)),4),
ROUND((((M68*O68)-(AD68*AF68))/1000)*INDEX(BUILDINGTYPE[WHFd],MATCH(M02S04F19,BUILDINGTYPE[Building Type],0))*INDEX(BUILDINGTYPE[Lighting Coincidence Factor],MATCH(M02S04F19,BUILDINGTYPE[Building Type],0)),4)))),"")</f>
        <v/>
      </c>
      <c r="BG68" s="775" t="str">
        <f>IFERROR(IF(OR(C68="",E68="",G68="",K68="",M68="",O68="",Q68="",Z68="",AD68="",AF68="",AH68="",AJ68=""),"",ROUND(AO68*INDEX(ENDUSEALL[Factor],MATCH(BC68,ENDUSEALL[End Use to Coincident Peak Demand Factors],0)),4)),"")</f>
        <v/>
      </c>
      <c r="BH68" s="761"/>
      <c r="BI68" s="761"/>
      <c r="BJ68" s="777" t="str">
        <f>IF(OR(G68="",S68=""),"",IF(INDEX(CMLIGHTEFF[EUL],MATCH(S68,CMLIGHTEFF[Eff Desc 1],0))="","",INDEX(CMLIGHTEFF[EUL],MATCH(S68,CMLIGHTEFF[Eff Desc 1],0))))</f>
        <v/>
      </c>
      <c r="BK68" s="767" t="str">
        <f>IFERROR(IF(OR(C68="",E68="",G68="",K68="",M68="",O68="",Q68="",Z68="",AD68="",AF68="",AH68="",AJ68=""),"",
ROUND(((1+ELOSS)*((AO68*INDEX(ELECCB[NPV AEC $/kWh],MATCH(BJ68,ELECCB[Year Number],1)))+(BG68*INDEX(ELECCB[NPV ACC $/kW],MATCH(BJ68,ELECCB[Year Number],1))))),2)),0)</f>
        <v/>
      </c>
      <c r="BL68" s="767" t="str">
        <f t="shared" si="2"/>
        <v/>
      </c>
      <c r="BM68" s="765"/>
      <c r="BN68" s="763" t="str">
        <f t="shared" si="3"/>
        <v/>
      </c>
      <c r="BO68" s="763" t="str">
        <f>IFERROR(IF(BM68 &lt;&gt; "", BM68, BL68) / M02S04F06 / AO68, "")</f>
        <v/>
      </c>
      <c r="BP68" s="769"/>
      <c r="BQ68" s="765"/>
      <c r="BR68" s="767" t="str">
        <f t="shared" ref="BR68" si="178">IFERROR(ROUND(AO68*BV68,2),"")</f>
        <v/>
      </c>
      <c r="BS68" s="765"/>
      <c r="BT68" s="765"/>
      <c r="BU68" s="757" t="str">
        <f>IFERROR(IF(BP68="", IF(AND(ROUND(AR68/AL68,2)=TOTCOSTCAP, BR68/AL68&gt;TOTCOSTCAP),"75% Total Cost",
IF(FALSE,"100% Incremental Cost",
IF(BV68&lt;KWHRATEMIN, "kWh Incentive Rate Min",
IF(BV68&gt;KWHRATEMAX,"kWh Incentive Rate Cap",
IF(AR68=BT68,"Bonus Incentive",
"kWh Incentive"))))), ""),"")</f>
        <v/>
      </c>
      <c r="BV68" s="767" t="str" cm="1">
        <f t="array" ref="BV68">_xlfn.LET(_xlpm.ROWS,MATCH(BC68,ENDUSEALL[End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8" s="757" t="str" cm="1">
        <f t="array" ref="BW68">IF(OR(C68="",E68="",G68="",K68="",M68="",O68="",Q68="",Z68="",AD68="",AF68="",AH68="",AJ68=""),"",
IF(BY68&lt;&gt;"",SPILLOVERNUMBER,
_xlfn.LET(
_xlpm.Program, IF(Program_Banner= "Business Energy Savings", 2, IF(Program_Banner="Small Business / Non-Profit", 3, "#")),
_xlpm.Location, INDEX( LOCATIONTYPE[Measure Number], MATCH(E68, LOCATIONTYPE[Location Type], 0)),
_xlpm.Eff_Desc_1, INDEX(CMLIGHTEFF[Measure Number],MATCH(S68,CMLIGHTEFF[Eff Desc 1],0)),
"11" &amp; _xlpm.Program &amp; "2" &amp; _xlpm.Location &amp; _xlpm.Eff_Desc_1
)))</f>
        <v/>
      </c>
      <c r="BX68" s="757" t="str" cm="1">
        <f t="array" ref="BX68">IFERROR(INDEX(_xlfn.SWITCH(Program_Banner,"Business Energy Savings",ENDUSEALL[Primary Key WBE],"Small Business / Non-Profit",ENDUSEALL[Primary Key HTRB],0),MATCH(BC68,ENDUSEALL[End Use to Coincident Peak Demand Factors],0)),"")</f>
        <v/>
      </c>
      <c r="BY68" s="757" t="str">
        <f ca="1">IFERROR(
IF(EXPIRATION&lt;&gt;"",PROJSTATEXP,
IF(BP68&gt;0,"",
IF(OR(M02S04F06="",M02S04F06="Select Rate Code",M02S04F06=0),MEASURERATE,
IF(M02S04F19="",MEASUREBLDG,
IF(BA68-BB68&lt;=0,MEASURESAVE,
IF(PAYCUSE&lt;PAYBACKREQ,PROJECTSTATPAYBACK,
IF(CBCUSE&lt;CBREQ,PROJECTSTATCB,""))))))),
MEASURESUBMIT)</f>
        <v>Enter Utility Rate</v>
      </c>
      <c r="BZ68" s="753"/>
      <c r="CA68" s="753"/>
      <c r="CB68" s="753"/>
      <c r="CC68" s="753"/>
    </row>
    <row r="69" spans="2:81" ht="15.95" customHeight="1">
      <c r="B69" s="785"/>
      <c r="C69" s="1002"/>
      <c r="D69" s="1002"/>
      <c r="E69" s="1002"/>
      <c r="F69" s="1003"/>
      <c r="G69" s="1004"/>
      <c r="H69" s="1002"/>
      <c r="I69" s="1002"/>
      <c r="J69" s="1002"/>
      <c r="K69" s="1002"/>
      <c r="L69" s="1002"/>
      <c r="M69" s="989"/>
      <c r="N69" s="989"/>
      <c r="O69" s="1008"/>
      <c r="P69" s="1008"/>
      <c r="Q69" s="1015"/>
      <c r="R69" s="1016"/>
      <c r="S69" s="1017"/>
      <c r="T69" s="1002"/>
      <c r="U69" s="1002"/>
      <c r="V69" s="1002"/>
      <c r="W69" s="1012"/>
      <c r="X69" s="1013"/>
      <c r="Y69" s="1013"/>
      <c r="Z69" s="1012"/>
      <c r="AA69" s="1013"/>
      <c r="AB69" s="1013"/>
      <c r="AC69" s="1014"/>
      <c r="AD69" s="989"/>
      <c r="AE69" s="989"/>
      <c r="AF69" s="990"/>
      <c r="AG69" s="991"/>
      <c r="AH69" s="992"/>
      <c r="AI69" s="993"/>
      <c r="AJ69" s="993"/>
      <c r="AK69" s="1005"/>
      <c r="AL69" s="1006"/>
      <c r="AM69" s="1007"/>
      <c r="AN69" s="1007"/>
      <c r="AO69" s="997"/>
      <c r="AP69" s="998"/>
      <c r="AQ69" s="999"/>
      <c r="AR69" s="1001"/>
      <c r="AS69" s="1001"/>
      <c r="AT69" s="1001"/>
      <c r="AU69" s="1001"/>
      <c r="AX69" s="774"/>
      <c r="AY69" s="760"/>
      <c r="AZ69" s="760"/>
      <c r="BA69" s="772"/>
      <c r="BB69" s="772"/>
      <c r="BC69" s="774"/>
      <c r="BD69" s="758"/>
      <c r="BE69" s="776"/>
      <c r="BF69" s="776"/>
      <c r="BG69" s="776"/>
      <c r="BH69" s="762"/>
      <c r="BI69" s="762"/>
      <c r="BJ69" s="778"/>
      <c r="BK69" s="768"/>
      <c r="BL69" s="768"/>
      <c r="BM69" s="766"/>
      <c r="BN69" s="764"/>
      <c r="BO69" s="764"/>
      <c r="BP69" s="770"/>
      <c r="BQ69" s="766"/>
      <c r="BR69" s="768"/>
      <c r="BS69" s="766"/>
      <c r="BT69" s="766"/>
      <c r="BU69" s="758"/>
      <c r="BV69" s="768"/>
      <c r="BW69" s="758"/>
      <c r="BX69" s="758"/>
      <c r="BY69" s="758"/>
      <c r="BZ69" s="754"/>
      <c r="CA69" s="754"/>
      <c r="CB69" s="754"/>
      <c r="CC69" s="754"/>
    </row>
    <row r="70" spans="2:81" ht="15.95" customHeight="1">
      <c r="B70" s="785">
        <v>27</v>
      </c>
      <c r="C70" s="1002"/>
      <c r="D70" s="1002"/>
      <c r="E70" s="1002"/>
      <c r="F70" s="1003"/>
      <c r="G70" s="1004"/>
      <c r="H70" s="1002"/>
      <c r="I70" s="1002"/>
      <c r="J70" s="1002"/>
      <c r="K70" s="1002"/>
      <c r="L70" s="1002"/>
      <c r="M70" s="989"/>
      <c r="N70" s="989"/>
      <c r="O70" s="1008" t="str">
        <f>IFERROR(IF(G70="","",INDEX(CMLIGHTBASE[Base Watt 1],MATCH(G70,CMLIGHTBASE[Base Desc 1],0))),"")</f>
        <v/>
      </c>
      <c r="P70" s="1008"/>
      <c r="Q70" s="1015"/>
      <c r="R70" s="1016"/>
      <c r="S70" s="1017"/>
      <c r="T70" s="1002"/>
      <c r="U70" s="1002"/>
      <c r="V70" s="1002"/>
      <c r="W70" s="1009"/>
      <c r="X70" s="1010"/>
      <c r="Y70" s="1010"/>
      <c r="Z70" s="1009"/>
      <c r="AA70" s="1010"/>
      <c r="AB70" s="1010"/>
      <c r="AC70" s="1011"/>
      <c r="AD70" s="989"/>
      <c r="AE70" s="989"/>
      <c r="AF70" s="990"/>
      <c r="AG70" s="991"/>
      <c r="AH70" s="992"/>
      <c r="AI70" s="993"/>
      <c r="AJ70" s="993"/>
      <c r="AK70" s="1005"/>
      <c r="AL70" s="1006" t="str">
        <f>IF(OR(C70="",E70="",G70="",K70="",M70="",O70="",Q70="",S70="",Z70="",AD70="",AF70="",AH70="",AJ70=""),"",ROUND(AH70+AJ70,2))</f>
        <v/>
      </c>
      <c r="AM70" s="1007"/>
      <c r="AN70" s="1007"/>
      <c r="AO70" s="994" t="str">
        <f t="shared" ref="AO70" si="179">IF(OR(C70="",E70="",G70="",K70="",M70="",O70="",Q70="",S70="",Z70="",AD70="",AF70="",AH70="",AJ70=""),"",IF(BA70-BB70&lt;=0,0,BA70-BB70))</f>
        <v/>
      </c>
      <c r="AP70" s="995"/>
      <c r="AQ70" s="996"/>
      <c r="AR70" s="1000" t="str">
        <f>IF(OR(C70="",E70="",G70="",K70="",M70="",O70="",Q70="",S70="",Z70="",AD70="",AF70="",AH70="",AJ70=""),"", IF(BY70&lt;&gt;"", BY70, IF(BP70&gt;0,BP70, IF(ACTIVEBLOCK="Yes",ROUND(MIN(AL70*0.75,AO70*BLOCKBIDRATE),2),ROUND(MIN(AL70*0.75,BR70),2)))))</f>
        <v/>
      </c>
      <c r="AS70" s="1000"/>
      <c r="AT70" s="1000"/>
      <c r="AU70" s="1000"/>
      <c r="AX70" s="773" t="str">
        <f>IF(S70="","",
_xlfn.LET( _xlpm.Unit, INDEX(CMLIGHTEFF[Unit],MATCH(S70,CMLIGHTEFF[Eff Desc 1],0)),
IFERROR(_xlpm.Unit,"")))</f>
        <v/>
      </c>
      <c r="AY70" s="759" t="str">
        <f t="shared" ref="AY70" si="180">IF(M70="", "", M70)</f>
        <v/>
      </c>
      <c r="AZ70" s="759" t="str">
        <f t="shared" ref="AZ70" si="181">IF(AD70="", "", AD70)</f>
        <v/>
      </c>
      <c r="BA70" s="771" t="str">
        <f>IF(OR(C70="",E70="",G70="",K70="",M70="",O70="",Q70="",S70="",Z70="",AD70="",AF70="",AH70="",AJ70=""),"",
IF(OR(ISNUMBER(SEARCH("Exterior",E70)),ISNUMBER(SEARCH("Garage",E70)),M02S04F22="Unconditioned",M02S04F22="Electric Heat Only",M02S04F22="Natural Gas Heat Only"),ROUND(M70*O70*Q70/1000,4),
ROUND(M70*O70*Q70/1000*INDEX(BUILDINGTYPE[Waste Heat Factor (e)],MATCH(M02S04F19,BUILDINGTYPE[Building Type],0)),4)))</f>
        <v/>
      </c>
      <c r="BB70" s="771" t="str">
        <f>IF(OR(C70="",E70="",G70="",K70="",M70="",O70="",Q70="",S70="",Z70="",AD70="",AF70="",AH70="",AJ70=""),"",
IF(OR(ISNUMBER(SEARCH("Exterior",E70)),ISNUMBER(SEARCH("Garage",E70)),M02S04F22="Unconditioned",M02S04F22="Electric Heat Only",M02S04F22="Natural Gas Heat Only"),ROUND(AD70*AF70*Q70/1000,4),
ROUND(AD70*AF70*Q70/1000*INDEX(BUILDINGTYPE[Waste Heat Factor (e)],MATCH(M02S04F19,BUILDINGTYPE[Building Type],0)),4)))</f>
        <v/>
      </c>
      <c r="BC70" s="773" t="str">
        <f t="shared" ref="BC70" si="182">IF(OR(E70="",G70="",S70=""),"",IF(ISNUMBER(SEARCH("24/7",E70)),"Ext Lighting w/ Peak",IF(E70="Interior","Interior Lighting",IF(OR(E70="Garage",E70="Exterior"),"Ext Lighting w/o Peak","Err"))))</f>
        <v/>
      </c>
      <c r="BD70" s="757" t="str">
        <f t="shared" ref="BD70" si="183">IF(BE70&lt;&gt;"", "Calculated", "")</f>
        <v/>
      </c>
      <c r="BE70" s="775" t="str">
        <f t="shared" ref="BE70" si="184">IF(AND(BA70&lt;&gt;"", BB70&lt;&gt;""), ROUND(BA70-BB70,4), "")</f>
        <v/>
      </c>
      <c r="BF70" s="775" t="str">
        <f>IFERROR(IF(OR(C70="",E70="",G70="",K70="",M70="",O70="",Q70="",Z70="",AD70="",AF70="",AH70="",AJ70=""),"",IF(OR(E70="Garage",E70="Exterior"),0,
IF(OR(ISNUMBER(SEARCH("Garage",E70)),M02S04F22="Unconditioned",M02S04F22="Electric Heat Only",M02S04F22="Natural Gas Heat Only"),ROUND((((M70*O70)-(AD70*AF70))/1000)*INDEX(BUILDINGTYPE[Lighting Coincidence Factor],MATCH(M02S04F19,BUILDINGTYPE[Building Type],0)),4),
ROUND((((M70*O70)-(AD70*AF70))/1000)*INDEX(BUILDINGTYPE[WHFd],MATCH(M02S04F19,BUILDINGTYPE[Building Type],0))*INDEX(BUILDINGTYPE[Lighting Coincidence Factor],MATCH(M02S04F19,BUILDINGTYPE[Building Type],0)),4)))),"")</f>
        <v/>
      </c>
      <c r="BG70" s="775" t="str">
        <f>IFERROR(IF(OR(C70="",E70="",G70="",K70="",M70="",O70="",Q70="",Z70="",AD70="",AF70="",AH70="",AJ70=""),"",ROUND(AO70*INDEX(ENDUSEALL[Factor],MATCH(BC70,ENDUSEALL[End Use to Coincident Peak Demand Factors],0)),4)),"")</f>
        <v/>
      </c>
      <c r="BH70" s="761"/>
      <c r="BI70" s="761"/>
      <c r="BJ70" s="777" t="str">
        <f>IF(OR(G70="",S70=""),"",IF(INDEX(CMLIGHTEFF[EUL],MATCH(S70,CMLIGHTEFF[Eff Desc 1],0))="","",INDEX(CMLIGHTEFF[EUL],MATCH(S70,CMLIGHTEFF[Eff Desc 1],0))))</f>
        <v/>
      </c>
      <c r="BK70" s="767" t="str">
        <f>IFERROR(IF(OR(C70="",E70="",G70="",K70="",M70="",O70="",Q70="",Z70="",AD70="",AF70="",AH70="",AJ70=""),"",
ROUND(((1+ELOSS)*((AO70*INDEX(ELECCB[NPV AEC $/kWh],MATCH(BJ70,ELECCB[Year Number],1)))+(BG70*INDEX(ELECCB[NPV ACC $/kW],MATCH(BJ70,ELECCB[Year Number],1))))),2)),0)</f>
        <v/>
      </c>
      <c r="BL70" s="767" t="str">
        <f t="shared" si="2"/>
        <v/>
      </c>
      <c r="BM70" s="765"/>
      <c r="BN70" s="763" t="str">
        <f t="shared" si="3"/>
        <v/>
      </c>
      <c r="BO70" s="763" t="str">
        <f>IFERROR(IF(BM70 &lt;&gt; "", BM70, BL70) / M02S04F06 / AO70, "")</f>
        <v/>
      </c>
      <c r="BP70" s="769"/>
      <c r="BQ70" s="765"/>
      <c r="BR70" s="767" t="str">
        <f t="shared" ref="BR70" si="185">IFERROR(ROUND(AO70*BV70,2),"")</f>
        <v/>
      </c>
      <c r="BS70" s="765"/>
      <c r="BT70" s="765"/>
      <c r="BU70" s="757" t="str">
        <f>IFERROR(IF(BP70="", IF(AND(ROUND(AR70/AL70,2)=TOTCOSTCAP, BR70/AL70&gt;TOTCOSTCAP),"75% Total Cost",
IF(FALSE,"100% Incremental Cost",
IF(BV70&lt;KWHRATEMIN, "kWh Incentive Rate Min",
IF(BV70&gt;KWHRATEMAX,"kWh Incentive Rate Cap",
IF(AR70=BT70,"Bonus Incentive",
"kWh Incentive"))))), ""),"")</f>
        <v/>
      </c>
      <c r="BV70" s="767" t="str" cm="1">
        <f t="array" ref="BV70">_xlfn.LET(_xlpm.ROWS,MATCH(BC70,ENDUSEALL[End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0" s="757" t="str" cm="1">
        <f t="array" ref="BW70">IF(OR(C70="",E70="",G70="",K70="",M70="",O70="",Q70="",Z70="",AD70="",AF70="",AH70="",AJ70=""),"",
IF(BY70&lt;&gt;"",SPILLOVERNUMBER,
_xlfn.LET(
_xlpm.Program, IF(Program_Banner= "Business Energy Savings", 2, IF(Program_Banner="Small Business / Non-Profit", 3, "#")),
_xlpm.Location, INDEX( LOCATIONTYPE[Measure Number], MATCH(E70, LOCATIONTYPE[Location Type], 0)),
_xlpm.Eff_Desc_1, INDEX(CMLIGHTEFF[Measure Number],MATCH(S70,CMLIGHTEFF[Eff Desc 1],0)),
"11" &amp; _xlpm.Program &amp; "2" &amp; _xlpm.Location &amp; _xlpm.Eff_Desc_1
)))</f>
        <v/>
      </c>
      <c r="BX70" s="757" t="str" cm="1">
        <f t="array" ref="BX70">IFERROR(INDEX(_xlfn.SWITCH(Program_Banner,"Business Energy Savings",ENDUSEALL[Primary Key WBE],"Small Business / Non-Profit",ENDUSEALL[Primary Key HTRB],0),MATCH(BC70,ENDUSEALL[End Use to Coincident Peak Demand Factors],0)),"")</f>
        <v/>
      </c>
      <c r="BY70" s="757" t="str">
        <f ca="1">IFERROR(
IF(EXPIRATION&lt;&gt;"",PROJSTATEXP,
IF(BP70&gt;0,"",
IF(OR(M02S04F06="",M02S04F06="Select Rate Code",M02S04F06=0),MEASURERATE,
IF(M02S04F19="",MEASUREBLDG,
IF(BA70-BB70&lt;=0,MEASURESAVE,
IF(PAYCUSE&lt;PAYBACKREQ,PROJECTSTATPAYBACK,
IF(CBCUSE&lt;CBREQ,PROJECTSTATCB,""))))))),
MEASURESUBMIT)</f>
        <v>Enter Utility Rate</v>
      </c>
      <c r="BZ70" s="753"/>
      <c r="CA70" s="753"/>
      <c r="CB70" s="753"/>
      <c r="CC70" s="753"/>
    </row>
    <row r="71" spans="2:81" ht="15.95" customHeight="1">
      <c r="B71" s="785"/>
      <c r="C71" s="1002"/>
      <c r="D71" s="1002"/>
      <c r="E71" s="1002"/>
      <c r="F71" s="1003"/>
      <c r="G71" s="1004"/>
      <c r="H71" s="1002"/>
      <c r="I71" s="1002"/>
      <c r="J71" s="1002"/>
      <c r="K71" s="1002"/>
      <c r="L71" s="1002"/>
      <c r="M71" s="989"/>
      <c r="N71" s="989"/>
      <c r="O71" s="1008"/>
      <c r="P71" s="1008"/>
      <c r="Q71" s="1015"/>
      <c r="R71" s="1016"/>
      <c r="S71" s="1017"/>
      <c r="T71" s="1002"/>
      <c r="U71" s="1002"/>
      <c r="V71" s="1002"/>
      <c r="W71" s="1012"/>
      <c r="X71" s="1013"/>
      <c r="Y71" s="1013"/>
      <c r="Z71" s="1012"/>
      <c r="AA71" s="1013"/>
      <c r="AB71" s="1013"/>
      <c r="AC71" s="1014"/>
      <c r="AD71" s="989"/>
      <c r="AE71" s="989"/>
      <c r="AF71" s="990"/>
      <c r="AG71" s="991"/>
      <c r="AH71" s="992"/>
      <c r="AI71" s="993"/>
      <c r="AJ71" s="993"/>
      <c r="AK71" s="1005"/>
      <c r="AL71" s="1006"/>
      <c r="AM71" s="1007"/>
      <c r="AN71" s="1007"/>
      <c r="AO71" s="997"/>
      <c r="AP71" s="998"/>
      <c r="AQ71" s="999"/>
      <c r="AR71" s="1001"/>
      <c r="AS71" s="1001"/>
      <c r="AT71" s="1001"/>
      <c r="AU71" s="1001"/>
      <c r="AX71" s="774"/>
      <c r="AY71" s="760"/>
      <c r="AZ71" s="760"/>
      <c r="BA71" s="772"/>
      <c r="BB71" s="772"/>
      <c r="BC71" s="774"/>
      <c r="BD71" s="758"/>
      <c r="BE71" s="776"/>
      <c r="BF71" s="776"/>
      <c r="BG71" s="776"/>
      <c r="BH71" s="762"/>
      <c r="BI71" s="762"/>
      <c r="BJ71" s="778"/>
      <c r="BK71" s="768"/>
      <c r="BL71" s="768"/>
      <c r="BM71" s="766"/>
      <c r="BN71" s="764"/>
      <c r="BO71" s="764"/>
      <c r="BP71" s="770"/>
      <c r="BQ71" s="766"/>
      <c r="BR71" s="768"/>
      <c r="BS71" s="766"/>
      <c r="BT71" s="766"/>
      <c r="BU71" s="758"/>
      <c r="BV71" s="768"/>
      <c r="BW71" s="758"/>
      <c r="BX71" s="758"/>
      <c r="BY71" s="758"/>
      <c r="BZ71" s="754"/>
      <c r="CA71" s="754"/>
      <c r="CB71" s="754"/>
      <c r="CC71" s="754"/>
    </row>
    <row r="72" spans="2:81" ht="15.95" customHeight="1">
      <c r="B72" s="785">
        <v>28</v>
      </c>
      <c r="C72" s="1002"/>
      <c r="D72" s="1002"/>
      <c r="E72" s="1002"/>
      <c r="F72" s="1003"/>
      <c r="G72" s="1004"/>
      <c r="H72" s="1002"/>
      <c r="I72" s="1002"/>
      <c r="J72" s="1002"/>
      <c r="K72" s="1002"/>
      <c r="L72" s="1002"/>
      <c r="M72" s="989"/>
      <c r="N72" s="989"/>
      <c r="O72" s="1008" t="str">
        <f>IFERROR(IF(G72="","",INDEX(CMLIGHTBASE[Base Watt 1],MATCH(G72,CMLIGHTBASE[Base Desc 1],0))),"")</f>
        <v/>
      </c>
      <c r="P72" s="1008"/>
      <c r="Q72" s="1015"/>
      <c r="R72" s="1016"/>
      <c r="S72" s="1017"/>
      <c r="T72" s="1002"/>
      <c r="U72" s="1002"/>
      <c r="V72" s="1002"/>
      <c r="W72" s="1009"/>
      <c r="X72" s="1010"/>
      <c r="Y72" s="1010"/>
      <c r="Z72" s="1009"/>
      <c r="AA72" s="1010"/>
      <c r="AB72" s="1010"/>
      <c r="AC72" s="1011"/>
      <c r="AD72" s="989"/>
      <c r="AE72" s="989"/>
      <c r="AF72" s="990"/>
      <c r="AG72" s="991"/>
      <c r="AH72" s="992"/>
      <c r="AI72" s="993"/>
      <c r="AJ72" s="993"/>
      <c r="AK72" s="1005"/>
      <c r="AL72" s="1006" t="str">
        <f>IF(OR(C72="",E72="",G72="",K72="",M72="",O72="",Q72="",S72="",Z72="",AD72="",AF72="",AH72="",AJ72=""),"",ROUND(AH72+AJ72,2))</f>
        <v/>
      </c>
      <c r="AM72" s="1007"/>
      <c r="AN72" s="1007"/>
      <c r="AO72" s="994" t="str">
        <f t="shared" ref="AO72" si="186">IF(OR(C72="",E72="",G72="",K72="",M72="",O72="",Q72="",S72="",Z72="",AD72="",AF72="",AH72="",AJ72=""),"",IF(BA72-BB72&lt;=0,0,BA72-BB72))</f>
        <v/>
      </c>
      <c r="AP72" s="995"/>
      <c r="AQ72" s="996"/>
      <c r="AR72" s="1000" t="str">
        <f>IF(OR(C72="",E72="",G72="",K72="",M72="",O72="",Q72="",S72="",Z72="",AD72="",AF72="",AH72="",AJ72=""),"", IF(BY72&lt;&gt;"", BY72, IF(BP72&gt;0,BP72, IF(ACTIVEBLOCK="Yes",ROUND(MIN(AL72*0.75,AO72*BLOCKBIDRATE),2),ROUND(MIN(AL72*0.75,BR72),2)))))</f>
        <v/>
      </c>
      <c r="AS72" s="1000"/>
      <c r="AT72" s="1000"/>
      <c r="AU72" s="1000"/>
      <c r="AX72" s="773" t="str">
        <f>IF(S72="","",
_xlfn.LET( _xlpm.Unit, INDEX(CMLIGHTEFF[Unit],MATCH(S72,CMLIGHTEFF[Eff Desc 1],0)),
IFERROR(_xlpm.Unit,"")))</f>
        <v/>
      </c>
      <c r="AY72" s="759" t="str">
        <f t="shared" ref="AY72" si="187">IF(M72="", "", M72)</f>
        <v/>
      </c>
      <c r="AZ72" s="759" t="str">
        <f t="shared" ref="AZ72" si="188">IF(AD72="", "", AD72)</f>
        <v/>
      </c>
      <c r="BA72" s="771" t="str">
        <f>IF(OR(C72="",E72="",G72="",K72="",M72="",O72="",Q72="",S72="",Z72="",AD72="",AF72="",AH72="",AJ72=""),"",
IF(OR(ISNUMBER(SEARCH("Exterior",E72)),ISNUMBER(SEARCH("Garage",E72)),M02S04F22="Unconditioned",M02S04F22="Electric Heat Only",M02S04F22="Natural Gas Heat Only"),ROUND(M72*O72*Q72/1000,4),
ROUND(M72*O72*Q72/1000*INDEX(BUILDINGTYPE[Waste Heat Factor (e)],MATCH(M02S04F19,BUILDINGTYPE[Building Type],0)),4)))</f>
        <v/>
      </c>
      <c r="BB72" s="771" t="str">
        <f>IF(OR(C72="",E72="",G72="",K72="",M72="",O72="",Q72="",S72="",Z72="",AD72="",AF72="",AH72="",AJ72=""),"",
IF(OR(ISNUMBER(SEARCH("Exterior",E72)),ISNUMBER(SEARCH("Garage",E72)),M02S04F22="Unconditioned",M02S04F22="Electric Heat Only",M02S04F22="Natural Gas Heat Only"),ROUND(AD72*AF72*Q72/1000,4),
ROUND(AD72*AF72*Q72/1000*INDEX(BUILDINGTYPE[Waste Heat Factor (e)],MATCH(M02S04F19,BUILDINGTYPE[Building Type],0)),4)))</f>
        <v/>
      </c>
      <c r="BC72" s="773" t="str">
        <f t="shared" ref="BC72" si="189">IF(OR(E72="",G72="",S72=""),"",IF(ISNUMBER(SEARCH("24/7",E72)),"Ext Lighting w/ Peak",IF(E72="Interior","Interior Lighting",IF(OR(E72="Garage",E72="Exterior"),"Ext Lighting w/o Peak","Err"))))</f>
        <v/>
      </c>
      <c r="BD72" s="757" t="str">
        <f t="shared" ref="BD72" si="190">IF(BE72&lt;&gt;"", "Calculated", "")</f>
        <v/>
      </c>
      <c r="BE72" s="775" t="str">
        <f t="shared" ref="BE72" si="191">IF(AND(BA72&lt;&gt;"", BB72&lt;&gt;""), ROUND(BA72-BB72,4), "")</f>
        <v/>
      </c>
      <c r="BF72" s="775" t="str">
        <f>IFERROR(IF(OR(C72="",E72="",G72="",K72="",M72="",O72="",Q72="",Z72="",AD72="",AF72="",AH72="",AJ72=""),"",IF(OR(E72="Garage",E72="Exterior"),0,
IF(OR(ISNUMBER(SEARCH("Garage",E72)),M02S04F22="Unconditioned",M02S04F22="Electric Heat Only",M02S04F22="Natural Gas Heat Only"),ROUND((((M72*O72)-(AD72*AF72))/1000)*INDEX(BUILDINGTYPE[Lighting Coincidence Factor],MATCH(M02S04F19,BUILDINGTYPE[Building Type],0)),4),
ROUND((((M72*O72)-(AD72*AF72))/1000)*INDEX(BUILDINGTYPE[WHFd],MATCH(M02S04F19,BUILDINGTYPE[Building Type],0))*INDEX(BUILDINGTYPE[Lighting Coincidence Factor],MATCH(M02S04F19,BUILDINGTYPE[Building Type],0)),4)))),"")</f>
        <v/>
      </c>
      <c r="BG72" s="775" t="str">
        <f>IFERROR(IF(OR(C72="",E72="",G72="",K72="",M72="",O72="",Q72="",Z72="",AD72="",AF72="",AH72="",AJ72=""),"",ROUND(AO72*INDEX(ENDUSEALL[Factor],MATCH(BC72,ENDUSEALL[End Use to Coincident Peak Demand Factors],0)),4)),"")</f>
        <v/>
      </c>
      <c r="BH72" s="761"/>
      <c r="BI72" s="761"/>
      <c r="BJ72" s="777" t="str">
        <f>IF(OR(G72="",S72=""),"",IF(INDEX(CMLIGHTEFF[EUL],MATCH(S72,CMLIGHTEFF[Eff Desc 1],0))="","",INDEX(CMLIGHTEFF[EUL],MATCH(S72,CMLIGHTEFF[Eff Desc 1],0))))</f>
        <v/>
      </c>
      <c r="BK72" s="767" t="str">
        <f>IFERROR(IF(OR(C72="",E72="",G72="",K72="",M72="",O72="",Q72="",Z72="",AD72="",AF72="",AH72="",AJ72=""),"",
ROUND(((1+ELOSS)*((AO72*INDEX(ELECCB[NPV AEC $/kWh],MATCH(BJ72,ELECCB[Year Number],1)))+(BG72*INDEX(ELECCB[NPV ACC $/kW],MATCH(BJ72,ELECCB[Year Number],1))))),2)),0)</f>
        <v/>
      </c>
      <c r="BL72" s="767" t="str">
        <f t="shared" si="2"/>
        <v/>
      </c>
      <c r="BM72" s="765"/>
      <c r="BN72" s="763" t="str">
        <f t="shared" si="3"/>
        <v/>
      </c>
      <c r="BO72" s="763" t="str">
        <f>IFERROR(IF(BM72 &lt;&gt; "", BM72, BL72) / M02S04F06 / AO72, "")</f>
        <v/>
      </c>
      <c r="BP72" s="769"/>
      <c r="BQ72" s="765"/>
      <c r="BR72" s="767" t="str">
        <f t="shared" ref="BR72" si="192">IFERROR(ROUND(AO72*BV72,2),"")</f>
        <v/>
      </c>
      <c r="BS72" s="765"/>
      <c r="BT72" s="765"/>
      <c r="BU72" s="757" t="str">
        <f>IFERROR(IF(BP72="", IF(AND(ROUND(AR72/AL72,2)=TOTCOSTCAP, BR72/AL72&gt;TOTCOSTCAP),"75% Total Cost",
IF(FALSE,"100% Incremental Cost",
IF(BV72&lt;KWHRATEMIN, "kWh Incentive Rate Min",
IF(BV72&gt;KWHRATEMAX,"kWh Incentive Rate Cap",
IF(AR72=BT72,"Bonus Incentive",
"kWh Incentive"))))), ""),"")</f>
        <v/>
      </c>
      <c r="BV72" s="767" t="str" cm="1">
        <f t="array" ref="BV72">_xlfn.LET(_xlpm.ROWS,MATCH(BC72,ENDUSEALL[End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2" s="757" t="str" cm="1">
        <f t="array" ref="BW72">IF(OR(C72="",E72="",G72="",K72="",M72="",O72="",Q72="",Z72="",AD72="",AF72="",AH72="",AJ72=""),"",
IF(BY72&lt;&gt;"",SPILLOVERNUMBER,
_xlfn.LET(
_xlpm.Program, IF(Program_Banner= "Business Energy Savings", 2, IF(Program_Banner="Small Business / Non-Profit", 3, "#")),
_xlpm.Location, INDEX( LOCATIONTYPE[Measure Number], MATCH(E72, LOCATIONTYPE[Location Type], 0)),
_xlpm.Eff_Desc_1, INDEX(CMLIGHTEFF[Measure Number],MATCH(S72,CMLIGHTEFF[Eff Desc 1],0)),
"11" &amp; _xlpm.Program &amp; "2" &amp; _xlpm.Location &amp; _xlpm.Eff_Desc_1
)))</f>
        <v/>
      </c>
      <c r="BX72" s="757" t="str" cm="1">
        <f t="array" ref="BX72">IFERROR(INDEX(_xlfn.SWITCH(Program_Banner,"Business Energy Savings",ENDUSEALL[Primary Key WBE],"Small Business / Non-Profit",ENDUSEALL[Primary Key HTRB],0),MATCH(BC72,ENDUSEALL[End Use to Coincident Peak Demand Factors],0)),"")</f>
        <v/>
      </c>
      <c r="BY72" s="757" t="str">
        <f ca="1">IFERROR(
IF(EXPIRATION&lt;&gt;"",PROJSTATEXP,
IF(BP72&gt;0,"",
IF(OR(M02S04F06="",M02S04F06="Select Rate Code",M02S04F06=0),MEASURERATE,
IF(M02S04F19="",MEASUREBLDG,
IF(BA72-BB72&lt;=0,MEASURESAVE,
IF(PAYCUSE&lt;PAYBACKREQ,PROJECTSTATPAYBACK,
IF(CBCUSE&lt;CBREQ,PROJECTSTATCB,""))))))),
MEASURESUBMIT)</f>
        <v>Enter Utility Rate</v>
      </c>
      <c r="BZ72" s="753"/>
      <c r="CA72" s="753"/>
      <c r="CB72" s="753"/>
      <c r="CC72" s="753"/>
    </row>
    <row r="73" spans="2:81" ht="15.95" customHeight="1">
      <c r="B73" s="785"/>
      <c r="C73" s="1002"/>
      <c r="D73" s="1002"/>
      <c r="E73" s="1002"/>
      <c r="F73" s="1003"/>
      <c r="G73" s="1004"/>
      <c r="H73" s="1002"/>
      <c r="I73" s="1002"/>
      <c r="J73" s="1002"/>
      <c r="K73" s="1002"/>
      <c r="L73" s="1002"/>
      <c r="M73" s="989"/>
      <c r="N73" s="989"/>
      <c r="O73" s="1008"/>
      <c r="P73" s="1008"/>
      <c r="Q73" s="1015"/>
      <c r="R73" s="1016"/>
      <c r="S73" s="1017"/>
      <c r="T73" s="1002"/>
      <c r="U73" s="1002"/>
      <c r="V73" s="1002"/>
      <c r="W73" s="1012"/>
      <c r="X73" s="1013"/>
      <c r="Y73" s="1013"/>
      <c r="Z73" s="1012"/>
      <c r="AA73" s="1013"/>
      <c r="AB73" s="1013"/>
      <c r="AC73" s="1014"/>
      <c r="AD73" s="989"/>
      <c r="AE73" s="989"/>
      <c r="AF73" s="990"/>
      <c r="AG73" s="991"/>
      <c r="AH73" s="992"/>
      <c r="AI73" s="993"/>
      <c r="AJ73" s="993"/>
      <c r="AK73" s="1005"/>
      <c r="AL73" s="1006"/>
      <c r="AM73" s="1007"/>
      <c r="AN73" s="1007"/>
      <c r="AO73" s="997"/>
      <c r="AP73" s="998"/>
      <c r="AQ73" s="999"/>
      <c r="AR73" s="1001"/>
      <c r="AS73" s="1001"/>
      <c r="AT73" s="1001"/>
      <c r="AU73" s="1001"/>
      <c r="AX73" s="774"/>
      <c r="AY73" s="760"/>
      <c r="AZ73" s="760"/>
      <c r="BA73" s="772"/>
      <c r="BB73" s="772"/>
      <c r="BC73" s="774"/>
      <c r="BD73" s="758"/>
      <c r="BE73" s="776"/>
      <c r="BF73" s="776"/>
      <c r="BG73" s="776"/>
      <c r="BH73" s="762"/>
      <c r="BI73" s="762"/>
      <c r="BJ73" s="778"/>
      <c r="BK73" s="768"/>
      <c r="BL73" s="768"/>
      <c r="BM73" s="766"/>
      <c r="BN73" s="764"/>
      <c r="BO73" s="764"/>
      <c r="BP73" s="770"/>
      <c r="BQ73" s="766"/>
      <c r="BR73" s="768"/>
      <c r="BS73" s="766"/>
      <c r="BT73" s="766"/>
      <c r="BU73" s="758"/>
      <c r="BV73" s="768"/>
      <c r="BW73" s="758"/>
      <c r="BX73" s="758"/>
      <c r="BY73" s="758"/>
      <c r="BZ73" s="754"/>
      <c r="CA73" s="754"/>
      <c r="CB73" s="754"/>
      <c r="CC73" s="754"/>
    </row>
    <row r="74" spans="2:81" ht="15.95" customHeight="1">
      <c r="B74" s="785">
        <v>29</v>
      </c>
      <c r="C74" s="1002"/>
      <c r="D74" s="1002"/>
      <c r="E74" s="1002"/>
      <c r="F74" s="1003"/>
      <c r="G74" s="1004"/>
      <c r="H74" s="1002"/>
      <c r="I74" s="1002"/>
      <c r="J74" s="1002"/>
      <c r="K74" s="1002"/>
      <c r="L74" s="1002"/>
      <c r="M74" s="989"/>
      <c r="N74" s="989"/>
      <c r="O74" s="1008" t="str">
        <f>IFERROR(IF(G74="","",INDEX(CMLIGHTBASE[Base Watt 1],MATCH(G74,CMLIGHTBASE[Base Desc 1],0))),"")</f>
        <v/>
      </c>
      <c r="P74" s="1008"/>
      <c r="Q74" s="1015"/>
      <c r="R74" s="1016"/>
      <c r="S74" s="1017"/>
      <c r="T74" s="1002"/>
      <c r="U74" s="1002"/>
      <c r="V74" s="1002"/>
      <c r="W74" s="1009"/>
      <c r="X74" s="1010"/>
      <c r="Y74" s="1010"/>
      <c r="Z74" s="1009"/>
      <c r="AA74" s="1010"/>
      <c r="AB74" s="1010"/>
      <c r="AC74" s="1011"/>
      <c r="AD74" s="989"/>
      <c r="AE74" s="989"/>
      <c r="AF74" s="990"/>
      <c r="AG74" s="991"/>
      <c r="AH74" s="992"/>
      <c r="AI74" s="993"/>
      <c r="AJ74" s="993"/>
      <c r="AK74" s="1005"/>
      <c r="AL74" s="1006" t="str">
        <f>IF(OR(C74="",E74="",G74="",K74="",M74="",O74="",Q74="",S74="",Z74="",AD74="",AF74="",AH74="",AJ74=""),"",ROUND(AH74+AJ74,2))</f>
        <v/>
      </c>
      <c r="AM74" s="1007"/>
      <c r="AN74" s="1007"/>
      <c r="AO74" s="994" t="str">
        <f t="shared" ref="AO74" si="193">IF(OR(C74="",E74="",G74="",K74="",M74="",O74="",Q74="",S74="",Z74="",AD74="",AF74="",AH74="",AJ74=""),"",IF(BA74-BB74&lt;=0,0,BA74-BB74))</f>
        <v/>
      </c>
      <c r="AP74" s="995"/>
      <c r="AQ74" s="996"/>
      <c r="AR74" s="1000" t="str">
        <f>IF(OR(C74="",E74="",G74="",K74="",M74="",O74="",Q74="",S74="",Z74="",AD74="",AF74="",AH74="",AJ74=""),"", IF(BY74&lt;&gt;"", BY74, IF(BP74&gt;0,BP74, IF(ACTIVEBLOCK="Yes",ROUND(MIN(AL74*0.75,AO74*BLOCKBIDRATE),2),ROUND(MIN(AL74*0.75,BR74),2)))))</f>
        <v/>
      </c>
      <c r="AS74" s="1000"/>
      <c r="AT74" s="1000"/>
      <c r="AU74" s="1000"/>
      <c r="AX74" s="773" t="str">
        <f>IF(S74="","",
_xlfn.LET( _xlpm.Unit, INDEX(CMLIGHTEFF[Unit],MATCH(S74,CMLIGHTEFF[Eff Desc 1],0)),
IFERROR(_xlpm.Unit,"")))</f>
        <v/>
      </c>
      <c r="AY74" s="759" t="str">
        <f t="shared" ref="AY74" si="194">IF(M74="", "", M74)</f>
        <v/>
      </c>
      <c r="AZ74" s="759" t="str">
        <f t="shared" ref="AZ74" si="195">IF(AD74="", "", AD74)</f>
        <v/>
      </c>
      <c r="BA74" s="771" t="str">
        <f>IF(OR(C74="",E74="",G74="",K74="",M74="",O74="",Q74="",S74="",Z74="",AD74="",AF74="",AH74="",AJ74=""),"",
IF(OR(ISNUMBER(SEARCH("Exterior",E74)),ISNUMBER(SEARCH("Garage",E74)),M02S04F22="Unconditioned",M02S04F22="Electric Heat Only",M02S04F22="Natural Gas Heat Only"),ROUND(M74*O74*Q74/1000,4),
ROUND(M74*O74*Q74/1000*INDEX(BUILDINGTYPE[Waste Heat Factor (e)],MATCH(M02S04F19,BUILDINGTYPE[Building Type],0)),4)))</f>
        <v/>
      </c>
      <c r="BB74" s="771" t="str">
        <f>IF(OR(C74="",E74="",G74="",K74="",M74="",O74="",Q74="",S74="",Z74="",AD74="",AF74="",AH74="",AJ74=""),"",
IF(OR(ISNUMBER(SEARCH("Exterior",E74)),ISNUMBER(SEARCH("Garage",E74)),M02S04F22="Unconditioned",M02S04F22="Electric Heat Only",M02S04F22="Natural Gas Heat Only"),ROUND(AD74*AF74*Q74/1000,4),
ROUND(AD74*AF74*Q74/1000*INDEX(BUILDINGTYPE[Waste Heat Factor (e)],MATCH(M02S04F19,BUILDINGTYPE[Building Type],0)),4)))</f>
        <v/>
      </c>
      <c r="BC74" s="773" t="str">
        <f t="shared" ref="BC74" si="196">IF(OR(E74="",G74="",S74=""),"",IF(ISNUMBER(SEARCH("24/7",E74)),"Ext Lighting w/ Peak",IF(E74="Interior","Interior Lighting",IF(OR(E74="Garage",E74="Exterior"),"Ext Lighting w/o Peak","Err"))))</f>
        <v/>
      </c>
      <c r="BD74" s="757" t="str">
        <f t="shared" ref="BD74" si="197">IF(BE74&lt;&gt;"", "Calculated", "")</f>
        <v/>
      </c>
      <c r="BE74" s="775" t="str">
        <f t="shared" ref="BE74" si="198">IF(AND(BA74&lt;&gt;"", BB74&lt;&gt;""), ROUND(BA74-BB74,4), "")</f>
        <v/>
      </c>
      <c r="BF74" s="775" t="str">
        <f>IFERROR(IF(OR(C74="",E74="",G74="",K74="",M74="",O74="",Q74="",Z74="",AD74="",AF74="",AH74="",AJ74=""),"",IF(OR(E74="Garage",E74="Exterior"),0,
IF(OR(ISNUMBER(SEARCH("Garage",E74)),M02S04F22="Unconditioned",M02S04F22="Electric Heat Only",M02S04F22="Natural Gas Heat Only"),ROUND((((M74*O74)-(AD74*AF74))/1000)*INDEX(BUILDINGTYPE[Lighting Coincidence Factor],MATCH(M02S04F19,BUILDINGTYPE[Building Type],0)),4),
ROUND((((M74*O74)-(AD74*AF74))/1000)*INDEX(BUILDINGTYPE[WHFd],MATCH(M02S04F19,BUILDINGTYPE[Building Type],0))*INDEX(BUILDINGTYPE[Lighting Coincidence Factor],MATCH(M02S04F19,BUILDINGTYPE[Building Type],0)),4)))),"")</f>
        <v/>
      </c>
      <c r="BG74" s="775" t="str">
        <f>IFERROR(IF(OR(C74="",E74="",G74="",K74="",M74="",O74="",Q74="",Z74="",AD74="",AF74="",AH74="",AJ74=""),"",ROUND(AO74*INDEX(ENDUSEALL[Factor],MATCH(BC74,ENDUSEALL[End Use to Coincident Peak Demand Factors],0)),4)),"")</f>
        <v/>
      </c>
      <c r="BH74" s="761"/>
      <c r="BI74" s="761"/>
      <c r="BJ74" s="777" t="str">
        <f>IF(OR(G74="",S74=""),"",IF(INDEX(CMLIGHTEFF[EUL],MATCH(S74,CMLIGHTEFF[Eff Desc 1],0))="","",INDEX(CMLIGHTEFF[EUL],MATCH(S74,CMLIGHTEFF[Eff Desc 1],0))))</f>
        <v/>
      </c>
      <c r="BK74" s="767" t="str">
        <f>IFERROR(IF(OR(C74="",E74="",G74="",K74="",M74="",O74="",Q74="",Z74="",AD74="",AF74="",AH74="",AJ74=""),"",
ROUND(((1+ELOSS)*((AO74*INDEX(ELECCB[NPV AEC $/kWh],MATCH(BJ74,ELECCB[Year Number],1)))+(BG74*INDEX(ELECCB[NPV ACC $/kW],MATCH(BJ74,ELECCB[Year Number],1))))),2)),0)</f>
        <v/>
      </c>
      <c r="BL74" s="767" t="str">
        <f t="shared" si="2"/>
        <v/>
      </c>
      <c r="BM74" s="765"/>
      <c r="BN74" s="763" t="str">
        <f t="shared" si="3"/>
        <v/>
      </c>
      <c r="BO74" s="763" t="str">
        <f>IFERROR(IF(BM74 &lt;&gt; "", BM74, BL74) / M02S04F06 / AO74, "")</f>
        <v/>
      </c>
      <c r="BP74" s="769"/>
      <c r="BQ74" s="765"/>
      <c r="BR74" s="767" t="str">
        <f t="shared" ref="BR74" si="199">IFERROR(ROUND(AO74*BV74,2),"")</f>
        <v/>
      </c>
      <c r="BS74" s="765"/>
      <c r="BT74" s="765"/>
      <c r="BU74" s="757" t="str">
        <f>IFERROR(IF(BP74="", IF(AND(ROUND(AR74/AL74,2)=TOTCOSTCAP, BR74/AL74&gt;TOTCOSTCAP),"75% Total Cost",
IF(FALSE,"100% Incremental Cost",
IF(BV74&lt;KWHRATEMIN, "kWh Incentive Rate Min",
IF(BV74&gt;KWHRATEMAX,"kWh Incentive Rate Cap",
IF(AR74=BT74,"Bonus Incentive",
"kWh Incentive"))))), ""),"")</f>
        <v/>
      </c>
      <c r="BV74" s="767" t="str" cm="1">
        <f t="array" ref="BV74">_xlfn.LET(_xlpm.ROWS,MATCH(BC74,ENDUSEALL[End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4" s="757" t="str" cm="1">
        <f t="array" ref="BW74">IF(OR(C74="",E74="",G74="",K74="",M74="",O74="",Q74="",Z74="",AD74="",AF74="",AH74="",AJ74=""),"",
IF(BY74&lt;&gt;"",SPILLOVERNUMBER,
_xlfn.LET(
_xlpm.Program, IF(Program_Banner= "Business Energy Savings", 2, IF(Program_Banner="Small Business / Non-Profit", 3, "#")),
_xlpm.Location, INDEX( LOCATIONTYPE[Measure Number], MATCH(E74, LOCATIONTYPE[Location Type], 0)),
_xlpm.Eff_Desc_1, INDEX(CMLIGHTEFF[Measure Number],MATCH(S74,CMLIGHTEFF[Eff Desc 1],0)),
"11" &amp; _xlpm.Program &amp; "2" &amp; _xlpm.Location &amp; _xlpm.Eff_Desc_1
)))</f>
        <v/>
      </c>
      <c r="BX74" s="757" t="str" cm="1">
        <f t="array" ref="BX74">IFERROR(INDEX(_xlfn.SWITCH(Program_Banner,"Business Energy Savings",ENDUSEALL[Primary Key WBE],"Small Business / Non-Profit",ENDUSEALL[Primary Key HTRB],0),MATCH(BC74,ENDUSEALL[End Use to Coincident Peak Demand Factors],0)),"")</f>
        <v/>
      </c>
      <c r="BY74" s="757" t="str">
        <f ca="1">IFERROR(
IF(EXPIRATION&lt;&gt;"",PROJSTATEXP,
IF(BP74&gt;0,"",
IF(OR(M02S04F06="",M02S04F06="Select Rate Code",M02S04F06=0),MEASURERATE,
IF(M02S04F19="",MEASUREBLDG,
IF(BA74-BB74&lt;=0,MEASURESAVE,
IF(PAYCUSE&lt;PAYBACKREQ,PROJECTSTATPAYBACK,
IF(CBCUSE&lt;CBREQ,PROJECTSTATCB,""))))))),
MEASURESUBMIT)</f>
        <v>Enter Utility Rate</v>
      </c>
      <c r="BZ74" s="753"/>
      <c r="CA74" s="753"/>
      <c r="CB74" s="753"/>
      <c r="CC74" s="753"/>
    </row>
    <row r="75" spans="2:81" ht="15.95" customHeight="1">
      <c r="B75" s="785"/>
      <c r="C75" s="1002"/>
      <c r="D75" s="1002"/>
      <c r="E75" s="1002"/>
      <c r="F75" s="1003"/>
      <c r="G75" s="1004"/>
      <c r="H75" s="1002"/>
      <c r="I75" s="1002"/>
      <c r="J75" s="1002"/>
      <c r="K75" s="1002"/>
      <c r="L75" s="1002"/>
      <c r="M75" s="989"/>
      <c r="N75" s="989"/>
      <c r="O75" s="1008"/>
      <c r="P75" s="1008"/>
      <c r="Q75" s="1015"/>
      <c r="R75" s="1016"/>
      <c r="S75" s="1017"/>
      <c r="T75" s="1002"/>
      <c r="U75" s="1002"/>
      <c r="V75" s="1002"/>
      <c r="W75" s="1012"/>
      <c r="X75" s="1013"/>
      <c r="Y75" s="1013"/>
      <c r="Z75" s="1012"/>
      <c r="AA75" s="1013"/>
      <c r="AB75" s="1013"/>
      <c r="AC75" s="1014"/>
      <c r="AD75" s="989"/>
      <c r="AE75" s="989"/>
      <c r="AF75" s="990"/>
      <c r="AG75" s="991"/>
      <c r="AH75" s="992"/>
      <c r="AI75" s="993"/>
      <c r="AJ75" s="993"/>
      <c r="AK75" s="1005"/>
      <c r="AL75" s="1006"/>
      <c r="AM75" s="1007"/>
      <c r="AN75" s="1007"/>
      <c r="AO75" s="997"/>
      <c r="AP75" s="998"/>
      <c r="AQ75" s="999"/>
      <c r="AR75" s="1001"/>
      <c r="AS75" s="1001"/>
      <c r="AT75" s="1001"/>
      <c r="AU75" s="1001"/>
      <c r="AX75" s="774"/>
      <c r="AY75" s="760"/>
      <c r="AZ75" s="760"/>
      <c r="BA75" s="772"/>
      <c r="BB75" s="772"/>
      <c r="BC75" s="774"/>
      <c r="BD75" s="758"/>
      <c r="BE75" s="776"/>
      <c r="BF75" s="776"/>
      <c r="BG75" s="776"/>
      <c r="BH75" s="762"/>
      <c r="BI75" s="762"/>
      <c r="BJ75" s="778"/>
      <c r="BK75" s="768"/>
      <c r="BL75" s="768"/>
      <c r="BM75" s="766"/>
      <c r="BN75" s="764"/>
      <c r="BO75" s="764"/>
      <c r="BP75" s="770"/>
      <c r="BQ75" s="766"/>
      <c r="BR75" s="768"/>
      <c r="BS75" s="766"/>
      <c r="BT75" s="766"/>
      <c r="BU75" s="758"/>
      <c r="BV75" s="768"/>
      <c r="BW75" s="758"/>
      <c r="BX75" s="758"/>
      <c r="BY75" s="758"/>
      <c r="BZ75" s="754"/>
      <c r="CA75" s="754"/>
      <c r="CB75" s="754"/>
      <c r="CC75" s="754"/>
    </row>
    <row r="76" spans="2:81" ht="15.95" customHeight="1">
      <c r="B76" s="785">
        <v>30</v>
      </c>
      <c r="C76" s="1002"/>
      <c r="D76" s="1002"/>
      <c r="E76" s="1002"/>
      <c r="F76" s="1003"/>
      <c r="G76" s="1004"/>
      <c r="H76" s="1002"/>
      <c r="I76" s="1002"/>
      <c r="J76" s="1002"/>
      <c r="K76" s="1002"/>
      <c r="L76" s="1002"/>
      <c r="M76" s="989"/>
      <c r="N76" s="989"/>
      <c r="O76" s="1008" t="str">
        <f>IFERROR(IF(G76="","",INDEX(CMLIGHTBASE[Base Watt 1],MATCH(G76,CMLIGHTBASE[Base Desc 1],0))),"")</f>
        <v/>
      </c>
      <c r="P76" s="1008"/>
      <c r="Q76" s="1015"/>
      <c r="R76" s="1016"/>
      <c r="S76" s="1017"/>
      <c r="T76" s="1002"/>
      <c r="U76" s="1002"/>
      <c r="V76" s="1002"/>
      <c r="W76" s="1009"/>
      <c r="X76" s="1010"/>
      <c r="Y76" s="1010"/>
      <c r="Z76" s="1009"/>
      <c r="AA76" s="1010"/>
      <c r="AB76" s="1010"/>
      <c r="AC76" s="1011"/>
      <c r="AD76" s="989"/>
      <c r="AE76" s="989"/>
      <c r="AF76" s="990"/>
      <c r="AG76" s="991"/>
      <c r="AH76" s="992"/>
      <c r="AI76" s="993"/>
      <c r="AJ76" s="993"/>
      <c r="AK76" s="1005"/>
      <c r="AL76" s="1006" t="str">
        <f>IF(OR(C76="",E76="",G76="",K76="",M76="",O76="",Q76="",S76="",Z76="",AD76="",AF76="",AH76="",AJ76=""),"",ROUND(AH76+AJ76,2))</f>
        <v/>
      </c>
      <c r="AM76" s="1007"/>
      <c r="AN76" s="1007"/>
      <c r="AO76" s="994" t="str">
        <f t="shared" ref="AO76" si="200">IF(OR(C76="",E76="",G76="",K76="",M76="",O76="",Q76="",S76="",Z76="",AD76="",AF76="",AH76="",AJ76=""),"",IF(BA76-BB76&lt;=0,0,BA76-BB76))</f>
        <v/>
      </c>
      <c r="AP76" s="995"/>
      <c r="AQ76" s="996"/>
      <c r="AR76" s="1000" t="str">
        <f>IF(OR(C76="",E76="",G76="",K76="",M76="",O76="",Q76="",S76="",Z76="",AD76="",AF76="",AH76="",AJ76=""),"", IF(BY76&lt;&gt;"", BY76, IF(BP76&gt;0,BP76, IF(ACTIVEBLOCK="Yes",ROUND(MIN(AL76*0.75,AO76*BLOCKBIDRATE),2),ROUND(MIN(AL76*0.75,BR76),2)))))</f>
        <v/>
      </c>
      <c r="AS76" s="1000"/>
      <c r="AT76" s="1000"/>
      <c r="AU76" s="1000"/>
      <c r="AX76" s="773" t="str">
        <f>IF(S76="","",
_xlfn.LET( _xlpm.Unit, INDEX(CMLIGHTEFF[Unit],MATCH(S76,CMLIGHTEFF[Eff Desc 1],0)),
IFERROR(_xlpm.Unit,"")))</f>
        <v/>
      </c>
      <c r="AY76" s="759" t="str">
        <f t="shared" ref="AY76" si="201">IF(M76="", "", M76)</f>
        <v/>
      </c>
      <c r="AZ76" s="759" t="str">
        <f t="shared" ref="AZ76" si="202">IF(AD76="", "", AD76)</f>
        <v/>
      </c>
      <c r="BA76" s="771" t="str">
        <f>IF(OR(C76="",E76="",G76="",K76="",M76="",O76="",Q76="",S76="",Z76="",AD76="",AF76="",AH76="",AJ76=""),"",
IF(OR(ISNUMBER(SEARCH("Exterior",E76)),ISNUMBER(SEARCH("Garage",E76)),M02S04F22="Unconditioned",M02S04F22="Electric Heat Only",M02S04F22="Natural Gas Heat Only"),ROUND(M76*O76*Q76/1000,4),
ROUND(M76*O76*Q76/1000*INDEX(BUILDINGTYPE[Waste Heat Factor (e)],MATCH(M02S04F19,BUILDINGTYPE[Building Type],0)),4)))</f>
        <v/>
      </c>
      <c r="BB76" s="771" t="str">
        <f>IF(OR(C76="",E76="",G76="",K76="",M76="",O76="",Q76="",S76="",Z76="",AD76="",AF76="",AH76="",AJ76=""),"",
IF(OR(ISNUMBER(SEARCH("Exterior",E76)),ISNUMBER(SEARCH("Garage",E76)),M02S04F22="Unconditioned",M02S04F22="Electric Heat Only",M02S04F22="Natural Gas Heat Only"),ROUND(AD76*AF76*Q76/1000,4),
ROUND(AD76*AF76*Q76/1000*INDEX(BUILDINGTYPE[Waste Heat Factor (e)],MATCH(M02S04F19,BUILDINGTYPE[Building Type],0)),4)))</f>
        <v/>
      </c>
      <c r="BC76" s="773" t="str">
        <f t="shared" ref="BC76" si="203">IF(OR(E76="",G76="",S76=""),"",IF(ISNUMBER(SEARCH("24/7",E76)),"Ext Lighting w/ Peak",IF(E76="Interior","Interior Lighting",IF(OR(E76="Garage",E76="Exterior"),"Ext Lighting w/o Peak","Err"))))</f>
        <v/>
      </c>
      <c r="BD76" s="757" t="str">
        <f t="shared" ref="BD76" si="204">IF(BE76&lt;&gt;"", "Calculated", "")</f>
        <v/>
      </c>
      <c r="BE76" s="775" t="str">
        <f t="shared" ref="BE76" si="205">IF(AND(BA76&lt;&gt;"", BB76&lt;&gt;""), ROUND(BA76-BB76,4), "")</f>
        <v/>
      </c>
      <c r="BF76" s="775" t="str">
        <f>IFERROR(IF(OR(C76="",E76="",G76="",K76="",M76="",O76="",Q76="",Z76="",AD76="",AF76="",AH76="",AJ76=""),"",IF(OR(E76="Garage",E76="Exterior"),0,
IF(OR(ISNUMBER(SEARCH("Garage",E76)),M02S04F22="Unconditioned",M02S04F22="Electric Heat Only",M02S04F22="Natural Gas Heat Only"),ROUND((((M76*O76)-(AD76*AF76))/1000)*INDEX(BUILDINGTYPE[Lighting Coincidence Factor],MATCH(M02S04F19,BUILDINGTYPE[Building Type],0)),4),
ROUND((((M76*O76)-(AD76*AF76))/1000)*INDEX(BUILDINGTYPE[WHFd],MATCH(M02S04F19,BUILDINGTYPE[Building Type],0))*INDEX(BUILDINGTYPE[Lighting Coincidence Factor],MATCH(M02S04F19,BUILDINGTYPE[Building Type],0)),4)))),"")</f>
        <v/>
      </c>
      <c r="BG76" s="775" t="str">
        <f>IFERROR(IF(OR(C76="",E76="",G76="",K76="",M76="",O76="",Q76="",Z76="",AD76="",AF76="",AH76="",AJ76=""),"",ROUND(AO76*INDEX(ENDUSEALL[Factor],MATCH(BC76,ENDUSEALL[End Use to Coincident Peak Demand Factors],0)),4)),"")</f>
        <v/>
      </c>
      <c r="BH76" s="761"/>
      <c r="BI76" s="761"/>
      <c r="BJ76" s="777" t="str">
        <f>IF(OR(G76="",S76=""),"",IF(INDEX(CMLIGHTEFF[EUL],MATCH(S76,CMLIGHTEFF[Eff Desc 1],0))="","",INDEX(CMLIGHTEFF[EUL],MATCH(S76,CMLIGHTEFF[Eff Desc 1],0))))</f>
        <v/>
      </c>
      <c r="BK76" s="767" t="str">
        <f>IFERROR(IF(OR(C76="",E76="",G76="",K76="",M76="",O76="",Q76="",Z76="",AD76="",AF76="",AH76="",AJ76=""),"",
ROUND(((1+ELOSS)*((AO76*INDEX(ELECCB[NPV AEC $/kWh],MATCH(BJ76,ELECCB[Year Number],1)))+(BG76*INDEX(ELECCB[NPV ACC $/kW],MATCH(BJ76,ELECCB[Year Number],1))))),2)),0)</f>
        <v/>
      </c>
      <c r="BL76" s="767" t="str">
        <f t="shared" si="2"/>
        <v/>
      </c>
      <c r="BM76" s="765"/>
      <c r="BN76" s="763" t="str">
        <f t="shared" si="3"/>
        <v/>
      </c>
      <c r="BO76" s="763" t="str">
        <f>IFERROR(IF(BM76 &lt;&gt; "", BM76, BL76) / M02S04F06 / AO76, "")</f>
        <v/>
      </c>
      <c r="BP76" s="769"/>
      <c r="BQ76" s="765"/>
      <c r="BR76" s="767" t="str">
        <f t="shared" ref="BR76" si="206">IFERROR(ROUND(AO76*BV76,2),"")</f>
        <v/>
      </c>
      <c r="BS76" s="765"/>
      <c r="BT76" s="765"/>
      <c r="BU76" s="757" t="str">
        <f>IFERROR(IF(BP76="", IF(AND(ROUND(AR76/AL76,2)=TOTCOSTCAP, BR76/AL76&gt;TOTCOSTCAP),"75% Total Cost",
IF(FALSE,"100% Incremental Cost",
IF(BV76&lt;KWHRATEMIN, "kWh Incentive Rate Min",
IF(BV76&gt;KWHRATEMAX,"kWh Incentive Rate Cap",
IF(AR76=BT76,"Bonus Incentive",
"kWh Incentive"))))), ""),"")</f>
        <v/>
      </c>
      <c r="BV76" s="767" t="str" cm="1">
        <f t="array" ref="BV76">_xlfn.LET(_xlpm.ROWS,MATCH(BC76,ENDUSEALL[End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6" s="757" t="str" cm="1">
        <f t="array" ref="BW76">IF(OR(C76="",E76="",G76="",K76="",M76="",O76="",Q76="",Z76="",AD76="",AF76="",AH76="",AJ76=""),"",
IF(BY76&lt;&gt;"",SPILLOVERNUMBER,
_xlfn.LET(
_xlpm.Program, IF(Program_Banner= "Business Energy Savings", 2, IF(Program_Banner="Small Business / Non-Profit", 3, "#")),
_xlpm.Location, INDEX( LOCATIONTYPE[Measure Number], MATCH(E76, LOCATIONTYPE[Location Type], 0)),
_xlpm.Eff_Desc_1, INDEX(CMLIGHTEFF[Measure Number],MATCH(S76,CMLIGHTEFF[Eff Desc 1],0)),
"11" &amp; _xlpm.Program &amp; "2" &amp; _xlpm.Location &amp; _xlpm.Eff_Desc_1
)))</f>
        <v/>
      </c>
      <c r="BX76" s="757" t="str" cm="1">
        <f t="array" ref="BX76">IFERROR(INDEX(_xlfn.SWITCH(Program_Banner,"Business Energy Savings",ENDUSEALL[Primary Key WBE],"Small Business / Non-Profit",ENDUSEALL[Primary Key HTRB],0),MATCH(BC76,ENDUSEALL[End Use to Coincident Peak Demand Factors],0)),"")</f>
        <v/>
      </c>
      <c r="BY76" s="757" t="str">
        <f ca="1">IFERROR(
IF(EXPIRATION&lt;&gt;"",PROJSTATEXP,
IF(BP76&gt;0,"",
IF(OR(M02S04F06="",M02S04F06="Select Rate Code",M02S04F06=0),MEASURERATE,
IF(M02S04F19="",MEASUREBLDG,
IF(BA76-BB76&lt;=0,MEASURESAVE,
IF(PAYCUSE&lt;PAYBACKREQ,PROJECTSTATPAYBACK,
IF(CBCUSE&lt;CBREQ,PROJECTSTATCB,""))))))),
MEASURESUBMIT)</f>
        <v>Enter Utility Rate</v>
      </c>
      <c r="BZ76" s="753"/>
      <c r="CA76" s="753"/>
      <c r="CB76" s="753"/>
      <c r="CC76" s="753"/>
    </row>
    <row r="77" spans="2:81" ht="15.95" customHeight="1">
      <c r="B77" s="785"/>
      <c r="C77" s="1002"/>
      <c r="D77" s="1002"/>
      <c r="E77" s="1002"/>
      <c r="F77" s="1003"/>
      <c r="G77" s="1004"/>
      <c r="H77" s="1002"/>
      <c r="I77" s="1002"/>
      <c r="J77" s="1002"/>
      <c r="K77" s="1002"/>
      <c r="L77" s="1002"/>
      <c r="M77" s="989"/>
      <c r="N77" s="989"/>
      <c r="O77" s="1008"/>
      <c r="P77" s="1008"/>
      <c r="Q77" s="1015"/>
      <c r="R77" s="1016"/>
      <c r="S77" s="1017"/>
      <c r="T77" s="1002"/>
      <c r="U77" s="1002"/>
      <c r="V77" s="1002"/>
      <c r="W77" s="1012"/>
      <c r="X77" s="1013"/>
      <c r="Y77" s="1013"/>
      <c r="Z77" s="1012"/>
      <c r="AA77" s="1013"/>
      <c r="AB77" s="1013"/>
      <c r="AC77" s="1014"/>
      <c r="AD77" s="989"/>
      <c r="AE77" s="989"/>
      <c r="AF77" s="990"/>
      <c r="AG77" s="991"/>
      <c r="AH77" s="992"/>
      <c r="AI77" s="993"/>
      <c r="AJ77" s="993"/>
      <c r="AK77" s="1005"/>
      <c r="AL77" s="1006"/>
      <c r="AM77" s="1007"/>
      <c r="AN77" s="1007"/>
      <c r="AO77" s="997"/>
      <c r="AP77" s="998"/>
      <c r="AQ77" s="999"/>
      <c r="AR77" s="1001"/>
      <c r="AS77" s="1001"/>
      <c r="AT77" s="1001"/>
      <c r="AU77" s="1001"/>
      <c r="AX77" s="774"/>
      <c r="AY77" s="760"/>
      <c r="AZ77" s="760"/>
      <c r="BA77" s="772"/>
      <c r="BB77" s="772"/>
      <c r="BC77" s="774"/>
      <c r="BD77" s="758"/>
      <c r="BE77" s="776"/>
      <c r="BF77" s="776"/>
      <c r="BG77" s="776"/>
      <c r="BH77" s="762"/>
      <c r="BI77" s="762"/>
      <c r="BJ77" s="778"/>
      <c r="BK77" s="768"/>
      <c r="BL77" s="768"/>
      <c r="BM77" s="766"/>
      <c r="BN77" s="764"/>
      <c r="BO77" s="764"/>
      <c r="BP77" s="770"/>
      <c r="BQ77" s="766"/>
      <c r="BR77" s="768"/>
      <c r="BS77" s="766"/>
      <c r="BT77" s="766"/>
      <c r="BU77" s="758"/>
      <c r="BV77" s="768"/>
      <c r="BW77" s="758"/>
      <c r="BX77" s="758"/>
      <c r="BY77" s="758"/>
      <c r="BZ77" s="754"/>
      <c r="CA77" s="754"/>
      <c r="CB77" s="754"/>
      <c r="CC77" s="754"/>
    </row>
    <row r="78" spans="2:81" ht="15.95" customHeight="1"/>
    <row r="79" spans="2:81" ht="15.95" hidden="1" customHeight="1"/>
    <row r="80" spans="2:81"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spans="50:67" ht="15.95" hidden="1" customHeight="1"/>
    <row r="114" spans="50:67" ht="15.95" hidden="1" customHeight="1"/>
    <row r="115" spans="50:67" ht="15.95" hidden="1" customHeight="1"/>
    <row r="116" spans="50:67" ht="15.95" hidden="1" customHeight="1"/>
    <row r="117" spans="50:67" ht="15.95" hidden="1" customHeight="1"/>
    <row r="118" spans="50:67" ht="15.95" hidden="1" customHeight="1"/>
    <row r="119" spans="50:67" ht="15.95" hidden="1" customHeight="1"/>
    <row r="120" spans="50:67" ht="15.95" hidden="1" customHeight="1">
      <c r="AX120" s="32"/>
      <c r="BA120" s="32"/>
      <c r="BB120" s="32"/>
      <c r="BC120" s="26"/>
      <c r="BF120" s="32"/>
      <c r="BG120" s="26"/>
      <c r="BJ120" s="26"/>
      <c r="BO120" s="26"/>
    </row>
    <row r="121" spans="50:67" ht="15.95" hidden="1" customHeight="1">
      <c r="AX121" s="32"/>
      <c r="BA121" s="32"/>
      <c r="BB121" s="32"/>
      <c r="BC121" s="26"/>
      <c r="BF121" s="32"/>
      <c r="BG121" s="26"/>
      <c r="BJ121" s="26"/>
      <c r="BO121" s="26"/>
    </row>
    <row r="122" spans="50:67" ht="15.95" hidden="1" customHeight="1">
      <c r="AX122" s="32"/>
      <c r="BA122" s="32"/>
      <c r="BB122" s="32"/>
      <c r="BC122" s="26"/>
      <c r="BF122" s="32"/>
      <c r="BG122" s="26"/>
      <c r="BJ122" s="26"/>
      <c r="BO122" s="26"/>
    </row>
    <row r="123" spans="50:67" ht="15.95" hidden="1" customHeight="1">
      <c r="AX123" s="32"/>
      <c r="BA123" s="32"/>
      <c r="BB123" s="32"/>
      <c r="BC123" s="26"/>
      <c r="BF123" s="32"/>
      <c r="BG123" s="26"/>
      <c r="BJ123" s="26"/>
      <c r="BO123" s="26"/>
    </row>
    <row r="124" spans="50:67" ht="15.95" hidden="1" customHeight="1">
      <c r="AX124" s="32"/>
      <c r="BA124" s="32"/>
      <c r="BB124" s="32"/>
      <c r="BC124" s="26"/>
      <c r="BF124" s="32"/>
      <c r="BG124" s="26"/>
      <c r="BJ124" s="26"/>
      <c r="BO124" s="26"/>
    </row>
    <row r="125" spans="50:67" ht="15.95" hidden="1" customHeight="1">
      <c r="AX125" s="32"/>
      <c r="BA125" s="32"/>
      <c r="BB125" s="32"/>
      <c r="BC125" s="26"/>
      <c r="BF125" s="32"/>
      <c r="BG125" s="26"/>
      <c r="BJ125" s="26"/>
      <c r="BO125" s="26"/>
    </row>
    <row r="126" spans="50:67" ht="15.95" hidden="1" customHeight="1">
      <c r="AX126" s="32"/>
      <c r="BA126" s="32"/>
      <c r="BB126" s="32"/>
      <c r="BC126" s="26"/>
      <c r="BF126" s="32"/>
      <c r="BG126" s="26"/>
      <c r="BJ126" s="26"/>
      <c r="BO126" s="26"/>
    </row>
    <row r="127" spans="50:67" ht="15.95" hidden="1" customHeight="1">
      <c r="AX127" s="32"/>
      <c r="BA127" s="32"/>
      <c r="BB127" s="32"/>
      <c r="BC127" s="26"/>
      <c r="BF127" s="32"/>
      <c r="BG127" s="26"/>
      <c r="BJ127" s="26"/>
      <c r="BO127" s="26"/>
    </row>
    <row r="128" spans="50:67" ht="15.95" hidden="1" customHeight="1">
      <c r="AX128" s="32"/>
      <c r="BA128" s="32"/>
      <c r="BB128" s="32"/>
      <c r="BC128" s="26"/>
      <c r="BF128" s="32"/>
      <c r="BG128" s="26"/>
      <c r="BJ128" s="26"/>
      <c r="BO128" s="26"/>
    </row>
    <row r="129" spans="50:67" ht="15.95" hidden="1" customHeight="1">
      <c r="AX129" s="32"/>
      <c r="BA129" s="32"/>
      <c r="BB129" s="32"/>
      <c r="BC129" s="26"/>
      <c r="BF129" s="32"/>
      <c r="BG129" s="26"/>
      <c r="BJ129" s="26"/>
      <c r="BO129" s="26"/>
    </row>
    <row r="130" spans="50:67" ht="15.95" hidden="1" customHeight="1">
      <c r="AX130" s="32"/>
      <c r="BA130" s="32"/>
      <c r="BB130" s="32"/>
      <c r="BC130" s="26"/>
      <c r="BF130" s="32"/>
      <c r="BG130" s="26"/>
      <c r="BJ130" s="26"/>
      <c r="BO130" s="26"/>
    </row>
    <row r="131" spans="50:67" ht="15.95" hidden="1" customHeight="1">
      <c r="AX131" s="32"/>
      <c r="BA131" s="32"/>
      <c r="BB131" s="32"/>
      <c r="BC131" s="26"/>
      <c r="BF131" s="32"/>
      <c r="BG131" s="26"/>
      <c r="BJ131" s="26"/>
      <c r="BO131" s="26"/>
    </row>
    <row r="132" spans="50:67" ht="15.95" hidden="1" customHeight="1">
      <c r="AX132" s="32"/>
      <c r="BA132" s="32"/>
      <c r="BB132" s="32"/>
      <c r="BC132" s="26"/>
      <c r="BF132" s="32"/>
      <c r="BG132" s="26"/>
      <c r="BJ132" s="26"/>
      <c r="BO132" s="26"/>
    </row>
    <row r="133" spans="50:67" ht="15.95" hidden="1" customHeight="1">
      <c r="AX133" s="32"/>
      <c r="BA133" s="32"/>
      <c r="BB133" s="32"/>
      <c r="BC133" s="26"/>
      <c r="BF133" s="32"/>
      <c r="BG133" s="26"/>
      <c r="BJ133" s="26"/>
      <c r="BO133" s="26"/>
    </row>
    <row r="134" spans="50:67" ht="15.95" hidden="1" customHeight="1">
      <c r="AX134" s="32"/>
      <c r="BA134" s="32"/>
      <c r="BB134" s="32"/>
      <c r="BC134" s="26"/>
      <c r="BF134" s="32"/>
      <c r="BG134" s="26"/>
      <c r="BJ134" s="26"/>
      <c r="BO134" s="26"/>
    </row>
    <row r="135" spans="50:67" ht="15.95" hidden="1" customHeight="1">
      <c r="AX135" s="32"/>
      <c r="BA135" s="32"/>
      <c r="BB135" s="32"/>
      <c r="BC135" s="26"/>
      <c r="BF135" s="32"/>
      <c r="BG135" s="26"/>
      <c r="BJ135" s="26"/>
      <c r="BO135" s="26"/>
    </row>
    <row r="136" spans="50:67" ht="15.95" hidden="1" customHeight="1">
      <c r="AX136" s="32"/>
      <c r="BA136" s="32"/>
      <c r="BB136" s="32"/>
      <c r="BC136" s="26"/>
      <c r="BF136" s="32"/>
      <c r="BG136" s="26"/>
      <c r="BJ136" s="26"/>
      <c r="BO136" s="26"/>
    </row>
    <row r="137" spans="50:67" ht="15.95" hidden="1" customHeight="1">
      <c r="AX137" s="32"/>
      <c r="BA137" s="32"/>
      <c r="BB137" s="32"/>
      <c r="BC137" s="26"/>
      <c r="BF137" s="32"/>
      <c r="BG137" s="26"/>
      <c r="BJ137" s="26"/>
      <c r="BO137" s="26"/>
    </row>
    <row r="138" spans="50:67" ht="15.95" hidden="1" customHeight="1">
      <c r="AX138" s="32"/>
      <c r="BA138" s="32"/>
      <c r="BB138" s="32"/>
      <c r="BC138" s="26"/>
      <c r="BF138" s="32"/>
      <c r="BG138" s="26"/>
      <c r="BJ138" s="26"/>
      <c r="BO138" s="26"/>
    </row>
    <row r="139" spans="50:67" ht="15.95" hidden="1" customHeight="1">
      <c r="AX139" s="32"/>
      <c r="BA139" s="32"/>
      <c r="BB139" s="32"/>
      <c r="BC139" s="26"/>
      <c r="BF139" s="32"/>
      <c r="BG139" s="26"/>
      <c r="BJ139" s="26"/>
      <c r="BO139" s="26"/>
    </row>
    <row r="140" spans="50:67" ht="15.95" hidden="1" customHeight="1">
      <c r="AX140" s="32"/>
      <c r="BA140" s="32"/>
      <c r="BB140" s="32"/>
      <c r="BC140" s="26"/>
      <c r="BF140" s="32"/>
      <c r="BG140" s="26"/>
      <c r="BJ140" s="26"/>
      <c r="BO140" s="26"/>
    </row>
    <row r="141" spans="50:67" ht="15.95" hidden="1" customHeight="1">
      <c r="AX141" s="32"/>
      <c r="BA141" s="32"/>
      <c r="BB141" s="32"/>
      <c r="BC141" s="26"/>
      <c r="BF141" s="32"/>
      <c r="BG141" s="26"/>
      <c r="BJ141" s="26"/>
      <c r="BO141" s="26"/>
    </row>
    <row r="142" spans="50:67" ht="15.95" hidden="1" customHeight="1">
      <c r="AX142" s="32"/>
      <c r="BA142" s="32"/>
      <c r="BB142" s="32"/>
      <c r="BC142" s="26"/>
      <c r="BF142" s="32"/>
      <c r="BG142" s="26"/>
      <c r="BJ142" s="26"/>
      <c r="BO142" s="26"/>
    </row>
    <row r="143" spans="50:67" ht="15.95" hidden="1" customHeight="1">
      <c r="AX143" s="32"/>
      <c r="BA143" s="32"/>
      <c r="BB143" s="32"/>
      <c r="BC143" s="26"/>
      <c r="BF143" s="32"/>
      <c r="BG143" s="26"/>
      <c r="BJ143" s="26"/>
      <c r="BO143" s="26"/>
    </row>
    <row r="144" spans="50:67" ht="15.95" hidden="1" customHeight="1">
      <c r="AX144" s="32"/>
      <c r="BA144" s="32"/>
      <c r="BB144" s="32"/>
      <c r="BC144" s="26"/>
      <c r="BF144" s="32"/>
      <c r="BG144" s="26"/>
      <c r="BJ144" s="26"/>
      <c r="BO144" s="26"/>
    </row>
    <row r="145" spans="50:67" ht="15.95" hidden="1" customHeight="1">
      <c r="AX145" s="32"/>
      <c r="BA145" s="32"/>
      <c r="BB145" s="32"/>
      <c r="BC145" s="26"/>
      <c r="BF145" s="32"/>
      <c r="BG145" s="26"/>
      <c r="BJ145" s="26"/>
      <c r="BO145" s="26"/>
    </row>
    <row r="146" spans="50:67" ht="15.95" hidden="1" customHeight="1">
      <c r="AX146" s="32"/>
      <c r="BA146" s="32"/>
      <c r="BB146" s="32"/>
      <c r="BC146" s="26"/>
      <c r="BF146" s="32"/>
      <c r="BG146" s="26"/>
      <c r="BJ146" s="26"/>
      <c r="BO146" s="26"/>
    </row>
    <row r="147" spans="50:67" ht="15.95" hidden="1" customHeight="1">
      <c r="AX147" s="32"/>
      <c r="BA147" s="32"/>
      <c r="BB147" s="32"/>
      <c r="BC147" s="26"/>
      <c r="BF147" s="32"/>
      <c r="BG147" s="26"/>
      <c r="BJ147" s="26"/>
      <c r="BO147" s="26"/>
    </row>
    <row r="148" spans="50:67" ht="15.95" hidden="1" customHeight="1">
      <c r="AX148" s="32"/>
      <c r="BA148" s="32"/>
      <c r="BB148" s="32"/>
      <c r="BC148" s="26"/>
      <c r="BF148" s="32"/>
      <c r="BG148" s="26"/>
      <c r="BJ148" s="26"/>
      <c r="BO148" s="26"/>
    </row>
    <row r="149" spans="50:67" ht="15.95" hidden="1" customHeight="1">
      <c r="AX149" s="32"/>
      <c r="BA149" s="32"/>
      <c r="BB149" s="32"/>
      <c r="BC149" s="26"/>
      <c r="BF149" s="32"/>
      <c r="BG149" s="26"/>
      <c r="BJ149" s="26"/>
      <c r="BO149" s="26"/>
    </row>
    <row r="150" spans="50:67" ht="15.95" hidden="1" customHeight="1">
      <c r="AX150" s="32"/>
      <c r="BA150" s="32"/>
      <c r="BB150" s="32"/>
      <c r="BC150" s="26"/>
      <c r="BF150" s="32"/>
      <c r="BG150" s="26"/>
      <c r="BJ150" s="26"/>
      <c r="BO150" s="26"/>
    </row>
    <row r="151" spans="50:67" ht="15.95" hidden="1" customHeight="1">
      <c r="AX151" s="32"/>
      <c r="BA151" s="32"/>
      <c r="BB151" s="32"/>
      <c r="BC151" s="26"/>
      <c r="BF151" s="32"/>
      <c r="BG151" s="26"/>
      <c r="BJ151" s="26"/>
      <c r="BO151" s="26"/>
    </row>
    <row r="152" spans="50:67" ht="15.95" hidden="1" customHeight="1">
      <c r="AX152" s="32"/>
      <c r="BA152" s="32"/>
      <c r="BB152" s="32"/>
      <c r="BC152" s="26"/>
      <c r="BF152" s="32"/>
      <c r="BG152" s="26"/>
      <c r="BJ152" s="26"/>
      <c r="BO152" s="26"/>
    </row>
    <row r="153" spans="50:67" ht="15.95" hidden="1" customHeight="1">
      <c r="AX153" s="32"/>
      <c r="BA153" s="32"/>
      <c r="BB153" s="32"/>
      <c r="BC153" s="26"/>
      <c r="BF153" s="32"/>
      <c r="BG153" s="26"/>
      <c r="BJ153" s="26"/>
      <c r="BO153" s="26"/>
    </row>
    <row r="154" spans="50:67" ht="15.95" hidden="1" customHeight="1">
      <c r="AX154" s="32"/>
      <c r="BA154" s="32"/>
      <c r="BB154" s="32"/>
      <c r="BC154" s="26"/>
      <c r="BF154" s="32"/>
      <c r="BG154" s="26"/>
      <c r="BJ154" s="26"/>
      <c r="BO154" s="26"/>
    </row>
    <row r="155" spans="50:67" ht="15.95" hidden="1" customHeight="1">
      <c r="AX155" s="32"/>
      <c r="BA155" s="32"/>
      <c r="BB155" s="32"/>
      <c r="BC155" s="26"/>
      <c r="BF155" s="32"/>
      <c r="BG155" s="26"/>
      <c r="BJ155" s="26"/>
      <c r="BO155" s="26"/>
    </row>
    <row r="156" spans="50:67" ht="15.95" hidden="1" customHeight="1">
      <c r="AX156" s="32"/>
      <c r="BA156" s="32"/>
      <c r="BB156" s="32"/>
      <c r="BC156" s="26"/>
      <c r="BF156" s="32"/>
      <c r="BG156" s="26"/>
      <c r="BJ156" s="26"/>
      <c r="BO156" s="26"/>
    </row>
    <row r="157" spans="50:67" ht="15.95" hidden="1" customHeight="1">
      <c r="AX157" s="32"/>
      <c r="BA157" s="32"/>
      <c r="BB157" s="32"/>
      <c r="BC157" s="26"/>
      <c r="BF157" s="32"/>
      <c r="BG157" s="26"/>
      <c r="BJ157" s="26"/>
      <c r="BO157" s="26"/>
    </row>
    <row r="158" spans="50:67" ht="15.95" hidden="1" customHeight="1">
      <c r="AX158" s="32"/>
      <c r="BA158" s="32"/>
      <c r="BB158" s="32"/>
      <c r="BC158" s="26"/>
      <c r="BF158" s="32"/>
      <c r="BG158" s="26"/>
      <c r="BJ158" s="26"/>
      <c r="BO158" s="26"/>
    </row>
    <row r="159" spans="50:67" ht="15.95" hidden="1" customHeight="1">
      <c r="AX159" s="32"/>
      <c r="BA159" s="32"/>
      <c r="BB159" s="32"/>
      <c r="BC159" s="26"/>
      <c r="BF159" s="32"/>
      <c r="BG159" s="26"/>
      <c r="BJ159" s="26"/>
      <c r="BO159" s="26"/>
    </row>
    <row r="160" spans="50:67" ht="15.95" hidden="1" customHeight="1">
      <c r="AX160" s="32"/>
      <c r="BA160" s="32"/>
      <c r="BB160" s="32"/>
      <c r="BC160" s="26"/>
      <c r="BF160" s="32"/>
      <c r="BG160" s="26"/>
      <c r="BJ160" s="26"/>
      <c r="BO160" s="26"/>
    </row>
    <row r="161" spans="50:67" ht="15.95" hidden="1" customHeight="1">
      <c r="AX161" s="32"/>
      <c r="BA161" s="32"/>
      <c r="BB161" s="32"/>
      <c r="BC161" s="26"/>
      <c r="BF161" s="32"/>
      <c r="BG161" s="26"/>
      <c r="BJ161" s="26"/>
      <c r="BO161" s="26"/>
    </row>
    <row r="162" spans="50:67" ht="15.95" hidden="1" customHeight="1">
      <c r="AX162" s="32"/>
      <c r="BA162" s="32"/>
      <c r="BB162" s="32"/>
      <c r="BC162" s="26"/>
      <c r="BF162" s="32"/>
      <c r="BG162" s="26"/>
      <c r="BJ162" s="26"/>
      <c r="BO162" s="26"/>
    </row>
    <row r="163" spans="50:67" ht="15.95" hidden="1" customHeight="1">
      <c r="AX163" s="32"/>
      <c r="BA163" s="32"/>
      <c r="BB163" s="32"/>
      <c r="BC163" s="26"/>
      <c r="BF163" s="32"/>
      <c r="BG163" s="26"/>
      <c r="BJ163" s="26"/>
      <c r="BO163" s="26"/>
    </row>
    <row r="164" spans="50:67" ht="15.95" hidden="1" customHeight="1">
      <c r="AX164" s="32"/>
      <c r="BA164" s="32"/>
      <c r="BB164" s="32"/>
      <c r="BC164" s="26"/>
      <c r="BF164" s="32"/>
      <c r="BG164" s="26"/>
      <c r="BJ164" s="26"/>
      <c r="BO164" s="26"/>
    </row>
    <row r="165" spans="50:67" ht="15.95" hidden="1" customHeight="1">
      <c r="AX165" s="32"/>
      <c r="BA165" s="32"/>
      <c r="BB165" s="32"/>
      <c r="BC165" s="26"/>
      <c r="BF165" s="32"/>
      <c r="BG165" s="26"/>
      <c r="BJ165" s="26"/>
      <c r="BO165" s="26"/>
    </row>
    <row r="166" spans="50:67" ht="15.95" hidden="1" customHeight="1">
      <c r="AX166" s="32"/>
      <c r="BA166" s="32"/>
      <c r="BB166" s="32"/>
      <c r="BC166" s="26"/>
      <c r="BF166" s="32"/>
      <c r="BG166" s="26"/>
      <c r="BJ166" s="26"/>
      <c r="BO166" s="26"/>
    </row>
    <row r="167" spans="50:67" ht="15.95" hidden="1" customHeight="1">
      <c r="AX167" s="32"/>
      <c r="BA167" s="32"/>
      <c r="BB167" s="32"/>
      <c r="BC167" s="26"/>
      <c r="BF167" s="32"/>
      <c r="BG167" s="26"/>
      <c r="BJ167" s="26"/>
      <c r="BO167" s="26"/>
    </row>
    <row r="168" spans="50:67" ht="15.95" hidden="1" customHeight="1">
      <c r="AX168" s="32"/>
      <c r="BA168" s="32"/>
      <c r="BB168" s="32"/>
      <c r="BC168" s="26"/>
      <c r="BF168" s="32"/>
      <c r="BG168" s="26"/>
      <c r="BJ168" s="26"/>
      <c r="BO168" s="26"/>
    </row>
    <row r="169" spans="50:67" ht="15.95" hidden="1" customHeight="1">
      <c r="AX169" s="32"/>
      <c r="BA169" s="32"/>
      <c r="BB169" s="32"/>
      <c r="BC169" s="26"/>
      <c r="BF169" s="32"/>
      <c r="BG169" s="26"/>
      <c r="BJ169" s="26"/>
      <c r="BO169" s="26"/>
    </row>
    <row r="170" spans="50:67" ht="15.95" hidden="1" customHeight="1">
      <c r="AX170" s="32"/>
      <c r="BA170" s="32"/>
      <c r="BB170" s="32"/>
      <c r="BC170" s="26"/>
      <c r="BF170" s="32"/>
      <c r="BG170" s="26"/>
      <c r="BJ170" s="26"/>
      <c r="BO170" s="26"/>
    </row>
    <row r="171" spans="50:67" ht="15.95" hidden="1" customHeight="1">
      <c r="AX171" s="32"/>
      <c r="BA171" s="32"/>
      <c r="BB171" s="32"/>
      <c r="BC171" s="26"/>
      <c r="BF171" s="32"/>
      <c r="BG171" s="26"/>
      <c r="BJ171" s="26"/>
      <c r="BO171" s="26"/>
    </row>
    <row r="172" spans="50:67" ht="15.95" hidden="1" customHeight="1">
      <c r="AX172" s="32"/>
      <c r="BA172" s="32"/>
      <c r="BB172" s="32"/>
      <c r="BC172" s="26"/>
      <c r="BF172" s="32"/>
      <c r="BG172" s="26"/>
      <c r="BJ172" s="26"/>
      <c r="BO172" s="26"/>
    </row>
    <row r="173" spans="50:67" ht="15.95" hidden="1" customHeight="1">
      <c r="AX173" s="32"/>
      <c r="BA173" s="32"/>
      <c r="BB173" s="32"/>
      <c r="BC173" s="26"/>
      <c r="BF173" s="32"/>
      <c r="BG173" s="26"/>
      <c r="BJ173" s="26"/>
      <c r="BO173" s="26"/>
    </row>
    <row r="174" spans="50:67" ht="15.95" hidden="1" customHeight="1">
      <c r="AX174" s="32"/>
      <c r="BA174" s="32"/>
      <c r="BB174" s="32"/>
      <c r="BC174" s="26"/>
      <c r="BF174" s="32"/>
      <c r="BG174" s="26"/>
      <c r="BJ174" s="26"/>
      <c r="BO174" s="26"/>
    </row>
    <row r="175" spans="50:67" ht="15.95" hidden="1" customHeight="1">
      <c r="AX175" s="32"/>
      <c r="BA175" s="32"/>
      <c r="BB175" s="32"/>
      <c r="BC175" s="26"/>
      <c r="BF175" s="32"/>
      <c r="BG175" s="26"/>
      <c r="BJ175" s="26"/>
      <c r="BO175" s="26"/>
    </row>
    <row r="176" spans="50:67" ht="15.95" hidden="1" customHeight="1">
      <c r="AX176" s="32"/>
      <c r="BA176" s="32"/>
      <c r="BB176" s="32"/>
      <c r="BC176" s="26"/>
      <c r="BF176" s="32"/>
      <c r="BG176" s="26"/>
      <c r="BJ176" s="26"/>
      <c r="BO176" s="26"/>
    </row>
    <row r="177" spans="50:67" ht="15.95" hidden="1" customHeight="1">
      <c r="AX177" s="32"/>
      <c r="BA177" s="32"/>
      <c r="BB177" s="32"/>
      <c r="BC177" s="26"/>
      <c r="BF177" s="32"/>
      <c r="BG177" s="26"/>
      <c r="BJ177" s="26"/>
      <c r="BO177" s="26"/>
    </row>
    <row r="178" spans="50:67" ht="15.95" hidden="1" customHeight="1">
      <c r="AX178" s="32"/>
      <c r="BA178" s="32"/>
      <c r="BB178" s="32"/>
      <c r="BC178" s="26"/>
      <c r="BF178" s="32"/>
      <c r="BG178" s="26"/>
      <c r="BJ178" s="26"/>
      <c r="BO178" s="26"/>
    </row>
    <row r="179" spans="50:67" ht="15.95" hidden="1" customHeight="1">
      <c r="AX179" s="32"/>
      <c r="BA179" s="32"/>
      <c r="BB179" s="32"/>
      <c r="BC179" s="26"/>
      <c r="BF179" s="32"/>
      <c r="BG179" s="26"/>
      <c r="BJ179" s="26"/>
      <c r="BO179" s="26"/>
    </row>
    <row r="180" spans="50:67" ht="15.95" hidden="1" customHeight="1">
      <c r="AX180" s="32"/>
      <c r="BA180" s="32"/>
      <c r="BB180" s="32"/>
      <c r="BC180" s="26"/>
      <c r="BF180" s="32"/>
      <c r="BG180" s="26"/>
      <c r="BJ180" s="26"/>
      <c r="BO180" s="26"/>
    </row>
    <row r="181" spans="50:67" ht="15.95" hidden="1" customHeight="1">
      <c r="AX181" s="32"/>
      <c r="BA181" s="32"/>
      <c r="BB181" s="32"/>
      <c r="BC181" s="26"/>
      <c r="BF181" s="32"/>
      <c r="BG181" s="26"/>
      <c r="BJ181" s="26"/>
      <c r="BO181" s="26"/>
    </row>
    <row r="182" spans="50:67" ht="15.95" hidden="1" customHeight="1">
      <c r="AX182" s="32"/>
      <c r="BA182" s="32"/>
      <c r="BB182" s="32"/>
      <c r="BC182" s="26"/>
      <c r="BF182" s="32"/>
      <c r="BG182" s="26"/>
      <c r="BJ182" s="26"/>
      <c r="BO182" s="26"/>
    </row>
    <row r="183" spans="50:67" ht="15.95" hidden="1" customHeight="1">
      <c r="AX183" s="32"/>
      <c r="BA183" s="32"/>
      <c r="BB183" s="32"/>
      <c r="BC183" s="26"/>
      <c r="BF183" s="32"/>
      <c r="BG183" s="26"/>
      <c r="BJ183" s="26"/>
      <c r="BO183" s="26"/>
    </row>
    <row r="184" spans="50:67" ht="15.95" hidden="1" customHeight="1">
      <c r="AX184" s="32"/>
      <c r="BA184" s="32"/>
      <c r="BB184" s="32"/>
      <c r="BC184" s="26"/>
      <c r="BF184" s="32"/>
      <c r="BG184" s="26"/>
      <c r="BJ184" s="26"/>
      <c r="BO184" s="26"/>
    </row>
    <row r="185" spans="50:67" ht="15.95" hidden="1" customHeight="1">
      <c r="AX185" s="32"/>
      <c r="BA185" s="32"/>
      <c r="BB185" s="32"/>
      <c r="BC185" s="26"/>
      <c r="BF185" s="32"/>
      <c r="BG185" s="26"/>
      <c r="BJ185" s="26"/>
      <c r="BO185" s="26"/>
    </row>
    <row r="186" spans="50:67" ht="15.95" hidden="1" customHeight="1">
      <c r="AX186" s="32"/>
      <c r="BA186" s="32"/>
      <c r="BB186" s="32"/>
      <c r="BC186" s="26"/>
      <c r="BF186" s="32"/>
      <c r="BG186" s="26"/>
      <c r="BJ186" s="26"/>
      <c r="BO186" s="26"/>
    </row>
    <row r="187" spans="50:67" ht="15.95" hidden="1" customHeight="1">
      <c r="AX187" s="32"/>
      <c r="BA187" s="32"/>
      <c r="BB187" s="32"/>
      <c r="BC187" s="26"/>
      <c r="BF187" s="32"/>
      <c r="BG187" s="26"/>
      <c r="BJ187" s="26"/>
      <c r="BO187" s="26"/>
    </row>
    <row r="188" spans="50:67" ht="15.95" hidden="1" customHeight="1">
      <c r="AX188" s="32"/>
      <c r="BA188" s="32"/>
      <c r="BB188" s="32"/>
      <c r="BC188" s="26"/>
      <c r="BF188" s="32"/>
      <c r="BG188" s="26"/>
      <c r="BJ188" s="26"/>
      <c r="BO188" s="26"/>
    </row>
    <row r="189" spans="50:67" ht="15.95" hidden="1" customHeight="1">
      <c r="AX189" s="32"/>
      <c r="BA189" s="32"/>
      <c r="BB189" s="32"/>
      <c r="BC189" s="26"/>
      <c r="BF189" s="32"/>
      <c r="BG189" s="26"/>
      <c r="BJ189" s="26"/>
      <c r="BO189" s="26"/>
    </row>
    <row r="190" spans="50:67" ht="15.95" hidden="1" customHeight="1">
      <c r="AX190" s="32"/>
      <c r="BA190" s="32"/>
      <c r="BB190" s="32"/>
      <c r="BC190" s="26"/>
      <c r="BF190" s="32"/>
      <c r="BG190" s="26"/>
      <c r="BJ190" s="26"/>
      <c r="BO190" s="26"/>
    </row>
    <row r="191" spans="50:67" ht="15.95" hidden="1" customHeight="1">
      <c r="AX191" s="32"/>
      <c r="BA191" s="32"/>
      <c r="BB191" s="32"/>
      <c r="BC191" s="26"/>
      <c r="BF191" s="32"/>
      <c r="BG191" s="26"/>
      <c r="BJ191" s="26"/>
      <c r="BO191" s="26"/>
    </row>
    <row r="192" spans="50:67" ht="15.95" hidden="1" customHeight="1">
      <c r="AX192" s="32"/>
      <c r="BA192" s="32"/>
      <c r="BB192" s="32"/>
      <c r="BC192" s="26"/>
      <c r="BF192" s="32"/>
      <c r="BG192" s="26"/>
      <c r="BJ192" s="26"/>
      <c r="BO192" s="26"/>
    </row>
    <row r="193" spans="1:67" ht="15.95" hidden="1" customHeight="1">
      <c r="AX193" s="32"/>
      <c r="BA193" s="32"/>
      <c r="BB193" s="32"/>
      <c r="BC193" s="26"/>
      <c r="BF193" s="32"/>
      <c r="BG193" s="26"/>
      <c r="BJ193" s="26"/>
      <c r="BO193" s="26"/>
    </row>
    <row r="194" spans="1:67" ht="15.95" hidden="1" customHeight="1">
      <c r="AX194" s="32"/>
      <c r="BA194" s="32"/>
      <c r="BB194" s="32"/>
      <c r="BC194" s="26"/>
      <c r="BF194" s="32"/>
      <c r="BG194" s="26"/>
      <c r="BJ194" s="26"/>
      <c r="BO194" s="26"/>
    </row>
    <row r="195" spans="1:67" ht="15.95" hidden="1" customHeight="1">
      <c r="AX195" s="32"/>
      <c r="BA195" s="32"/>
      <c r="BB195" s="32"/>
      <c r="BC195" s="26"/>
      <c r="BF195" s="32"/>
      <c r="BG195" s="26"/>
      <c r="BJ195" s="26"/>
      <c r="BO195" s="26"/>
    </row>
    <row r="196" spans="1:67" ht="15.95" hidden="1" customHeight="1">
      <c r="AX196" s="32"/>
      <c r="BA196" s="32"/>
      <c r="BB196" s="32"/>
      <c r="BC196" s="26"/>
      <c r="BF196" s="32"/>
      <c r="BG196" s="26"/>
      <c r="BJ196" s="26"/>
      <c r="BO196" s="26"/>
    </row>
    <row r="197" spans="1:67" ht="15.95" hidden="1" customHeight="1">
      <c r="AX197" s="32"/>
      <c r="BA197" s="32"/>
      <c r="BB197" s="32"/>
      <c r="BC197" s="26"/>
      <c r="BF197" s="32"/>
      <c r="BG197" s="26"/>
      <c r="BJ197" s="26"/>
      <c r="BO197" s="26"/>
    </row>
    <row r="198" spans="1:67" ht="15.95" hidden="1" customHeight="1">
      <c r="AX198" s="32"/>
      <c r="BA198" s="32"/>
      <c r="BB198" s="32"/>
      <c r="BC198" s="26"/>
      <c r="BF198" s="32"/>
      <c r="BG198" s="26"/>
      <c r="BJ198" s="26"/>
      <c r="BO198" s="26"/>
    </row>
    <row r="199" spans="1:67" ht="15.95" hidden="1" customHeight="1">
      <c r="AX199" s="32"/>
      <c r="BA199" s="32"/>
      <c r="BB199" s="32"/>
      <c r="BC199" s="26"/>
      <c r="BF199" s="32"/>
      <c r="BG199" s="26"/>
      <c r="BJ199" s="26"/>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A200" s="1061">
        <f>SUM(BA18:BA77)</f>
        <v>0</v>
      </c>
      <c r="BB200" s="1061">
        <f>SUM(BB18:BB77)</f>
        <v>0</v>
      </c>
      <c r="BF200" s="1062">
        <f>SUM(BF18:BF77)</f>
        <v>0</v>
      </c>
      <c r="BG200" s="1062">
        <f>SUM(BG18:BG77)</f>
        <v>0</v>
      </c>
    </row>
    <row r="201" spans="1:67"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A201" s="1061"/>
      <c r="BB201" s="1061"/>
      <c r="BF201" s="1063"/>
      <c r="BG201" s="1063"/>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e4oyyFlIJMCSO2iKmh4nyd3y5HSxICTO+olSr0w5jU65gOPQyXrQB9QGjYAQc6/2VDqaMPKmM5kedasEElK1/g==" saltValue="qvIPyd3cI2iNcdaty/XDLw==" spinCount="100000" sheet="1" objects="1" scenarios="1" selectLockedCells="1"/>
  <mergeCells count="1581">
    <mergeCell ref="AY76:AY77"/>
    <mergeCell ref="AZ76:AZ77"/>
    <mergeCell ref="BD76:BD77"/>
    <mergeCell ref="BE76:BE77"/>
    <mergeCell ref="BH76:BH77"/>
    <mergeCell ref="BI76:BI77"/>
    <mergeCell ref="BL76:BL77"/>
    <mergeCell ref="BM76:BM77"/>
    <mergeCell ref="BQ76:BQ77"/>
    <mergeCell ref="BS76:BS77"/>
    <mergeCell ref="BX76:BX77"/>
    <mergeCell ref="BH72:BH73"/>
    <mergeCell ref="BI72:BI73"/>
    <mergeCell ref="BL72:BL73"/>
    <mergeCell ref="BM72:BM73"/>
    <mergeCell ref="BQ72:BQ73"/>
    <mergeCell ref="BS72:BS73"/>
    <mergeCell ref="BX72:BX73"/>
    <mergeCell ref="BU72:BU73"/>
    <mergeCell ref="AY74:AY75"/>
    <mergeCell ref="AZ74:AZ75"/>
    <mergeCell ref="BD74:BD75"/>
    <mergeCell ref="BE74:BE75"/>
    <mergeCell ref="BH74:BH75"/>
    <mergeCell ref="BI74:BI75"/>
    <mergeCell ref="BL74:BL75"/>
    <mergeCell ref="BM74:BM75"/>
    <mergeCell ref="BQ74:BQ75"/>
    <mergeCell ref="BS74:BS75"/>
    <mergeCell ref="BX74:BX75"/>
    <mergeCell ref="BQ66:BQ67"/>
    <mergeCell ref="BS66:BS67"/>
    <mergeCell ref="BX66:BX67"/>
    <mergeCell ref="AY68:AY69"/>
    <mergeCell ref="AZ68:AZ69"/>
    <mergeCell ref="BD68:BD69"/>
    <mergeCell ref="BE68:BE69"/>
    <mergeCell ref="BH68:BH69"/>
    <mergeCell ref="BI68:BI69"/>
    <mergeCell ref="BL68:BL69"/>
    <mergeCell ref="BM68:BM69"/>
    <mergeCell ref="BQ68:BQ69"/>
    <mergeCell ref="BS68:BS69"/>
    <mergeCell ref="BX68:BX69"/>
    <mergeCell ref="AY70:AY71"/>
    <mergeCell ref="AZ70:AZ71"/>
    <mergeCell ref="BD70:BD71"/>
    <mergeCell ref="BE70:BE71"/>
    <mergeCell ref="BH70:BH71"/>
    <mergeCell ref="BI70:BI71"/>
    <mergeCell ref="BL70:BL71"/>
    <mergeCell ref="BM70:BM71"/>
    <mergeCell ref="BQ70:BQ71"/>
    <mergeCell ref="BS70:BS71"/>
    <mergeCell ref="BX70:BX71"/>
    <mergeCell ref="BD62:BD63"/>
    <mergeCell ref="BE62:BE63"/>
    <mergeCell ref="BH62:BH63"/>
    <mergeCell ref="BI62:BI63"/>
    <mergeCell ref="BL62:BL63"/>
    <mergeCell ref="BM62:BM63"/>
    <mergeCell ref="BQ62:BQ63"/>
    <mergeCell ref="BS62:BS63"/>
    <mergeCell ref="BX62:BX63"/>
    <mergeCell ref="AY64:AY65"/>
    <mergeCell ref="AZ64:AZ65"/>
    <mergeCell ref="BD64:BD65"/>
    <mergeCell ref="BE64:BE65"/>
    <mergeCell ref="BH64:BH65"/>
    <mergeCell ref="BI64:BI65"/>
    <mergeCell ref="BL64:BL65"/>
    <mergeCell ref="BM64:BM65"/>
    <mergeCell ref="BQ64:BQ65"/>
    <mergeCell ref="BS64:BS65"/>
    <mergeCell ref="BX64:BX65"/>
    <mergeCell ref="BP62:BP63"/>
    <mergeCell ref="BR64:BR65"/>
    <mergeCell ref="BV64:BV65"/>
    <mergeCell ref="BT64:BT65"/>
    <mergeCell ref="BW64:BW65"/>
    <mergeCell ref="BU64:BU65"/>
    <mergeCell ref="AY62:AY63"/>
    <mergeCell ref="AZ62:AZ63"/>
    <mergeCell ref="AY60:AY61"/>
    <mergeCell ref="AZ60:AZ61"/>
    <mergeCell ref="BD60:BD61"/>
    <mergeCell ref="BE60:BE61"/>
    <mergeCell ref="BH60:BH61"/>
    <mergeCell ref="BI60:BI61"/>
    <mergeCell ref="BL60:BL61"/>
    <mergeCell ref="BM60:BM61"/>
    <mergeCell ref="BQ60:BQ61"/>
    <mergeCell ref="BS60:BS61"/>
    <mergeCell ref="BX60:BX61"/>
    <mergeCell ref="BC60:BC61"/>
    <mergeCell ref="BG60:BG61"/>
    <mergeCell ref="BF60:BF61"/>
    <mergeCell ref="BR60:BR61"/>
    <mergeCell ref="BV60:BV61"/>
    <mergeCell ref="BT60:BT61"/>
    <mergeCell ref="BW60:BW61"/>
    <mergeCell ref="BU60:BU61"/>
    <mergeCell ref="BB60:BB61"/>
    <mergeCell ref="BJ60:BJ61"/>
    <mergeCell ref="AY54:AY55"/>
    <mergeCell ref="AZ54:AZ55"/>
    <mergeCell ref="BD54:BD55"/>
    <mergeCell ref="BE54:BE55"/>
    <mergeCell ref="BH54:BH55"/>
    <mergeCell ref="BI54:BI55"/>
    <mergeCell ref="BL54:BL55"/>
    <mergeCell ref="BM54:BM55"/>
    <mergeCell ref="BQ54:BQ55"/>
    <mergeCell ref="BS54:BS55"/>
    <mergeCell ref="BX54:BX55"/>
    <mergeCell ref="BC54:BC55"/>
    <mergeCell ref="BG54:BG55"/>
    <mergeCell ref="BF54:BF55"/>
    <mergeCell ref="BR54:BR55"/>
    <mergeCell ref="BV54:BV55"/>
    <mergeCell ref="BT54:BT55"/>
    <mergeCell ref="BW54:BW55"/>
    <mergeCell ref="BU54:BU55"/>
    <mergeCell ref="BB54:BB55"/>
    <mergeCell ref="BJ54:BJ55"/>
    <mergeCell ref="AY48:AY49"/>
    <mergeCell ref="AZ48:AZ49"/>
    <mergeCell ref="BD48:BD49"/>
    <mergeCell ref="BE48:BE49"/>
    <mergeCell ref="BH48:BH49"/>
    <mergeCell ref="BI48:BI49"/>
    <mergeCell ref="BL48:BL49"/>
    <mergeCell ref="BM48:BM49"/>
    <mergeCell ref="BQ48:BQ49"/>
    <mergeCell ref="BS48:BS49"/>
    <mergeCell ref="BX48:BX49"/>
    <mergeCell ref="BC48:BC49"/>
    <mergeCell ref="BG48:BG49"/>
    <mergeCell ref="BF48:BF49"/>
    <mergeCell ref="BR48:BR49"/>
    <mergeCell ref="BV48:BV49"/>
    <mergeCell ref="BT48:BT49"/>
    <mergeCell ref="BW48:BW49"/>
    <mergeCell ref="BU48:BU49"/>
    <mergeCell ref="BB48:BB49"/>
    <mergeCell ref="BJ48:BJ49"/>
    <mergeCell ref="AY42:AY43"/>
    <mergeCell ref="AZ42:AZ43"/>
    <mergeCell ref="BD42:BD43"/>
    <mergeCell ref="BE42:BE43"/>
    <mergeCell ref="BH42:BH43"/>
    <mergeCell ref="BI42:BI43"/>
    <mergeCell ref="BL42:BL43"/>
    <mergeCell ref="BM42:BM43"/>
    <mergeCell ref="BQ42:BQ43"/>
    <mergeCell ref="BS42:BS43"/>
    <mergeCell ref="BX42:BX43"/>
    <mergeCell ref="BC42:BC43"/>
    <mergeCell ref="BG42:BG43"/>
    <mergeCell ref="BF42:BF43"/>
    <mergeCell ref="BR42:BR43"/>
    <mergeCell ref="BV42:BV43"/>
    <mergeCell ref="BT42:BT43"/>
    <mergeCell ref="BW42:BW43"/>
    <mergeCell ref="BU42:BU43"/>
    <mergeCell ref="BB42:BB43"/>
    <mergeCell ref="BJ42:BJ43"/>
    <mergeCell ref="AY36:AY37"/>
    <mergeCell ref="AZ36:AZ37"/>
    <mergeCell ref="BD36:BD37"/>
    <mergeCell ref="BE36:BE37"/>
    <mergeCell ref="BH36:BH37"/>
    <mergeCell ref="BI36:BI37"/>
    <mergeCell ref="BL36:BL37"/>
    <mergeCell ref="BM36:BM37"/>
    <mergeCell ref="BQ36:BQ37"/>
    <mergeCell ref="BS36:BS37"/>
    <mergeCell ref="BX36:BX37"/>
    <mergeCell ref="BC36:BC37"/>
    <mergeCell ref="BG36:BG37"/>
    <mergeCell ref="BF36:BF37"/>
    <mergeCell ref="BR36:BR37"/>
    <mergeCell ref="BV36:BV37"/>
    <mergeCell ref="BT36:BT37"/>
    <mergeCell ref="BW36:BW37"/>
    <mergeCell ref="BU36:BU37"/>
    <mergeCell ref="BB36:BB37"/>
    <mergeCell ref="BJ36:BJ37"/>
    <mergeCell ref="AY28:AY29"/>
    <mergeCell ref="AZ28:AZ29"/>
    <mergeCell ref="BD28:BD29"/>
    <mergeCell ref="BE28:BE29"/>
    <mergeCell ref="BH28:BH29"/>
    <mergeCell ref="BI28:BI29"/>
    <mergeCell ref="BL28:BL29"/>
    <mergeCell ref="BM28:BM29"/>
    <mergeCell ref="BQ28:BQ29"/>
    <mergeCell ref="BS28:BS29"/>
    <mergeCell ref="BX28:BX29"/>
    <mergeCell ref="AY30:AY31"/>
    <mergeCell ref="AZ30:AZ31"/>
    <mergeCell ref="BD30:BD31"/>
    <mergeCell ref="BE30:BE31"/>
    <mergeCell ref="BH30:BH31"/>
    <mergeCell ref="BI30:BI31"/>
    <mergeCell ref="BL30:BL31"/>
    <mergeCell ref="BM30:BM31"/>
    <mergeCell ref="BQ30:BQ31"/>
    <mergeCell ref="BS30:BS31"/>
    <mergeCell ref="BX30:BX31"/>
    <mergeCell ref="BC30:BC31"/>
    <mergeCell ref="BG30:BG31"/>
    <mergeCell ref="BF30:BF31"/>
    <mergeCell ref="BR30:BR31"/>
    <mergeCell ref="BV30:BV31"/>
    <mergeCell ref="BT30:BT31"/>
    <mergeCell ref="BW30:BW31"/>
    <mergeCell ref="BU30:BU31"/>
    <mergeCell ref="AY22:AY23"/>
    <mergeCell ref="AZ22:AZ23"/>
    <mergeCell ref="BD22:BD23"/>
    <mergeCell ref="BE22:BE23"/>
    <mergeCell ref="BH22:BH23"/>
    <mergeCell ref="BI22:BI23"/>
    <mergeCell ref="BL22:BL23"/>
    <mergeCell ref="BM22:BM23"/>
    <mergeCell ref="BQ22:BQ23"/>
    <mergeCell ref="BS22:BS23"/>
    <mergeCell ref="BX22:BX23"/>
    <mergeCell ref="AY24:AY25"/>
    <mergeCell ref="AZ24:AZ25"/>
    <mergeCell ref="BD24:BD25"/>
    <mergeCell ref="BE24:BE25"/>
    <mergeCell ref="BH24:BH25"/>
    <mergeCell ref="BI24:BI25"/>
    <mergeCell ref="BL24:BL25"/>
    <mergeCell ref="BM24:BM25"/>
    <mergeCell ref="BQ24:BQ25"/>
    <mergeCell ref="BS24:BS25"/>
    <mergeCell ref="BX24:BX25"/>
    <mergeCell ref="BN22:BN23"/>
    <mergeCell ref="BO22:BO23"/>
    <mergeCell ref="BR22:BR23"/>
    <mergeCell ref="BV22:BV23"/>
    <mergeCell ref="BT22:BT23"/>
    <mergeCell ref="BW22:BW23"/>
    <mergeCell ref="BU22:BU23"/>
    <mergeCell ref="AY20:AY21"/>
    <mergeCell ref="AZ20:AZ21"/>
    <mergeCell ref="BD20:BD21"/>
    <mergeCell ref="BE20:BE21"/>
    <mergeCell ref="BH20:BH21"/>
    <mergeCell ref="BI20:BI21"/>
    <mergeCell ref="BL20:BL21"/>
    <mergeCell ref="BM20:BM21"/>
    <mergeCell ref="BQ20:BQ21"/>
    <mergeCell ref="BS20:BS21"/>
    <mergeCell ref="BX20:BX21"/>
    <mergeCell ref="BR20:BR21"/>
    <mergeCell ref="BV20:BV21"/>
    <mergeCell ref="BT20:BT21"/>
    <mergeCell ref="BW20:BW21"/>
    <mergeCell ref="BU20:BU21"/>
    <mergeCell ref="BO20:BO21"/>
    <mergeCell ref="BK20:BK21"/>
    <mergeCell ref="BP20:BP21"/>
    <mergeCell ref="AY16:AY17"/>
    <mergeCell ref="AZ16:AZ17"/>
    <mergeCell ref="BD16:BD17"/>
    <mergeCell ref="BE16:BF16"/>
    <mergeCell ref="BL16:BL17"/>
    <mergeCell ref="BM16:BM17"/>
    <mergeCell ref="BS16:BS17"/>
    <mergeCell ref="BX16:BX17"/>
    <mergeCell ref="BR76:BR77"/>
    <mergeCell ref="BV76:BV77"/>
    <mergeCell ref="BT76:BT77"/>
    <mergeCell ref="BW76:BW77"/>
    <mergeCell ref="BU76:BU77"/>
    <mergeCell ref="BY76:BY77"/>
    <mergeCell ref="BK76:BK77"/>
    <mergeCell ref="BP76:BP77"/>
    <mergeCell ref="BA200:BA201"/>
    <mergeCell ref="BB200:BB201"/>
    <mergeCell ref="BG200:BG201"/>
    <mergeCell ref="BF200:BF201"/>
    <mergeCell ref="BN76:BN77"/>
    <mergeCell ref="BO76:BO77"/>
    <mergeCell ref="BR74:BR75"/>
    <mergeCell ref="BV74:BV75"/>
    <mergeCell ref="BT74:BT75"/>
    <mergeCell ref="BW74:BW75"/>
    <mergeCell ref="BU74:BU75"/>
    <mergeCell ref="BY74:BY75"/>
    <mergeCell ref="BR72:BR73"/>
    <mergeCell ref="BV72:BV73"/>
    <mergeCell ref="BT72:BT73"/>
    <mergeCell ref="BW72:BW73"/>
    <mergeCell ref="AX76:AX77"/>
    <mergeCell ref="BA76:BA77"/>
    <mergeCell ref="BB76:BB77"/>
    <mergeCell ref="BJ76:BJ77"/>
    <mergeCell ref="BC76:BC77"/>
    <mergeCell ref="BG76:BG77"/>
    <mergeCell ref="BF76:BF77"/>
    <mergeCell ref="BP72:BP73"/>
    <mergeCell ref="BN74:BN75"/>
    <mergeCell ref="BO74:BO75"/>
    <mergeCell ref="AX74:AX75"/>
    <mergeCell ref="BA74:BA75"/>
    <mergeCell ref="BB74:BB75"/>
    <mergeCell ref="BJ74:BJ75"/>
    <mergeCell ref="BC74:BC75"/>
    <mergeCell ref="BG74:BG75"/>
    <mergeCell ref="BF74:BF75"/>
    <mergeCell ref="BK74:BK75"/>
    <mergeCell ref="BP74:BP75"/>
    <mergeCell ref="BN72:BN73"/>
    <mergeCell ref="BO72:BO73"/>
    <mergeCell ref="AX72:AX73"/>
    <mergeCell ref="BA72:BA73"/>
    <mergeCell ref="BB72:BB73"/>
    <mergeCell ref="BJ72:BJ73"/>
    <mergeCell ref="BC72:BC73"/>
    <mergeCell ref="BG72:BG73"/>
    <mergeCell ref="BF72:BF73"/>
    <mergeCell ref="AY72:AY73"/>
    <mergeCell ref="AZ72:AZ73"/>
    <mergeCell ref="BD72:BD73"/>
    <mergeCell ref="BE72:BE73"/>
    <mergeCell ref="BY72:BY73"/>
    <mergeCell ref="BK72:BK73"/>
    <mergeCell ref="BN70:BN71"/>
    <mergeCell ref="BO70:BO71"/>
    <mergeCell ref="AX70:AX71"/>
    <mergeCell ref="BA70:BA71"/>
    <mergeCell ref="BB70:BB71"/>
    <mergeCell ref="BJ70:BJ71"/>
    <mergeCell ref="BC70:BC71"/>
    <mergeCell ref="BG70:BG71"/>
    <mergeCell ref="BF70:BF71"/>
    <mergeCell ref="BP66:BP67"/>
    <mergeCell ref="BN68:BN69"/>
    <mergeCell ref="BO68:BO69"/>
    <mergeCell ref="AX68:AX69"/>
    <mergeCell ref="BA68:BA69"/>
    <mergeCell ref="BB68:BB69"/>
    <mergeCell ref="BJ68:BJ69"/>
    <mergeCell ref="BC68:BC69"/>
    <mergeCell ref="BG68:BG69"/>
    <mergeCell ref="BF68:BF69"/>
    <mergeCell ref="BR68:BR69"/>
    <mergeCell ref="BV68:BV69"/>
    <mergeCell ref="BT68:BT69"/>
    <mergeCell ref="BW68:BW69"/>
    <mergeCell ref="BU68:BU69"/>
    <mergeCell ref="BY68:BY69"/>
    <mergeCell ref="BK68:BK69"/>
    <mergeCell ref="BP68:BP69"/>
    <mergeCell ref="BR70:BR71"/>
    <mergeCell ref="BV70:BV71"/>
    <mergeCell ref="BT70:BT71"/>
    <mergeCell ref="BY64:BY65"/>
    <mergeCell ref="BK64:BK65"/>
    <mergeCell ref="BP64:BP65"/>
    <mergeCell ref="BW70:BW71"/>
    <mergeCell ref="BU70:BU71"/>
    <mergeCell ref="BY70:BY71"/>
    <mergeCell ref="BK70:BK71"/>
    <mergeCell ref="BP70:BP71"/>
    <mergeCell ref="BN66:BN67"/>
    <mergeCell ref="BO66:BO67"/>
    <mergeCell ref="AX66:AX67"/>
    <mergeCell ref="BA66:BA67"/>
    <mergeCell ref="BB66:BB67"/>
    <mergeCell ref="BJ66:BJ67"/>
    <mergeCell ref="BC66:BC67"/>
    <mergeCell ref="BG66:BG67"/>
    <mergeCell ref="BF66:BF67"/>
    <mergeCell ref="BR66:BR67"/>
    <mergeCell ref="BV66:BV67"/>
    <mergeCell ref="BT66:BT67"/>
    <mergeCell ref="BW66:BW67"/>
    <mergeCell ref="BU66:BU67"/>
    <mergeCell ref="BY66:BY67"/>
    <mergeCell ref="BK66:BK67"/>
    <mergeCell ref="AY66:AY67"/>
    <mergeCell ref="AZ66:AZ67"/>
    <mergeCell ref="BD66:BD67"/>
    <mergeCell ref="BE66:BE67"/>
    <mergeCell ref="BH66:BH67"/>
    <mergeCell ref="BI66:BI67"/>
    <mergeCell ref="BL66:BL67"/>
    <mergeCell ref="BM66:BM67"/>
    <mergeCell ref="BY60:BY61"/>
    <mergeCell ref="BK60:BK61"/>
    <mergeCell ref="BN64:BN65"/>
    <mergeCell ref="BO64:BO65"/>
    <mergeCell ref="AX64:AX65"/>
    <mergeCell ref="BA64:BA65"/>
    <mergeCell ref="BB64:BB65"/>
    <mergeCell ref="BJ64:BJ65"/>
    <mergeCell ref="BC64:BC65"/>
    <mergeCell ref="BG64:BG65"/>
    <mergeCell ref="BF64:BF65"/>
    <mergeCell ref="BA62:BA63"/>
    <mergeCell ref="BB62:BB63"/>
    <mergeCell ref="BJ62:BJ63"/>
    <mergeCell ref="BC62:BC63"/>
    <mergeCell ref="BG62:BG63"/>
    <mergeCell ref="BF62:BF63"/>
    <mergeCell ref="BR62:BR63"/>
    <mergeCell ref="BV62:BV63"/>
    <mergeCell ref="BT62:BT63"/>
    <mergeCell ref="BW62:BW63"/>
    <mergeCell ref="BU62:BU63"/>
    <mergeCell ref="BY62:BY63"/>
    <mergeCell ref="BK62:BK63"/>
    <mergeCell ref="BP60:BP61"/>
    <mergeCell ref="BN62:BN63"/>
    <mergeCell ref="BO62:BO63"/>
    <mergeCell ref="AX62:AX63"/>
    <mergeCell ref="BN60:BN61"/>
    <mergeCell ref="BO60:BO61"/>
    <mergeCell ref="AX60:AX61"/>
    <mergeCell ref="BA60:BA61"/>
    <mergeCell ref="BA56:BA57"/>
    <mergeCell ref="BB56:BB57"/>
    <mergeCell ref="BJ56:BJ57"/>
    <mergeCell ref="BC56:BC57"/>
    <mergeCell ref="BG56:BG57"/>
    <mergeCell ref="BF56:BF57"/>
    <mergeCell ref="BR56:BR57"/>
    <mergeCell ref="BV56:BV57"/>
    <mergeCell ref="BT56:BT57"/>
    <mergeCell ref="BW56:BW57"/>
    <mergeCell ref="BU56:BU57"/>
    <mergeCell ref="BY56:BY57"/>
    <mergeCell ref="BK56:BK57"/>
    <mergeCell ref="BP56:BP57"/>
    <mergeCell ref="BR58:BR59"/>
    <mergeCell ref="BV58:BV59"/>
    <mergeCell ref="BT58:BT59"/>
    <mergeCell ref="BW58:BW59"/>
    <mergeCell ref="BU58:BU59"/>
    <mergeCell ref="BY58:BY59"/>
    <mergeCell ref="BK58:BK59"/>
    <mergeCell ref="BP58:BP59"/>
    <mergeCell ref="BD58:BD59"/>
    <mergeCell ref="BE58:BE59"/>
    <mergeCell ref="BH58:BH59"/>
    <mergeCell ref="BI58:BI59"/>
    <mergeCell ref="BL58:BL59"/>
    <mergeCell ref="BM58:BM59"/>
    <mergeCell ref="BQ58:BQ59"/>
    <mergeCell ref="BS58:BS59"/>
    <mergeCell ref="BX58:BX59"/>
    <mergeCell ref="BY54:BY55"/>
    <mergeCell ref="BK54:BK55"/>
    <mergeCell ref="BN58:BN59"/>
    <mergeCell ref="BO58:BO59"/>
    <mergeCell ref="AX58:AX59"/>
    <mergeCell ref="BA58:BA59"/>
    <mergeCell ref="BB58:BB59"/>
    <mergeCell ref="BJ58:BJ59"/>
    <mergeCell ref="BC58:BC59"/>
    <mergeCell ref="BG58:BG59"/>
    <mergeCell ref="BF58:BF59"/>
    <mergeCell ref="AY56:AY57"/>
    <mergeCell ref="AZ56:AZ57"/>
    <mergeCell ref="BD56:BD57"/>
    <mergeCell ref="BE56:BE57"/>
    <mergeCell ref="BH56:BH57"/>
    <mergeCell ref="BI56:BI57"/>
    <mergeCell ref="BL56:BL57"/>
    <mergeCell ref="BM56:BM57"/>
    <mergeCell ref="BQ56:BQ57"/>
    <mergeCell ref="BS56:BS57"/>
    <mergeCell ref="BX56:BX57"/>
    <mergeCell ref="AY58:AY59"/>
    <mergeCell ref="AZ58:AZ59"/>
    <mergeCell ref="BP54:BP55"/>
    <mergeCell ref="BN56:BN57"/>
    <mergeCell ref="BO56:BO57"/>
    <mergeCell ref="AX56:AX57"/>
    <mergeCell ref="BN54:BN55"/>
    <mergeCell ref="BO54:BO55"/>
    <mergeCell ref="AX54:AX55"/>
    <mergeCell ref="BA54:BA55"/>
    <mergeCell ref="BA50:BA51"/>
    <mergeCell ref="BB50:BB51"/>
    <mergeCell ref="BJ50:BJ51"/>
    <mergeCell ref="BC50:BC51"/>
    <mergeCell ref="BG50:BG51"/>
    <mergeCell ref="BF50:BF51"/>
    <mergeCell ref="BR50:BR51"/>
    <mergeCell ref="BV50:BV51"/>
    <mergeCell ref="BT50:BT51"/>
    <mergeCell ref="BW50:BW51"/>
    <mergeCell ref="BU50:BU51"/>
    <mergeCell ref="BY50:BY51"/>
    <mergeCell ref="BK50:BK51"/>
    <mergeCell ref="BP50:BP51"/>
    <mergeCell ref="BR52:BR53"/>
    <mergeCell ref="BV52:BV53"/>
    <mergeCell ref="BT52:BT53"/>
    <mergeCell ref="BW52:BW53"/>
    <mergeCell ref="BU52:BU53"/>
    <mergeCell ref="BY52:BY53"/>
    <mergeCell ref="BK52:BK53"/>
    <mergeCell ref="BP52:BP53"/>
    <mergeCell ref="BD52:BD53"/>
    <mergeCell ref="BE52:BE53"/>
    <mergeCell ref="BH52:BH53"/>
    <mergeCell ref="BI52:BI53"/>
    <mergeCell ref="BL52:BL53"/>
    <mergeCell ref="BM52:BM53"/>
    <mergeCell ref="BQ52:BQ53"/>
    <mergeCell ref="BS52:BS53"/>
    <mergeCell ref="BX52:BX53"/>
    <mergeCell ref="BY48:BY49"/>
    <mergeCell ref="BK48:BK49"/>
    <mergeCell ref="BN52:BN53"/>
    <mergeCell ref="BO52:BO53"/>
    <mergeCell ref="AX52:AX53"/>
    <mergeCell ref="BA52:BA53"/>
    <mergeCell ref="BB52:BB53"/>
    <mergeCell ref="BJ52:BJ53"/>
    <mergeCell ref="BC52:BC53"/>
    <mergeCell ref="BG52:BG53"/>
    <mergeCell ref="BF52:BF53"/>
    <mergeCell ref="AY50:AY51"/>
    <mergeCell ref="AZ50:AZ51"/>
    <mergeCell ref="BD50:BD51"/>
    <mergeCell ref="BE50:BE51"/>
    <mergeCell ref="BH50:BH51"/>
    <mergeCell ref="BI50:BI51"/>
    <mergeCell ref="BL50:BL51"/>
    <mergeCell ref="BM50:BM51"/>
    <mergeCell ref="BQ50:BQ51"/>
    <mergeCell ref="BS50:BS51"/>
    <mergeCell ref="BX50:BX51"/>
    <mergeCell ref="AY52:AY53"/>
    <mergeCell ref="AZ52:AZ53"/>
    <mergeCell ref="BP48:BP49"/>
    <mergeCell ref="BN50:BN51"/>
    <mergeCell ref="BO50:BO51"/>
    <mergeCell ref="AX50:AX51"/>
    <mergeCell ref="BN48:BN49"/>
    <mergeCell ref="BO48:BO49"/>
    <mergeCell ref="AX48:AX49"/>
    <mergeCell ref="BA48:BA49"/>
    <mergeCell ref="BA44:BA45"/>
    <mergeCell ref="BB44:BB45"/>
    <mergeCell ref="BJ44:BJ45"/>
    <mergeCell ref="BC44:BC45"/>
    <mergeCell ref="BG44:BG45"/>
    <mergeCell ref="BF44:BF45"/>
    <mergeCell ref="BR44:BR45"/>
    <mergeCell ref="BV44:BV45"/>
    <mergeCell ref="BT44:BT45"/>
    <mergeCell ref="BW44:BW45"/>
    <mergeCell ref="BU44:BU45"/>
    <mergeCell ref="BY44:BY45"/>
    <mergeCell ref="BK44:BK45"/>
    <mergeCell ref="BP44:BP45"/>
    <mergeCell ref="BR46:BR47"/>
    <mergeCell ref="BV46:BV47"/>
    <mergeCell ref="BT46:BT47"/>
    <mergeCell ref="BW46:BW47"/>
    <mergeCell ref="BU46:BU47"/>
    <mergeCell ref="BY46:BY47"/>
    <mergeCell ref="BK46:BK47"/>
    <mergeCell ref="BP46:BP47"/>
    <mergeCell ref="BD46:BD47"/>
    <mergeCell ref="BE46:BE47"/>
    <mergeCell ref="BH46:BH47"/>
    <mergeCell ref="BI46:BI47"/>
    <mergeCell ref="BL46:BL47"/>
    <mergeCell ref="BM46:BM47"/>
    <mergeCell ref="BQ46:BQ47"/>
    <mergeCell ref="BS46:BS47"/>
    <mergeCell ref="BX46:BX47"/>
    <mergeCell ref="BY42:BY43"/>
    <mergeCell ref="BK42:BK43"/>
    <mergeCell ref="BN46:BN47"/>
    <mergeCell ref="BO46:BO47"/>
    <mergeCell ref="AX46:AX47"/>
    <mergeCell ref="BA46:BA47"/>
    <mergeCell ref="BB46:BB47"/>
    <mergeCell ref="BJ46:BJ47"/>
    <mergeCell ref="BC46:BC47"/>
    <mergeCell ref="BG46:BG47"/>
    <mergeCell ref="BF46:BF47"/>
    <mergeCell ref="AY44:AY45"/>
    <mergeCell ref="AZ44:AZ45"/>
    <mergeCell ref="BD44:BD45"/>
    <mergeCell ref="BE44:BE45"/>
    <mergeCell ref="BH44:BH45"/>
    <mergeCell ref="BI44:BI45"/>
    <mergeCell ref="BL44:BL45"/>
    <mergeCell ref="BM44:BM45"/>
    <mergeCell ref="BQ44:BQ45"/>
    <mergeCell ref="BS44:BS45"/>
    <mergeCell ref="BX44:BX45"/>
    <mergeCell ref="AY46:AY47"/>
    <mergeCell ref="AZ46:AZ47"/>
    <mergeCell ref="BP42:BP43"/>
    <mergeCell ref="BN44:BN45"/>
    <mergeCell ref="BO44:BO45"/>
    <mergeCell ref="AX44:AX45"/>
    <mergeCell ref="BN42:BN43"/>
    <mergeCell ref="BO42:BO43"/>
    <mergeCell ref="AX42:AX43"/>
    <mergeCell ref="BA42:BA43"/>
    <mergeCell ref="BA38:BA39"/>
    <mergeCell ref="BB38:BB39"/>
    <mergeCell ref="BJ38:BJ39"/>
    <mergeCell ref="BC38:BC39"/>
    <mergeCell ref="BG38:BG39"/>
    <mergeCell ref="BF38:BF39"/>
    <mergeCell ref="BR38:BR39"/>
    <mergeCell ref="BV38:BV39"/>
    <mergeCell ref="BT38:BT39"/>
    <mergeCell ref="BW38:BW39"/>
    <mergeCell ref="BU38:BU39"/>
    <mergeCell ref="BY38:BY39"/>
    <mergeCell ref="BK38:BK39"/>
    <mergeCell ref="BP38:BP39"/>
    <mergeCell ref="BR40:BR41"/>
    <mergeCell ref="BV40:BV41"/>
    <mergeCell ref="BT40:BT41"/>
    <mergeCell ref="BW40:BW41"/>
    <mergeCell ref="BU40:BU41"/>
    <mergeCell ref="BY40:BY41"/>
    <mergeCell ref="BK40:BK41"/>
    <mergeCell ref="BP40:BP41"/>
    <mergeCell ref="BD40:BD41"/>
    <mergeCell ref="BE40:BE41"/>
    <mergeCell ref="BH40:BH41"/>
    <mergeCell ref="BI40:BI41"/>
    <mergeCell ref="BL40:BL41"/>
    <mergeCell ref="BM40:BM41"/>
    <mergeCell ref="BQ40:BQ41"/>
    <mergeCell ref="BS40:BS41"/>
    <mergeCell ref="BX40:BX41"/>
    <mergeCell ref="BY36:BY37"/>
    <mergeCell ref="BK36:BK37"/>
    <mergeCell ref="BN40:BN41"/>
    <mergeCell ref="BO40:BO41"/>
    <mergeCell ref="AX40:AX41"/>
    <mergeCell ref="BA40:BA41"/>
    <mergeCell ref="BB40:BB41"/>
    <mergeCell ref="BJ40:BJ41"/>
    <mergeCell ref="BC40:BC41"/>
    <mergeCell ref="BG40:BG41"/>
    <mergeCell ref="BF40:BF41"/>
    <mergeCell ref="AY38:AY39"/>
    <mergeCell ref="AZ38:AZ39"/>
    <mergeCell ref="BD38:BD39"/>
    <mergeCell ref="BE38:BE39"/>
    <mergeCell ref="BH38:BH39"/>
    <mergeCell ref="BI38:BI39"/>
    <mergeCell ref="BL38:BL39"/>
    <mergeCell ref="BM38:BM39"/>
    <mergeCell ref="BQ38:BQ39"/>
    <mergeCell ref="BS38:BS39"/>
    <mergeCell ref="BX38:BX39"/>
    <mergeCell ref="AY40:AY41"/>
    <mergeCell ref="AZ40:AZ41"/>
    <mergeCell ref="BP36:BP37"/>
    <mergeCell ref="BN38:BN39"/>
    <mergeCell ref="BO38:BO39"/>
    <mergeCell ref="AX38:AX39"/>
    <mergeCell ref="BN36:BN37"/>
    <mergeCell ref="BO36:BO37"/>
    <mergeCell ref="AX36:AX37"/>
    <mergeCell ref="BA36:BA37"/>
    <mergeCell ref="BJ32:BJ33"/>
    <mergeCell ref="BC32:BC33"/>
    <mergeCell ref="BG32:BG33"/>
    <mergeCell ref="BF32:BF33"/>
    <mergeCell ref="BR32:BR33"/>
    <mergeCell ref="BV32:BV33"/>
    <mergeCell ref="BT32:BT33"/>
    <mergeCell ref="BW32:BW33"/>
    <mergeCell ref="BU32:BU33"/>
    <mergeCell ref="BY32:BY33"/>
    <mergeCell ref="BK32:BK33"/>
    <mergeCell ref="BP32:BP33"/>
    <mergeCell ref="BR34:BR35"/>
    <mergeCell ref="BV34:BV35"/>
    <mergeCell ref="BT34:BT35"/>
    <mergeCell ref="BW34:BW35"/>
    <mergeCell ref="BU34:BU35"/>
    <mergeCell ref="BY34:BY35"/>
    <mergeCell ref="BK34:BK35"/>
    <mergeCell ref="BP34:BP35"/>
    <mergeCell ref="BD34:BD35"/>
    <mergeCell ref="BE34:BE35"/>
    <mergeCell ref="BH34:BH35"/>
    <mergeCell ref="BI34:BI35"/>
    <mergeCell ref="BL34:BL35"/>
    <mergeCell ref="BM34:BM35"/>
    <mergeCell ref="BQ34:BQ35"/>
    <mergeCell ref="BS34:BS35"/>
    <mergeCell ref="BX34:BX35"/>
    <mergeCell ref="BY30:BY31"/>
    <mergeCell ref="BK30:BK31"/>
    <mergeCell ref="BN34:BN35"/>
    <mergeCell ref="BO34:BO35"/>
    <mergeCell ref="AX34:AX35"/>
    <mergeCell ref="BA34:BA35"/>
    <mergeCell ref="BB34:BB35"/>
    <mergeCell ref="BJ34:BJ35"/>
    <mergeCell ref="BC34:BC35"/>
    <mergeCell ref="BG34:BG35"/>
    <mergeCell ref="BF34:BF35"/>
    <mergeCell ref="AY32:AY33"/>
    <mergeCell ref="AZ32:AZ33"/>
    <mergeCell ref="BD32:BD33"/>
    <mergeCell ref="BE32:BE33"/>
    <mergeCell ref="BH32:BH33"/>
    <mergeCell ref="BI32:BI33"/>
    <mergeCell ref="BL32:BL33"/>
    <mergeCell ref="BM32:BM33"/>
    <mergeCell ref="BQ32:BQ33"/>
    <mergeCell ref="BS32:BS33"/>
    <mergeCell ref="BX32:BX33"/>
    <mergeCell ref="AY34:AY35"/>
    <mergeCell ref="AZ34:AZ35"/>
    <mergeCell ref="BP30:BP31"/>
    <mergeCell ref="BN32:BN33"/>
    <mergeCell ref="BO32:BO33"/>
    <mergeCell ref="AX32:AX33"/>
    <mergeCell ref="BN30:BN31"/>
    <mergeCell ref="BO30:BO31"/>
    <mergeCell ref="BA32:BA33"/>
    <mergeCell ref="BB32:BB33"/>
    <mergeCell ref="BF26:BF27"/>
    <mergeCell ref="BR26:BR27"/>
    <mergeCell ref="BV26:BV27"/>
    <mergeCell ref="BT26:BT27"/>
    <mergeCell ref="BW26:BW27"/>
    <mergeCell ref="BU26:BU27"/>
    <mergeCell ref="BY26:BY27"/>
    <mergeCell ref="BK26:BK27"/>
    <mergeCell ref="BP26:BP27"/>
    <mergeCell ref="BR28:BR29"/>
    <mergeCell ref="BV28:BV29"/>
    <mergeCell ref="BT28:BT29"/>
    <mergeCell ref="BW28:BW29"/>
    <mergeCell ref="BU28:BU29"/>
    <mergeCell ref="BY28:BY29"/>
    <mergeCell ref="BK28:BK29"/>
    <mergeCell ref="BP28:BP29"/>
    <mergeCell ref="BM26:BM27"/>
    <mergeCell ref="BQ26:BQ27"/>
    <mergeCell ref="BS26:BS27"/>
    <mergeCell ref="BX26:BX27"/>
    <mergeCell ref="BN28:BN29"/>
    <mergeCell ref="BO28:BO29"/>
    <mergeCell ref="AX28:AX29"/>
    <mergeCell ref="BA28:BA29"/>
    <mergeCell ref="BB28:BB29"/>
    <mergeCell ref="BJ28:BJ29"/>
    <mergeCell ref="BC28:BC29"/>
    <mergeCell ref="BG28:BG29"/>
    <mergeCell ref="BF28:BF29"/>
    <mergeCell ref="AY26:AY27"/>
    <mergeCell ref="AZ26:AZ27"/>
    <mergeCell ref="BD26:BD27"/>
    <mergeCell ref="BE26:BE27"/>
    <mergeCell ref="BH26:BH27"/>
    <mergeCell ref="BI26:BI27"/>
    <mergeCell ref="BL26:BL27"/>
    <mergeCell ref="BP24:BP25"/>
    <mergeCell ref="BN26:BN27"/>
    <mergeCell ref="BO26:BO27"/>
    <mergeCell ref="AX26:AX27"/>
    <mergeCell ref="BN24:BN25"/>
    <mergeCell ref="BO24:BO25"/>
    <mergeCell ref="AX24:AX25"/>
    <mergeCell ref="BA24:BA25"/>
    <mergeCell ref="BB24:BB25"/>
    <mergeCell ref="BJ24:BJ25"/>
    <mergeCell ref="BC24:BC25"/>
    <mergeCell ref="BG24:BG25"/>
    <mergeCell ref="BF24:BF25"/>
    <mergeCell ref="BA26:BA27"/>
    <mergeCell ref="BB26:BB27"/>
    <mergeCell ref="BJ26:BJ27"/>
    <mergeCell ref="BC26:BC27"/>
    <mergeCell ref="BG26:BG27"/>
    <mergeCell ref="AX20:AX21"/>
    <mergeCell ref="BA20:BA21"/>
    <mergeCell ref="BB20:BB21"/>
    <mergeCell ref="BJ20:BJ21"/>
    <mergeCell ref="BC20:BC21"/>
    <mergeCell ref="BG20:BG21"/>
    <mergeCell ref="BF20:BF21"/>
    <mergeCell ref="AX18:AX19"/>
    <mergeCell ref="BA18:BA19"/>
    <mergeCell ref="BB18:BB19"/>
    <mergeCell ref="BJ18:BJ19"/>
    <mergeCell ref="BC18:BC19"/>
    <mergeCell ref="BG18:BG19"/>
    <mergeCell ref="BF18:BF19"/>
    <mergeCell ref="BY24:BY25"/>
    <mergeCell ref="BK24:BK25"/>
    <mergeCell ref="BR24:BR25"/>
    <mergeCell ref="BV24:BV25"/>
    <mergeCell ref="BT24:BT25"/>
    <mergeCell ref="BW24:BW25"/>
    <mergeCell ref="BU24:BU25"/>
    <mergeCell ref="AY18:AY19"/>
    <mergeCell ref="AZ18:AZ19"/>
    <mergeCell ref="BD18:BD19"/>
    <mergeCell ref="BE18:BE19"/>
    <mergeCell ref="BH18:BH19"/>
    <mergeCell ref="BI18:BI19"/>
    <mergeCell ref="BL18:BL19"/>
    <mergeCell ref="BM18:BM19"/>
    <mergeCell ref="BQ18:BQ19"/>
    <mergeCell ref="BS18:BS19"/>
    <mergeCell ref="BY20:BY21"/>
    <mergeCell ref="BY22:BY23"/>
    <mergeCell ref="BK22:BK23"/>
    <mergeCell ref="BP22:BP23"/>
    <mergeCell ref="BR16:BR17"/>
    <mergeCell ref="BV16:BV17"/>
    <mergeCell ref="BT16:BT17"/>
    <mergeCell ref="BW16:BW17"/>
    <mergeCell ref="BU16:BU17"/>
    <mergeCell ref="BY16:BY17"/>
    <mergeCell ref="BK16:BK17"/>
    <mergeCell ref="BP16:BP17"/>
    <mergeCell ref="BN18:BN19"/>
    <mergeCell ref="BO18:BO19"/>
    <mergeCell ref="BR18:BR19"/>
    <mergeCell ref="BV18:BV19"/>
    <mergeCell ref="BT18:BT19"/>
    <mergeCell ref="BW18:BW19"/>
    <mergeCell ref="BU18:BU19"/>
    <mergeCell ref="BY18:BY19"/>
    <mergeCell ref="BK18:BK19"/>
    <mergeCell ref="BN16:BN17"/>
    <mergeCell ref="BO16:BO17"/>
    <mergeCell ref="BP18:BP19"/>
    <mergeCell ref="BN20:BN21"/>
    <mergeCell ref="BX18:BX19"/>
    <mergeCell ref="BQ16:BQ17"/>
    <mergeCell ref="Z76:AC77"/>
    <mergeCell ref="Z16:AC17"/>
    <mergeCell ref="Z18:AC19"/>
    <mergeCell ref="Z20:AC21"/>
    <mergeCell ref="Z22:AC23"/>
    <mergeCell ref="Z24:AC25"/>
    <mergeCell ref="Z26:AC27"/>
    <mergeCell ref="Z28:AC29"/>
    <mergeCell ref="Z30:AC31"/>
    <mergeCell ref="Z32:AC33"/>
    <mergeCell ref="Z34:AC35"/>
    <mergeCell ref="Z36:AC37"/>
    <mergeCell ref="Z38:AC39"/>
    <mergeCell ref="Z40:AC41"/>
    <mergeCell ref="Z42:AC43"/>
    <mergeCell ref="Z44:AC45"/>
    <mergeCell ref="Z46:AC47"/>
    <mergeCell ref="Z58:AC59"/>
    <mergeCell ref="Z60:AC61"/>
    <mergeCell ref="Z62:AC63"/>
    <mergeCell ref="Z64:AC65"/>
    <mergeCell ref="Z66:AC67"/>
    <mergeCell ref="Z70:AC71"/>
    <mergeCell ref="Z72:AC73"/>
    <mergeCell ref="AR28:AU29"/>
    <mergeCell ref="AF24:AG25"/>
    <mergeCell ref="AL24:AN25"/>
    <mergeCell ref="AO24:AQ25"/>
    <mergeCell ref="AR24:AU25"/>
    <mergeCell ref="AH24:AI25"/>
    <mergeCell ref="AJ24:AK25"/>
    <mergeCell ref="AR32:AU33"/>
    <mergeCell ref="AH32:AI33"/>
    <mergeCell ref="AJ32:AK33"/>
    <mergeCell ref="AR38:AU39"/>
    <mergeCell ref="AH38:AI39"/>
    <mergeCell ref="AJ38:AK39"/>
    <mergeCell ref="AX16:AX17"/>
    <mergeCell ref="BA16:BA17"/>
    <mergeCell ref="BB16:BB17"/>
    <mergeCell ref="BJ16:BJ17"/>
    <mergeCell ref="BC16:BC17"/>
    <mergeCell ref="BG16:BG17"/>
    <mergeCell ref="AR30:AU31"/>
    <mergeCell ref="AH30:AI31"/>
    <mergeCell ref="AX22:AX23"/>
    <mergeCell ref="BA22:BA23"/>
    <mergeCell ref="BB22:BB23"/>
    <mergeCell ref="BJ22:BJ23"/>
    <mergeCell ref="BC22:BC23"/>
    <mergeCell ref="BG22:BG23"/>
    <mergeCell ref="BF22:BF23"/>
    <mergeCell ref="AX30:AX31"/>
    <mergeCell ref="BA30:BA31"/>
    <mergeCell ref="BB30:BB31"/>
    <mergeCell ref="BJ30:BJ31"/>
    <mergeCell ref="W48:Y49"/>
    <mergeCell ref="W50:Y51"/>
    <mergeCell ref="AO26:AQ27"/>
    <mergeCell ref="AL38:AN39"/>
    <mergeCell ref="AO38:AQ39"/>
    <mergeCell ref="AJ50:AK51"/>
    <mergeCell ref="AD48:AE49"/>
    <mergeCell ref="AF48:AG49"/>
    <mergeCell ref="AH48:AI49"/>
    <mergeCell ref="AJ48:AK49"/>
    <mergeCell ref="AL50:AN51"/>
    <mergeCell ref="W54:Y55"/>
    <mergeCell ref="W56:Y57"/>
    <mergeCell ref="A4:E6"/>
    <mergeCell ref="A7:E8"/>
    <mergeCell ref="G18:J19"/>
    <mergeCell ref="K18:L19"/>
    <mergeCell ref="M18:N19"/>
    <mergeCell ref="AF20:AG21"/>
    <mergeCell ref="AL20:AN21"/>
    <mergeCell ref="AO20:AQ21"/>
    <mergeCell ref="W18:Y19"/>
    <mergeCell ref="W20:Y21"/>
    <mergeCell ref="G38:J39"/>
    <mergeCell ref="AF32:AG33"/>
    <mergeCell ref="M38:N39"/>
    <mergeCell ref="K38:L39"/>
    <mergeCell ref="AF38:AG39"/>
    <mergeCell ref="C22:D23"/>
    <mergeCell ref="O24:P25"/>
    <mergeCell ref="AH18:AI19"/>
    <mergeCell ref="B28:B29"/>
    <mergeCell ref="B24:B25"/>
    <mergeCell ref="B22:B23"/>
    <mergeCell ref="B20:B21"/>
    <mergeCell ref="B18:B19"/>
    <mergeCell ref="N9:Q11"/>
    <mergeCell ref="R9:U11"/>
    <mergeCell ref="V9:Y11"/>
    <mergeCell ref="Z9:AC11"/>
    <mergeCell ref="AD9:AG11"/>
    <mergeCell ref="C24:D25"/>
    <mergeCell ref="E24:F25"/>
    <mergeCell ref="G24:J25"/>
    <mergeCell ref="K24:L25"/>
    <mergeCell ref="M24:N25"/>
    <mergeCell ref="AF26:AG27"/>
    <mergeCell ref="C26:D27"/>
    <mergeCell ref="E26:F27"/>
    <mergeCell ref="G26:J27"/>
    <mergeCell ref="C16:D17"/>
    <mergeCell ref="C20:D21"/>
    <mergeCell ref="E20:F21"/>
    <mergeCell ref="G20:J21"/>
    <mergeCell ref="K20:L21"/>
    <mergeCell ref="M20:N21"/>
    <mergeCell ref="AF18:AG19"/>
    <mergeCell ref="O18:P19"/>
    <mergeCell ref="C18:D19"/>
    <mergeCell ref="E18:F19"/>
    <mergeCell ref="J9:M11"/>
    <mergeCell ref="E22:F23"/>
    <mergeCell ref="G22:J23"/>
    <mergeCell ref="K22:L23"/>
    <mergeCell ref="O200:AI201"/>
    <mergeCell ref="B46:B47"/>
    <mergeCell ref="B44:B45"/>
    <mergeCell ref="B42:B43"/>
    <mergeCell ref="B40:B41"/>
    <mergeCell ref="B38:B39"/>
    <mergeCell ref="B36:B37"/>
    <mergeCell ref="B34:B35"/>
    <mergeCell ref="B32:B33"/>
    <mergeCell ref="C36:D37"/>
    <mergeCell ref="E36:F37"/>
    <mergeCell ref="G36:J37"/>
    <mergeCell ref="K36:L37"/>
    <mergeCell ref="M36:N37"/>
    <mergeCell ref="AF34:AG35"/>
    <mergeCell ref="C34:D35"/>
    <mergeCell ref="E34:F35"/>
    <mergeCell ref="G34:J35"/>
    <mergeCell ref="K34:L35"/>
    <mergeCell ref="M34:N35"/>
    <mergeCell ref="AF36:AG37"/>
    <mergeCell ref="W76:Y77"/>
    <mergeCell ref="C40:D41"/>
    <mergeCell ref="E40:F41"/>
    <mergeCell ref="G40:J41"/>
    <mergeCell ref="C32:D33"/>
    <mergeCell ref="E32:F33"/>
    <mergeCell ref="G32:J33"/>
    <mergeCell ref="K32:L33"/>
    <mergeCell ref="M32:N33"/>
    <mergeCell ref="C38:D39"/>
    <mergeCell ref="E38:F39"/>
    <mergeCell ref="C30:D31"/>
    <mergeCell ref="E30:F31"/>
    <mergeCell ref="G30:J31"/>
    <mergeCell ref="C28:D29"/>
    <mergeCell ref="E28:F29"/>
    <mergeCell ref="G28:J29"/>
    <mergeCell ref="K28:L29"/>
    <mergeCell ref="M28:N29"/>
    <mergeCell ref="M52:N53"/>
    <mergeCell ref="O52:P53"/>
    <mergeCell ref="B30:B31"/>
    <mergeCell ref="AT1:AW3"/>
    <mergeCell ref="G16:J17"/>
    <mergeCell ref="M16:N17"/>
    <mergeCell ref="O16:P17"/>
    <mergeCell ref="Q16:R17"/>
    <mergeCell ref="S16:V17"/>
    <mergeCell ref="AD16:AE17"/>
    <mergeCell ref="AF16:AG17"/>
    <mergeCell ref="AH16:AK16"/>
    <mergeCell ref="AH17:AI17"/>
    <mergeCell ref="J1:M3"/>
    <mergeCell ref="AL1:AO3"/>
    <mergeCell ref="AP1:AS3"/>
    <mergeCell ref="T14:W14"/>
    <mergeCell ref="X14:AA14"/>
    <mergeCell ref="AB14:AE14"/>
    <mergeCell ref="E16:F17"/>
    <mergeCell ref="AL16:AN17"/>
    <mergeCell ref="K16:L17"/>
    <mergeCell ref="F1:I3"/>
    <mergeCell ref="B26:B27"/>
    <mergeCell ref="M22:N23"/>
    <mergeCell ref="AO18:AQ19"/>
    <mergeCell ref="AJ18:AK19"/>
    <mergeCell ref="S22:V23"/>
    <mergeCell ref="AD22:AE23"/>
    <mergeCell ref="AR22:AU23"/>
    <mergeCell ref="AF22:AG23"/>
    <mergeCell ref="AL22:AN23"/>
    <mergeCell ref="AO22:AQ23"/>
    <mergeCell ref="AO16:AQ17"/>
    <mergeCell ref="AR16:AU17"/>
    <mergeCell ref="AJ17:AK17"/>
    <mergeCell ref="Q18:R19"/>
    <mergeCell ref="S18:V19"/>
    <mergeCell ref="AD18:AE19"/>
    <mergeCell ref="W16:Y17"/>
    <mergeCell ref="W22:Y23"/>
    <mergeCell ref="AH9:AK11"/>
    <mergeCell ref="AL9:AO11"/>
    <mergeCell ref="O20:P21"/>
    <mergeCell ref="AD20:AE21"/>
    <mergeCell ref="AR18:AU19"/>
    <mergeCell ref="Q24:R25"/>
    <mergeCell ref="S24:V25"/>
    <mergeCell ref="AD24:AE25"/>
    <mergeCell ref="AR20:AU21"/>
    <mergeCell ref="AH20:AI21"/>
    <mergeCell ref="AJ20:AK21"/>
    <mergeCell ref="Q20:R21"/>
    <mergeCell ref="S20:V21"/>
    <mergeCell ref="AH22:AI23"/>
    <mergeCell ref="AR26:AU27"/>
    <mergeCell ref="AH26:AI27"/>
    <mergeCell ref="AJ26:AK27"/>
    <mergeCell ref="O26:P27"/>
    <mergeCell ref="Q26:R27"/>
    <mergeCell ref="S26:V27"/>
    <mergeCell ref="AD26:AE27"/>
    <mergeCell ref="T12:W13"/>
    <mergeCell ref="X12:AA13"/>
    <mergeCell ref="AB12:AE13"/>
    <mergeCell ref="AJ22:AK23"/>
    <mergeCell ref="O22:P23"/>
    <mergeCell ref="Q22:R23"/>
    <mergeCell ref="AL18:AN19"/>
    <mergeCell ref="AM13:AU14"/>
    <mergeCell ref="W24:Y25"/>
    <mergeCell ref="W26:Y27"/>
    <mergeCell ref="O30:P31"/>
    <mergeCell ref="Q30:R31"/>
    <mergeCell ref="S30:V31"/>
    <mergeCell ref="AD30:AE31"/>
    <mergeCell ref="K26:L27"/>
    <mergeCell ref="M26:N27"/>
    <mergeCell ref="AF28:AG29"/>
    <mergeCell ref="AL28:AN29"/>
    <mergeCell ref="AO28:AQ29"/>
    <mergeCell ref="K30:L31"/>
    <mergeCell ref="M30:N31"/>
    <mergeCell ref="AH28:AI29"/>
    <mergeCell ref="AJ28:AK29"/>
    <mergeCell ref="O28:P29"/>
    <mergeCell ref="Q28:R29"/>
    <mergeCell ref="S28:V29"/>
    <mergeCell ref="AD28:AE29"/>
    <mergeCell ref="AF30:AG31"/>
    <mergeCell ref="AL30:AN31"/>
    <mergeCell ref="AO30:AQ31"/>
    <mergeCell ref="AL26:AN27"/>
    <mergeCell ref="AJ30:AK31"/>
    <mergeCell ref="W28:Y29"/>
    <mergeCell ref="W30:Y31"/>
    <mergeCell ref="O32:P33"/>
    <mergeCell ref="Q32:R33"/>
    <mergeCell ref="S32:V33"/>
    <mergeCell ref="AD32:AE33"/>
    <mergeCell ref="AL36:AN37"/>
    <mergeCell ref="AO36:AQ37"/>
    <mergeCell ref="AR36:AU37"/>
    <mergeCell ref="AH36:AI37"/>
    <mergeCell ref="AJ36:AK37"/>
    <mergeCell ref="O36:P37"/>
    <mergeCell ref="Q36:R37"/>
    <mergeCell ref="S36:V37"/>
    <mergeCell ref="AD36:AE37"/>
    <mergeCell ref="AL34:AN35"/>
    <mergeCell ref="AO34:AQ35"/>
    <mergeCell ref="AR34:AU35"/>
    <mergeCell ref="AH34:AI35"/>
    <mergeCell ref="AJ34:AK35"/>
    <mergeCell ref="O34:P35"/>
    <mergeCell ref="Q34:R35"/>
    <mergeCell ref="S34:V35"/>
    <mergeCell ref="AD34:AE35"/>
    <mergeCell ref="AL32:AN33"/>
    <mergeCell ref="AO32:AQ33"/>
    <mergeCell ref="W32:Y33"/>
    <mergeCell ref="W34:Y35"/>
    <mergeCell ref="W36:Y37"/>
    <mergeCell ref="O38:P39"/>
    <mergeCell ref="Q38:R39"/>
    <mergeCell ref="S38:V39"/>
    <mergeCell ref="AD38:AE39"/>
    <mergeCell ref="AR42:AU43"/>
    <mergeCell ref="AH42:AI43"/>
    <mergeCell ref="AJ42:AK43"/>
    <mergeCell ref="O42:P43"/>
    <mergeCell ref="Q42:R43"/>
    <mergeCell ref="S42:V43"/>
    <mergeCell ref="AD42:AE43"/>
    <mergeCell ref="K40:L41"/>
    <mergeCell ref="M40:N41"/>
    <mergeCell ref="AF40:AG41"/>
    <mergeCell ref="AL40:AN41"/>
    <mergeCell ref="AO40:AQ41"/>
    <mergeCell ref="AR40:AU41"/>
    <mergeCell ref="AH40:AI41"/>
    <mergeCell ref="AJ40:AK41"/>
    <mergeCell ref="O40:P41"/>
    <mergeCell ref="Q40:R41"/>
    <mergeCell ref="S40:V41"/>
    <mergeCell ref="AD40:AE41"/>
    <mergeCell ref="W38:Y39"/>
    <mergeCell ref="W40:Y41"/>
    <mergeCell ref="W42:Y43"/>
    <mergeCell ref="C42:D43"/>
    <mergeCell ref="E42:F43"/>
    <mergeCell ref="G42:J43"/>
    <mergeCell ref="K42:L43"/>
    <mergeCell ref="M42:N43"/>
    <mergeCell ref="AF44:AG45"/>
    <mergeCell ref="AL44:AN45"/>
    <mergeCell ref="AO44:AQ45"/>
    <mergeCell ref="AF46:AG47"/>
    <mergeCell ref="AL46:AN47"/>
    <mergeCell ref="C46:D47"/>
    <mergeCell ref="E46:F47"/>
    <mergeCell ref="G46:J47"/>
    <mergeCell ref="K46:L47"/>
    <mergeCell ref="M46:N47"/>
    <mergeCell ref="C44:D45"/>
    <mergeCell ref="E44:F45"/>
    <mergeCell ref="G44:J45"/>
    <mergeCell ref="K44:L45"/>
    <mergeCell ref="M44:N45"/>
    <mergeCell ref="AF42:AG43"/>
    <mergeCell ref="AL42:AN43"/>
    <mergeCell ref="AO42:AQ43"/>
    <mergeCell ref="W44:Y45"/>
    <mergeCell ref="W46:Y47"/>
    <mergeCell ref="C48:D49"/>
    <mergeCell ref="E48:F49"/>
    <mergeCell ref="G48:J49"/>
    <mergeCell ref="K48:L49"/>
    <mergeCell ref="Q48:R49"/>
    <mergeCell ref="Z48:AC49"/>
    <mergeCell ref="Z50:AC51"/>
    <mergeCell ref="AR44:AU45"/>
    <mergeCell ref="AH44:AI45"/>
    <mergeCell ref="AJ44:AK45"/>
    <mergeCell ref="O44:P45"/>
    <mergeCell ref="Q44:R45"/>
    <mergeCell ref="S44:V45"/>
    <mergeCell ref="AD44:AE45"/>
    <mergeCell ref="AO46:AQ47"/>
    <mergeCell ref="AR46:AU47"/>
    <mergeCell ref="AH46:AI47"/>
    <mergeCell ref="AJ46:AK47"/>
    <mergeCell ref="O46:P47"/>
    <mergeCell ref="Q46:R47"/>
    <mergeCell ref="S46:V47"/>
    <mergeCell ref="AD46:AE47"/>
    <mergeCell ref="AO48:AQ49"/>
    <mergeCell ref="AR48:AU49"/>
    <mergeCell ref="AL48:AN49"/>
    <mergeCell ref="E50:F51"/>
    <mergeCell ref="G50:J51"/>
    <mergeCell ref="K50:L51"/>
    <mergeCell ref="M50:N51"/>
    <mergeCell ref="O50:P51"/>
    <mergeCell ref="Q50:R51"/>
    <mergeCell ref="M48:N49"/>
    <mergeCell ref="O48:P49"/>
    <mergeCell ref="S48:V49"/>
    <mergeCell ref="B54:B55"/>
    <mergeCell ref="C54:D55"/>
    <mergeCell ref="E54:F55"/>
    <mergeCell ref="G54:J55"/>
    <mergeCell ref="K54:L55"/>
    <mergeCell ref="M54:N55"/>
    <mergeCell ref="W60:Y61"/>
    <mergeCell ref="B52:B53"/>
    <mergeCell ref="C52:D53"/>
    <mergeCell ref="E52:F53"/>
    <mergeCell ref="G52:J53"/>
    <mergeCell ref="K52:L53"/>
    <mergeCell ref="AF52:AG53"/>
    <mergeCell ref="AH52:AI53"/>
    <mergeCell ref="O54:P55"/>
    <mergeCell ref="Q54:R55"/>
    <mergeCell ref="S54:V55"/>
    <mergeCell ref="AH54:AI55"/>
    <mergeCell ref="B60:B61"/>
    <mergeCell ref="C60:D61"/>
    <mergeCell ref="E60:F61"/>
    <mergeCell ref="G60:J61"/>
    <mergeCell ref="K60:L61"/>
    <mergeCell ref="M60:N61"/>
    <mergeCell ref="M56:N57"/>
    <mergeCell ref="O56:P57"/>
    <mergeCell ref="Q56:R57"/>
    <mergeCell ref="S56:V57"/>
    <mergeCell ref="B48:B49"/>
    <mergeCell ref="AH58:AI59"/>
    <mergeCell ref="B50:B51"/>
    <mergeCell ref="C50:D51"/>
    <mergeCell ref="B66:B67"/>
    <mergeCell ref="C66:D67"/>
    <mergeCell ref="E66:F67"/>
    <mergeCell ref="M66:N67"/>
    <mergeCell ref="O66:P67"/>
    <mergeCell ref="G66:J67"/>
    <mergeCell ref="K66:L67"/>
    <mergeCell ref="Q66:R67"/>
    <mergeCell ref="S66:V67"/>
    <mergeCell ref="AD66:AE67"/>
    <mergeCell ref="AH64:AI65"/>
    <mergeCell ref="M64:N65"/>
    <mergeCell ref="O64:P65"/>
    <mergeCell ref="Q64:R65"/>
    <mergeCell ref="S64:V65"/>
    <mergeCell ref="AF66:AG67"/>
    <mergeCell ref="B56:B57"/>
    <mergeCell ref="C56:D57"/>
    <mergeCell ref="E56:F57"/>
    <mergeCell ref="Q52:R53"/>
    <mergeCell ref="S52:V53"/>
    <mergeCell ref="AD52:AE53"/>
    <mergeCell ref="Z52:AC53"/>
    <mergeCell ref="S50:V51"/>
    <mergeCell ref="AD50:AE51"/>
    <mergeCell ref="AF50:AG51"/>
    <mergeCell ref="AH50:AI51"/>
    <mergeCell ref="W52:Y53"/>
    <mergeCell ref="G56:J57"/>
    <mergeCell ref="K56:L57"/>
    <mergeCell ref="K64:L65"/>
    <mergeCell ref="AD64:AE65"/>
    <mergeCell ref="E62:F63"/>
    <mergeCell ref="G62:J63"/>
    <mergeCell ref="K62:L63"/>
    <mergeCell ref="M62:N63"/>
    <mergeCell ref="O62:P63"/>
    <mergeCell ref="Q62:R63"/>
    <mergeCell ref="S62:V63"/>
    <mergeCell ref="W62:Y63"/>
    <mergeCell ref="W64:Y65"/>
    <mergeCell ref="AD62:AE63"/>
    <mergeCell ref="AF62:AG63"/>
    <mergeCell ref="B58:B59"/>
    <mergeCell ref="C58:D59"/>
    <mergeCell ref="E58:F59"/>
    <mergeCell ref="G58:J59"/>
    <mergeCell ref="K58:L59"/>
    <mergeCell ref="M58:N59"/>
    <mergeCell ref="O58:P59"/>
    <mergeCell ref="Q58:R59"/>
    <mergeCell ref="S58:V59"/>
    <mergeCell ref="AD60:AE61"/>
    <mergeCell ref="AF60:AG61"/>
    <mergeCell ref="AD58:AE59"/>
    <mergeCell ref="AF58:AG59"/>
    <mergeCell ref="O60:P61"/>
    <mergeCell ref="Q60:R61"/>
    <mergeCell ref="C64:D65"/>
    <mergeCell ref="E64:F65"/>
    <mergeCell ref="B72:B73"/>
    <mergeCell ref="C72:D73"/>
    <mergeCell ref="E72:F73"/>
    <mergeCell ref="G72:J73"/>
    <mergeCell ref="K72:L73"/>
    <mergeCell ref="C62:D63"/>
    <mergeCell ref="AD68:AE69"/>
    <mergeCell ref="AF68:AG69"/>
    <mergeCell ref="B70:B71"/>
    <mergeCell ref="C70:D71"/>
    <mergeCell ref="E70:F71"/>
    <mergeCell ref="G70:J71"/>
    <mergeCell ref="K70:L71"/>
    <mergeCell ref="M70:N71"/>
    <mergeCell ref="O70:P71"/>
    <mergeCell ref="Q70:R71"/>
    <mergeCell ref="S70:V71"/>
    <mergeCell ref="W68:Y69"/>
    <mergeCell ref="W70:Y71"/>
    <mergeCell ref="B68:B69"/>
    <mergeCell ref="C68:D69"/>
    <mergeCell ref="E68:F69"/>
    <mergeCell ref="G68:J69"/>
    <mergeCell ref="K68:L69"/>
    <mergeCell ref="M68:N69"/>
    <mergeCell ref="O68:P69"/>
    <mergeCell ref="Q68:R69"/>
    <mergeCell ref="S68:V69"/>
    <mergeCell ref="Z68:AC69"/>
    <mergeCell ref="B64:B65"/>
    <mergeCell ref="B62:B63"/>
    <mergeCell ref="G64:J65"/>
    <mergeCell ref="AO50:AQ51"/>
    <mergeCell ref="AR50:AU51"/>
    <mergeCell ref="AO64:AQ65"/>
    <mergeCell ref="AR64:AU65"/>
    <mergeCell ref="AR62:AU63"/>
    <mergeCell ref="AJ60:AK61"/>
    <mergeCell ref="AL60:AN61"/>
    <mergeCell ref="AO60:AQ61"/>
    <mergeCell ref="AR60:AU61"/>
    <mergeCell ref="AL58:AN59"/>
    <mergeCell ref="AO58:AQ59"/>
    <mergeCell ref="AR58:AU59"/>
    <mergeCell ref="AO56:AQ57"/>
    <mergeCell ref="AR56:AU57"/>
    <mergeCell ref="AO52:AQ53"/>
    <mergeCell ref="AR52:AU53"/>
    <mergeCell ref="AJ52:AK53"/>
    <mergeCell ref="AO54:AQ55"/>
    <mergeCell ref="AL62:AN63"/>
    <mergeCell ref="AL52:AN53"/>
    <mergeCell ref="AJ62:AK63"/>
    <mergeCell ref="AJ64:AK65"/>
    <mergeCell ref="AJ54:AK55"/>
    <mergeCell ref="AL54:AN55"/>
    <mergeCell ref="AO66:AQ67"/>
    <mergeCell ref="AR66:AU67"/>
    <mergeCell ref="AR70:AU71"/>
    <mergeCell ref="AJ68:AK69"/>
    <mergeCell ref="AL68:AN69"/>
    <mergeCell ref="AO68:AQ69"/>
    <mergeCell ref="AR68:AU69"/>
    <mergeCell ref="AH70:AI71"/>
    <mergeCell ref="AJ70:AK71"/>
    <mergeCell ref="AL70:AN71"/>
    <mergeCell ref="AO70:AQ71"/>
    <mergeCell ref="AH68:AI69"/>
    <mergeCell ref="S60:V61"/>
    <mergeCell ref="W58:Y59"/>
    <mergeCell ref="W74:Y75"/>
    <mergeCell ref="Z74:AC75"/>
    <mergeCell ref="AH60:AI61"/>
    <mergeCell ref="W72:Y73"/>
    <mergeCell ref="AH66:AI67"/>
    <mergeCell ref="AJ66:AK67"/>
    <mergeCell ref="AH62:AI63"/>
    <mergeCell ref="W66:Y67"/>
    <mergeCell ref="AF64:AG65"/>
    <mergeCell ref="M76:N77"/>
    <mergeCell ref="O76:P77"/>
    <mergeCell ref="AD54:AE55"/>
    <mergeCell ref="AF54:AG55"/>
    <mergeCell ref="AF56:AG57"/>
    <mergeCell ref="AH56:AI57"/>
    <mergeCell ref="AJ56:AK57"/>
    <mergeCell ref="AL56:AN57"/>
    <mergeCell ref="Z54:AC55"/>
    <mergeCell ref="Z56:AC57"/>
    <mergeCell ref="AR54:AU55"/>
    <mergeCell ref="M74:N75"/>
    <mergeCell ref="O74:P75"/>
    <mergeCell ref="Q74:R75"/>
    <mergeCell ref="S74:V75"/>
    <mergeCell ref="AD74:AE75"/>
    <mergeCell ref="AH74:AI75"/>
    <mergeCell ref="AJ74:AK75"/>
    <mergeCell ref="AD72:AE73"/>
    <mergeCell ref="AF72:AG73"/>
    <mergeCell ref="AH72:AI73"/>
    <mergeCell ref="AJ72:AK73"/>
    <mergeCell ref="AD70:AE71"/>
    <mergeCell ref="AF70:AG71"/>
    <mergeCell ref="M72:N73"/>
    <mergeCell ref="O72:P73"/>
    <mergeCell ref="Q72:R73"/>
    <mergeCell ref="S72:V73"/>
    <mergeCell ref="AD56:AE57"/>
    <mergeCell ref="Q76:R77"/>
    <mergeCell ref="S76:V77"/>
    <mergeCell ref="AL66:AN67"/>
    <mergeCell ref="N1:T3"/>
    <mergeCell ref="U1:AK3"/>
    <mergeCell ref="AS5:AW6"/>
    <mergeCell ref="AS7:AW7"/>
    <mergeCell ref="AS8:AW8"/>
    <mergeCell ref="AD76:AE77"/>
    <mergeCell ref="AF76:AG77"/>
    <mergeCell ref="AH76:AI77"/>
    <mergeCell ref="AO72:AQ73"/>
    <mergeCell ref="AR72:AU73"/>
    <mergeCell ref="B74:B75"/>
    <mergeCell ref="C74:D75"/>
    <mergeCell ref="E74:F75"/>
    <mergeCell ref="G74:J75"/>
    <mergeCell ref="K74:L75"/>
    <mergeCell ref="AJ76:AK77"/>
    <mergeCell ref="AL76:AN77"/>
    <mergeCell ref="AO76:AQ77"/>
    <mergeCell ref="AR76:AU77"/>
    <mergeCell ref="AL74:AN75"/>
    <mergeCell ref="AO74:AQ75"/>
    <mergeCell ref="AR74:AU75"/>
    <mergeCell ref="AL72:AN73"/>
    <mergeCell ref="B76:B77"/>
    <mergeCell ref="C76:D77"/>
    <mergeCell ref="E76:F77"/>
    <mergeCell ref="AO62:AQ63"/>
    <mergeCell ref="AJ58:AK59"/>
    <mergeCell ref="AL64:AN65"/>
    <mergeCell ref="AF74:AG75"/>
    <mergeCell ref="G76:J77"/>
    <mergeCell ref="K76:L77"/>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28:BZ29"/>
    <mergeCell ref="CA28:CA29"/>
    <mergeCell ref="CB28:CB29"/>
    <mergeCell ref="CC28:CC29"/>
    <mergeCell ref="BZ30:BZ31"/>
    <mergeCell ref="CA30:CA31"/>
    <mergeCell ref="CB30:CB31"/>
    <mergeCell ref="CC30:CC31"/>
    <mergeCell ref="BZ32:BZ33"/>
    <mergeCell ref="CA32:CA33"/>
    <mergeCell ref="CB32:CB33"/>
    <mergeCell ref="CC32:CC33"/>
    <mergeCell ref="BZ34:BZ35"/>
    <mergeCell ref="CA34:CA35"/>
    <mergeCell ref="CB34:CB35"/>
    <mergeCell ref="CC34:CC35"/>
    <mergeCell ref="CB54:CB55"/>
    <mergeCell ref="CC54:CC55"/>
    <mergeCell ref="BZ36:BZ37"/>
    <mergeCell ref="CA36:CA37"/>
    <mergeCell ref="CB36:CB37"/>
    <mergeCell ref="CC36:CC37"/>
    <mergeCell ref="BZ38:BZ39"/>
    <mergeCell ref="CA38:CA39"/>
    <mergeCell ref="CB38:CB39"/>
    <mergeCell ref="CC38:CC39"/>
    <mergeCell ref="BZ40:BZ41"/>
    <mergeCell ref="CA40:CA41"/>
    <mergeCell ref="CB40:CB41"/>
    <mergeCell ref="CC40:CC41"/>
    <mergeCell ref="BZ42:BZ43"/>
    <mergeCell ref="CA42:CA43"/>
    <mergeCell ref="CB42:CB43"/>
    <mergeCell ref="CC42:CC43"/>
    <mergeCell ref="BZ44:BZ45"/>
    <mergeCell ref="CA44:CA45"/>
    <mergeCell ref="CB44:CB45"/>
    <mergeCell ref="CC44:CC45"/>
    <mergeCell ref="CB58:CB59"/>
    <mergeCell ref="CC58:CC59"/>
    <mergeCell ref="BZ60:BZ61"/>
    <mergeCell ref="CA60:CA61"/>
    <mergeCell ref="CB60:CB61"/>
    <mergeCell ref="CC60:CC61"/>
    <mergeCell ref="BZ62:BZ63"/>
    <mergeCell ref="CA62:CA63"/>
    <mergeCell ref="CB62:CB63"/>
    <mergeCell ref="CC62:CC63"/>
    <mergeCell ref="BZ64:BZ65"/>
    <mergeCell ref="CA64:CA65"/>
    <mergeCell ref="CB64:CB65"/>
    <mergeCell ref="CC64:CC65"/>
    <mergeCell ref="BZ46:BZ47"/>
    <mergeCell ref="CA46:CA47"/>
    <mergeCell ref="CB46:CB47"/>
    <mergeCell ref="CC46:CC47"/>
    <mergeCell ref="BZ48:BZ49"/>
    <mergeCell ref="CA48:CA49"/>
    <mergeCell ref="CB48:CB49"/>
    <mergeCell ref="CC48:CC49"/>
    <mergeCell ref="BZ50:BZ51"/>
    <mergeCell ref="CA50:CA51"/>
    <mergeCell ref="CB50:CB51"/>
    <mergeCell ref="CC50:CC51"/>
    <mergeCell ref="BZ52:BZ53"/>
    <mergeCell ref="CA52:CA53"/>
    <mergeCell ref="CB52:CB53"/>
    <mergeCell ref="CC52:CC53"/>
    <mergeCell ref="BZ54:BZ55"/>
    <mergeCell ref="CA54:CA55"/>
    <mergeCell ref="BZ76:BZ77"/>
    <mergeCell ref="CA76:CA77"/>
    <mergeCell ref="CB76:CB77"/>
    <mergeCell ref="CC76:CC77"/>
    <mergeCell ref="BH16:BH17"/>
    <mergeCell ref="BI16:BI17"/>
    <mergeCell ref="BZ66:BZ67"/>
    <mergeCell ref="CA66:CA67"/>
    <mergeCell ref="CB66:CB67"/>
    <mergeCell ref="CC66:CC67"/>
    <mergeCell ref="BZ68:BZ69"/>
    <mergeCell ref="CA68:CA69"/>
    <mergeCell ref="CB68:CB69"/>
    <mergeCell ref="CC68:CC69"/>
    <mergeCell ref="BZ70:BZ71"/>
    <mergeCell ref="CA70:CA71"/>
    <mergeCell ref="CB70:CB71"/>
    <mergeCell ref="CC70:CC71"/>
    <mergeCell ref="BZ72:BZ73"/>
    <mergeCell ref="CA72:CA73"/>
    <mergeCell ref="CB72:CB73"/>
    <mergeCell ref="CC72:CC73"/>
    <mergeCell ref="BZ74:BZ75"/>
    <mergeCell ref="CA74:CA75"/>
    <mergeCell ref="CB74:CB75"/>
    <mergeCell ref="CC74:CC75"/>
    <mergeCell ref="BZ56:BZ57"/>
    <mergeCell ref="CA56:CA57"/>
    <mergeCell ref="CB56:CB57"/>
    <mergeCell ref="CC56:CC57"/>
    <mergeCell ref="BZ58:BZ59"/>
    <mergeCell ref="CA58:CA59"/>
  </mergeCells>
  <conditionalFormatting sqref="E18:V77 Z18:AK77">
    <cfRule type="expression" dxfId="94" priority="12">
      <formula>AND(ISBLANK($C18)=FALSE,OR(ISBLANK(E18)=TRUE,E18=""))</formula>
    </cfRule>
  </conditionalFormatting>
  <conditionalFormatting sqref="O18:P77">
    <cfRule type="expression" dxfId="93" priority="2">
      <formula>IF($O18&lt;&gt;INDEX(CMELIGHTBASEW,MATCH(G18,CMELIGHTBASE1,0)),TRUE,FALSE)</formula>
    </cfRule>
  </conditionalFormatting>
  <conditionalFormatting sqref="AR18:AU77">
    <cfRule type="expression" dxfId="92" priority="1388" stopIfTrue="1">
      <formula>ISNUMBER($AR18)=FALSE</formula>
    </cfRule>
    <cfRule type="expression" dxfId="91" priority="1389">
      <formula>$AR18 &lt;&gt; #REF!</formula>
    </cfRule>
  </conditionalFormatting>
  <conditionalFormatting sqref="AS8:AW8">
    <cfRule type="expression" dxfId="90" priority="7">
      <formula>IF($AS$8=PROJSTATMEASURE,FALSE,TRUE)</formula>
    </cfRule>
  </conditionalFormatting>
  <dataValidations xWindow="1448" yWindow="777" count="11">
    <dataValidation type="decimal" allowBlank="1" showInputMessage="1" showErrorMessage="1" promptTitle="Incremental Cost" prompt="This is the difference between actual cost of installed Equipment and the cost of the hypothetical baseline." sqref="AH18:AI77" xr:uid="{CE83EFE3-4D4C-4561-A15B-29D7FF850794}">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77" xr:uid="{1169B241-57CD-4FA4-9C70-1BF6E0598EC6}">
      <formula1>0</formula1>
      <formula2>999999999</formula2>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whole" operator="greaterThanOrEqual" allowBlank="1" showInputMessage="1" showErrorMessage="1" errorTitle="Invalid Entry" error="Value must be a whole number." sqref="M18:N77 AD18:AE77" xr:uid="{AB3841D7-CF13-49C4-BDE1-E887D7777A49}">
      <formula1>0</formula1>
    </dataValidation>
    <dataValidation type="whole" allowBlank="1" showInputMessage="1" showErrorMessage="1" prompt="Enter annual operating hours for lamp/fixture._x000a_(Ex: 8 hours/day * 5 days/week * 52 weeks/year = 2080 hours/year)" sqref="Q18:R77" xr:uid="{84800BE9-AB21-44D6-A700-CF6A3B8264E7}">
      <formula1>0</formula1>
      <formula2>8760</formula2>
    </dataValidation>
    <dataValidation type="decimal" operator="greaterThanOrEqual" allowBlank="1" showInputMessage="1" showErrorMessage="1" sqref="AF18:AG77 O18:P77" xr:uid="{33FCBBF7-0350-44CA-A249-5DC9AEFD37AF}">
      <formula1>0</formula1>
    </dataValidation>
    <dataValidation allowBlank="1" showInputMessage="1" showErrorMessage="1" prompt="Install Location should describe the area where the equipment installed. (e.g. Room 201, Garage, Mechanical Room)" sqref="C18:D77" xr:uid="{D0D6F855-E328-4F50-BE25-5E8CE3A34F8A}"/>
    <dataValidation allowBlank="1" showInputMessage="1" showErrorMessage="1" prompt="Enter the Brand and Model # as it appears in technical documents and invoices." sqref="W18 W20 W22 W24 W26 W28 W30 W32 W34 W36 W38 W40 W42 W44 W46 W48 W50 W52 W54 W56 W58 W60 W62 W64 W66 W68 W70 W72 W74 W76 Z20 Z18 Z22 Z24 Z26 Z28 Z30 Z32 Z34 Z36 Z38 Z40 Z42 Z44 Z46 Z48 Z50 Z52 Z54 Z56 Z58 Z60 Z62 Z64 Z66 Z68 Z70 Z72 Z74 Z76" xr:uid="{E182587A-2CFE-485B-9F39-881A9993EC10}"/>
    <dataValidation type="list" allowBlank="1" showInputMessage="1" showErrorMessage="1" sqref="S18:V77" xr:uid="{C1CB6AD5-D357-4620-9001-3C7E4E7AA400}">
      <formula1>CMELIGHTEFF1</formula1>
    </dataValidation>
    <dataValidation type="list" allowBlank="1" showInputMessage="1" sqref="BC18:BC77" xr:uid="{FA64FDA5-21C8-4A64-A44C-B42B904FD560}">
      <formula1>ENDUSECAT</formula1>
    </dataValidation>
  </dataValidations>
  <hyperlinks>
    <hyperlink ref="B202" r:id="rId1" display="businessrebates@evergy.com" xr:uid="{F18C8A1F-AB9C-4F78-9874-84DF3C7B7E2C}"/>
    <hyperlink ref="J1:M3" location="'M01-S02'!J1" tooltip="Instructions" display="'M01-S02'!J1" xr:uid="{AFD0B7A6-BB4C-4BE0-B3D8-68159CC04DE1}"/>
    <hyperlink ref="AP1:AS3" location="'M05-S05'!AL1" tooltip=" " display="'M05-S05'!AL1" xr:uid="{2FA6892F-4195-432A-AF42-BAF219DE5BFD}"/>
    <hyperlink ref="AL1:AO3" location="'M05-S04'!AH1" tooltip=" " display="'M05-S04'!AH1" xr:uid="{A874A771-5BDE-44A4-A8C8-7D1824FCD3ED}"/>
    <hyperlink ref="AT1:AW3" location="'M01-S03'!AP1" tooltip="Contact" display="'M01-S03'!AP1" xr:uid="{80B6E5F1-CA43-4A9B-8A78-71444678F6BE}"/>
    <hyperlink ref="N9:Q11" location="'M04-S03'!A1" tooltip="Lighting Controls" display="'M04-S03'!A1" xr:uid="{F8EDDA36-7A7C-47FA-850E-D4AC6B84E846}"/>
    <hyperlink ref="R9:U11" location="'M04-S04'!A1" tooltip="Refrigeration" display="'M04-S04'!A1" xr:uid="{F86A0744-1D64-4599-ACE2-F85DED2D883F}"/>
    <hyperlink ref="V9:Y11" location="'M04-S05'!A1" tooltip="HVAC" display="'M04-S05'!A1" xr:uid="{45770602-E578-46E2-8C9C-596E4E44D242}"/>
    <hyperlink ref="AD9:AG11" location="'M04-S06'!A1" tooltip="Compressed Air / Process" display="'M04-S06'!A1" xr:uid="{D827371F-4E9E-416E-9FDD-766FA0206F92}"/>
    <hyperlink ref="AH9:AK11" location="'M04-S07'!A1" tooltip="Water Heating / Cooking" display="'M04-S07'!A1" xr:uid="{5E487FE9-71A3-49FF-B04E-4CF5F6934D67}"/>
    <hyperlink ref="Z9:AC11" location="'M04-S08'!A1" tooltip="Motors and Drives" display="'M04-S08'!A1" xr:uid="{8DBADC23-B221-401B-9251-8F84C2CF2CC8}"/>
    <hyperlink ref="AL9:AO11" location="'M04-S09'!A1" tooltip="Miscellaneous" display="'M04-S09'!A1" xr:uid="{FFE10123-7568-4CA5-AB38-67FB16159C93}"/>
    <hyperlink ref="J9:M11" location="'M04-S02'!A1" tooltip="Lighting" display="'M04-S02'!A1" xr:uid="{FB1260D0-2055-4883-887D-159510360ACE}"/>
  </hyperlinks>
  <printOptions horizontalCentered="1"/>
  <pageMargins left="0" right="0" top="0" bottom="0" header="0" footer="0"/>
  <pageSetup scale="43"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theme="8" tint="0.59999389629810485"/>
    <pageSetUpPr fitToPage="1"/>
  </sheetPr>
  <dimension ref="A1:CW204"/>
  <sheetViews>
    <sheetView showGridLines="0" showRowColHeaders="0" zoomScale="85" zoomScaleNormal="85" workbookViewId="0">
      <selection activeCell="C18" sqref="C18:L19"/>
    </sheetView>
  </sheetViews>
  <sheetFormatPr defaultColWidth="0" defaultRowHeight="1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4"/>
      <c r="G5" s="374"/>
      <c r="H5" s="374"/>
      <c r="I5" s="374"/>
      <c r="AS5" s="988">
        <f ca="1">PROGRESSSTATUS</f>
        <v>0</v>
      </c>
      <c r="AT5" s="988"/>
      <c r="AU5" s="988"/>
      <c r="AV5" s="988"/>
      <c r="AW5" s="988"/>
      <c r="AX5" s="17"/>
      <c r="AY5" s="108" t="s">
        <v>933</v>
      </c>
      <c r="AZ5" s="108" t="s">
        <v>325</v>
      </c>
      <c r="BA5" s="45"/>
      <c r="BB5" s="45"/>
    </row>
    <row r="6" spans="1:81" ht="15.95" customHeight="1">
      <c r="A6" s="692"/>
      <c r="B6" s="692"/>
      <c r="C6" s="692"/>
      <c r="D6" s="692"/>
      <c r="E6" s="692"/>
      <c r="F6" s="374"/>
      <c r="G6" s="374"/>
      <c r="H6" s="374"/>
      <c r="I6" s="374"/>
      <c r="AS6" s="988"/>
      <c r="AT6" s="988"/>
      <c r="AU6" s="988"/>
      <c r="AV6" s="988"/>
      <c r="AW6" s="988"/>
      <c r="AX6" s="107" t="s">
        <v>938</v>
      </c>
      <c r="AY6" s="106" t="str">
        <f>CBPRESE</f>
        <v>NA</v>
      </c>
      <c r="AZ6" s="165" t="str">
        <f>PAYPRESE</f>
        <v>NA</v>
      </c>
      <c r="BA6" s="45"/>
      <c r="BB6" s="45"/>
    </row>
    <row r="7" spans="1:81" ht="15.95" customHeight="1">
      <c r="A7" s="662" t="s">
        <v>83</v>
      </c>
      <c r="B7" s="662"/>
      <c r="C7" s="662"/>
      <c r="D7" s="662"/>
      <c r="E7" s="662"/>
      <c r="F7" s="75"/>
      <c r="G7" s="75"/>
      <c r="H7" s="75"/>
      <c r="I7" s="75"/>
      <c r="AS7" s="662" t="s">
        <v>299</v>
      </c>
      <c r="AT7" s="662"/>
      <c r="AU7" s="662"/>
      <c r="AV7" s="662"/>
      <c r="AW7" s="662"/>
      <c r="AX7" s="107" t="s">
        <v>135</v>
      </c>
      <c r="AY7" s="106" t="str">
        <f>CBCUSE</f>
        <v>NA</v>
      </c>
      <c r="AZ7" s="165" t="str">
        <f>PAYCUSE</f>
        <v>NA</v>
      </c>
      <c r="BA7" s="45"/>
      <c r="BB7" s="45"/>
    </row>
    <row r="8" spans="1:81" ht="15.95" customHeight="1" thickBot="1">
      <c r="A8" s="665"/>
      <c r="B8" s="665"/>
      <c r="C8" s="665"/>
      <c r="D8" s="665"/>
      <c r="E8" s="665"/>
      <c r="F8" s="373"/>
      <c r="G8" s="373"/>
      <c r="H8" s="373"/>
      <c r="I8" s="75"/>
      <c r="AS8" s="661" t="str">
        <f ca="1">PROJSTATUS</f>
        <v>Enter Measures</v>
      </c>
      <c r="AT8" s="661"/>
      <c r="AU8" s="661"/>
      <c r="AV8" s="661"/>
      <c r="AW8" s="661"/>
      <c r="AX8" s="107" t="s">
        <v>596</v>
      </c>
      <c r="AY8" s="106" t="str">
        <f>CBALL</f>
        <v>NA</v>
      </c>
      <c r="AZ8" s="165" t="str">
        <f>PAYALL</f>
        <v>NA</v>
      </c>
      <c r="BA8" s="45"/>
      <c r="BB8" s="45"/>
    </row>
    <row r="9" spans="1:81" s="78" customFormat="1" ht="15.95" customHeight="1">
      <c r="B9" s="79"/>
      <c r="C9" s="79"/>
      <c r="D9" s="79"/>
      <c r="E9" s="79"/>
      <c r="F9" s="79"/>
      <c r="G9" s="101"/>
      <c r="H9" s="100"/>
      <c r="I9" s="100"/>
      <c r="J9" s="829" t="str">
        <f>M3S2</f>
        <v>Lighting</v>
      </c>
      <c r="K9" s="830"/>
      <c r="L9" s="830"/>
      <c r="M9" s="830"/>
      <c r="N9" s="842" t="str">
        <f>M3S3</f>
        <v>Lighting Controls</v>
      </c>
      <c r="O9" s="842"/>
      <c r="P9" s="842"/>
      <c r="Q9" s="842"/>
      <c r="R9" s="829" t="str">
        <f>M3S4</f>
        <v>Refrigeration</v>
      </c>
      <c r="S9" s="830"/>
      <c r="T9" s="830"/>
      <c r="U9" s="830"/>
      <c r="V9" s="829" t="str">
        <f>M3S5</f>
        <v>HVAC</v>
      </c>
      <c r="W9" s="830"/>
      <c r="X9" s="830"/>
      <c r="Y9" s="830"/>
      <c r="Z9" s="829" t="str">
        <f>M4S8</f>
        <v>Motors and Drives</v>
      </c>
      <c r="AA9" s="830"/>
      <c r="AB9" s="830"/>
      <c r="AC9" s="830"/>
      <c r="AD9" s="829" t="str">
        <f>M3S6</f>
        <v>Compressed Air / Process</v>
      </c>
      <c r="AE9" s="830"/>
      <c r="AF9" s="830"/>
      <c r="AG9" s="830"/>
      <c r="AH9" s="829" t="str">
        <f>M3S7</f>
        <v>Water Heating / Food Services</v>
      </c>
      <c r="AI9" s="830"/>
      <c r="AJ9" s="830"/>
      <c r="AK9" s="830"/>
      <c r="AL9" s="829" t="str">
        <f>M4S9</f>
        <v>Miscellaneous</v>
      </c>
      <c r="AM9" s="830"/>
      <c r="AN9" s="830"/>
      <c r="AO9" s="830"/>
      <c r="AP9" s="99"/>
      <c r="AQ9" s="99"/>
      <c r="AR9" s="99"/>
      <c r="AS9" s="99"/>
      <c r="AT9"/>
      <c r="AU9" s="99"/>
      <c r="AV9" s="99"/>
      <c r="BD9"/>
    </row>
    <row r="10" spans="1:81" s="78" customFormat="1" ht="15.95" customHeight="1">
      <c r="B10" s="79"/>
      <c r="C10" s="79"/>
      <c r="D10" s="79"/>
      <c r="E10" s="79"/>
      <c r="F10" s="79"/>
      <c r="G10"/>
      <c r="J10" s="831"/>
      <c r="K10" s="831"/>
      <c r="L10" s="831"/>
      <c r="M10" s="831"/>
      <c r="N10" s="843"/>
      <c r="O10" s="843"/>
      <c r="P10" s="843"/>
      <c r="Q10" s="843"/>
      <c r="R10" s="831"/>
      <c r="S10" s="831"/>
      <c r="T10" s="831"/>
      <c r="U10" s="831"/>
      <c r="V10" s="831"/>
      <c r="W10" s="831"/>
      <c r="X10" s="831"/>
      <c r="Y10" s="831"/>
      <c r="Z10" s="831"/>
      <c r="AA10" s="831"/>
      <c r="AB10" s="831"/>
      <c r="AC10" s="831"/>
      <c r="AD10" s="831"/>
      <c r="AE10" s="831"/>
      <c r="AF10" s="831"/>
      <c r="AG10" s="831"/>
      <c r="AH10" s="831"/>
      <c r="AI10" s="831"/>
      <c r="AJ10" s="831"/>
      <c r="AK10" s="831"/>
      <c r="AL10" s="831"/>
      <c r="AM10" s="831"/>
      <c r="AN10" s="831"/>
      <c r="AO10" s="831"/>
      <c r="AP10" s="79"/>
      <c r="AQ10" s="79"/>
      <c r="AR10" s="79"/>
      <c r="AS10" s="79"/>
      <c r="AT10"/>
      <c r="AU10" s="79"/>
      <c r="AV10" s="79"/>
      <c r="BD10"/>
    </row>
    <row r="11" spans="1:81" ht="15.95" customHeight="1">
      <c r="B11" s="96"/>
      <c r="C11" s="96"/>
      <c r="D11" s="96"/>
      <c r="E11" s="96"/>
      <c r="F11" s="96"/>
      <c r="J11" s="831"/>
      <c r="K11" s="831"/>
      <c r="L11" s="831"/>
      <c r="M11" s="831"/>
      <c r="N11" s="843"/>
      <c r="O11" s="843"/>
      <c r="P11" s="843"/>
      <c r="Q11" s="843"/>
      <c r="R11" s="831"/>
      <c r="S11" s="831"/>
      <c r="T11" s="831"/>
      <c r="U11" s="831"/>
      <c r="V11" s="831"/>
      <c r="W11" s="831"/>
      <c r="X11" s="831"/>
      <c r="Y11" s="831"/>
      <c r="Z11" s="831"/>
      <c r="AA11" s="831"/>
      <c r="AB11" s="831"/>
      <c r="AC11" s="831"/>
      <c r="AD11" s="831"/>
      <c r="AE11" s="831"/>
      <c r="AF11" s="831"/>
      <c r="AG11" s="831"/>
      <c r="AH11" s="831"/>
      <c r="AI11" s="831"/>
      <c r="AJ11" s="831"/>
      <c r="AK11" s="831"/>
      <c r="AL11" s="831"/>
      <c r="AM11" s="831"/>
      <c r="AN11" s="831"/>
      <c r="AO11" s="831"/>
      <c r="AP11" s="96"/>
      <c r="AQ11" s="96"/>
      <c r="AR11" s="96"/>
      <c r="AS11" s="96"/>
      <c r="AU11" s="96"/>
      <c r="AV11" s="96"/>
    </row>
    <row r="12" spans="1:81" ht="15.95" customHeight="1">
      <c r="A12" s="76"/>
      <c r="B12" s="76"/>
      <c r="C12" s="76"/>
      <c r="D12" s="76"/>
      <c r="E12" s="76"/>
      <c r="F12" s="76"/>
      <c r="G12" s="76"/>
      <c r="T12" s="837">
        <f>SUM(AR18:AU184)</f>
        <v>0</v>
      </c>
      <c r="U12" s="837"/>
      <c r="V12" s="837"/>
      <c r="W12" s="837"/>
      <c r="X12" s="837">
        <f ca="1">SUMIF(AR18:AU184,"&gt;0",AL18:AN184)</f>
        <v>0</v>
      </c>
      <c r="Y12" s="837"/>
      <c r="Z12" s="837"/>
      <c r="AA12" s="837"/>
      <c r="AB12" s="836">
        <f ca="1">SUMIF(AR18:AU184,"&gt;0",AO18:AQ184)</f>
        <v>0</v>
      </c>
      <c r="AC12" s="836"/>
      <c r="AD12" s="836"/>
      <c r="AE12" s="836"/>
    </row>
    <row r="13" spans="1:81" ht="15.95" customHeight="1">
      <c r="A13" s="76"/>
      <c r="B13" s="76"/>
      <c r="C13" s="76"/>
      <c r="D13" s="76"/>
      <c r="T13" s="837"/>
      <c r="U13" s="837"/>
      <c r="V13" s="837"/>
      <c r="W13" s="837"/>
      <c r="X13" s="837"/>
      <c r="Y13" s="837"/>
      <c r="Z13" s="837"/>
      <c r="AA13" s="837"/>
      <c r="AB13" s="836"/>
      <c r="AC13" s="836"/>
      <c r="AD13" s="836"/>
      <c r="AE13" s="836"/>
      <c r="AM13" s="839" t="str">
        <f>IF(OR(IFERROR(MATCH("75% Total Cost", BK:BK, 0), FALSE), IFERROR(MATCH("100% Incremental Cost", BK:BK,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D14" s="542" t="s">
        <v>2112</v>
      </c>
      <c r="BE14" s="542" t="s">
        <v>2112</v>
      </c>
      <c r="BL14" s="542" t="s">
        <v>2112</v>
      </c>
      <c r="BO14" s="51" t="s">
        <v>3048</v>
      </c>
      <c r="BX14" s="542" t="s">
        <v>2112</v>
      </c>
    </row>
    <row r="15" spans="1:81" ht="15.95" customHeight="1"/>
    <row r="16" spans="1:81" ht="15.95" customHeight="1">
      <c r="C16" s="832" t="s">
        <v>859</v>
      </c>
      <c r="D16" s="832"/>
      <c r="E16" s="832"/>
      <c r="F16" s="832"/>
      <c r="G16" s="832"/>
      <c r="H16" s="832"/>
      <c r="I16" s="832"/>
      <c r="J16" s="832"/>
      <c r="K16" s="832"/>
      <c r="L16" s="832"/>
      <c r="M16" s="832" t="s">
        <v>880</v>
      </c>
      <c r="N16" s="832"/>
      <c r="O16" s="832" t="s">
        <v>74</v>
      </c>
      <c r="P16" s="832"/>
      <c r="Q16" s="832" t="s">
        <v>1189</v>
      </c>
      <c r="R16" s="832"/>
      <c r="S16" s="832"/>
      <c r="T16" s="832" t="s">
        <v>2172</v>
      </c>
      <c r="U16" s="832"/>
      <c r="V16" s="832"/>
      <c r="W16" s="832" t="s">
        <v>2170</v>
      </c>
      <c r="X16" s="832"/>
      <c r="Y16" s="832"/>
      <c r="Z16" s="832"/>
      <c r="AA16" s="832" t="s">
        <v>2171</v>
      </c>
      <c r="AB16" s="832"/>
      <c r="AC16" s="832"/>
      <c r="AD16" s="832"/>
      <c r="AE16" s="832" t="s">
        <v>869</v>
      </c>
      <c r="AF16" s="832"/>
      <c r="AG16" s="832"/>
      <c r="AH16" s="860" t="s">
        <v>876</v>
      </c>
      <c r="AI16" s="860"/>
      <c r="AJ16" s="860"/>
      <c r="AK16" s="860"/>
      <c r="AL16" s="832" t="s">
        <v>923</v>
      </c>
      <c r="AM16" s="832"/>
      <c r="AN16" s="832"/>
      <c r="AO16" s="832" t="s">
        <v>735</v>
      </c>
      <c r="AP16" s="832"/>
      <c r="AQ16" s="832"/>
      <c r="AR16" s="832" t="s">
        <v>83</v>
      </c>
      <c r="AS16" s="832"/>
      <c r="AT16" s="832"/>
      <c r="AU16" s="832"/>
      <c r="AV16" s="59"/>
      <c r="AW16" s="59"/>
      <c r="AX16" s="779" t="s">
        <v>743</v>
      </c>
      <c r="AY16" s="1066" t="s">
        <v>1985</v>
      </c>
      <c r="AZ16" s="1066" t="s">
        <v>942</v>
      </c>
      <c r="BA16" s="1066" t="s">
        <v>635</v>
      </c>
      <c r="BB16" s="1066" t="s">
        <v>875</v>
      </c>
      <c r="BC16" s="1066" t="s">
        <v>924</v>
      </c>
      <c r="BD16" s="1068" t="s">
        <v>1701</v>
      </c>
      <c r="BE16" s="1070" t="s">
        <v>874</v>
      </c>
      <c r="BF16" s="1070"/>
      <c r="BG16" s="1066" t="s">
        <v>926</v>
      </c>
      <c r="BH16" s="1064"/>
      <c r="BI16" s="1064"/>
      <c r="BJ16" s="1066" t="s">
        <v>88</v>
      </c>
      <c r="BK16" s="1068" t="s">
        <v>1619</v>
      </c>
      <c r="BL16" s="1070" t="s">
        <v>876</v>
      </c>
      <c r="BM16" s="783"/>
      <c r="BN16" s="1066" t="s">
        <v>132</v>
      </c>
      <c r="BO16" s="1066" t="s">
        <v>325</v>
      </c>
      <c r="BP16" s="1068" t="s">
        <v>1833</v>
      </c>
      <c r="BQ16" s="1070"/>
      <c r="BR16" s="1068" t="s">
        <v>1614</v>
      </c>
      <c r="BS16" s="783"/>
      <c r="BT16" s="779"/>
      <c r="BU16" s="1068" t="s">
        <v>925</v>
      </c>
      <c r="BV16" s="1068" t="s">
        <v>691</v>
      </c>
      <c r="BW16" s="1066" t="s">
        <v>85</v>
      </c>
      <c r="BX16" s="1070" t="s">
        <v>840</v>
      </c>
      <c r="BY16" s="779" t="s">
        <v>309</v>
      </c>
      <c r="BZ16" s="755"/>
      <c r="CA16" s="755"/>
      <c r="CB16" s="755"/>
      <c r="CC16" s="755"/>
    </row>
    <row r="17" spans="1:81" ht="15.95" customHeight="1" thickBot="1">
      <c r="B17" s="17"/>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t="s">
        <v>862</v>
      </c>
      <c r="AI17" s="833"/>
      <c r="AJ17" s="833" t="s">
        <v>863</v>
      </c>
      <c r="AK17" s="833"/>
      <c r="AL17" s="833"/>
      <c r="AM17" s="833"/>
      <c r="AN17" s="833"/>
      <c r="AO17" s="833"/>
      <c r="AP17" s="833"/>
      <c r="AQ17" s="833"/>
      <c r="AR17" s="833"/>
      <c r="AS17" s="833"/>
      <c r="AT17" s="833"/>
      <c r="AU17" s="833"/>
      <c r="AV17" s="37"/>
      <c r="AW17" s="37"/>
      <c r="AX17" s="780"/>
      <c r="AY17" s="1067"/>
      <c r="AZ17" s="1067"/>
      <c r="BA17" s="1067"/>
      <c r="BB17" s="1067"/>
      <c r="BC17" s="1067"/>
      <c r="BD17" s="1069"/>
      <c r="BE17" s="544" t="s">
        <v>871</v>
      </c>
      <c r="BF17" s="543" t="s">
        <v>872</v>
      </c>
      <c r="BG17" s="1067"/>
      <c r="BH17" s="1065"/>
      <c r="BI17" s="1065"/>
      <c r="BJ17" s="1067"/>
      <c r="BK17" s="1069"/>
      <c r="BL17" s="1071"/>
      <c r="BM17" s="784"/>
      <c r="BN17" s="1067"/>
      <c r="BO17" s="1067"/>
      <c r="BP17" s="1069"/>
      <c r="BQ17" s="1071"/>
      <c r="BR17" s="1069"/>
      <c r="BS17" s="784"/>
      <c r="BT17" s="780"/>
      <c r="BU17" s="1069"/>
      <c r="BV17" s="1069"/>
      <c r="BW17" s="1067"/>
      <c r="BX17" s="1071"/>
      <c r="BY17" s="780"/>
      <c r="BZ17" s="756"/>
      <c r="CA17" s="756"/>
      <c r="CB17" s="756"/>
      <c r="CC17" s="756"/>
    </row>
    <row r="18" spans="1:81" ht="15.95" customHeight="1">
      <c r="B18" s="785">
        <v>1</v>
      </c>
      <c r="C18" s="1089"/>
      <c r="D18" s="874"/>
      <c r="E18" s="874"/>
      <c r="F18" s="874"/>
      <c r="G18" s="874"/>
      <c r="H18" s="874"/>
      <c r="I18" s="874"/>
      <c r="J18" s="874"/>
      <c r="K18" s="874"/>
      <c r="L18" s="874"/>
      <c r="M18" s="1085" t="str">
        <f>IFERROR(IF(C18="","",INDEX(CMELIGHTCON[Wattage Unit],MATCH(C18,CMELIGHTCON[Proj Desc 1],0))),"")</f>
        <v/>
      </c>
      <c r="N18" s="1085"/>
      <c r="O18" s="1094"/>
      <c r="P18" s="1094"/>
      <c r="Q18" s="1081"/>
      <c r="R18" s="1081"/>
      <c r="S18" s="1081"/>
      <c r="T18" s="1087"/>
      <c r="U18" s="1087"/>
      <c r="V18" s="1088"/>
      <c r="W18" s="1096"/>
      <c r="X18" s="1087"/>
      <c r="Y18" s="1087"/>
      <c r="Z18" s="1087"/>
      <c r="AA18" s="1087"/>
      <c r="AB18" s="1087"/>
      <c r="AC18" s="1087"/>
      <c r="AD18" s="1087"/>
      <c r="AE18" s="1087"/>
      <c r="AF18" s="1087"/>
      <c r="AG18" s="1095"/>
      <c r="AH18" s="1090"/>
      <c r="AI18" s="1091"/>
      <c r="AJ18" s="1092"/>
      <c r="AK18" s="1093"/>
      <c r="AL18" s="1030" t="str">
        <f>IF(OR(C18="",Q18="",AA18="",O18="",AE18="",AH18="",AJ18=""),"",ROUND(AH18+AJ18,2))</f>
        <v/>
      </c>
      <c r="AM18" s="1031"/>
      <c r="AN18" s="1031"/>
      <c r="AO18" s="1036" t="str">
        <f>IF(OR(C18="",Q18="",AA18="",O18="",AE18="",AH18="",AJ18=""),"",IF(BA18-BB18&lt;=0,0,ROUND(BA18-BB18,4)))</f>
        <v/>
      </c>
      <c r="AP18" s="1036"/>
      <c r="AQ18" s="1036"/>
      <c r="AR18" s="1072" t="str">
        <f>IF(OR(C18="",Q18="",AA18="",O18="",AE18="",AH18="",AJ18=""),"",
IF(BY18&lt;&gt;"",BY18,IF(BP18&gt;0,BP18,
IF(ACTIVEBLOCK="Yes",ROUND(MIN(AL18*0.75,AO18*BLOCKBIDRATE),2),
ROUND(MIN(AL18*0.75,BR18),2)))))</f>
        <v/>
      </c>
      <c r="AS18" s="1073"/>
      <c r="AT18" s="1073"/>
      <c r="AU18" s="1074"/>
      <c r="AV18" s="37"/>
      <c r="AW18" s="37"/>
      <c r="AX18" s="773" t="str">
        <f>IF(C18="","",INDEX(CMELIGHTCON[Wattage Unit],MATCH(C18,CMELIGHTCON[Proj Desc 1],0)))</f>
        <v/>
      </c>
      <c r="AY18" s="759" t="str">
        <f t="shared" ref="AY18" si="0">IF(O18="", "", 0)</f>
        <v/>
      </c>
      <c r="AZ18" s="759" t="str">
        <f>IF(O18="", "", O18)</f>
        <v/>
      </c>
      <c r="BA18" s="771" t="str">
        <f>IF(OR(C18="",Q18="",AA18="",O18="",AE18="",AH18="",AJ18=""),"",
IF(OR(M02S04F22="Unconditioned",M02S04F22="Electric Heat Only",M02S04F22="Natural Gas Heat Only"),ROUND((Q18/1000)*T18,4),
ROUND((Q18/1000)*T18*INDEX(BUILDINGTYPE[Waste Heat Factor (e)],MATCH(M02S04F19,BUILDINGTYPE[Building Type],0)),4)))</f>
        <v/>
      </c>
      <c r="BB18" s="771" t="str">
        <f>IF(OR(C18="",Q18="",AA18="",O18="",AE18="",AH18="",AJ18=""),"",
IF(OR(M02S04F22="Unconditioned",M02S04F22="Electric Heat Only",M02S04F22="Natural Gas Heat Only"),BA18-ROUND((Q18/1000)*T18*INDEX(CMELIGHTCON[Energy Savings Factor],MATCH(C18,CMELIGHTCON[Proj Desc 1],0)),4),
BA18-ROUND((Q18/1000)*T18*INDEX(CMELIGHTCON[Energy Savings Factor],MATCH(C18,CMELIGHTCON[Proj Desc 1],0))*INDEX(BUILDINGTYPE[Waste Heat Factor (e)],MATCH(M02S04F19,BUILDINGTYPE[Building Type],0)),4)))</f>
        <v/>
      </c>
      <c r="BC18" s="1078" t="str">
        <f>IF(OR(C18=""),"",IF(INDEX(CMELIGHTCON[End Use Category],MATCH(C18,CMELIGHTCON[Proj Desc 1],0))="","",INDEX(CMELIGHTCON[End Use Category],MATCH(C18,CMELIGHTCON[Proj Desc 1],0))))</f>
        <v/>
      </c>
      <c r="BD18" s="757" t="str">
        <f>IF(BE18&lt;&gt;"", "Calculated", "")</f>
        <v/>
      </c>
      <c r="BE18" s="775" t="str">
        <f>IF(AND(BA18&lt;&gt;"", BB18&lt;&gt;""), ROUND(BA18-BB18,4), "")</f>
        <v/>
      </c>
      <c r="BF18" s="775" t="str">
        <f>IFERROR(IF(OR(C18="",Q18="",AA18="",O18="",AE18="",AH18="",AJ18=""),"",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775" t="str">
        <f>IFERROR(IF(OR(C18="",Q18="",AA18="",O18="",AE18="",AH18="",AJ18=""),"",ROUND(AO18*INDEX(ENDUSEALL[Factor],MATCH(BC18,ENDUSEALL[End Use to Coincident Peak Demand Factors],0)),4)),"")</f>
        <v/>
      </c>
      <c r="BH18" s="761"/>
      <c r="BI18" s="761"/>
      <c r="BJ18" s="777" t="str">
        <f>IF(OR(C18=""),"",IF(INDEX(CMELIGHTCON[EUL],MATCH(C18,CMELIGHTCON[Proj Desc 1],0))="","",INDEX(CMELIGHTCON[EUL],MATCH(C18,CMELIGHTCON[Proj Desc 1],0))))</f>
        <v/>
      </c>
      <c r="BK18" s="767" t="str">
        <f>IFERROR(IF(OR(C18="",Q18="",AA18="",O18="",AE18="",AH18="",AJ18=""),"",
ROUND(((1+ELOSS)*((AO18*INDEX(ELECCB[NPV AEC $/kWh],MATCH(BJ18,ELECCB[Year Number],1)))+(BG18*INDEX(ELECCB[NPV ACC $/kW],MATCH(BJ18,ELECCB[Year Number],1))))),2)),0)</f>
        <v/>
      </c>
      <c r="BL18" s="767" t="str">
        <f t="shared" ref="BL18:BL36" si="1">IF(OR(AH18="", AJ18=""), "", AH18+AJ18)</f>
        <v/>
      </c>
      <c r="BM18" s="765"/>
      <c r="BN18" s="763" t="str">
        <f t="shared" ref="BN18:BN36" si="2">IFERROR( BK18 / IF(BM18 &lt;&gt; "", BM18, BL18), "")</f>
        <v/>
      </c>
      <c r="BO18" s="763" t="str">
        <f>IFERROR(IF(BM18 &lt;&gt; "", BM18, BL18) / M02S04F06 / AO18, "")</f>
        <v/>
      </c>
      <c r="BP18" s="769"/>
      <c r="BQ18" s="765"/>
      <c r="BR18" s="767" t="str">
        <f>IFERROR(ROUND(AO18*BV18,2),"")</f>
        <v/>
      </c>
      <c r="BS18" s="765"/>
      <c r="BT18" s="765"/>
      <c r="BU18" s="757" t="str">
        <f>IFERROR(IF(BP18="", IF(AND(ROUND(AR18/AL18,2)=TOTCOSTCAP, BR18/AL18&gt;TOTCOSTCAP),"75% Total Cost",
IF(FALSE,"100% Incremental Cost",
IF(BV18&lt;KWHRATEMIN, "kWh Incentive Rate Min",
IF(BV18&gt;KWHRATEMAX,"kWh Incentive Rate Cap",
IF(AR18=BT18,"Bonus Incentive",
"kWh Incentive"))))), ""),"")</f>
        <v/>
      </c>
      <c r="BV18" s="767"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57" t="str">
        <f>IF(OR(C18="",Q18="",AA18="",O18="",AE18="",AH18="",AJ18=""),"",IF(BY18&lt;&gt;"",SPILLOVERNUMBER,INDEX(CMELIGHTCON[Measure Number],MATCH(C18,CMELIGHTCON[Proj Desc 1],0))))</f>
        <v/>
      </c>
      <c r="BX18" s="757" t="str" cm="1">
        <f t="array" ref="BX18">IFERROR(INDEX(_xlfn.SWITCH(Program_Banner,"Business Energy Savings",ENDUSEALL[Primary Key WBE],"Small Business / Non-Profit",ENDUSEALL[Primary Key HTRB],0),MATCH(BC18,ENDUSEALL[End Use to Coincident Peak Demand Factors],0)),"")</f>
        <v/>
      </c>
      <c r="BY18" s="757" t="str">
        <f ca="1">IFERROR(
IF(EXPIRATION&lt;&gt;"",PROJSTATEXP,
IF(BP18&gt;0,"",
IF(OR(M02S04F06="",M02S04F06="Select Rate Code",M02S04F06=0),MEASURERATE,
IF(M02S04F19="",MEASUREBLDG,
IF(BA18-BB18&lt;=0,MEASURESAVE,
IF(PAYCUSE&lt;PAYBACKREQ,PROJECTSTATPAYBACK,
IF(CBCUSE&lt;CBREQ,PROJECTSTATCB,""))))))),
MEASURESUBMIT)</f>
        <v>Enter Utility Rate</v>
      </c>
      <c r="BZ18" s="753"/>
      <c r="CA18" s="753"/>
      <c r="CB18" s="753"/>
      <c r="CC18" s="753"/>
    </row>
    <row r="19" spans="1:81" ht="15.95" customHeight="1">
      <c r="B19" s="785"/>
      <c r="C19" s="1012"/>
      <c r="D19" s="1013"/>
      <c r="E19" s="1013"/>
      <c r="F19" s="1013"/>
      <c r="G19" s="1013"/>
      <c r="H19" s="1013"/>
      <c r="I19" s="1013"/>
      <c r="J19" s="1013"/>
      <c r="K19" s="1013"/>
      <c r="L19" s="1013"/>
      <c r="M19" s="1086"/>
      <c r="N19" s="1086"/>
      <c r="O19" s="989"/>
      <c r="P19" s="989"/>
      <c r="Q19" s="1082"/>
      <c r="R19" s="1082"/>
      <c r="S19" s="1082"/>
      <c r="T19" s="1002"/>
      <c r="U19" s="1002"/>
      <c r="V19" s="1080"/>
      <c r="W19" s="1004"/>
      <c r="X19" s="1002"/>
      <c r="Y19" s="1002"/>
      <c r="Z19" s="1002"/>
      <c r="AA19" s="1002"/>
      <c r="AB19" s="1002"/>
      <c r="AC19" s="1002"/>
      <c r="AD19" s="1002"/>
      <c r="AE19" s="1002"/>
      <c r="AF19" s="1002"/>
      <c r="AG19" s="1003"/>
      <c r="AH19" s="992"/>
      <c r="AI19" s="993"/>
      <c r="AJ19" s="1083"/>
      <c r="AK19" s="1084"/>
      <c r="AL19" s="1006"/>
      <c r="AM19" s="1007"/>
      <c r="AN19" s="1007"/>
      <c r="AO19" s="1037"/>
      <c r="AP19" s="1037"/>
      <c r="AQ19" s="1037"/>
      <c r="AR19" s="1075"/>
      <c r="AS19" s="1076"/>
      <c r="AT19" s="1076"/>
      <c r="AU19" s="1077"/>
      <c r="AV19" s="37"/>
      <c r="AW19" s="37"/>
      <c r="AX19" s="774"/>
      <c r="AY19" s="760"/>
      <c r="AZ19" s="760"/>
      <c r="BA19" s="772"/>
      <c r="BB19" s="772"/>
      <c r="BC19" s="1079"/>
      <c r="BD19" s="758"/>
      <c r="BE19" s="776"/>
      <c r="BF19" s="776"/>
      <c r="BG19" s="776"/>
      <c r="BH19" s="762"/>
      <c r="BI19" s="762"/>
      <c r="BJ19" s="778"/>
      <c r="BK19" s="768"/>
      <c r="BL19" s="768"/>
      <c r="BM19" s="766"/>
      <c r="BN19" s="764"/>
      <c r="BO19" s="764"/>
      <c r="BP19" s="770"/>
      <c r="BQ19" s="766"/>
      <c r="BR19" s="768"/>
      <c r="BS19" s="766"/>
      <c r="BT19" s="766"/>
      <c r="BU19" s="758"/>
      <c r="BV19" s="768"/>
      <c r="BW19" s="758"/>
      <c r="BX19" s="758"/>
      <c r="BY19" s="758"/>
      <c r="BZ19" s="754"/>
      <c r="CA19" s="754"/>
      <c r="CB19" s="754"/>
      <c r="CC19" s="754"/>
    </row>
    <row r="20" spans="1:81" ht="15.95" customHeight="1">
      <c r="A20" s="75"/>
      <c r="B20" s="785">
        <v>2</v>
      </c>
      <c r="C20" s="1009"/>
      <c r="D20" s="1010"/>
      <c r="E20" s="1010"/>
      <c r="F20" s="1010"/>
      <c r="G20" s="1010"/>
      <c r="H20" s="1010"/>
      <c r="I20" s="1010"/>
      <c r="J20" s="1010"/>
      <c r="K20" s="1010"/>
      <c r="L20" s="1010"/>
      <c r="M20" s="1086" t="str">
        <f>IFERROR(IF(C20="","",INDEX(CMELIGHTCON[Wattage Unit],MATCH(C20,CMELIGHTCON[Proj Desc 1],0))),"")</f>
        <v/>
      </c>
      <c r="N20" s="1086"/>
      <c r="O20" s="989"/>
      <c r="P20" s="989"/>
      <c r="Q20" s="1082"/>
      <c r="R20" s="1082"/>
      <c r="S20" s="1082"/>
      <c r="T20" s="1002"/>
      <c r="U20" s="1002"/>
      <c r="V20" s="1080"/>
      <c r="W20" s="1004"/>
      <c r="X20" s="1002"/>
      <c r="Y20" s="1002"/>
      <c r="Z20" s="1002"/>
      <c r="AA20" s="1002"/>
      <c r="AB20" s="1002"/>
      <c r="AC20" s="1002"/>
      <c r="AD20" s="1002"/>
      <c r="AE20" s="1002"/>
      <c r="AF20" s="1002"/>
      <c r="AG20" s="1003"/>
      <c r="AH20" s="992"/>
      <c r="AI20" s="993"/>
      <c r="AJ20" s="1083"/>
      <c r="AK20" s="1084"/>
      <c r="AL20" s="1030" t="str">
        <f>IF(OR(C20="",Q20="",AA20="",O20="",AE20="",AH20="",AJ20=""),"",ROUND(AH20+AJ20,2))</f>
        <v/>
      </c>
      <c r="AM20" s="1031"/>
      <c r="AN20" s="1031"/>
      <c r="AO20" s="1036" t="str">
        <f>IF(OR(C20="",Q20="",AA20="",O20="",AE20="",AH20="",AJ20=""),"",IF(BA20-BB20&lt;=0,0,ROUND(BA20-BB20,4)))</f>
        <v/>
      </c>
      <c r="AP20" s="1036"/>
      <c r="AQ20" s="1036"/>
      <c r="AR20" s="1072" t="str">
        <f>IF(OR(C20="",Q20="",AA20="",O20="",AE20="",AH20="",AJ20=""),"",
IF(BY20&lt;&gt;"",BY20,IF(BP20&gt;0,BP20,
IF(ACTIVEBLOCK="Yes",ROUND(MIN(AL20*0.75,AO20*BLOCKBIDRATE),2),
ROUND(MIN(AL20*0.75,BR20),2)))))</f>
        <v/>
      </c>
      <c r="AS20" s="1073"/>
      <c r="AT20" s="1073"/>
      <c r="AU20" s="1074"/>
      <c r="AV20" s="37"/>
      <c r="AW20" s="37"/>
      <c r="AX20" s="773" t="str">
        <f>IF(C20="","",INDEX(CMELIGHTCON[Wattage Unit],MATCH(C20,CMELIGHTCON[Proj Desc 1],0)))</f>
        <v/>
      </c>
      <c r="AY20" s="759" t="str">
        <f t="shared" ref="AY20" si="3">IF(O20="", "", 0)</f>
        <v/>
      </c>
      <c r="AZ20" s="759" t="str">
        <f t="shared" ref="AZ20" si="4">IF(O20="", "", O20)</f>
        <v/>
      </c>
      <c r="BA20" s="771" t="str">
        <f>IF(OR(C20="",Q20="",AA20="",O20="",AE20="",AH20="",AJ20=""),"",
IF(OR(M02S04F22="Unconditioned",M02S04F22="Electric Heat Only",M02S04F22="Natural Gas Heat Only"),ROUND((Q20/1000)*T20,4),
ROUND((Q20/1000)*T20*INDEX(BUILDINGTYPE[Waste Heat Factor (e)],MATCH(M02S04F19,BUILDINGTYPE[Building Type],0)),4)))</f>
        <v/>
      </c>
      <c r="BB20" s="771" t="str">
        <f>IF(OR(C20="",Q20="",AA20="",O20="",AE20="",AH20="",AJ20=""),"",
IF(OR(M02S04F22="Unconditioned",M02S04F22="Electric Heat Only",M02S04F22="Natural Gas Heat Only"),BA20-ROUND((Q20/1000)*T20*INDEX(CMELIGHTCON[Energy Savings Factor],MATCH(C20,CMELIGHTCON[Proj Desc 1],0)),4),
BA20-ROUND((Q20/1000)*T20*INDEX(CMELIGHTCON[Energy Savings Factor],MATCH(C20,CMELIGHTCON[Proj Desc 1],0))*INDEX(BUILDINGTYPE[Waste Heat Factor (e)],MATCH(M02S04F19,BUILDINGTYPE[Building Type],0)),4)))</f>
        <v/>
      </c>
      <c r="BC20" s="1078" t="str">
        <f>IF(OR(C20=""),"",IF(INDEX(CMELIGHTCON[End Use Category],MATCH(C20,CMELIGHTCON[Proj Desc 1],0))="","",INDEX(CMELIGHTCON[End Use Category],MATCH(C20,CMELIGHTCON[Proj Desc 1],0))))</f>
        <v/>
      </c>
      <c r="BD20" s="757" t="str">
        <f t="shared" ref="BD20" si="5">IF(BE20&lt;&gt;"", "Calculated", "")</f>
        <v/>
      </c>
      <c r="BE20" s="775" t="str">
        <f t="shared" ref="BE20" si="6">IF(AND(BA20&lt;&gt;"", BB20&lt;&gt;""), ROUND(BA20-BB20,4), "")</f>
        <v/>
      </c>
      <c r="BF20" s="775" t="str">
        <f>IFERROR(IF(OR(C20="",Q20="",AA20="",O20="",AE20="",AH20="",AJ20=""),"",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775" t="str">
        <f>IFERROR(IF(OR(C20="",Q20="",AA20="",O20="",AE20="",AH20="",AJ20=""),"",ROUND(AO20*INDEX(ENDUSEALL[Factor],MATCH(BC20,ENDUSEALL[End Use to Coincident Peak Demand Factors],0)),4)),"")</f>
        <v/>
      </c>
      <c r="BH20" s="761"/>
      <c r="BI20" s="761"/>
      <c r="BJ20" s="777" t="str">
        <f>IF(OR(C20=""),"",IF(INDEX(CMELIGHTCON[EUL],MATCH(C20,CMELIGHTCON[Proj Desc 1],0))="","",INDEX(CMELIGHTCON[EUL],MATCH(C20,CMELIGHTCON[Proj Desc 1],0))))</f>
        <v/>
      </c>
      <c r="BK20" s="767" t="str">
        <f>IFERROR(IF(OR(C20="",Q20="",AA20="",O20="",AE20="",AH20="",AJ20=""),"",
ROUND(((1+ELOSS)*((AO20*INDEX(ELECCB[NPV AEC $/kWh],MATCH(BJ20,ELECCB[Year Number],1)))+(BG20*INDEX(ELECCB[NPV ACC $/kW],MATCH(BJ20,ELECCB[Year Number],1))))),2)),0)</f>
        <v/>
      </c>
      <c r="BL20" s="767" t="str">
        <f t="shared" si="1"/>
        <v/>
      </c>
      <c r="BM20" s="765"/>
      <c r="BN20" s="763" t="str">
        <f t="shared" si="2"/>
        <v/>
      </c>
      <c r="BO20" s="763" t="str">
        <f>IFERROR(IF(BM20 &lt;&gt; "", BM20, BL20) / M02S04F06 / AO20, "")</f>
        <v/>
      </c>
      <c r="BP20" s="769"/>
      <c r="BQ20" s="765"/>
      <c r="BR20" s="767" t="str">
        <f t="shared" ref="BR20" si="7">IFERROR(ROUND(AO20*BV20,2),"")</f>
        <v/>
      </c>
      <c r="BS20" s="765"/>
      <c r="BT20" s="765"/>
      <c r="BU20" s="757" t="str">
        <f>IFERROR(IF(BP20="", IF(AND(ROUND(AR20/AL20,2)=TOTCOSTCAP, BR20/AL20&gt;TOTCOSTCAP),"75% Total Cost",
IF(FALSE,"100% Incremental Cost",
IF(BV20&lt;KWHRATEMIN, "kWh Incentive Rate Min",
IF(BV20&gt;KWHRATEMAX,"kWh Incentive Rate Cap",
IF(AR20=BT20,"Bonus Incentive",
"kWh Incentive"))))), ""),"")</f>
        <v/>
      </c>
      <c r="BV20" s="767"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57" t="str">
        <f>IF(OR(C20="",Q20="",AA20="",O20="",AE20="",AH20="",AJ20=""),"",IF(BY20&lt;&gt;"",SPILLOVERNUMBER,INDEX(CMELIGHTCON[Measure Number],MATCH(C20,CMELIGHTCON[Proj Desc 1],0))))</f>
        <v/>
      </c>
      <c r="BX20" s="757" t="str" cm="1">
        <f t="array" ref="BX20">IFERROR(INDEX(_xlfn.SWITCH(Program_Banner,"Business Energy Savings",ENDUSEALL[Primary Key WBE],"Small Business / Non-Profit",ENDUSEALL[Primary Key HTRB],0),MATCH(BC20,ENDUSEALL[End Use to Coincident Peak Demand Factors],0)),"")</f>
        <v/>
      </c>
      <c r="BY20" s="757" t="str">
        <f ca="1">IFERROR(
IF(EXPIRATION&lt;&gt;"",PROJSTATEXP,
IF(BP20&gt;0,"",
IF(OR(M02S04F06="",M02S04F06="Select Rate Code",M02S04F06=0),MEASURERATE,
IF(M02S04F19="",MEASUREBLDG,
IF(BA20-BB20&lt;=0,MEASURESAVE,
IF(PAYCUSE&lt;PAYBACKREQ,PROJECTSTATPAYBACK,
IF(CBCUSE&lt;CBREQ,PROJECTSTATCB,""))))))),
MEASURESUBMIT)</f>
        <v>Enter Utility Rate</v>
      </c>
      <c r="BZ20" s="753"/>
      <c r="CA20" s="753"/>
      <c r="CB20" s="753"/>
      <c r="CC20" s="753"/>
    </row>
    <row r="21" spans="1:81" ht="15.95" customHeight="1">
      <c r="B21" s="785"/>
      <c r="C21" s="1012"/>
      <c r="D21" s="1013"/>
      <c r="E21" s="1013"/>
      <c r="F21" s="1013"/>
      <c r="G21" s="1013"/>
      <c r="H21" s="1013"/>
      <c r="I21" s="1013"/>
      <c r="J21" s="1013"/>
      <c r="K21" s="1013"/>
      <c r="L21" s="1013"/>
      <c r="M21" s="1086"/>
      <c r="N21" s="1086"/>
      <c r="O21" s="989"/>
      <c r="P21" s="989"/>
      <c r="Q21" s="1082"/>
      <c r="R21" s="1082"/>
      <c r="S21" s="1082"/>
      <c r="T21" s="1002"/>
      <c r="U21" s="1002"/>
      <c r="V21" s="1080"/>
      <c r="W21" s="1004"/>
      <c r="X21" s="1002"/>
      <c r="Y21" s="1002"/>
      <c r="Z21" s="1002"/>
      <c r="AA21" s="1002"/>
      <c r="AB21" s="1002"/>
      <c r="AC21" s="1002"/>
      <c r="AD21" s="1002"/>
      <c r="AE21" s="1002"/>
      <c r="AF21" s="1002"/>
      <c r="AG21" s="1003"/>
      <c r="AH21" s="992"/>
      <c r="AI21" s="993"/>
      <c r="AJ21" s="1083"/>
      <c r="AK21" s="1084"/>
      <c r="AL21" s="1006"/>
      <c r="AM21" s="1007"/>
      <c r="AN21" s="1007"/>
      <c r="AO21" s="1037"/>
      <c r="AP21" s="1037"/>
      <c r="AQ21" s="1037"/>
      <c r="AR21" s="1075"/>
      <c r="AS21" s="1076"/>
      <c r="AT21" s="1076"/>
      <c r="AU21" s="1077"/>
      <c r="AV21" s="37"/>
      <c r="AW21" s="37"/>
      <c r="AX21" s="774"/>
      <c r="AY21" s="760"/>
      <c r="AZ21" s="760"/>
      <c r="BA21" s="772"/>
      <c r="BB21" s="772"/>
      <c r="BC21" s="1079"/>
      <c r="BD21" s="758"/>
      <c r="BE21" s="776"/>
      <c r="BF21" s="776"/>
      <c r="BG21" s="776"/>
      <c r="BH21" s="762"/>
      <c r="BI21" s="762"/>
      <c r="BJ21" s="778"/>
      <c r="BK21" s="768"/>
      <c r="BL21" s="768"/>
      <c r="BM21" s="766"/>
      <c r="BN21" s="764"/>
      <c r="BO21" s="764"/>
      <c r="BP21" s="770"/>
      <c r="BQ21" s="766"/>
      <c r="BR21" s="768"/>
      <c r="BS21" s="766"/>
      <c r="BT21" s="766"/>
      <c r="BU21" s="758"/>
      <c r="BV21" s="768"/>
      <c r="BW21" s="758"/>
      <c r="BX21" s="758"/>
      <c r="BY21" s="758"/>
      <c r="BZ21" s="754"/>
      <c r="CA21" s="754"/>
      <c r="CB21" s="754"/>
      <c r="CC21" s="754"/>
    </row>
    <row r="22" spans="1:81" s="17" customFormat="1" ht="15.95" customHeight="1">
      <c r="A22" s="109"/>
      <c r="B22" s="785">
        <v>3</v>
      </c>
      <c r="C22" s="1009"/>
      <c r="D22" s="1010"/>
      <c r="E22" s="1010"/>
      <c r="F22" s="1010"/>
      <c r="G22" s="1010"/>
      <c r="H22" s="1010"/>
      <c r="I22" s="1010"/>
      <c r="J22" s="1010"/>
      <c r="K22" s="1010"/>
      <c r="L22" s="1010"/>
      <c r="M22" s="1086" t="str">
        <f>IFERROR(IF(C22="","",INDEX(CMELIGHTCON[Wattage Unit],MATCH(C22,CMELIGHTCON[Proj Desc 1],0))),"")</f>
        <v/>
      </c>
      <c r="N22" s="1086"/>
      <c r="O22" s="989"/>
      <c r="P22" s="989"/>
      <c r="Q22" s="1082"/>
      <c r="R22" s="1082"/>
      <c r="S22" s="1082"/>
      <c r="T22" s="1002"/>
      <c r="U22" s="1002"/>
      <c r="V22" s="1080"/>
      <c r="W22" s="1004"/>
      <c r="X22" s="1002"/>
      <c r="Y22" s="1002"/>
      <c r="Z22" s="1002"/>
      <c r="AA22" s="1002"/>
      <c r="AB22" s="1002"/>
      <c r="AC22" s="1002"/>
      <c r="AD22" s="1002"/>
      <c r="AE22" s="1002"/>
      <c r="AF22" s="1002"/>
      <c r="AG22" s="1003"/>
      <c r="AH22" s="992"/>
      <c r="AI22" s="993"/>
      <c r="AJ22" s="1083"/>
      <c r="AK22" s="1084"/>
      <c r="AL22" s="1030" t="str">
        <f>IF(OR(C22="",Q22="",AA22="",O22="",AE22="",AH22="",AJ22=""),"",ROUND(AH22+AJ22,2))</f>
        <v/>
      </c>
      <c r="AM22" s="1031"/>
      <c r="AN22" s="1031"/>
      <c r="AO22" s="1036" t="str">
        <f>IF(OR(C22="",Q22="",AA22="",O22="",AE22="",AH22="",AJ22=""),"",IF(BA22-BB22&lt;=0,0,ROUND(BA22-BB22,4)))</f>
        <v/>
      </c>
      <c r="AP22" s="1036"/>
      <c r="AQ22" s="1036"/>
      <c r="AR22" s="1072" t="str">
        <f>IF(OR(C22="",Q22="",AA22="",O22="",AE22="",AH22="",AJ22=""),"",
IF(BY22&lt;&gt;"",BY22,IF(BP22&gt;0,BP22,
IF(ACTIVEBLOCK="Yes",ROUND(MIN(AL22*0.75,AO22*BLOCKBIDRATE),2),
ROUND(MIN(AL22*0.75,BR22),2)))))</f>
        <v/>
      </c>
      <c r="AS22" s="1073"/>
      <c r="AT22" s="1073"/>
      <c r="AU22" s="1074"/>
      <c r="AV22" s="59"/>
      <c r="AW22" s="59"/>
      <c r="AX22" s="773" t="str">
        <f>IF(C22="","",INDEX(CMELIGHTCON[Wattage Unit],MATCH(C22,CMELIGHTCON[Proj Desc 1],0)))</f>
        <v/>
      </c>
      <c r="AY22" s="759" t="str">
        <f t="shared" ref="AY22" si="8">IF(O22="", "", 0)</f>
        <v/>
      </c>
      <c r="AZ22" s="759" t="str">
        <f t="shared" ref="AZ22" si="9">IF(O22="", "", O22)</f>
        <v/>
      </c>
      <c r="BA22" s="771" t="str">
        <f>IF(OR(C22="",Q22="",AA22="",O22="",AE22="",AH22="",AJ22=""),"",
IF(OR(M02S04F22="Unconditioned",M02S04F22="Electric Heat Only",M02S04F22="Natural Gas Heat Only"),ROUND((Q22/1000)*T22,4),
ROUND((Q22/1000)*T22*INDEX(BUILDINGTYPE[Waste Heat Factor (e)],MATCH(M02S04F19,BUILDINGTYPE[Building Type],0)),4)))</f>
        <v/>
      </c>
      <c r="BB22" s="771" t="str">
        <f>IF(OR(C22="",Q22="",AA22="",O22="",AE22="",AH22="",AJ22=""),"",
IF(OR(M02S04F22="Unconditioned",M02S04F22="Electric Heat Only",M02S04F22="Natural Gas Heat Only"),BA22-ROUND((Q22/1000)*T22*INDEX(CMELIGHTCON[Energy Savings Factor],MATCH(C22,CMELIGHTCON[Proj Desc 1],0)),4),
BA22-ROUND((Q22/1000)*T22*INDEX(CMELIGHTCON[Energy Savings Factor],MATCH(C22,CMELIGHTCON[Proj Desc 1],0))*INDEX(BUILDINGTYPE[Waste Heat Factor (e)],MATCH(M02S04F19,BUILDINGTYPE[Building Type],0)),4)))</f>
        <v/>
      </c>
      <c r="BC22" s="1078" t="str">
        <f>IF(OR(C22=""),"",IF(INDEX(CMELIGHTCON[End Use Category],MATCH(C22,CMELIGHTCON[Proj Desc 1],0))="","",INDEX(CMELIGHTCON[End Use Category],MATCH(C22,CMELIGHTCON[Proj Desc 1],0))))</f>
        <v/>
      </c>
      <c r="BD22" s="757" t="str">
        <f t="shared" ref="BD22" si="10">IF(BE22&lt;&gt;"", "Calculated", "")</f>
        <v/>
      </c>
      <c r="BE22" s="775" t="str">
        <f t="shared" ref="BE22" si="11">IF(AND(BA22&lt;&gt;"", BB22&lt;&gt;""), ROUND(BA22-BB22,4), "")</f>
        <v/>
      </c>
      <c r="BF22" s="775" t="str">
        <f>IFERROR(IF(OR(C22="",Q22="",AA22="",O22="",AE22="",AH22="",AJ22=""),"",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775" t="str">
        <f>IFERROR(IF(OR(C22="",Q22="",AA22="",O22="",AE22="",AH22="",AJ22=""),"",ROUND(AO22*INDEX(ENDUSEALL[Factor],MATCH(BC22,ENDUSEALL[End Use to Coincident Peak Demand Factors],0)),4)),"")</f>
        <v/>
      </c>
      <c r="BH22" s="761"/>
      <c r="BI22" s="761"/>
      <c r="BJ22" s="777" t="str">
        <f>IF(OR(C22=""),"",IF(INDEX(CMELIGHTCON[EUL],MATCH(C22,CMELIGHTCON[Proj Desc 1],0))="","",INDEX(CMELIGHTCON[EUL],MATCH(C22,CMELIGHTCON[Proj Desc 1],0))))</f>
        <v/>
      </c>
      <c r="BK22" s="767" t="str">
        <f>IFERROR(IF(OR(C22="",Q22="",AA22="",O22="",AE22="",AH22="",AJ22=""),"",
ROUND(((1+ELOSS)*((AO22*INDEX(ELECCB[NPV AEC $/kWh],MATCH(BJ22,ELECCB[Year Number],1)))+(BG22*INDEX(ELECCB[NPV ACC $/kW],MATCH(BJ22,ELECCB[Year Number],1))))),2)),0)</f>
        <v/>
      </c>
      <c r="BL22" s="767" t="str">
        <f t="shared" si="1"/>
        <v/>
      </c>
      <c r="BM22" s="765"/>
      <c r="BN22" s="763" t="str">
        <f t="shared" si="2"/>
        <v/>
      </c>
      <c r="BO22" s="763" t="str">
        <f>IFERROR(IF(BM22 &lt;&gt; "", BM22, BL22) / M02S04F06 / AO22, "")</f>
        <v/>
      </c>
      <c r="BP22" s="769"/>
      <c r="BQ22" s="765"/>
      <c r="BR22" s="767" t="str">
        <f t="shared" ref="BR22" si="12">IFERROR(ROUND(AO22*BV22,2),"")</f>
        <v/>
      </c>
      <c r="BS22" s="765"/>
      <c r="BT22" s="765"/>
      <c r="BU22" s="757" t="str">
        <f>IFERROR(IF(BP22="", IF(AND(ROUND(AR22/AL22,2)=TOTCOSTCAP, BR22/AL22&gt;TOTCOSTCAP),"75% Total Cost",
IF(FALSE,"100% Incremental Cost",
IF(BV22&lt;KWHRATEMIN, "kWh Incentive Rate Min",
IF(BV22&gt;KWHRATEMAX,"kWh Incentive Rate Cap",
IF(AR22=BT22,"Bonus Incentive",
"kWh Incentive"))))), ""),"")</f>
        <v/>
      </c>
      <c r="BV22" s="767"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57" t="str">
        <f>IF(OR(C22="",Q22="",AA22="",O22="",AE22="",AH22="",AJ22=""),"",IF(BY22&lt;&gt;"",SPILLOVERNUMBER,INDEX(CMELIGHTCON[Measure Number],MATCH(C22,CMELIGHTCON[Proj Desc 1],0))))</f>
        <v/>
      </c>
      <c r="BX22" s="757" t="str" cm="1">
        <f t="array" ref="BX22">IFERROR(INDEX(_xlfn.SWITCH(Program_Banner,"Business Energy Savings",ENDUSEALL[Primary Key WBE],"Small Business / Non-Profit",ENDUSEALL[Primary Key HTRB],0),MATCH(BC22,ENDUSEALL[End Use to Coincident Peak Demand Factors],0)),"")</f>
        <v/>
      </c>
      <c r="BY22" s="757" t="str">
        <f ca="1">IFERROR(
IF(EXPIRATION&lt;&gt;"",PROJSTATEXP,
IF(BP22&gt;0,"",
IF(OR(M02S04F06="",M02S04F06="Select Rate Code",M02S04F06=0),MEASURERATE,
IF(M02S04F19="",MEASUREBLDG,
IF(BA22-BB22&lt;=0,MEASURESAVE,
IF(PAYCUSE&lt;PAYBACKREQ,PROJECTSTATPAYBACK,
IF(CBCUSE&lt;CBREQ,PROJECTSTATCB,""))))))),
MEASURESUBMIT)</f>
        <v>Enter Utility Rate</v>
      </c>
      <c r="BZ22" s="753"/>
      <c r="CA22" s="753"/>
      <c r="CB22" s="753"/>
      <c r="CC22" s="753"/>
    </row>
    <row r="23" spans="1:81" s="17" customFormat="1" ht="15.95" customHeight="1">
      <c r="A23" s="109"/>
      <c r="B23" s="785"/>
      <c r="C23" s="1012"/>
      <c r="D23" s="1013"/>
      <c r="E23" s="1013"/>
      <c r="F23" s="1013"/>
      <c r="G23" s="1013"/>
      <c r="H23" s="1013"/>
      <c r="I23" s="1013"/>
      <c r="J23" s="1013"/>
      <c r="K23" s="1013"/>
      <c r="L23" s="1013"/>
      <c r="M23" s="1086"/>
      <c r="N23" s="1086"/>
      <c r="O23" s="989"/>
      <c r="P23" s="989"/>
      <c r="Q23" s="1082"/>
      <c r="R23" s="1082"/>
      <c r="S23" s="1082"/>
      <c r="T23" s="1002"/>
      <c r="U23" s="1002"/>
      <c r="V23" s="1080"/>
      <c r="W23" s="1004"/>
      <c r="X23" s="1002"/>
      <c r="Y23" s="1002"/>
      <c r="Z23" s="1002"/>
      <c r="AA23" s="1002"/>
      <c r="AB23" s="1002"/>
      <c r="AC23" s="1002"/>
      <c r="AD23" s="1002"/>
      <c r="AE23" s="1002"/>
      <c r="AF23" s="1002"/>
      <c r="AG23" s="1003"/>
      <c r="AH23" s="992"/>
      <c r="AI23" s="993"/>
      <c r="AJ23" s="1083"/>
      <c r="AK23" s="1084"/>
      <c r="AL23" s="1006"/>
      <c r="AM23" s="1007"/>
      <c r="AN23" s="1007"/>
      <c r="AO23" s="1037"/>
      <c r="AP23" s="1037"/>
      <c r="AQ23" s="1037"/>
      <c r="AR23" s="1075"/>
      <c r="AS23" s="1076"/>
      <c r="AT23" s="1076"/>
      <c r="AU23" s="1077"/>
      <c r="AV23" s="59"/>
      <c r="AW23" s="59"/>
      <c r="AX23" s="774"/>
      <c r="AY23" s="760"/>
      <c r="AZ23" s="760"/>
      <c r="BA23" s="772"/>
      <c r="BB23" s="772"/>
      <c r="BC23" s="1079"/>
      <c r="BD23" s="758"/>
      <c r="BE23" s="776"/>
      <c r="BF23" s="776"/>
      <c r="BG23" s="776"/>
      <c r="BH23" s="762"/>
      <c r="BI23" s="762"/>
      <c r="BJ23" s="778"/>
      <c r="BK23" s="768"/>
      <c r="BL23" s="768"/>
      <c r="BM23" s="766"/>
      <c r="BN23" s="764"/>
      <c r="BO23" s="764"/>
      <c r="BP23" s="770"/>
      <c r="BQ23" s="766"/>
      <c r="BR23" s="768"/>
      <c r="BS23" s="766"/>
      <c r="BT23" s="766"/>
      <c r="BU23" s="758"/>
      <c r="BV23" s="768"/>
      <c r="BW23" s="758"/>
      <c r="BX23" s="758"/>
      <c r="BY23" s="758"/>
      <c r="BZ23" s="754"/>
      <c r="CA23" s="754"/>
      <c r="CB23" s="754"/>
      <c r="CC23" s="754"/>
    </row>
    <row r="24" spans="1:81" ht="15.95" customHeight="1">
      <c r="B24" s="785">
        <v>4</v>
      </c>
      <c r="C24" s="1009"/>
      <c r="D24" s="1010"/>
      <c r="E24" s="1010"/>
      <c r="F24" s="1010"/>
      <c r="G24" s="1010"/>
      <c r="H24" s="1010"/>
      <c r="I24" s="1010"/>
      <c r="J24" s="1010"/>
      <c r="K24" s="1010"/>
      <c r="L24" s="1010"/>
      <c r="M24" s="1086" t="str">
        <f>IFERROR(IF(C24="","",INDEX(CMELIGHTCON[Wattage Unit],MATCH(C24,CMELIGHTCON[Proj Desc 1],0))),"")</f>
        <v/>
      </c>
      <c r="N24" s="1086"/>
      <c r="O24" s="989"/>
      <c r="P24" s="989"/>
      <c r="Q24" s="1082"/>
      <c r="R24" s="1082"/>
      <c r="S24" s="1082"/>
      <c r="T24" s="1002"/>
      <c r="U24" s="1002"/>
      <c r="V24" s="1080"/>
      <c r="W24" s="1004"/>
      <c r="X24" s="1002"/>
      <c r="Y24" s="1002"/>
      <c r="Z24" s="1002"/>
      <c r="AA24" s="1002"/>
      <c r="AB24" s="1002"/>
      <c r="AC24" s="1002"/>
      <c r="AD24" s="1002"/>
      <c r="AE24" s="1002"/>
      <c r="AF24" s="1002"/>
      <c r="AG24" s="1003"/>
      <c r="AH24" s="992"/>
      <c r="AI24" s="993"/>
      <c r="AJ24" s="1083"/>
      <c r="AK24" s="1084"/>
      <c r="AL24" s="1030" t="str">
        <f>IF(OR(C24="",Q24="",AA24="",O24="",AE24="",AH24="",AJ24=""),"",ROUND(AH24+AJ24,2))</f>
        <v/>
      </c>
      <c r="AM24" s="1031"/>
      <c r="AN24" s="1031"/>
      <c r="AO24" s="1036" t="str">
        <f>IF(OR(C24="",Q24="",AA24="",O24="",AE24="",AH24="",AJ24=""),"",IF(BA24-BB24&lt;=0,0,ROUND(BA24-BB24,4)))</f>
        <v/>
      </c>
      <c r="AP24" s="1036"/>
      <c r="AQ24" s="1036"/>
      <c r="AR24" s="1072" t="str">
        <f>IF(OR(C24="",Q24="",AA24="",O24="",AE24="",AH24="",AJ24=""),"",
IF(BY24&lt;&gt;"",BY24,IF(BP24&gt;0,BP24,
IF(ACTIVEBLOCK="Yes",ROUND(MIN(AL24*0.75,AO24*BLOCKBIDRATE),2),
ROUND(MIN(AL24*0.75,BR24),2)))))</f>
        <v/>
      </c>
      <c r="AS24" s="1073"/>
      <c r="AT24" s="1073"/>
      <c r="AU24" s="1074"/>
      <c r="AV24" s="37"/>
      <c r="AW24" s="37"/>
      <c r="AX24" s="773" t="str">
        <f>IF(C24="","",INDEX(CMELIGHTCON[Wattage Unit],MATCH(C24,CMELIGHTCON[Proj Desc 1],0)))</f>
        <v/>
      </c>
      <c r="AY24" s="759" t="str">
        <f t="shared" ref="AY24" si="13">IF(O24="", "", 0)</f>
        <v/>
      </c>
      <c r="AZ24" s="759" t="str">
        <f t="shared" ref="AZ24" si="14">IF(O24="", "", O24)</f>
        <v/>
      </c>
      <c r="BA24" s="771" t="str">
        <f>IF(OR(C24="",Q24="",AA24="",O24="",AE24="",AH24="",AJ24=""),"",
IF(OR(M02S04F22="Unconditioned",M02S04F22="Electric Heat Only",M02S04F22="Natural Gas Heat Only"),ROUND((Q24/1000)*T24,4),
ROUND((Q24/1000)*T24*INDEX(BUILDINGTYPE[Waste Heat Factor (e)],MATCH(M02S04F19,BUILDINGTYPE[Building Type],0)),4)))</f>
        <v/>
      </c>
      <c r="BB24" s="771" t="str">
        <f>IF(OR(C24="",Q24="",AA24="",O24="",AE24="",AH24="",AJ24=""),"",
IF(OR(M02S04F22="Unconditioned",M02S04F22="Electric Heat Only",M02S04F22="Natural Gas Heat Only"),BA24-ROUND((Q24/1000)*T24*INDEX(CMELIGHTCON[Energy Savings Factor],MATCH(C24,CMELIGHTCON[Proj Desc 1],0)),4),
BA24-ROUND((Q24/1000)*T24*INDEX(CMELIGHTCON[Energy Savings Factor],MATCH(C24,CMELIGHTCON[Proj Desc 1],0))*INDEX(BUILDINGTYPE[Waste Heat Factor (e)],MATCH(M02S04F19,BUILDINGTYPE[Building Type],0)),4)))</f>
        <v/>
      </c>
      <c r="BC24" s="1078" t="str">
        <f>IF(OR(C24=""),"",IF(INDEX(CMELIGHTCON[End Use Category],MATCH(C24,CMELIGHTCON[Proj Desc 1],0))="","",INDEX(CMELIGHTCON[End Use Category],MATCH(C24,CMELIGHTCON[Proj Desc 1],0))))</f>
        <v/>
      </c>
      <c r="BD24" s="757" t="str">
        <f t="shared" ref="BD24" si="15">IF(BE24&lt;&gt;"", "Calculated", "")</f>
        <v/>
      </c>
      <c r="BE24" s="775" t="str">
        <f t="shared" ref="BE24" si="16">IF(AND(BA24&lt;&gt;"", BB24&lt;&gt;""), ROUND(BA24-BB24,4), "")</f>
        <v/>
      </c>
      <c r="BF24" s="775" t="str">
        <f>IFERROR(IF(OR(C24="",Q24="",AA24="",O24="",AE24="",AH24="",AJ24=""),"",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775" t="str">
        <f>IFERROR(IF(OR(C24="",Q24="",AA24="",O24="",AE24="",AH24="",AJ24=""),"",ROUND(AO24*INDEX(ENDUSEALL[Factor],MATCH(BC24,ENDUSEALL[End Use to Coincident Peak Demand Factors],0)),4)),"")</f>
        <v/>
      </c>
      <c r="BH24" s="761"/>
      <c r="BI24" s="761"/>
      <c r="BJ24" s="777" t="str">
        <f>IF(OR(C24=""),"",IF(INDEX(CMELIGHTCON[EUL],MATCH(C24,CMELIGHTCON[Proj Desc 1],0))="","",INDEX(CMELIGHTCON[EUL],MATCH(C24,CMELIGHTCON[Proj Desc 1],0))))</f>
        <v/>
      </c>
      <c r="BK24" s="767" t="str">
        <f>IFERROR(IF(OR(C24="",Q24="",AA24="",O24="",AE24="",AH24="",AJ24=""),"",
ROUND(((1+ELOSS)*((AO24*INDEX(ELECCB[NPV AEC $/kWh],MATCH(BJ24,ELECCB[Year Number],1)))+(BG24*INDEX(ELECCB[NPV ACC $/kW],MATCH(BJ24,ELECCB[Year Number],1))))),2)),0)</f>
        <v/>
      </c>
      <c r="BL24" s="767" t="str">
        <f t="shared" si="1"/>
        <v/>
      </c>
      <c r="BM24" s="765"/>
      <c r="BN24" s="763" t="str">
        <f t="shared" si="2"/>
        <v/>
      </c>
      <c r="BO24" s="763" t="str">
        <f>IFERROR(IF(BM24 &lt;&gt; "", BM24, BL24) / M02S04F06 / AO24, "")</f>
        <v/>
      </c>
      <c r="BP24" s="769"/>
      <c r="BQ24" s="765"/>
      <c r="BR24" s="767" t="str">
        <f t="shared" ref="BR24" si="17">IFERROR(ROUND(AO24*BV24,2),"")</f>
        <v/>
      </c>
      <c r="BS24" s="765"/>
      <c r="BT24" s="765"/>
      <c r="BU24" s="757" t="str">
        <f>IFERROR(IF(BP24="", IF(AND(ROUND(AR24/AL24,2)=TOTCOSTCAP, BR24/AL24&gt;TOTCOSTCAP),"75% Total Cost",
IF(FALSE,"100% Incremental Cost",
IF(BV24&lt;KWHRATEMIN, "kWh Incentive Rate Min",
IF(BV24&gt;KWHRATEMAX,"kWh Incentive Rate Cap",
IF(AR24=BT24,"Bonus Incentive",
"kWh Incentive"))))), ""),"")</f>
        <v/>
      </c>
      <c r="BV24" s="767"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57" t="str">
        <f>IF(OR(C24="",Q24="",AA24="",O24="",AE24="",AH24="",AJ24=""),"",IF(BY24&lt;&gt;"",SPILLOVERNUMBER,INDEX(CMELIGHTCON[Measure Number],MATCH(C24,CMELIGHTCON[Proj Desc 1],0))))</f>
        <v/>
      </c>
      <c r="BX24" s="757" t="str" cm="1">
        <f t="array" ref="BX24">IFERROR(INDEX(_xlfn.SWITCH(Program_Banner,"Business Energy Savings",ENDUSEALL[Primary Key WBE],"Small Business / Non-Profit",ENDUSEALL[Primary Key HTRB],0),MATCH(BC24,ENDUSEALL[End Use to Coincident Peak Demand Factors],0)),"")</f>
        <v/>
      </c>
      <c r="BY24" s="757" t="str">
        <f ca="1">IFERROR(
IF(EXPIRATION&lt;&gt;"",PROJSTATEXP,
IF(BP24&gt;0,"",
IF(OR(M02S04F06="",M02S04F06="Select Rate Code",M02S04F06=0),MEASURERATE,
IF(M02S04F19="",MEASUREBLDG,
IF(BA24-BB24&lt;=0,MEASURESAVE,
IF(PAYCUSE&lt;PAYBACKREQ,PROJECTSTATPAYBACK,
IF(CBCUSE&lt;CBREQ,PROJECTSTATCB,""))))))),
MEASURESUBMIT)</f>
        <v>Enter Utility Rate</v>
      </c>
      <c r="BZ24" s="753"/>
      <c r="CA24" s="753"/>
      <c r="CB24" s="753"/>
      <c r="CC24" s="753"/>
    </row>
    <row r="25" spans="1:81" ht="15.95" customHeight="1">
      <c r="A25" s="75"/>
      <c r="B25" s="785"/>
      <c r="C25" s="1012"/>
      <c r="D25" s="1013"/>
      <c r="E25" s="1013"/>
      <c r="F25" s="1013"/>
      <c r="G25" s="1013"/>
      <c r="H25" s="1013"/>
      <c r="I25" s="1013"/>
      <c r="J25" s="1013"/>
      <c r="K25" s="1013"/>
      <c r="L25" s="1013"/>
      <c r="M25" s="1086"/>
      <c r="N25" s="1086"/>
      <c r="O25" s="989"/>
      <c r="P25" s="989"/>
      <c r="Q25" s="1082"/>
      <c r="R25" s="1082"/>
      <c r="S25" s="1082"/>
      <c r="T25" s="1002"/>
      <c r="U25" s="1002"/>
      <c r="V25" s="1080"/>
      <c r="W25" s="1004"/>
      <c r="X25" s="1002"/>
      <c r="Y25" s="1002"/>
      <c r="Z25" s="1002"/>
      <c r="AA25" s="1002"/>
      <c r="AB25" s="1002"/>
      <c r="AC25" s="1002"/>
      <c r="AD25" s="1002"/>
      <c r="AE25" s="1002"/>
      <c r="AF25" s="1002"/>
      <c r="AG25" s="1003"/>
      <c r="AH25" s="992"/>
      <c r="AI25" s="993"/>
      <c r="AJ25" s="1083"/>
      <c r="AK25" s="1084"/>
      <c r="AL25" s="1006"/>
      <c r="AM25" s="1007"/>
      <c r="AN25" s="1007"/>
      <c r="AO25" s="1037"/>
      <c r="AP25" s="1037"/>
      <c r="AQ25" s="1037"/>
      <c r="AR25" s="1075"/>
      <c r="AS25" s="1076"/>
      <c r="AT25" s="1076"/>
      <c r="AU25" s="1077"/>
      <c r="AV25" s="37"/>
      <c r="AW25" s="37"/>
      <c r="AX25" s="774"/>
      <c r="AY25" s="760"/>
      <c r="AZ25" s="760"/>
      <c r="BA25" s="772"/>
      <c r="BB25" s="772"/>
      <c r="BC25" s="1079"/>
      <c r="BD25" s="758"/>
      <c r="BE25" s="776"/>
      <c r="BF25" s="776"/>
      <c r="BG25" s="776"/>
      <c r="BH25" s="762"/>
      <c r="BI25" s="762"/>
      <c r="BJ25" s="778"/>
      <c r="BK25" s="768"/>
      <c r="BL25" s="768"/>
      <c r="BM25" s="766"/>
      <c r="BN25" s="764"/>
      <c r="BO25" s="764"/>
      <c r="BP25" s="770"/>
      <c r="BQ25" s="766"/>
      <c r="BR25" s="768"/>
      <c r="BS25" s="766"/>
      <c r="BT25" s="766"/>
      <c r="BU25" s="758"/>
      <c r="BV25" s="768"/>
      <c r="BW25" s="758"/>
      <c r="BX25" s="758"/>
      <c r="BY25" s="758"/>
      <c r="BZ25" s="754"/>
      <c r="CA25" s="754"/>
      <c r="CB25" s="754"/>
      <c r="CC25" s="754"/>
    </row>
    <row r="26" spans="1:81" ht="15.95" customHeight="1">
      <c r="B26" s="785">
        <v>5</v>
      </c>
      <c r="C26" s="1009"/>
      <c r="D26" s="1010"/>
      <c r="E26" s="1010"/>
      <c r="F26" s="1010"/>
      <c r="G26" s="1010"/>
      <c r="H26" s="1010"/>
      <c r="I26" s="1010"/>
      <c r="J26" s="1010"/>
      <c r="K26" s="1010"/>
      <c r="L26" s="1010"/>
      <c r="M26" s="1086" t="str">
        <f>IFERROR(IF(C26="","",INDEX(CMELIGHTCON[Wattage Unit],MATCH(C26,CMELIGHTCON[Proj Desc 1],0))),"")</f>
        <v/>
      </c>
      <c r="N26" s="1086"/>
      <c r="O26" s="989"/>
      <c r="P26" s="989"/>
      <c r="Q26" s="1082"/>
      <c r="R26" s="1082"/>
      <c r="S26" s="1082"/>
      <c r="T26" s="1002"/>
      <c r="U26" s="1002"/>
      <c r="V26" s="1080"/>
      <c r="W26" s="1004"/>
      <c r="X26" s="1002"/>
      <c r="Y26" s="1002"/>
      <c r="Z26" s="1002"/>
      <c r="AA26" s="1002"/>
      <c r="AB26" s="1002"/>
      <c r="AC26" s="1002"/>
      <c r="AD26" s="1002"/>
      <c r="AE26" s="1002"/>
      <c r="AF26" s="1002"/>
      <c r="AG26" s="1003"/>
      <c r="AH26" s="992"/>
      <c r="AI26" s="993"/>
      <c r="AJ26" s="1083"/>
      <c r="AK26" s="1084"/>
      <c r="AL26" s="1030" t="str">
        <f>IF(OR(C26="",Q26="",AA26="",O26="",AE26="",AH26="",AJ26=""),"",ROUND(AH26+AJ26,2))</f>
        <v/>
      </c>
      <c r="AM26" s="1031"/>
      <c r="AN26" s="1031"/>
      <c r="AO26" s="1036" t="str">
        <f>IF(OR(C26="",Q26="",AA26="",O26="",AE26="",AH26="",AJ26=""),"",IF(BA26-BB26&lt;=0,0,ROUND(BA26-BB26,4)))</f>
        <v/>
      </c>
      <c r="AP26" s="1036"/>
      <c r="AQ26" s="1036"/>
      <c r="AR26" s="1072" t="str">
        <f>IF(OR(C26="",Q26="",AA26="",O26="",AE26="",AH26="",AJ26=""),"",
IF(BY26&lt;&gt;"",BY26,IF(BP26&gt;0,BP26,
IF(ACTIVEBLOCK="Yes",ROUND(MIN(AL26*0.75,AO26*BLOCKBIDRATE),2),
ROUND(MIN(AL26*0.75,BR26),2)))))</f>
        <v/>
      </c>
      <c r="AS26" s="1073"/>
      <c r="AT26" s="1073"/>
      <c r="AU26" s="1074"/>
      <c r="AV26" s="37"/>
      <c r="AW26" s="37"/>
      <c r="AX26" s="773" t="str">
        <f>IF(C26="","",INDEX(CMELIGHTCON[Wattage Unit],MATCH(C26,CMELIGHTCON[Proj Desc 1],0)))</f>
        <v/>
      </c>
      <c r="AY26" s="759" t="str">
        <f t="shared" ref="AY26" si="18">IF(O26="", "", 0)</f>
        <v/>
      </c>
      <c r="AZ26" s="759" t="str">
        <f t="shared" ref="AZ26" si="19">IF(O26="", "", O26)</f>
        <v/>
      </c>
      <c r="BA26" s="771" t="str">
        <f>IF(OR(C26="",Q26="",AA26="",O26="",AE26="",AH26="",AJ26=""),"",
IF(OR(M02S04F22="Unconditioned",M02S04F22="Electric Heat Only",M02S04F22="Natural Gas Heat Only"),ROUND((Q26/1000)*T26,4),
ROUND((Q26/1000)*T26*INDEX(BUILDINGTYPE[Waste Heat Factor (e)],MATCH(M02S04F19,BUILDINGTYPE[Building Type],0)),4)))</f>
        <v/>
      </c>
      <c r="BB26" s="771" t="str">
        <f>IF(OR(C26="",Q26="",AA26="",O26="",AE26="",AH26="",AJ26=""),"",
IF(OR(M02S04F22="Unconditioned",M02S04F22="Electric Heat Only",M02S04F22="Natural Gas Heat Only"),BA26-ROUND((Q26/1000)*T26*INDEX(CMELIGHTCON[Energy Savings Factor],MATCH(C26,CMELIGHTCON[Proj Desc 1],0)),4),
BA26-ROUND((Q26/1000)*T26*INDEX(CMELIGHTCON[Energy Savings Factor],MATCH(C26,CMELIGHTCON[Proj Desc 1],0))*INDEX(BUILDINGTYPE[Waste Heat Factor (e)],MATCH(M02S04F19,BUILDINGTYPE[Building Type],0)),4)))</f>
        <v/>
      </c>
      <c r="BC26" s="1078" t="str">
        <f>IF(OR(C26=""),"",IF(INDEX(CMELIGHTCON[End Use Category],MATCH(C26,CMELIGHTCON[Proj Desc 1],0))="","",INDEX(CMELIGHTCON[End Use Category],MATCH(C26,CMELIGHTCON[Proj Desc 1],0))))</f>
        <v/>
      </c>
      <c r="BD26" s="757" t="str">
        <f t="shared" ref="BD26" si="20">IF(BE26&lt;&gt;"", "Calculated", "")</f>
        <v/>
      </c>
      <c r="BE26" s="775" t="str">
        <f t="shared" ref="BE26" si="21">IF(AND(BA26&lt;&gt;"", BB26&lt;&gt;""), ROUND(BA26-BB26,4), "")</f>
        <v/>
      </c>
      <c r="BF26" s="775" t="str">
        <f>IFERROR(IF(OR(C26="",Q26="",AA26="",O26="",AE26="",AH26="",AJ26=""),"",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775" t="str">
        <f>IFERROR(IF(OR(C26="",Q26="",AA26="",O26="",AE26="",AH26="",AJ26=""),"",ROUND(AO26*INDEX(ENDUSEALL[Factor],MATCH(BC26,ENDUSEALL[End Use to Coincident Peak Demand Factors],0)),4)),"")</f>
        <v/>
      </c>
      <c r="BH26" s="761"/>
      <c r="BI26" s="761"/>
      <c r="BJ26" s="777" t="str">
        <f>IF(OR(C26=""),"",IF(INDEX(CMELIGHTCON[EUL],MATCH(C26,CMELIGHTCON[Proj Desc 1],0))="","",INDEX(CMELIGHTCON[EUL],MATCH(C26,CMELIGHTCON[Proj Desc 1],0))))</f>
        <v/>
      </c>
      <c r="BK26" s="767" t="str">
        <f>IFERROR(IF(OR(C26="",Q26="",AA26="",O26="",AE26="",AH26="",AJ26=""),"",
ROUND(((1+ELOSS)*((AO26*INDEX(ELECCB[NPV AEC $/kWh],MATCH(BJ26,ELECCB[Year Number],1)))+(BG26*INDEX(ELECCB[NPV ACC $/kW],MATCH(BJ26,ELECCB[Year Number],1))))),2)),0)</f>
        <v/>
      </c>
      <c r="BL26" s="767" t="str">
        <f t="shared" si="1"/>
        <v/>
      </c>
      <c r="BM26" s="765"/>
      <c r="BN26" s="763" t="str">
        <f t="shared" si="2"/>
        <v/>
      </c>
      <c r="BO26" s="763" t="str">
        <f>IFERROR(IF(BM26 &lt;&gt; "", BM26, BL26) / M02S04F06 / AO26, "")</f>
        <v/>
      </c>
      <c r="BP26" s="769"/>
      <c r="BQ26" s="765"/>
      <c r="BR26" s="767" t="str">
        <f t="shared" ref="BR26" si="22">IFERROR(ROUND(AO26*BV26,2),"")</f>
        <v/>
      </c>
      <c r="BS26" s="765"/>
      <c r="BT26" s="765"/>
      <c r="BU26" s="757" t="str">
        <f>IFERROR(IF(BP26="", IF(AND(ROUND(AR26/AL26,2)=TOTCOSTCAP, BR26/AL26&gt;TOTCOSTCAP),"75% Total Cost",
IF(FALSE,"100% Incremental Cost",
IF(BV26&lt;KWHRATEMIN, "kWh Incentive Rate Min",
IF(BV26&gt;KWHRATEMAX,"kWh Incentive Rate Cap",
IF(AR26=BT26,"Bonus Incentive",
"kWh Incentive"))))), ""),"")</f>
        <v/>
      </c>
      <c r="BV26" s="767"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57" t="str">
        <f>IF(OR(C26="",Q26="",AA26="",O26="",AE26="",AH26="",AJ26=""),"",IF(BY26&lt;&gt;"",SPILLOVERNUMBER,INDEX(CMELIGHTCON[Measure Number],MATCH(C26,CMELIGHTCON[Proj Desc 1],0))))</f>
        <v/>
      </c>
      <c r="BX26" s="757" t="str" cm="1">
        <f t="array" ref="BX26">IFERROR(INDEX(_xlfn.SWITCH(Program_Banner,"Business Energy Savings",ENDUSEALL[Primary Key WBE],"Small Business / Non-Profit",ENDUSEALL[Primary Key HTRB],0),MATCH(BC26,ENDUSEALL[End Use to Coincident Peak Demand Factors],0)),"")</f>
        <v/>
      </c>
      <c r="BY26" s="757" t="str">
        <f ca="1">IFERROR(
IF(EXPIRATION&lt;&gt;"",PROJSTATEXP,
IF(BP26&gt;0,"",
IF(OR(M02S04F06="",M02S04F06="Select Rate Code",M02S04F06=0),MEASURERATE,
IF(M02S04F19="",MEASUREBLDG,
IF(BA26-BB26&lt;=0,MEASURESAVE,
IF(PAYCUSE&lt;PAYBACKREQ,PROJECTSTATPAYBACK,
IF(CBCUSE&lt;CBREQ,PROJECTSTATCB,""))))))),
MEASURESUBMIT)</f>
        <v>Enter Utility Rate</v>
      </c>
      <c r="BZ26" s="753"/>
      <c r="CA26" s="753"/>
      <c r="CB26" s="753"/>
      <c r="CC26" s="753"/>
    </row>
    <row r="27" spans="1:81" ht="15.95" customHeight="1">
      <c r="B27" s="785"/>
      <c r="C27" s="1012"/>
      <c r="D27" s="1013"/>
      <c r="E27" s="1013"/>
      <c r="F27" s="1013"/>
      <c r="G27" s="1013"/>
      <c r="H27" s="1013"/>
      <c r="I27" s="1013"/>
      <c r="J27" s="1013"/>
      <c r="K27" s="1013"/>
      <c r="L27" s="1013"/>
      <c r="M27" s="1086"/>
      <c r="N27" s="1086"/>
      <c r="O27" s="989"/>
      <c r="P27" s="989"/>
      <c r="Q27" s="1082"/>
      <c r="R27" s="1082"/>
      <c r="S27" s="1082"/>
      <c r="T27" s="1002"/>
      <c r="U27" s="1002"/>
      <c r="V27" s="1080"/>
      <c r="W27" s="1004"/>
      <c r="X27" s="1002"/>
      <c r="Y27" s="1002"/>
      <c r="Z27" s="1002"/>
      <c r="AA27" s="1002"/>
      <c r="AB27" s="1002"/>
      <c r="AC27" s="1002"/>
      <c r="AD27" s="1002"/>
      <c r="AE27" s="1002"/>
      <c r="AF27" s="1002"/>
      <c r="AG27" s="1003"/>
      <c r="AH27" s="992"/>
      <c r="AI27" s="993"/>
      <c r="AJ27" s="1083"/>
      <c r="AK27" s="1084"/>
      <c r="AL27" s="1006"/>
      <c r="AM27" s="1007"/>
      <c r="AN27" s="1007"/>
      <c r="AO27" s="1037"/>
      <c r="AP27" s="1037"/>
      <c r="AQ27" s="1037"/>
      <c r="AR27" s="1075"/>
      <c r="AS27" s="1076"/>
      <c r="AT27" s="1076"/>
      <c r="AU27" s="1077"/>
      <c r="AV27" s="37"/>
      <c r="AW27" s="37"/>
      <c r="AX27" s="774"/>
      <c r="AY27" s="760"/>
      <c r="AZ27" s="760"/>
      <c r="BA27" s="772"/>
      <c r="BB27" s="772"/>
      <c r="BC27" s="1079"/>
      <c r="BD27" s="758"/>
      <c r="BE27" s="776"/>
      <c r="BF27" s="776"/>
      <c r="BG27" s="776"/>
      <c r="BH27" s="762"/>
      <c r="BI27" s="762"/>
      <c r="BJ27" s="778"/>
      <c r="BK27" s="768"/>
      <c r="BL27" s="768"/>
      <c r="BM27" s="766"/>
      <c r="BN27" s="764"/>
      <c r="BO27" s="764"/>
      <c r="BP27" s="770"/>
      <c r="BQ27" s="766"/>
      <c r="BR27" s="768"/>
      <c r="BS27" s="766"/>
      <c r="BT27" s="766"/>
      <c r="BU27" s="758"/>
      <c r="BV27" s="768"/>
      <c r="BW27" s="758"/>
      <c r="BX27" s="758"/>
      <c r="BY27" s="758"/>
      <c r="BZ27" s="754"/>
      <c r="CA27" s="754"/>
      <c r="CB27" s="754"/>
      <c r="CC27" s="754"/>
    </row>
    <row r="28" spans="1:81" ht="15.95" customHeight="1">
      <c r="B28" s="785">
        <v>6</v>
      </c>
      <c r="C28" s="1009"/>
      <c r="D28" s="1010"/>
      <c r="E28" s="1010"/>
      <c r="F28" s="1010"/>
      <c r="G28" s="1010"/>
      <c r="H28" s="1010"/>
      <c r="I28" s="1010"/>
      <c r="J28" s="1010"/>
      <c r="K28" s="1010"/>
      <c r="L28" s="1010"/>
      <c r="M28" s="1086" t="str">
        <f>IFERROR(IF(C28="","",INDEX(CMELIGHTCON[Wattage Unit],MATCH(C28,CMELIGHTCON[Proj Desc 1],0))),"")</f>
        <v/>
      </c>
      <c r="N28" s="1086"/>
      <c r="O28" s="989"/>
      <c r="P28" s="989"/>
      <c r="Q28" s="1082"/>
      <c r="R28" s="1082"/>
      <c r="S28" s="1082"/>
      <c r="T28" s="1002"/>
      <c r="U28" s="1002"/>
      <c r="V28" s="1080"/>
      <c r="W28" s="1004"/>
      <c r="X28" s="1002"/>
      <c r="Y28" s="1002"/>
      <c r="Z28" s="1002"/>
      <c r="AA28" s="1002"/>
      <c r="AB28" s="1002"/>
      <c r="AC28" s="1002"/>
      <c r="AD28" s="1002"/>
      <c r="AE28" s="1002"/>
      <c r="AF28" s="1002"/>
      <c r="AG28" s="1003"/>
      <c r="AH28" s="992"/>
      <c r="AI28" s="993"/>
      <c r="AJ28" s="1083"/>
      <c r="AK28" s="1084"/>
      <c r="AL28" s="1030" t="str">
        <f>IF(OR(C28="",Q28="",AA28="",O28="",AE28="",AH28="",AJ28=""),"",ROUND(AH28+AJ28,2))</f>
        <v/>
      </c>
      <c r="AM28" s="1031"/>
      <c r="AN28" s="1031"/>
      <c r="AO28" s="1036" t="str">
        <f>IF(OR(C28="",Q28="",AA28="",O28="",AE28="",AH28="",AJ28=""),"",IF(BA28-BB28&lt;=0,0,ROUND(BA28-BB28,4)))</f>
        <v/>
      </c>
      <c r="AP28" s="1036"/>
      <c r="AQ28" s="1036"/>
      <c r="AR28" s="1072" t="str">
        <f>IF(OR(C28="",Q28="",AA28="",O28="",AE28="",AH28="",AJ28=""),"",
IF(BY28&lt;&gt;"",BY28,IF(BP28&gt;0,BP28,
IF(ACTIVEBLOCK="Yes",ROUND(MIN(AL28*0.75,AO28*BLOCKBIDRATE),2),
ROUND(MIN(AL28*0.75,BR28),2)))))</f>
        <v/>
      </c>
      <c r="AS28" s="1073"/>
      <c r="AT28" s="1073"/>
      <c r="AU28" s="1074"/>
      <c r="AV28" s="37"/>
      <c r="AW28" s="37"/>
      <c r="AX28" s="773" t="str">
        <f>IF(C28="","",INDEX(CMELIGHTCON[Wattage Unit],MATCH(C28,CMELIGHTCON[Proj Desc 1],0)))</f>
        <v/>
      </c>
      <c r="AY28" s="759" t="str">
        <f t="shared" ref="AY28" si="23">IF(O28="", "", 0)</f>
        <v/>
      </c>
      <c r="AZ28" s="759" t="str">
        <f t="shared" ref="AZ28" si="24">IF(O28="", "", O28)</f>
        <v/>
      </c>
      <c r="BA28" s="771" t="str">
        <f>IF(OR(C28="",Q28="",AA28="",O28="",AE28="",AH28="",AJ28=""),"",
IF(OR(M02S04F22="Unconditioned",M02S04F22="Electric Heat Only",M02S04F22="Natural Gas Heat Only"),ROUND((Q28/1000)*T28,4),
ROUND((Q28/1000)*T28*INDEX(BUILDINGTYPE[Waste Heat Factor (e)],MATCH(M02S04F19,BUILDINGTYPE[Building Type],0)),4)))</f>
        <v/>
      </c>
      <c r="BB28" s="771" t="str">
        <f>IF(OR(C28="",Q28="",AA28="",O28="",AE28="",AH28="",AJ28=""),"",
IF(OR(M02S04F22="Unconditioned",M02S04F22="Electric Heat Only",M02S04F22="Natural Gas Heat Only"),BA28-ROUND((Q28/1000)*T28*INDEX(CMELIGHTCON[Energy Savings Factor],MATCH(C28,CMELIGHTCON[Proj Desc 1],0)),4),
BA28-ROUND((Q28/1000)*T28*INDEX(CMELIGHTCON[Energy Savings Factor],MATCH(C28,CMELIGHTCON[Proj Desc 1],0))*INDEX(BUILDINGTYPE[Waste Heat Factor (e)],MATCH(M02S04F19,BUILDINGTYPE[Building Type],0)),4)))</f>
        <v/>
      </c>
      <c r="BC28" s="1078" t="str">
        <f>IF(OR(C28=""),"",IF(INDEX(CMELIGHTCON[End Use Category],MATCH(C28,CMELIGHTCON[Proj Desc 1],0))="","",INDEX(CMELIGHTCON[End Use Category],MATCH(C28,CMELIGHTCON[Proj Desc 1],0))))</f>
        <v/>
      </c>
      <c r="BD28" s="757" t="str">
        <f t="shared" ref="BD28" si="25">IF(BE28&lt;&gt;"", "Calculated", "")</f>
        <v/>
      </c>
      <c r="BE28" s="775" t="str">
        <f t="shared" ref="BE28" si="26">IF(AND(BA28&lt;&gt;"", BB28&lt;&gt;""), ROUND(BA28-BB28,4), "")</f>
        <v/>
      </c>
      <c r="BF28" s="775" t="str">
        <f>IFERROR(IF(OR(C28="",Q28="",AA28="",O28="",AE28="",AH28="",AJ28=""),"",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775" t="str">
        <f>IFERROR(IF(OR(C28="",Q28="",AA28="",O28="",AE28="",AH28="",AJ28=""),"",ROUND(AO28*INDEX(ENDUSEALL[Factor],MATCH(BC28,ENDUSEALL[End Use to Coincident Peak Demand Factors],0)),4)),"")</f>
        <v/>
      </c>
      <c r="BH28" s="761"/>
      <c r="BI28" s="761"/>
      <c r="BJ28" s="777" t="str">
        <f>IF(OR(C28=""),"",IF(INDEX(CMELIGHTCON[EUL],MATCH(C28,CMELIGHTCON[Proj Desc 1],0))="","",INDEX(CMELIGHTCON[EUL],MATCH(C28,CMELIGHTCON[Proj Desc 1],0))))</f>
        <v/>
      </c>
      <c r="BK28" s="767" t="str">
        <f>IFERROR(IF(OR(C28="",Q28="",AA28="",O28="",AE28="",AH28="",AJ28=""),"",
ROUND(((1+ELOSS)*((AO28*INDEX(ELECCB[NPV AEC $/kWh],MATCH(BJ28,ELECCB[Year Number],1)))+(BG28*INDEX(ELECCB[NPV ACC $/kW],MATCH(BJ28,ELECCB[Year Number],1))))),2)),0)</f>
        <v/>
      </c>
      <c r="BL28" s="767" t="str">
        <f t="shared" si="1"/>
        <v/>
      </c>
      <c r="BM28" s="765"/>
      <c r="BN28" s="763" t="str">
        <f t="shared" si="2"/>
        <v/>
      </c>
      <c r="BO28" s="763" t="str">
        <f>IFERROR(IF(BM28 &lt;&gt; "", BM28, BL28) / M02S04F06 / AO28, "")</f>
        <v/>
      </c>
      <c r="BP28" s="769"/>
      <c r="BQ28" s="765"/>
      <c r="BR28" s="767" t="str">
        <f t="shared" ref="BR28" si="27">IFERROR(ROUND(AO28*BV28,2),"")</f>
        <v/>
      </c>
      <c r="BS28" s="765"/>
      <c r="BT28" s="765"/>
      <c r="BU28" s="757" t="str">
        <f>IFERROR(IF(BP28="", IF(AND(ROUND(AR28/AL28,2)=TOTCOSTCAP, BR28/AL28&gt;TOTCOSTCAP),"75% Total Cost",
IF(FALSE,"100% Incremental Cost",
IF(BV28&lt;KWHRATEMIN, "kWh Incentive Rate Min",
IF(BV28&gt;KWHRATEMAX,"kWh Incentive Rate Cap",
IF(AR28=BT28,"Bonus Incentive",
"kWh Incentive"))))), ""),"")</f>
        <v/>
      </c>
      <c r="BV28" s="767"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57" t="str">
        <f>IF(OR(C28="",Q28="",AA28="",O28="",AE28="",AH28="",AJ28=""),"",IF(BY28&lt;&gt;"",SPILLOVERNUMBER,INDEX(CMELIGHTCON[Measure Number],MATCH(C28,CMELIGHTCON[Proj Desc 1],0))))</f>
        <v/>
      </c>
      <c r="BX28" s="757" t="str" cm="1">
        <f t="array" ref="BX28">IFERROR(INDEX(_xlfn.SWITCH(Program_Banner,"Business Energy Savings",ENDUSEALL[Primary Key WBE],"Small Business / Non-Profit",ENDUSEALL[Primary Key HTRB],0),MATCH(BC28,ENDUSEALL[End Use to Coincident Peak Demand Factors],0)),"")</f>
        <v/>
      </c>
      <c r="BY28" s="757" t="str">
        <f ca="1">IFERROR(
IF(EXPIRATION&lt;&gt;"",PROJSTATEXP,
IF(BP28&gt;0,"",
IF(OR(M02S04F06="",M02S04F06="Select Rate Code",M02S04F06=0),MEASURERATE,
IF(M02S04F19="",MEASUREBLDG,
IF(BA28-BB28&lt;=0,MEASURESAVE,
IF(PAYCUSE&lt;PAYBACKREQ,PROJECTSTATPAYBACK,
IF(CBCUSE&lt;CBREQ,PROJECTSTATCB,""))))))),
MEASURESUBMIT)</f>
        <v>Enter Utility Rate</v>
      </c>
      <c r="BZ28" s="753"/>
      <c r="CA28" s="753"/>
      <c r="CB28" s="753"/>
      <c r="CC28" s="753"/>
    </row>
    <row r="29" spans="1:81" ht="15.95" customHeight="1">
      <c r="B29" s="785"/>
      <c r="C29" s="1012"/>
      <c r="D29" s="1013"/>
      <c r="E29" s="1013"/>
      <c r="F29" s="1013"/>
      <c r="G29" s="1013"/>
      <c r="H29" s="1013"/>
      <c r="I29" s="1013"/>
      <c r="J29" s="1013"/>
      <c r="K29" s="1013"/>
      <c r="L29" s="1013"/>
      <c r="M29" s="1086"/>
      <c r="N29" s="1086"/>
      <c r="O29" s="989"/>
      <c r="P29" s="989"/>
      <c r="Q29" s="1082"/>
      <c r="R29" s="1082"/>
      <c r="S29" s="1082"/>
      <c r="T29" s="1002"/>
      <c r="U29" s="1002"/>
      <c r="V29" s="1080"/>
      <c r="W29" s="1004"/>
      <c r="X29" s="1002"/>
      <c r="Y29" s="1002"/>
      <c r="Z29" s="1002"/>
      <c r="AA29" s="1002"/>
      <c r="AB29" s="1002"/>
      <c r="AC29" s="1002"/>
      <c r="AD29" s="1002"/>
      <c r="AE29" s="1002"/>
      <c r="AF29" s="1002"/>
      <c r="AG29" s="1003"/>
      <c r="AH29" s="992"/>
      <c r="AI29" s="993"/>
      <c r="AJ29" s="1083"/>
      <c r="AK29" s="1084"/>
      <c r="AL29" s="1006"/>
      <c r="AM29" s="1007"/>
      <c r="AN29" s="1007"/>
      <c r="AO29" s="1037"/>
      <c r="AP29" s="1037"/>
      <c r="AQ29" s="1037"/>
      <c r="AR29" s="1075"/>
      <c r="AS29" s="1076"/>
      <c r="AT29" s="1076"/>
      <c r="AU29" s="1077"/>
      <c r="AV29" s="37"/>
      <c r="AW29" s="37"/>
      <c r="AX29" s="774"/>
      <c r="AY29" s="760"/>
      <c r="AZ29" s="760"/>
      <c r="BA29" s="772"/>
      <c r="BB29" s="772"/>
      <c r="BC29" s="1079"/>
      <c r="BD29" s="758"/>
      <c r="BE29" s="776"/>
      <c r="BF29" s="776"/>
      <c r="BG29" s="776"/>
      <c r="BH29" s="762"/>
      <c r="BI29" s="762"/>
      <c r="BJ29" s="778"/>
      <c r="BK29" s="768"/>
      <c r="BL29" s="768"/>
      <c r="BM29" s="766"/>
      <c r="BN29" s="764"/>
      <c r="BO29" s="764"/>
      <c r="BP29" s="770"/>
      <c r="BQ29" s="766"/>
      <c r="BR29" s="768"/>
      <c r="BS29" s="766"/>
      <c r="BT29" s="766"/>
      <c r="BU29" s="758"/>
      <c r="BV29" s="768"/>
      <c r="BW29" s="758"/>
      <c r="BX29" s="758"/>
      <c r="BY29" s="758"/>
      <c r="BZ29" s="754"/>
      <c r="CA29" s="754"/>
      <c r="CB29" s="754"/>
      <c r="CC29" s="754"/>
    </row>
    <row r="30" spans="1:81" ht="15.95" customHeight="1">
      <c r="B30" s="785">
        <v>7</v>
      </c>
      <c r="C30" s="1009"/>
      <c r="D30" s="1010"/>
      <c r="E30" s="1010"/>
      <c r="F30" s="1010"/>
      <c r="G30" s="1010"/>
      <c r="H30" s="1010"/>
      <c r="I30" s="1010"/>
      <c r="J30" s="1010"/>
      <c r="K30" s="1010"/>
      <c r="L30" s="1010"/>
      <c r="M30" s="1086" t="str">
        <f>IFERROR(IF(C30="","",INDEX(CMELIGHTCON[Wattage Unit],MATCH(C30,CMELIGHTCON[Proj Desc 1],0))),"")</f>
        <v/>
      </c>
      <c r="N30" s="1086"/>
      <c r="O30" s="989"/>
      <c r="P30" s="989"/>
      <c r="Q30" s="1082"/>
      <c r="R30" s="1082"/>
      <c r="S30" s="1082"/>
      <c r="T30" s="1002"/>
      <c r="U30" s="1002"/>
      <c r="V30" s="1080"/>
      <c r="W30" s="1004"/>
      <c r="X30" s="1002"/>
      <c r="Y30" s="1002"/>
      <c r="Z30" s="1002"/>
      <c r="AA30" s="1002"/>
      <c r="AB30" s="1002"/>
      <c r="AC30" s="1002"/>
      <c r="AD30" s="1002"/>
      <c r="AE30" s="1002"/>
      <c r="AF30" s="1002"/>
      <c r="AG30" s="1003"/>
      <c r="AH30" s="992"/>
      <c r="AI30" s="993"/>
      <c r="AJ30" s="1083"/>
      <c r="AK30" s="1084"/>
      <c r="AL30" s="1030" t="str">
        <f>IF(OR(C30="",Q30="",AA30="",O30="",AE30="",AH30="",AJ30=""),"",ROUND(AH30+AJ30,2))</f>
        <v/>
      </c>
      <c r="AM30" s="1031"/>
      <c r="AN30" s="1031"/>
      <c r="AO30" s="1036" t="str">
        <f>IF(OR(C30="",Q30="",AA30="",O30="",AE30="",AH30="",AJ30=""),"",IF(BA30-BB30&lt;=0,0,ROUND(BA30-BB30,4)))</f>
        <v/>
      </c>
      <c r="AP30" s="1036"/>
      <c r="AQ30" s="1036"/>
      <c r="AR30" s="1072" t="str">
        <f>IF(OR(C30="",Q30="",AA30="",O30="",AE30="",AH30="",AJ30=""),"",
IF(BY30&lt;&gt;"",BY30,IF(BP30&gt;0,BP30,
IF(ACTIVEBLOCK="Yes",ROUND(MIN(AL30*0.75,AO30*BLOCKBIDRATE),2),
ROUND(MIN(AL30*0.75,BR30),2)))))</f>
        <v/>
      </c>
      <c r="AS30" s="1073"/>
      <c r="AT30" s="1073"/>
      <c r="AU30" s="1074"/>
      <c r="AV30" s="37"/>
      <c r="AW30" s="37"/>
      <c r="AX30" s="773" t="str">
        <f>IF(C30="","",INDEX(CMELIGHTCON[Wattage Unit],MATCH(C30,CMELIGHTCON[Proj Desc 1],0)))</f>
        <v/>
      </c>
      <c r="AY30" s="759" t="str">
        <f t="shared" ref="AY30" si="28">IF(O30="", "", 0)</f>
        <v/>
      </c>
      <c r="AZ30" s="759" t="str">
        <f t="shared" ref="AZ30" si="29">IF(O30="", "", O30)</f>
        <v/>
      </c>
      <c r="BA30" s="771" t="str">
        <f>IF(OR(C30="",Q30="",AA30="",O30="",AE30="",AH30="",AJ30=""),"",
IF(OR(M02S04F22="Unconditioned",M02S04F22="Electric Heat Only",M02S04F22="Natural Gas Heat Only"),ROUND((Q30/1000)*T30,4),
ROUND((Q30/1000)*T30*INDEX(BUILDINGTYPE[Waste Heat Factor (e)],MATCH(M02S04F19,BUILDINGTYPE[Building Type],0)),4)))</f>
        <v/>
      </c>
      <c r="BB30" s="771" t="str">
        <f>IF(OR(C30="",Q30="",AA30="",O30="",AE30="",AH30="",AJ30=""),"",
IF(OR(M02S04F22="Unconditioned",M02S04F22="Electric Heat Only",M02S04F22="Natural Gas Heat Only"),BA30-ROUND((Q30/1000)*T30*INDEX(CMELIGHTCON[Energy Savings Factor],MATCH(C30,CMELIGHTCON[Proj Desc 1],0)),4),
BA30-ROUND((Q30/1000)*T30*INDEX(CMELIGHTCON[Energy Savings Factor],MATCH(C30,CMELIGHTCON[Proj Desc 1],0))*INDEX(BUILDINGTYPE[Waste Heat Factor (e)],MATCH(M02S04F19,BUILDINGTYPE[Building Type],0)),4)))</f>
        <v/>
      </c>
      <c r="BC30" s="1078" t="str">
        <f>IF(OR(C30=""),"",IF(INDEX(CMELIGHTCON[End Use Category],MATCH(C30,CMELIGHTCON[Proj Desc 1],0))="","",INDEX(CMELIGHTCON[End Use Category],MATCH(C30,CMELIGHTCON[Proj Desc 1],0))))</f>
        <v/>
      </c>
      <c r="BD30" s="757" t="str">
        <f t="shared" ref="BD30" si="30">IF(BE30&lt;&gt;"", "Calculated", "")</f>
        <v/>
      </c>
      <c r="BE30" s="775" t="str">
        <f t="shared" ref="BE30" si="31">IF(AND(BA30&lt;&gt;"", BB30&lt;&gt;""), ROUND(BA30-BB30,4), "")</f>
        <v/>
      </c>
      <c r="BF30" s="775" t="str">
        <f>IFERROR(IF(OR(C30="",Q30="",AA30="",O30="",AE30="",AH30="",AJ30=""),"",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775" t="str">
        <f>IFERROR(IF(OR(C30="",Q30="",AA30="",O30="",AE30="",AH30="",AJ30=""),"",ROUND(AO30*INDEX(ENDUSEALL[Factor],MATCH(BC30,ENDUSEALL[End Use to Coincident Peak Demand Factors],0)),4)),"")</f>
        <v/>
      </c>
      <c r="BH30" s="761"/>
      <c r="BI30" s="761"/>
      <c r="BJ30" s="777" t="str">
        <f>IF(OR(C30=""),"",IF(INDEX(CMELIGHTCON[EUL],MATCH(C30,CMELIGHTCON[Proj Desc 1],0))="","",INDEX(CMELIGHTCON[EUL],MATCH(C30,CMELIGHTCON[Proj Desc 1],0))))</f>
        <v/>
      </c>
      <c r="BK30" s="767" t="str">
        <f>IFERROR(IF(OR(C30="",Q30="",AA30="",O30="",AE30="",AH30="",AJ30=""),"",
ROUND(((1+ELOSS)*((AO30*INDEX(ELECCB[NPV AEC $/kWh],MATCH(BJ30,ELECCB[Year Number],1)))+(BG30*INDEX(ELECCB[NPV ACC $/kW],MATCH(BJ30,ELECCB[Year Number],1))))),2)),0)</f>
        <v/>
      </c>
      <c r="BL30" s="767" t="str">
        <f t="shared" si="1"/>
        <v/>
      </c>
      <c r="BM30" s="765"/>
      <c r="BN30" s="763" t="str">
        <f t="shared" si="2"/>
        <v/>
      </c>
      <c r="BO30" s="763" t="str">
        <f>IFERROR(IF(BM30 &lt;&gt; "", BM30, BL30) / M02S04F06 / AO30, "")</f>
        <v/>
      </c>
      <c r="BP30" s="769"/>
      <c r="BQ30" s="765"/>
      <c r="BR30" s="767" t="str">
        <f t="shared" ref="BR30" si="32">IFERROR(ROUND(AO30*BV30,2),"")</f>
        <v/>
      </c>
      <c r="BS30" s="765"/>
      <c r="BT30" s="765"/>
      <c r="BU30" s="757" t="str">
        <f>IFERROR(IF(BP30="", IF(AND(ROUND(AR30/AL30,2)=TOTCOSTCAP, BR30/AL30&gt;TOTCOSTCAP),"75% Total Cost",
IF(FALSE,"100% Incremental Cost",
IF(BV30&lt;KWHRATEMIN, "kWh Incentive Rate Min",
IF(BV30&gt;KWHRATEMAX,"kWh Incentive Rate Cap",
IF(AR30=BT30,"Bonus Incentive",
"kWh Incentive"))))), ""),"")</f>
        <v/>
      </c>
      <c r="BV30" s="767"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57" t="str">
        <f>IF(OR(C30="",Q30="",AA30="",O30="",AE30="",AH30="",AJ30=""),"",IF(BY30&lt;&gt;"",SPILLOVERNUMBER,INDEX(CMELIGHTCON[Measure Number],MATCH(C30,CMELIGHTCON[Proj Desc 1],0))))</f>
        <v/>
      </c>
      <c r="BX30" s="757" t="str" cm="1">
        <f t="array" ref="BX30">IFERROR(INDEX(_xlfn.SWITCH(Program_Banner,"Business Energy Savings",ENDUSEALL[Primary Key WBE],"Small Business / Non-Profit",ENDUSEALL[Primary Key HTRB],0),MATCH(BC30,ENDUSEALL[End Use to Coincident Peak Demand Factors],0)),"")</f>
        <v/>
      </c>
      <c r="BY30" s="757" t="str">
        <f ca="1">IFERROR(
IF(EXPIRATION&lt;&gt;"",PROJSTATEXP,
IF(BP30&gt;0,"",
IF(OR(M02S04F06="",M02S04F06="Select Rate Code",M02S04F06=0),MEASURERATE,
IF(M02S04F19="",MEASUREBLDG,
IF(BA30-BB30&lt;=0,MEASURESAVE,
IF(PAYCUSE&lt;PAYBACKREQ,PROJECTSTATPAYBACK,
IF(CBCUSE&lt;CBREQ,PROJECTSTATCB,""))))))),
MEASURESUBMIT)</f>
        <v>Enter Utility Rate</v>
      </c>
      <c r="BZ30" s="753"/>
      <c r="CA30" s="753"/>
      <c r="CB30" s="753"/>
      <c r="CC30" s="753"/>
    </row>
    <row r="31" spans="1:81" ht="15.95" customHeight="1">
      <c r="B31" s="785"/>
      <c r="C31" s="1012"/>
      <c r="D31" s="1013"/>
      <c r="E31" s="1013"/>
      <c r="F31" s="1013"/>
      <c r="G31" s="1013"/>
      <c r="H31" s="1013"/>
      <c r="I31" s="1013"/>
      <c r="J31" s="1013"/>
      <c r="K31" s="1013"/>
      <c r="L31" s="1013"/>
      <c r="M31" s="1086"/>
      <c r="N31" s="1086"/>
      <c r="O31" s="989"/>
      <c r="P31" s="989"/>
      <c r="Q31" s="1082"/>
      <c r="R31" s="1082"/>
      <c r="S31" s="1082"/>
      <c r="T31" s="1002"/>
      <c r="U31" s="1002"/>
      <c r="V31" s="1080"/>
      <c r="W31" s="1004"/>
      <c r="X31" s="1002"/>
      <c r="Y31" s="1002"/>
      <c r="Z31" s="1002"/>
      <c r="AA31" s="1002"/>
      <c r="AB31" s="1002"/>
      <c r="AC31" s="1002"/>
      <c r="AD31" s="1002"/>
      <c r="AE31" s="1002"/>
      <c r="AF31" s="1002"/>
      <c r="AG31" s="1003"/>
      <c r="AH31" s="992"/>
      <c r="AI31" s="993"/>
      <c r="AJ31" s="1083"/>
      <c r="AK31" s="1084"/>
      <c r="AL31" s="1006"/>
      <c r="AM31" s="1007"/>
      <c r="AN31" s="1007"/>
      <c r="AO31" s="1037"/>
      <c r="AP31" s="1037"/>
      <c r="AQ31" s="1037"/>
      <c r="AR31" s="1075"/>
      <c r="AS31" s="1076"/>
      <c r="AT31" s="1076"/>
      <c r="AU31" s="1077"/>
      <c r="AV31" s="37"/>
      <c r="AW31" s="37"/>
      <c r="AX31" s="774"/>
      <c r="AY31" s="760"/>
      <c r="AZ31" s="760"/>
      <c r="BA31" s="772"/>
      <c r="BB31" s="772"/>
      <c r="BC31" s="1079"/>
      <c r="BD31" s="758"/>
      <c r="BE31" s="776"/>
      <c r="BF31" s="776"/>
      <c r="BG31" s="776"/>
      <c r="BH31" s="762"/>
      <c r="BI31" s="762"/>
      <c r="BJ31" s="778"/>
      <c r="BK31" s="768"/>
      <c r="BL31" s="768"/>
      <c r="BM31" s="766"/>
      <c r="BN31" s="764"/>
      <c r="BO31" s="764"/>
      <c r="BP31" s="770"/>
      <c r="BQ31" s="766"/>
      <c r="BR31" s="768"/>
      <c r="BS31" s="766"/>
      <c r="BT31" s="766"/>
      <c r="BU31" s="758"/>
      <c r="BV31" s="768"/>
      <c r="BW31" s="758"/>
      <c r="BX31" s="758"/>
      <c r="BY31" s="758"/>
      <c r="BZ31" s="754"/>
      <c r="CA31" s="754"/>
      <c r="CB31" s="754"/>
      <c r="CC31" s="754"/>
    </row>
    <row r="32" spans="1:81" ht="15.95" customHeight="1">
      <c r="B32" s="785">
        <v>8</v>
      </c>
      <c r="C32" s="1009"/>
      <c r="D32" s="1010"/>
      <c r="E32" s="1010"/>
      <c r="F32" s="1010"/>
      <c r="G32" s="1010"/>
      <c r="H32" s="1010"/>
      <c r="I32" s="1010"/>
      <c r="J32" s="1010"/>
      <c r="K32" s="1010"/>
      <c r="L32" s="1010"/>
      <c r="M32" s="1086" t="str">
        <f>IFERROR(IF(C32="","",INDEX(CMELIGHTCON[Wattage Unit],MATCH(C32,CMELIGHTCON[Proj Desc 1],0))),"")</f>
        <v/>
      </c>
      <c r="N32" s="1086"/>
      <c r="O32" s="989"/>
      <c r="P32" s="989"/>
      <c r="Q32" s="1082"/>
      <c r="R32" s="1082"/>
      <c r="S32" s="1082"/>
      <c r="T32" s="1002"/>
      <c r="U32" s="1002"/>
      <c r="V32" s="1080"/>
      <c r="W32" s="1004"/>
      <c r="X32" s="1002"/>
      <c r="Y32" s="1002"/>
      <c r="Z32" s="1002"/>
      <c r="AA32" s="1002"/>
      <c r="AB32" s="1002"/>
      <c r="AC32" s="1002"/>
      <c r="AD32" s="1002"/>
      <c r="AE32" s="1002"/>
      <c r="AF32" s="1002"/>
      <c r="AG32" s="1003"/>
      <c r="AH32" s="992"/>
      <c r="AI32" s="993"/>
      <c r="AJ32" s="1083"/>
      <c r="AK32" s="1084"/>
      <c r="AL32" s="1030" t="str">
        <f>IF(OR(C32="",Q32="",AA32="",O32="",AE32="",AH32="",AJ32=""),"",ROUND(AH32+AJ32,2))</f>
        <v/>
      </c>
      <c r="AM32" s="1031"/>
      <c r="AN32" s="1031"/>
      <c r="AO32" s="1036" t="str">
        <f>IF(OR(C32="",Q32="",AA32="",O32="",AE32="",AH32="",AJ32=""),"",IF(BA32-BB32&lt;=0,0,ROUND(BA32-BB32,4)))</f>
        <v/>
      </c>
      <c r="AP32" s="1036"/>
      <c r="AQ32" s="1036"/>
      <c r="AR32" s="1072" t="str">
        <f>IF(OR(C32="",Q32="",AA32="",O32="",AE32="",AH32="",AJ32=""),"",
IF(BY32&lt;&gt;"",BY32,IF(BP32&gt;0,BP32,
IF(ACTIVEBLOCK="Yes",ROUND(MIN(AL32*0.75,AO32*BLOCKBIDRATE),2),
ROUND(MIN(AL32*0.75,BR32),2)))))</f>
        <v/>
      </c>
      <c r="AS32" s="1073"/>
      <c r="AT32" s="1073"/>
      <c r="AU32" s="1074"/>
      <c r="AV32" s="37"/>
      <c r="AW32" s="37"/>
      <c r="AX32" s="773" t="str">
        <f>IF(C32="","",INDEX(CMELIGHTCON[Wattage Unit],MATCH(C32,CMELIGHTCON[Proj Desc 1],0)))</f>
        <v/>
      </c>
      <c r="AY32" s="759" t="str">
        <f t="shared" ref="AY32" si="33">IF(O32="", "", 0)</f>
        <v/>
      </c>
      <c r="AZ32" s="759" t="str">
        <f t="shared" ref="AZ32" si="34">IF(O32="", "", O32)</f>
        <v/>
      </c>
      <c r="BA32" s="771" t="str">
        <f>IF(OR(C32="",Q32="",AA32="",O32="",AE32="",AH32="",AJ32=""),"",
IF(OR(M02S04F22="Unconditioned",M02S04F22="Electric Heat Only",M02S04F22="Natural Gas Heat Only"),ROUND((Q32/1000)*T32,4),
ROUND((Q32/1000)*T32*INDEX(BUILDINGTYPE[Waste Heat Factor (e)],MATCH(M02S04F19,BUILDINGTYPE[Building Type],0)),4)))</f>
        <v/>
      </c>
      <c r="BB32" s="771" t="str">
        <f>IF(OR(C32="",Q32="",AA32="",O32="",AE32="",AH32="",AJ32=""),"",
IF(OR(M02S04F22="Unconditioned",M02S04F22="Electric Heat Only",M02S04F22="Natural Gas Heat Only"),BA32-ROUND((Q32/1000)*T32*INDEX(CMELIGHTCON[Energy Savings Factor],MATCH(C32,CMELIGHTCON[Proj Desc 1],0)),4),
BA32-ROUND((Q32/1000)*T32*INDEX(CMELIGHTCON[Energy Savings Factor],MATCH(C32,CMELIGHTCON[Proj Desc 1],0))*INDEX(BUILDINGTYPE[Waste Heat Factor (e)],MATCH(M02S04F19,BUILDINGTYPE[Building Type],0)),4)))</f>
        <v/>
      </c>
      <c r="BC32" s="1078" t="str">
        <f>IF(OR(C32=""),"",IF(INDEX(CMELIGHTCON[End Use Category],MATCH(C32,CMELIGHTCON[Proj Desc 1],0))="","",INDEX(CMELIGHTCON[End Use Category],MATCH(C32,CMELIGHTCON[Proj Desc 1],0))))</f>
        <v/>
      </c>
      <c r="BD32" s="757" t="str">
        <f t="shared" ref="BD32" si="35">IF(BE32&lt;&gt;"", "Calculated", "")</f>
        <v/>
      </c>
      <c r="BE32" s="775" t="str">
        <f t="shared" ref="BE32" si="36">IF(AND(BA32&lt;&gt;"", BB32&lt;&gt;""), ROUND(BA32-BB32,4), "")</f>
        <v/>
      </c>
      <c r="BF32" s="775" t="str">
        <f>IFERROR(IF(OR(C32="",Q32="",AA32="",O32="",AE32="",AH32="",AJ32=""),"",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775" t="str">
        <f>IFERROR(IF(OR(C32="",Q32="",AA32="",O32="",AE32="",AH32="",AJ32=""),"",ROUND(AO32*INDEX(ENDUSEALL[Factor],MATCH(BC32,ENDUSEALL[End Use to Coincident Peak Demand Factors],0)),4)),"")</f>
        <v/>
      </c>
      <c r="BH32" s="761"/>
      <c r="BI32" s="761"/>
      <c r="BJ32" s="777" t="str">
        <f>IF(OR(C32=""),"",IF(INDEX(CMELIGHTCON[EUL],MATCH(C32,CMELIGHTCON[Proj Desc 1],0))="","",INDEX(CMELIGHTCON[EUL],MATCH(C32,CMELIGHTCON[Proj Desc 1],0))))</f>
        <v/>
      </c>
      <c r="BK32" s="767" t="str">
        <f>IFERROR(IF(OR(C32="",Q32="",AA32="",O32="",AE32="",AH32="",AJ32=""),"",
ROUND(((1+ELOSS)*((AO32*INDEX(ELECCB[NPV AEC $/kWh],MATCH(BJ32,ELECCB[Year Number],1)))+(BG32*INDEX(ELECCB[NPV ACC $/kW],MATCH(BJ32,ELECCB[Year Number],1))))),2)),0)</f>
        <v/>
      </c>
      <c r="BL32" s="767" t="str">
        <f t="shared" si="1"/>
        <v/>
      </c>
      <c r="BM32" s="765"/>
      <c r="BN32" s="763" t="str">
        <f t="shared" si="2"/>
        <v/>
      </c>
      <c r="BO32" s="763" t="str">
        <f>IFERROR(IF(BM32 &lt;&gt; "", BM32, BL32) / M02S04F06 / AO32, "")</f>
        <v/>
      </c>
      <c r="BP32" s="769"/>
      <c r="BQ32" s="765"/>
      <c r="BR32" s="767" t="str">
        <f t="shared" ref="BR32" si="37">IFERROR(ROUND(AO32*BV32,2),"")</f>
        <v/>
      </c>
      <c r="BS32" s="765"/>
      <c r="BT32" s="765"/>
      <c r="BU32" s="757" t="str">
        <f>IFERROR(IF(BP32="", IF(AND(ROUND(AR32/AL32,2)=TOTCOSTCAP, BR32/AL32&gt;TOTCOSTCAP),"75% Total Cost",
IF(FALSE,"100% Incremental Cost",
IF(BV32&lt;KWHRATEMIN, "kWh Incentive Rate Min",
IF(BV32&gt;KWHRATEMAX,"kWh Incentive Rate Cap",
IF(AR32=BT32,"Bonus Incentive",
"kWh Incentive"))))), ""),"")</f>
        <v/>
      </c>
      <c r="BV32" s="767"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57" t="str">
        <f>IF(OR(C32="",Q32="",AA32="",O32="",AE32="",AH32="",AJ32=""),"",IF(BY32&lt;&gt;"",SPILLOVERNUMBER,INDEX(CMELIGHTCON[Measure Number],MATCH(C32,CMELIGHTCON[Proj Desc 1],0))))</f>
        <v/>
      </c>
      <c r="BX32" s="757" t="str" cm="1">
        <f t="array" ref="BX32">IFERROR(INDEX(_xlfn.SWITCH(Program_Banner,"Business Energy Savings",ENDUSEALL[Primary Key WBE],"Small Business / Non-Profit",ENDUSEALL[Primary Key HTRB],0),MATCH(BC32,ENDUSEALL[End Use to Coincident Peak Demand Factors],0)),"")</f>
        <v/>
      </c>
      <c r="BY32" s="757" t="str">
        <f ca="1">IFERROR(
IF(EXPIRATION&lt;&gt;"",PROJSTATEXP,
IF(BP32&gt;0,"",
IF(OR(M02S04F06="",M02S04F06="Select Rate Code",M02S04F06=0),MEASURERATE,
IF(M02S04F19="",MEASUREBLDG,
IF(BA32-BB32&lt;=0,MEASURESAVE,
IF(PAYCUSE&lt;PAYBACKREQ,PROJECTSTATPAYBACK,
IF(CBCUSE&lt;CBREQ,PROJECTSTATCB,""))))))),
MEASURESUBMIT)</f>
        <v>Enter Utility Rate</v>
      </c>
      <c r="BZ32" s="753"/>
      <c r="CA32" s="753"/>
      <c r="CB32" s="753"/>
      <c r="CC32" s="753"/>
    </row>
    <row r="33" spans="2:81" ht="15.95" customHeight="1">
      <c r="B33" s="785"/>
      <c r="C33" s="1012"/>
      <c r="D33" s="1013"/>
      <c r="E33" s="1013"/>
      <c r="F33" s="1013"/>
      <c r="G33" s="1013"/>
      <c r="H33" s="1013"/>
      <c r="I33" s="1013"/>
      <c r="J33" s="1013"/>
      <c r="K33" s="1013"/>
      <c r="L33" s="1013"/>
      <c r="M33" s="1086"/>
      <c r="N33" s="1086"/>
      <c r="O33" s="989"/>
      <c r="P33" s="989"/>
      <c r="Q33" s="1082"/>
      <c r="R33" s="1082"/>
      <c r="S33" s="1082"/>
      <c r="T33" s="1002"/>
      <c r="U33" s="1002"/>
      <c r="V33" s="1080"/>
      <c r="W33" s="1004"/>
      <c r="X33" s="1002"/>
      <c r="Y33" s="1002"/>
      <c r="Z33" s="1002"/>
      <c r="AA33" s="1002"/>
      <c r="AB33" s="1002"/>
      <c r="AC33" s="1002"/>
      <c r="AD33" s="1002"/>
      <c r="AE33" s="1002"/>
      <c r="AF33" s="1002"/>
      <c r="AG33" s="1003"/>
      <c r="AH33" s="992"/>
      <c r="AI33" s="993"/>
      <c r="AJ33" s="1083"/>
      <c r="AK33" s="1084"/>
      <c r="AL33" s="1006"/>
      <c r="AM33" s="1007"/>
      <c r="AN33" s="1007"/>
      <c r="AO33" s="1037"/>
      <c r="AP33" s="1037"/>
      <c r="AQ33" s="1037"/>
      <c r="AR33" s="1075"/>
      <c r="AS33" s="1076"/>
      <c r="AT33" s="1076"/>
      <c r="AU33" s="1077"/>
      <c r="AV33" s="37"/>
      <c r="AW33" s="37"/>
      <c r="AX33" s="774"/>
      <c r="AY33" s="760"/>
      <c r="AZ33" s="760"/>
      <c r="BA33" s="772"/>
      <c r="BB33" s="772"/>
      <c r="BC33" s="1079"/>
      <c r="BD33" s="758"/>
      <c r="BE33" s="776"/>
      <c r="BF33" s="776"/>
      <c r="BG33" s="776"/>
      <c r="BH33" s="762"/>
      <c r="BI33" s="762"/>
      <c r="BJ33" s="778"/>
      <c r="BK33" s="768"/>
      <c r="BL33" s="768"/>
      <c r="BM33" s="766"/>
      <c r="BN33" s="764"/>
      <c r="BO33" s="764"/>
      <c r="BP33" s="770"/>
      <c r="BQ33" s="766"/>
      <c r="BR33" s="768"/>
      <c r="BS33" s="766"/>
      <c r="BT33" s="766"/>
      <c r="BU33" s="758"/>
      <c r="BV33" s="768"/>
      <c r="BW33" s="758"/>
      <c r="BX33" s="758"/>
      <c r="BY33" s="758"/>
      <c r="BZ33" s="754"/>
      <c r="CA33" s="754"/>
      <c r="CB33" s="754"/>
      <c r="CC33" s="754"/>
    </row>
    <row r="34" spans="2:81" ht="15.95" customHeight="1">
      <c r="B34" s="785">
        <v>9</v>
      </c>
      <c r="C34" s="1009"/>
      <c r="D34" s="1010"/>
      <c r="E34" s="1010"/>
      <c r="F34" s="1010"/>
      <c r="G34" s="1010"/>
      <c r="H34" s="1010"/>
      <c r="I34" s="1010"/>
      <c r="J34" s="1010"/>
      <c r="K34" s="1010"/>
      <c r="L34" s="1010"/>
      <c r="M34" s="1086" t="str">
        <f>IFERROR(IF(C34="","",INDEX(CMELIGHTCON[Wattage Unit],MATCH(C34,CMELIGHTCON[Proj Desc 1],0))),"")</f>
        <v/>
      </c>
      <c r="N34" s="1086"/>
      <c r="O34" s="989"/>
      <c r="P34" s="989"/>
      <c r="Q34" s="1082"/>
      <c r="R34" s="1082"/>
      <c r="S34" s="1082"/>
      <c r="T34" s="1002"/>
      <c r="U34" s="1002"/>
      <c r="V34" s="1080"/>
      <c r="W34" s="1004"/>
      <c r="X34" s="1002"/>
      <c r="Y34" s="1002"/>
      <c r="Z34" s="1002"/>
      <c r="AA34" s="1002"/>
      <c r="AB34" s="1002"/>
      <c r="AC34" s="1002"/>
      <c r="AD34" s="1002"/>
      <c r="AE34" s="1002"/>
      <c r="AF34" s="1002"/>
      <c r="AG34" s="1003"/>
      <c r="AH34" s="992"/>
      <c r="AI34" s="993"/>
      <c r="AJ34" s="1083"/>
      <c r="AK34" s="1084"/>
      <c r="AL34" s="1030" t="str">
        <f>IF(OR(C34="",Q34="",AA34="",O34="",AE34="",AH34="",AJ34=""),"",ROUND(AH34+AJ34,2))</f>
        <v/>
      </c>
      <c r="AM34" s="1031"/>
      <c r="AN34" s="1031"/>
      <c r="AO34" s="1036" t="str">
        <f>IF(OR(C34="",Q34="",AA34="",O34="",AE34="",AH34="",AJ34=""),"",IF(BA34-BB34&lt;=0,0,ROUND(BA34-BB34,4)))</f>
        <v/>
      </c>
      <c r="AP34" s="1036"/>
      <c r="AQ34" s="1036"/>
      <c r="AR34" s="1072" t="str">
        <f>IF(OR(C34="",Q34="",AA34="",O34="",AE34="",AH34="",AJ34=""),"",
IF(BY34&lt;&gt;"",BY34,IF(BP34&gt;0,BP34,
IF(ACTIVEBLOCK="Yes",ROUND(MIN(AL34*0.75,AO34*BLOCKBIDRATE),2),
ROUND(MIN(AL34*0.75,BR34),2)))))</f>
        <v/>
      </c>
      <c r="AS34" s="1073"/>
      <c r="AT34" s="1073"/>
      <c r="AU34" s="1074"/>
      <c r="AV34" s="37"/>
      <c r="AW34" s="37"/>
      <c r="AX34" s="773" t="str">
        <f>IF(C34="","",INDEX(CMELIGHTCON[Wattage Unit],MATCH(C34,CMELIGHTCON[Proj Desc 1],0)))</f>
        <v/>
      </c>
      <c r="AY34" s="759" t="str">
        <f t="shared" ref="AY34" si="38">IF(O34="", "", 0)</f>
        <v/>
      </c>
      <c r="AZ34" s="759" t="str">
        <f t="shared" ref="AZ34" si="39">IF(O34="", "", O34)</f>
        <v/>
      </c>
      <c r="BA34" s="771" t="str">
        <f>IF(OR(C34="",Q34="",AA34="",O34="",AE34="",AH34="",AJ34=""),"",
IF(OR(M02S04F22="Unconditioned",M02S04F22="Electric Heat Only",M02S04F22="Natural Gas Heat Only"),ROUND((Q34/1000)*T34,4),
ROUND((Q34/1000)*T34*INDEX(BUILDINGTYPE[Waste Heat Factor (e)],MATCH(M02S04F19,BUILDINGTYPE[Building Type],0)),4)))</f>
        <v/>
      </c>
      <c r="BB34" s="771" t="str">
        <f>IF(OR(C34="",Q34="",AA34="",O34="",AE34="",AH34="",AJ34=""),"",
IF(OR(M02S04F22="Unconditioned",M02S04F22="Electric Heat Only",M02S04F22="Natural Gas Heat Only"),BA34-ROUND((Q34/1000)*T34*INDEX(CMELIGHTCON[Energy Savings Factor],MATCH(C34,CMELIGHTCON[Proj Desc 1],0)),4),
BA34-ROUND((Q34/1000)*T34*INDEX(CMELIGHTCON[Energy Savings Factor],MATCH(C34,CMELIGHTCON[Proj Desc 1],0))*INDEX(BUILDINGTYPE[Waste Heat Factor (e)],MATCH(M02S04F19,BUILDINGTYPE[Building Type],0)),4)))</f>
        <v/>
      </c>
      <c r="BC34" s="1078" t="str">
        <f>IF(OR(C34=""),"",IF(INDEX(CMELIGHTCON[End Use Category],MATCH(C34,CMELIGHTCON[Proj Desc 1],0))="","",INDEX(CMELIGHTCON[End Use Category],MATCH(C34,CMELIGHTCON[Proj Desc 1],0))))</f>
        <v/>
      </c>
      <c r="BD34" s="757" t="str">
        <f t="shared" ref="BD34" si="40">IF(BE34&lt;&gt;"", "Calculated", "")</f>
        <v/>
      </c>
      <c r="BE34" s="775" t="str">
        <f t="shared" ref="BE34" si="41">IF(AND(BA34&lt;&gt;"", BB34&lt;&gt;""), ROUND(BA34-BB34,4), "")</f>
        <v/>
      </c>
      <c r="BF34" s="775" t="str">
        <f>IFERROR(IF(OR(C34="",Q34="",AA34="",O34="",AE34="",AH34="",AJ34=""),"",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775" t="str">
        <f>IFERROR(IF(OR(C34="",Q34="",AA34="",O34="",AE34="",AH34="",AJ34=""),"",ROUND(AO34*INDEX(ENDUSEALL[Factor],MATCH(BC34,ENDUSEALL[End Use to Coincident Peak Demand Factors],0)),4)),"")</f>
        <v/>
      </c>
      <c r="BH34" s="761"/>
      <c r="BI34" s="761"/>
      <c r="BJ34" s="777" t="str">
        <f>IF(OR(C34=""),"",IF(INDEX(CMELIGHTCON[EUL],MATCH(C34,CMELIGHTCON[Proj Desc 1],0))="","",INDEX(CMELIGHTCON[EUL],MATCH(C34,CMELIGHTCON[Proj Desc 1],0))))</f>
        <v/>
      </c>
      <c r="BK34" s="767" t="str">
        <f>IFERROR(IF(OR(C34="",Q34="",AA34="",O34="",AE34="",AH34="",AJ34=""),"",
ROUND(((1+ELOSS)*((AO34*INDEX(ELECCB[NPV AEC $/kWh],MATCH(BJ34,ELECCB[Year Number],1)))+(BG34*INDEX(ELECCB[NPV ACC $/kW],MATCH(BJ34,ELECCB[Year Number],1))))),2)),0)</f>
        <v/>
      </c>
      <c r="BL34" s="767" t="str">
        <f t="shared" si="1"/>
        <v/>
      </c>
      <c r="BM34" s="765"/>
      <c r="BN34" s="763" t="str">
        <f t="shared" si="2"/>
        <v/>
      </c>
      <c r="BO34" s="763" t="str">
        <f>IFERROR(IF(BM34 &lt;&gt; "", BM34, BL34) / M02S04F06 / AO34, "")</f>
        <v/>
      </c>
      <c r="BP34" s="769"/>
      <c r="BQ34" s="765"/>
      <c r="BR34" s="767" t="str">
        <f t="shared" ref="BR34" si="42">IFERROR(ROUND(AO34*BV34,2),"")</f>
        <v/>
      </c>
      <c r="BS34" s="765"/>
      <c r="BT34" s="765"/>
      <c r="BU34" s="757" t="str">
        <f>IFERROR(IF(BP34="", IF(AND(ROUND(AR34/AL34,2)=TOTCOSTCAP, BR34/AL34&gt;TOTCOSTCAP),"75% Total Cost",
IF(FALSE,"100% Incremental Cost",
IF(BV34&lt;KWHRATEMIN, "kWh Incentive Rate Min",
IF(BV34&gt;KWHRATEMAX,"kWh Incentive Rate Cap",
IF(AR34=BT34,"Bonus Incentive",
"kWh Incentive"))))), ""),"")</f>
        <v/>
      </c>
      <c r="BV34" s="767"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57" t="str">
        <f>IF(OR(C34="",Q34="",AA34="",O34="",AE34="",AH34="",AJ34=""),"",IF(BY34&lt;&gt;"",SPILLOVERNUMBER,INDEX(CMELIGHTCON[Measure Number],MATCH(C34,CMELIGHTCON[Proj Desc 1],0))))</f>
        <v/>
      </c>
      <c r="BX34" s="757" t="str" cm="1">
        <f t="array" ref="BX34">IFERROR(INDEX(_xlfn.SWITCH(Program_Banner,"Business Energy Savings",ENDUSEALL[Primary Key WBE],"Small Business / Non-Profit",ENDUSEALL[Primary Key HTRB],0),MATCH(BC34,ENDUSEALL[End Use to Coincident Peak Demand Factors],0)),"")</f>
        <v/>
      </c>
      <c r="BY34" s="757" t="str">
        <f ca="1">IFERROR(
IF(EXPIRATION&lt;&gt;"",PROJSTATEXP,
IF(BP34&gt;0,"",
IF(OR(M02S04F06="",M02S04F06="Select Rate Code",M02S04F06=0),MEASURERATE,
IF(M02S04F19="",MEASUREBLDG,
IF(BA34-BB34&lt;=0,MEASURESAVE,
IF(PAYCUSE&lt;PAYBACKREQ,PROJECTSTATPAYBACK,
IF(CBCUSE&lt;CBREQ,PROJECTSTATCB,""))))))),
MEASURESUBMIT)</f>
        <v>Enter Utility Rate</v>
      </c>
      <c r="BZ34" s="753"/>
      <c r="CA34" s="753"/>
      <c r="CB34" s="753"/>
      <c r="CC34" s="753"/>
    </row>
    <row r="35" spans="2:81" ht="15.95" customHeight="1">
      <c r="B35" s="785"/>
      <c r="C35" s="1012"/>
      <c r="D35" s="1013"/>
      <c r="E35" s="1013"/>
      <c r="F35" s="1013"/>
      <c r="G35" s="1013"/>
      <c r="H35" s="1013"/>
      <c r="I35" s="1013"/>
      <c r="J35" s="1013"/>
      <c r="K35" s="1013"/>
      <c r="L35" s="1013"/>
      <c r="M35" s="1086"/>
      <c r="N35" s="1086"/>
      <c r="O35" s="989"/>
      <c r="P35" s="989"/>
      <c r="Q35" s="1082"/>
      <c r="R35" s="1082"/>
      <c r="S35" s="1082"/>
      <c r="T35" s="1002"/>
      <c r="U35" s="1002"/>
      <c r="V35" s="1080"/>
      <c r="W35" s="1004"/>
      <c r="X35" s="1002"/>
      <c r="Y35" s="1002"/>
      <c r="Z35" s="1002"/>
      <c r="AA35" s="1002"/>
      <c r="AB35" s="1002"/>
      <c r="AC35" s="1002"/>
      <c r="AD35" s="1002"/>
      <c r="AE35" s="1002"/>
      <c r="AF35" s="1002"/>
      <c r="AG35" s="1003"/>
      <c r="AH35" s="992"/>
      <c r="AI35" s="993"/>
      <c r="AJ35" s="1083"/>
      <c r="AK35" s="1084"/>
      <c r="AL35" s="1006"/>
      <c r="AM35" s="1007"/>
      <c r="AN35" s="1007"/>
      <c r="AO35" s="1037"/>
      <c r="AP35" s="1037"/>
      <c r="AQ35" s="1037"/>
      <c r="AR35" s="1075"/>
      <c r="AS35" s="1076"/>
      <c r="AT35" s="1076"/>
      <c r="AU35" s="1077"/>
      <c r="AV35" s="37"/>
      <c r="AW35" s="37"/>
      <c r="AX35" s="774"/>
      <c r="AY35" s="760"/>
      <c r="AZ35" s="760"/>
      <c r="BA35" s="772"/>
      <c r="BB35" s="772"/>
      <c r="BC35" s="1079"/>
      <c r="BD35" s="758"/>
      <c r="BE35" s="776"/>
      <c r="BF35" s="776"/>
      <c r="BG35" s="776"/>
      <c r="BH35" s="762"/>
      <c r="BI35" s="762"/>
      <c r="BJ35" s="778"/>
      <c r="BK35" s="768"/>
      <c r="BL35" s="768"/>
      <c r="BM35" s="766"/>
      <c r="BN35" s="764"/>
      <c r="BO35" s="764"/>
      <c r="BP35" s="770"/>
      <c r="BQ35" s="766"/>
      <c r="BR35" s="768"/>
      <c r="BS35" s="766"/>
      <c r="BT35" s="766"/>
      <c r="BU35" s="758"/>
      <c r="BV35" s="768"/>
      <c r="BW35" s="758"/>
      <c r="BX35" s="758"/>
      <c r="BY35" s="758"/>
      <c r="BZ35" s="754"/>
      <c r="CA35" s="754"/>
      <c r="CB35" s="754"/>
      <c r="CC35" s="754"/>
    </row>
    <row r="36" spans="2:81" ht="15.95" customHeight="1">
      <c r="B36" s="785">
        <v>10</v>
      </c>
      <c r="C36" s="1009"/>
      <c r="D36" s="1010"/>
      <c r="E36" s="1010"/>
      <c r="F36" s="1010"/>
      <c r="G36" s="1010"/>
      <c r="H36" s="1010"/>
      <c r="I36" s="1010"/>
      <c r="J36" s="1010"/>
      <c r="K36" s="1010"/>
      <c r="L36" s="1010"/>
      <c r="M36" s="1086" t="str">
        <f>IFERROR(IF(C36="","",INDEX(CMELIGHTCON[Wattage Unit],MATCH(C36,CMELIGHTCON[Proj Desc 1],0))),"")</f>
        <v/>
      </c>
      <c r="N36" s="1086"/>
      <c r="O36" s="989"/>
      <c r="P36" s="989"/>
      <c r="Q36" s="1082"/>
      <c r="R36" s="1082"/>
      <c r="S36" s="1082"/>
      <c r="T36" s="1002"/>
      <c r="U36" s="1002"/>
      <c r="V36" s="1080"/>
      <c r="W36" s="1004"/>
      <c r="X36" s="1002"/>
      <c r="Y36" s="1002"/>
      <c r="Z36" s="1002"/>
      <c r="AA36" s="1002"/>
      <c r="AB36" s="1002"/>
      <c r="AC36" s="1002"/>
      <c r="AD36" s="1002"/>
      <c r="AE36" s="1002"/>
      <c r="AF36" s="1002"/>
      <c r="AG36" s="1003"/>
      <c r="AH36" s="992"/>
      <c r="AI36" s="993"/>
      <c r="AJ36" s="1083"/>
      <c r="AK36" s="1084"/>
      <c r="AL36" s="1030" t="str">
        <f>IF(OR(C36="",Q36="",AA36="",O36="",AE36="",AH36="",AJ36=""),"",ROUND(AH36+AJ36,2))</f>
        <v/>
      </c>
      <c r="AM36" s="1031"/>
      <c r="AN36" s="1031"/>
      <c r="AO36" s="1036" t="str">
        <f>IF(OR(C36="",Q36="",AA36="",O36="",AE36="",AH36="",AJ36=""),"",IF(BA36-BB36&lt;=0,0,ROUND(BA36-BB36,4)))</f>
        <v/>
      </c>
      <c r="AP36" s="1036"/>
      <c r="AQ36" s="1036"/>
      <c r="AR36" s="1072" t="str">
        <f>IF(OR(C36="",Q36="",AA36="",O36="",AE36="",AH36="",AJ36=""),"",
IF(BY36&lt;&gt;"",BY36,IF(BP36&gt;0,BP36,
IF(ACTIVEBLOCK="Yes",ROUND(MIN(AL36*0.75,AO36*BLOCKBIDRATE),2),
ROUND(MIN(AL36*0.75,BR36),2)))))</f>
        <v/>
      </c>
      <c r="AS36" s="1073"/>
      <c r="AT36" s="1073"/>
      <c r="AU36" s="1074"/>
      <c r="AV36" s="37"/>
      <c r="AW36" s="37"/>
      <c r="AX36" s="773" t="str">
        <f>IF(C36="","",INDEX(CMELIGHTCON[Wattage Unit],MATCH(C36,CMELIGHTCON[Proj Desc 1],0)))</f>
        <v/>
      </c>
      <c r="AY36" s="759" t="str">
        <f t="shared" ref="AY36" si="43">IF(O36="", "", 0)</f>
        <v/>
      </c>
      <c r="AZ36" s="759" t="str">
        <f t="shared" ref="AZ36" si="44">IF(O36="", "", O36)</f>
        <v/>
      </c>
      <c r="BA36" s="771" t="str">
        <f>IF(OR(C36="",Q36="",AA36="",O36="",AE36="",AH36="",AJ36=""),"",
IF(OR(M02S04F22="Unconditioned",M02S04F22="Electric Heat Only",M02S04F22="Natural Gas Heat Only"),ROUND((Q36/1000)*T36,4),
ROUND((Q36/1000)*T36*INDEX(BUILDINGTYPE[Waste Heat Factor (e)],MATCH(M02S04F19,BUILDINGTYPE[Building Type],0)),4)))</f>
        <v/>
      </c>
      <c r="BB36" s="771" t="str">
        <f>IF(OR(C36="",Q36="",AA36="",O36="",AE36="",AH36="",AJ36=""),"",
IF(OR(M02S04F22="Unconditioned",M02S04F22="Electric Heat Only",M02S04F22="Natural Gas Heat Only"),BA36-ROUND((Q36/1000)*T36*INDEX(CMELIGHTCON[Energy Savings Factor],MATCH(C36,CMELIGHTCON[Proj Desc 1],0)),4),
BA36-ROUND((Q36/1000)*T36*INDEX(CMELIGHTCON[Energy Savings Factor],MATCH(C36,CMELIGHTCON[Proj Desc 1],0))*INDEX(BUILDINGTYPE[Waste Heat Factor (e)],MATCH(M02S04F19,BUILDINGTYPE[Building Type],0)),4)))</f>
        <v/>
      </c>
      <c r="BC36" s="1078" t="str">
        <f>IF(OR(C36=""),"",IF(INDEX(CMELIGHTCON[End Use Category],MATCH(C36,CMELIGHTCON[Proj Desc 1],0))="","",INDEX(CMELIGHTCON[End Use Category],MATCH(C36,CMELIGHTCON[Proj Desc 1],0))))</f>
        <v/>
      </c>
      <c r="BD36" s="757" t="str">
        <f t="shared" ref="BD36" si="45">IF(BE36&lt;&gt;"", "Calculated", "")</f>
        <v/>
      </c>
      <c r="BE36" s="775" t="str">
        <f t="shared" ref="BE36" si="46">IF(AND(BA36&lt;&gt;"", BB36&lt;&gt;""), ROUND(BA36-BB36,4), "")</f>
        <v/>
      </c>
      <c r="BF36" s="775" t="str">
        <f>IFERROR(IF(OR(C36="",Q36="",AA36="",O36="",AE36="",AH36="",AJ36=""),"",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775" t="str">
        <f>IFERROR(IF(OR(C36="",Q36="",AA36="",O36="",AE36="",AH36="",AJ36=""),"",ROUND(AO36*INDEX(ENDUSEALL[Factor],MATCH(BC36,ENDUSEALL[End Use to Coincident Peak Demand Factors],0)),4)),"")</f>
        <v/>
      </c>
      <c r="BH36" s="761"/>
      <c r="BI36" s="761"/>
      <c r="BJ36" s="777" t="str">
        <f>IF(OR(C36=""),"",IF(INDEX(CMELIGHTCON[EUL],MATCH(C36,CMELIGHTCON[Proj Desc 1],0))="","",INDEX(CMELIGHTCON[EUL],MATCH(C36,CMELIGHTCON[Proj Desc 1],0))))</f>
        <v/>
      </c>
      <c r="BK36" s="767" t="str">
        <f>IFERROR(IF(OR(C36="",Q36="",AA36="",O36="",AE36="",AH36="",AJ36=""),"",
ROUND(((1+ELOSS)*((AO36*INDEX(ELECCB[NPV AEC $/kWh],MATCH(BJ36,ELECCB[Year Number],1)))+(BG36*INDEX(ELECCB[NPV ACC $/kW],MATCH(BJ36,ELECCB[Year Number],1))))),2)),0)</f>
        <v/>
      </c>
      <c r="BL36" s="767" t="str">
        <f t="shared" si="1"/>
        <v/>
      </c>
      <c r="BM36" s="765"/>
      <c r="BN36" s="763" t="str">
        <f t="shared" si="2"/>
        <v/>
      </c>
      <c r="BO36" s="763" t="str">
        <f>IFERROR(IF(BM36 &lt;&gt; "", BM36, BL36) / M02S04F06 / AO36, "")</f>
        <v/>
      </c>
      <c r="BP36" s="769"/>
      <c r="BQ36" s="765"/>
      <c r="BR36" s="767" t="str">
        <f t="shared" ref="BR36" si="47">IFERROR(ROUND(AO36*BV36,2),"")</f>
        <v/>
      </c>
      <c r="BS36" s="765"/>
      <c r="BT36" s="765"/>
      <c r="BU36" s="757" t="str">
        <f>IFERROR(IF(BP36="", IF(AND(ROUND(AR36/AL36,2)=TOTCOSTCAP, BR36/AL36&gt;TOTCOSTCAP),"75% Total Cost",
IF(FALSE,"100% Incremental Cost",
IF(BV36&lt;KWHRATEMIN, "kWh Incentive Rate Min",
IF(BV36&gt;KWHRATEMAX,"kWh Incentive Rate Cap",
IF(AR36=BT36,"Bonus Incentive",
"kWh Incentive"))))), ""),"")</f>
        <v/>
      </c>
      <c r="BV36" s="767"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57" t="str">
        <f>IF(OR(C36="",Q36="",AA36="",O36="",AE36="",AH36="",AJ36=""),"",IF(BY36&lt;&gt;"",SPILLOVERNUMBER,INDEX(CMELIGHTCON[Measure Number],MATCH(C36,CMELIGHTCON[Proj Desc 1],0))))</f>
        <v/>
      </c>
      <c r="BX36" s="757" t="str" cm="1">
        <f t="array" ref="BX36">IFERROR(INDEX(_xlfn.SWITCH(Program_Banner,"Business Energy Savings",ENDUSEALL[Primary Key WBE],"Small Business / Non-Profit",ENDUSEALL[Primary Key HTRB],0),MATCH(BC36,ENDUSEALL[End Use to Coincident Peak Demand Factors],0)),"")</f>
        <v/>
      </c>
      <c r="BY36" s="757" t="str">
        <f ca="1">IFERROR(
IF(EXPIRATION&lt;&gt;"",PROJSTATEXP,
IF(BP36&gt;0,"",
IF(OR(M02S04F06="",M02S04F06="Select Rate Code",M02S04F06=0),MEASURERATE,
IF(M02S04F19="",MEASUREBLDG,
IF(BA36-BB36&lt;=0,MEASURESAVE,
IF(PAYCUSE&lt;PAYBACKREQ,PROJECTSTATPAYBACK,
IF(CBCUSE&lt;CBREQ,PROJECTSTATCB,""))))))),
MEASURESUBMIT)</f>
        <v>Enter Utility Rate</v>
      </c>
      <c r="BZ36" s="753"/>
      <c r="CA36" s="753"/>
      <c r="CB36" s="753"/>
      <c r="CC36" s="753"/>
    </row>
    <row r="37" spans="2:81" ht="15.95" customHeight="1">
      <c r="B37" s="785"/>
      <c r="C37" s="1012"/>
      <c r="D37" s="1013"/>
      <c r="E37" s="1013"/>
      <c r="F37" s="1013"/>
      <c r="G37" s="1013"/>
      <c r="H37" s="1013"/>
      <c r="I37" s="1013"/>
      <c r="J37" s="1013"/>
      <c r="K37" s="1013"/>
      <c r="L37" s="1013"/>
      <c r="M37" s="1086"/>
      <c r="N37" s="1086"/>
      <c r="O37" s="989"/>
      <c r="P37" s="989"/>
      <c r="Q37" s="1082"/>
      <c r="R37" s="1082"/>
      <c r="S37" s="1082"/>
      <c r="T37" s="1002"/>
      <c r="U37" s="1002"/>
      <c r="V37" s="1080"/>
      <c r="W37" s="1004"/>
      <c r="X37" s="1002"/>
      <c r="Y37" s="1002"/>
      <c r="Z37" s="1002"/>
      <c r="AA37" s="1002"/>
      <c r="AB37" s="1002"/>
      <c r="AC37" s="1002"/>
      <c r="AD37" s="1002"/>
      <c r="AE37" s="1002"/>
      <c r="AF37" s="1002"/>
      <c r="AG37" s="1003"/>
      <c r="AH37" s="992"/>
      <c r="AI37" s="993"/>
      <c r="AJ37" s="1083"/>
      <c r="AK37" s="1084"/>
      <c r="AL37" s="1006"/>
      <c r="AM37" s="1007"/>
      <c r="AN37" s="1007"/>
      <c r="AO37" s="1037"/>
      <c r="AP37" s="1037"/>
      <c r="AQ37" s="1037"/>
      <c r="AR37" s="1075"/>
      <c r="AS37" s="1076"/>
      <c r="AT37" s="1076"/>
      <c r="AU37" s="1077"/>
      <c r="AV37" s="37"/>
      <c r="AW37" s="37"/>
      <c r="AX37" s="774"/>
      <c r="AY37" s="760"/>
      <c r="AZ37" s="760"/>
      <c r="BA37" s="772"/>
      <c r="BB37" s="772"/>
      <c r="BC37" s="1079"/>
      <c r="BD37" s="758"/>
      <c r="BE37" s="776"/>
      <c r="BF37" s="776"/>
      <c r="BG37" s="776"/>
      <c r="BH37" s="762"/>
      <c r="BI37" s="762"/>
      <c r="BJ37" s="778"/>
      <c r="BK37" s="768"/>
      <c r="BL37" s="768"/>
      <c r="BM37" s="766"/>
      <c r="BN37" s="764"/>
      <c r="BO37" s="764"/>
      <c r="BP37" s="770"/>
      <c r="BQ37" s="766"/>
      <c r="BR37" s="768"/>
      <c r="BS37" s="766"/>
      <c r="BT37" s="766"/>
      <c r="BU37" s="758"/>
      <c r="BV37" s="768"/>
      <c r="BW37" s="758"/>
      <c r="BX37" s="758"/>
      <c r="BY37" s="758"/>
      <c r="BZ37" s="754"/>
      <c r="CA37" s="754"/>
      <c r="CB37" s="754"/>
      <c r="CC37" s="754"/>
    </row>
    <row r="38" spans="2:81" ht="15.95" customHeight="1">
      <c r="B38" s="785"/>
      <c r="C38" s="291"/>
      <c r="D38" s="291"/>
      <c r="E38" s="291"/>
      <c r="F38" s="291"/>
    </row>
    <row r="39" spans="2:81" ht="15.95" hidden="1" customHeight="1">
      <c r="B39" s="785"/>
      <c r="C39" s="291"/>
      <c r="D39" s="291"/>
      <c r="E39" s="291"/>
      <c r="F39" s="291"/>
    </row>
    <row r="40" spans="2:81" ht="15.95" hidden="1" customHeight="1">
      <c r="B40" s="785"/>
      <c r="C40" s="291"/>
      <c r="D40" s="291"/>
      <c r="E40" s="291"/>
      <c r="F40" s="291"/>
    </row>
    <row r="41" spans="2:81" ht="15.95" hidden="1" customHeight="1">
      <c r="B41" s="785"/>
      <c r="C41" s="291"/>
      <c r="D41" s="291"/>
      <c r="E41" s="291"/>
      <c r="F41" s="291"/>
    </row>
    <row r="42" spans="2:81" ht="15.95" hidden="1" customHeight="1">
      <c r="B42" s="785"/>
      <c r="C42" s="291"/>
      <c r="D42" s="291"/>
      <c r="E42" s="291"/>
      <c r="F42" s="291"/>
    </row>
    <row r="43" spans="2:81" ht="15.95" hidden="1" customHeight="1">
      <c r="B43" s="785"/>
      <c r="C43" s="291"/>
      <c r="D43" s="291"/>
      <c r="E43" s="291"/>
      <c r="F43" s="291"/>
    </row>
    <row r="44" spans="2:81" ht="15.95" hidden="1" customHeight="1">
      <c r="B44" s="785"/>
      <c r="C44" s="291"/>
      <c r="D44" s="291"/>
      <c r="E44" s="291"/>
      <c r="F44" s="291"/>
    </row>
    <row r="45" spans="2:81" ht="15.95" hidden="1" customHeight="1">
      <c r="B45" s="785"/>
      <c r="C45" s="291"/>
      <c r="D45" s="291"/>
      <c r="E45" s="291"/>
      <c r="F45" s="291"/>
    </row>
    <row r="46" spans="2:81" ht="15.95" hidden="1" customHeight="1">
      <c r="B46" s="785"/>
      <c r="C46" s="291"/>
      <c r="D46" s="291"/>
      <c r="E46" s="291"/>
      <c r="F46" s="291"/>
    </row>
    <row r="47" spans="2:81" ht="15.95" hidden="1" customHeight="1">
      <c r="B47" s="785"/>
      <c r="C47" s="291"/>
      <c r="D47" s="291"/>
      <c r="E47" s="291"/>
      <c r="F47" s="291"/>
    </row>
    <row r="48" spans="2:81" ht="15.95" hidden="1" customHeight="1">
      <c r="AX48" s="32"/>
      <c r="BA48" s="32"/>
      <c r="BB48" s="32"/>
      <c r="BF48" s="32"/>
      <c r="BG48" s="26"/>
      <c r="BO48" s="26"/>
    </row>
    <row r="49" spans="50:67" ht="15.95" hidden="1" customHeight="1">
      <c r="AX49" s="32"/>
      <c r="BA49" s="32"/>
      <c r="BB49" s="32"/>
      <c r="BF49" s="32"/>
      <c r="BG49" s="26"/>
      <c r="BO49" s="26"/>
    </row>
    <row r="50" spans="50:67" ht="15.95" hidden="1" customHeight="1">
      <c r="AX50" s="32"/>
      <c r="BA50" s="32"/>
      <c r="BB50" s="32"/>
      <c r="BF50" s="32"/>
      <c r="BG50" s="26"/>
      <c r="BO50" s="26"/>
    </row>
    <row r="51" spans="50:67" ht="15.95" hidden="1" customHeight="1">
      <c r="AX51" s="32"/>
      <c r="BA51" s="32"/>
      <c r="BB51" s="32"/>
      <c r="BF51" s="32"/>
      <c r="BG51" s="26"/>
      <c r="BO51" s="26"/>
    </row>
    <row r="52" spans="50:67" ht="15.95" hidden="1" customHeight="1">
      <c r="AX52" s="32"/>
      <c r="BA52" s="32"/>
      <c r="BB52" s="32"/>
      <c r="BF52" s="32"/>
      <c r="BG52" s="26"/>
      <c r="BO52" s="26"/>
    </row>
    <row r="53" spans="50:67" ht="15.95" hidden="1" customHeight="1">
      <c r="AX53" s="32"/>
      <c r="BA53" s="32"/>
      <c r="BB53" s="32"/>
      <c r="BF53" s="32"/>
      <c r="BG53" s="26"/>
      <c r="BO53" s="26"/>
    </row>
    <row r="54" spans="50:67" ht="15.95" hidden="1" customHeight="1">
      <c r="AX54" s="32"/>
      <c r="BA54" s="32"/>
      <c r="BB54" s="32"/>
      <c r="BF54" s="32"/>
      <c r="BG54" s="26"/>
      <c r="BO54" s="26"/>
    </row>
    <row r="55" spans="50:67" ht="15.95" hidden="1" customHeight="1">
      <c r="AX55" s="32"/>
      <c r="BA55" s="32"/>
      <c r="BB55" s="32"/>
      <c r="BF55" s="32"/>
      <c r="BG55" s="26"/>
      <c r="BO55" s="26"/>
    </row>
    <row r="56" spans="50:67" ht="15.95" hidden="1" customHeight="1">
      <c r="AX56" s="32"/>
      <c r="BA56" s="32"/>
      <c r="BB56" s="32"/>
      <c r="BF56" s="32"/>
      <c r="BG56" s="26"/>
      <c r="BO56" s="26"/>
    </row>
    <row r="57" spans="50:67" ht="15.95" hidden="1" customHeight="1">
      <c r="AX57" s="32"/>
      <c r="BA57" s="32"/>
      <c r="BB57" s="32"/>
      <c r="BF57" s="32"/>
      <c r="BG57" s="26"/>
      <c r="BO57" s="26"/>
    </row>
    <row r="58" spans="50:67" ht="15.95" hidden="1" customHeight="1">
      <c r="AX58" s="32"/>
      <c r="BA58" s="32"/>
      <c r="BB58" s="32"/>
      <c r="BF58" s="32"/>
      <c r="BG58" s="26"/>
      <c r="BO58" s="26"/>
    </row>
    <row r="59" spans="50:67" ht="15.95" hidden="1" customHeight="1">
      <c r="AX59" s="32"/>
      <c r="BA59" s="32"/>
      <c r="BB59" s="32"/>
      <c r="BF59" s="32"/>
      <c r="BG59" s="26"/>
      <c r="BO59" s="26"/>
    </row>
    <row r="60" spans="50:67" ht="15.95" hidden="1" customHeight="1">
      <c r="AX60" s="32"/>
      <c r="BA60" s="32"/>
      <c r="BB60" s="32"/>
      <c r="BF60" s="32"/>
      <c r="BG60" s="26"/>
      <c r="BO60" s="26"/>
    </row>
    <row r="61" spans="50:67" ht="15.95" hidden="1" customHeight="1">
      <c r="AX61" s="32"/>
      <c r="BA61" s="32"/>
      <c r="BB61" s="32"/>
      <c r="BF61" s="32"/>
      <c r="BG61" s="26"/>
      <c r="BO61" s="26"/>
    </row>
    <row r="62" spans="50:67" ht="15.95" hidden="1" customHeight="1">
      <c r="AX62" s="32"/>
      <c r="BA62" s="32"/>
      <c r="BB62" s="32"/>
      <c r="BF62" s="32"/>
      <c r="BG62" s="26"/>
      <c r="BO62" s="26"/>
    </row>
    <row r="63" spans="50:67" ht="15.95" hidden="1" customHeight="1">
      <c r="AX63" s="32"/>
      <c r="BA63" s="32"/>
      <c r="BB63" s="32"/>
      <c r="BF63" s="32"/>
      <c r="BG63" s="26"/>
      <c r="BO63" s="26"/>
    </row>
    <row r="64" spans="50:67" ht="15.95" hidden="1" customHeight="1">
      <c r="AX64" s="32"/>
      <c r="BA64" s="32"/>
      <c r="BB64" s="32"/>
      <c r="BF64" s="32"/>
      <c r="BG64" s="26"/>
      <c r="BO64" s="26"/>
    </row>
    <row r="65" spans="50:67" ht="15.95" hidden="1" customHeight="1">
      <c r="AX65" s="32"/>
      <c r="BA65" s="32"/>
      <c r="BB65" s="32"/>
      <c r="BF65" s="32"/>
      <c r="BG65" s="26"/>
      <c r="BO65" s="26"/>
    </row>
    <row r="66" spans="50:67" ht="15.95" hidden="1" customHeight="1">
      <c r="AX66" s="32"/>
      <c r="BA66" s="32"/>
      <c r="BB66" s="32"/>
      <c r="BF66" s="32"/>
      <c r="BG66" s="26"/>
      <c r="BO66" s="26"/>
    </row>
    <row r="67" spans="50:67" ht="15.95" hidden="1" customHeight="1">
      <c r="AX67" s="32"/>
      <c r="BA67" s="32"/>
      <c r="BB67" s="32"/>
      <c r="BF67" s="32"/>
      <c r="BG67" s="26"/>
      <c r="BO67" s="26"/>
    </row>
    <row r="68" spans="50:67" ht="15.95" hidden="1" customHeight="1">
      <c r="AX68" s="32"/>
      <c r="BA68" s="32"/>
      <c r="BB68" s="32"/>
      <c r="BF68" s="32"/>
      <c r="BG68" s="26"/>
      <c r="BO68" s="26"/>
    </row>
    <row r="69" spans="50:67" ht="15.95" hidden="1" customHeight="1">
      <c r="AX69" s="32"/>
      <c r="BA69" s="32"/>
      <c r="BB69" s="32"/>
      <c r="BF69" s="32"/>
      <c r="BG69" s="26"/>
      <c r="BO69" s="26"/>
    </row>
    <row r="70" spans="50:67" ht="15.95" hidden="1" customHeight="1">
      <c r="AX70" s="32"/>
      <c r="BA70" s="32"/>
      <c r="BB70" s="32"/>
      <c r="BF70" s="32"/>
      <c r="BG70" s="26"/>
      <c r="BO70" s="26"/>
    </row>
    <row r="71" spans="50:67" ht="15.95" hidden="1" customHeight="1">
      <c r="AX71" s="32"/>
      <c r="BA71" s="32"/>
      <c r="BB71" s="32"/>
      <c r="BF71" s="32"/>
      <c r="BG71" s="26"/>
      <c r="BO71" s="26"/>
    </row>
    <row r="72" spans="50:67" ht="15.95" hidden="1" customHeight="1">
      <c r="AX72" s="32"/>
      <c r="BA72" s="32"/>
      <c r="BB72" s="32"/>
      <c r="BF72" s="32"/>
      <c r="BG72" s="26"/>
      <c r="BO72" s="26"/>
    </row>
    <row r="73" spans="50:67" ht="15.95" hidden="1" customHeight="1">
      <c r="AX73" s="32"/>
      <c r="BA73" s="32"/>
      <c r="BB73" s="32"/>
      <c r="BF73" s="32"/>
      <c r="BG73" s="26"/>
      <c r="BO73" s="26"/>
    </row>
    <row r="74" spans="50:67" ht="15.95" hidden="1" customHeight="1">
      <c r="AX74" s="32"/>
      <c r="BA74" s="32"/>
      <c r="BB74" s="32"/>
      <c r="BF74" s="32"/>
      <c r="BG74" s="26"/>
      <c r="BO74" s="26"/>
    </row>
    <row r="75" spans="50:67" ht="15.95" hidden="1" customHeight="1">
      <c r="AX75" s="32"/>
      <c r="BA75" s="32"/>
      <c r="BB75" s="32"/>
      <c r="BF75" s="32"/>
      <c r="BG75" s="26"/>
      <c r="BO75" s="26"/>
    </row>
    <row r="76" spans="50:67" ht="15.95" hidden="1" customHeight="1">
      <c r="AX76" s="32"/>
      <c r="BA76" s="32"/>
      <c r="BB76" s="32"/>
      <c r="BF76" s="32"/>
      <c r="BG76" s="26"/>
      <c r="BO76" s="26"/>
    </row>
    <row r="77" spans="50:67" ht="15.95" hidden="1" customHeight="1">
      <c r="AX77" s="32"/>
      <c r="BA77" s="32"/>
      <c r="BB77" s="32"/>
      <c r="BF77" s="32"/>
      <c r="BG77" s="26"/>
      <c r="BO77" s="26"/>
    </row>
    <row r="78" spans="50:67" ht="15.95" hidden="1" customHeight="1">
      <c r="AX78" s="32"/>
      <c r="BA78" s="32"/>
      <c r="BB78" s="32"/>
      <c r="BF78" s="32"/>
      <c r="BG78" s="26"/>
      <c r="BO78" s="26"/>
    </row>
    <row r="79" spans="50:67" ht="15.95" hidden="1" customHeight="1">
      <c r="AX79" s="32"/>
      <c r="BA79" s="32"/>
      <c r="BB79" s="32"/>
      <c r="BF79" s="32"/>
      <c r="BG79" s="26"/>
      <c r="BO79" s="26"/>
    </row>
    <row r="80" spans="50:67" ht="15.95" hidden="1" customHeight="1">
      <c r="AX80" s="32"/>
      <c r="BA80" s="32"/>
      <c r="BB80" s="32"/>
      <c r="BF80" s="32"/>
      <c r="BG80" s="26"/>
      <c r="BO80" s="26"/>
    </row>
    <row r="81" spans="50:67" ht="15.95" hidden="1" customHeight="1">
      <c r="AX81" s="32"/>
      <c r="BA81" s="32"/>
      <c r="BB81" s="32"/>
      <c r="BF81" s="32"/>
      <c r="BG81" s="26"/>
      <c r="BO81" s="26"/>
    </row>
    <row r="82" spans="50:67" ht="15.95" hidden="1" customHeight="1">
      <c r="AX82" s="32"/>
      <c r="BA82" s="32"/>
      <c r="BB82" s="32"/>
      <c r="BF82" s="32"/>
      <c r="BG82" s="26"/>
      <c r="BO82" s="26"/>
    </row>
    <row r="83" spans="50:67" ht="15.95" hidden="1" customHeight="1">
      <c r="AX83" s="32"/>
      <c r="BA83" s="32"/>
      <c r="BB83" s="32"/>
      <c r="BF83" s="32"/>
      <c r="BG83" s="26"/>
      <c r="BO83" s="26"/>
    </row>
    <row r="84" spans="50:67" ht="15.95" hidden="1" customHeight="1">
      <c r="AX84" s="32"/>
      <c r="BA84" s="32"/>
      <c r="BB84" s="32"/>
      <c r="BF84" s="32"/>
      <c r="BG84" s="26"/>
      <c r="BO84" s="26"/>
    </row>
    <row r="85" spans="50:67" ht="15.95" hidden="1" customHeight="1">
      <c r="AX85" s="32"/>
      <c r="BA85" s="32"/>
      <c r="BB85" s="32"/>
      <c r="BF85" s="32"/>
      <c r="BG85" s="26"/>
      <c r="BO85" s="26"/>
    </row>
    <row r="86" spans="50:67" ht="15.95" hidden="1" customHeight="1">
      <c r="AX86" s="32"/>
      <c r="BA86" s="32"/>
      <c r="BB86" s="32"/>
      <c r="BF86" s="32"/>
      <c r="BG86" s="26"/>
      <c r="BO86" s="26"/>
    </row>
    <row r="87" spans="50:67" ht="15.95" hidden="1" customHeight="1">
      <c r="AX87" s="32"/>
      <c r="BA87" s="32"/>
      <c r="BB87" s="32"/>
      <c r="BF87" s="32"/>
      <c r="BG87" s="26"/>
      <c r="BO87" s="26"/>
    </row>
    <row r="88" spans="50:67" ht="15.95" hidden="1" customHeight="1">
      <c r="AX88" s="32"/>
      <c r="BA88" s="32"/>
      <c r="BB88" s="32"/>
      <c r="BF88" s="32"/>
      <c r="BG88" s="26"/>
      <c r="BO88" s="26"/>
    </row>
    <row r="89" spans="50:67" ht="15.95" hidden="1" customHeight="1">
      <c r="AX89" s="32"/>
      <c r="BA89" s="32"/>
      <c r="BB89" s="32"/>
      <c r="BF89" s="32"/>
      <c r="BG89" s="26"/>
      <c r="BO89" s="26"/>
    </row>
    <row r="90" spans="50:67" ht="15.95" hidden="1" customHeight="1">
      <c r="AX90" s="32"/>
      <c r="BA90" s="32"/>
      <c r="BB90" s="32"/>
      <c r="BF90" s="32"/>
      <c r="BG90" s="26"/>
      <c r="BO90" s="26"/>
    </row>
    <row r="91" spans="50:67" ht="15.95" hidden="1" customHeight="1">
      <c r="AX91" s="32"/>
      <c r="BA91" s="32"/>
      <c r="BB91" s="32"/>
      <c r="BF91" s="32"/>
      <c r="BG91" s="26"/>
      <c r="BO91" s="26"/>
    </row>
    <row r="92" spans="50:67" ht="15.95" hidden="1" customHeight="1">
      <c r="AX92" s="32"/>
      <c r="BA92" s="32"/>
      <c r="BB92" s="32"/>
      <c r="BF92" s="32"/>
      <c r="BG92" s="26"/>
      <c r="BO92" s="26"/>
    </row>
    <row r="93" spans="50:67" ht="15.95" hidden="1" customHeight="1">
      <c r="AX93" s="32"/>
      <c r="BA93" s="32"/>
      <c r="BB93" s="32"/>
      <c r="BF93" s="32"/>
      <c r="BG93" s="26"/>
      <c r="BO93" s="26"/>
    </row>
    <row r="94" spans="50:67" ht="15.95" hidden="1" customHeight="1">
      <c r="AX94" s="32"/>
      <c r="BA94" s="32"/>
      <c r="BB94" s="32"/>
      <c r="BF94" s="32"/>
      <c r="BG94" s="26"/>
      <c r="BO94" s="26"/>
    </row>
    <row r="95" spans="50:67" ht="15.95" hidden="1" customHeight="1">
      <c r="AX95" s="32"/>
      <c r="BA95" s="32"/>
      <c r="BB95" s="32"/>
      <c r="BF95" s="32"/>
      <c r="BG95" s="26"/>
      <c r="BO95" s="26"/>
    </row>
    <row r="96" spans="50:67" ht="15.95" hidden="1" customHeight="1">
      <c r="AX96" s="32"/>
      <c r="BA96" s="32"/>
      <c r="BB96" s="32"/>
      <c r="BF96" s="32"/>
      <c r="BG96" s="26"/>
      <c r="BO96" s="26"/>
    </row>
    <row r="97" spans="50:67" ht="15.95" hidden="1" customHeight="1">
      <c r="AX97" s="32"/>
      <c r="BA97" s="32"/>
      <c r="BB97" s="32"/>
      <c r="BF97" s="32"/>
      <c r="BG97" s="26"/>
      <c r="BO97" s="26"/>
    </row>
    <row r="98" spans="50:67" ht="15.95" hidden="1" customHeight="1">
      <c r="AX98" s="32"/>
      <c r="BA98" s="32"/>
      <c r="BB98" s="32"/>
      <c r="BF98" s="32"/>
      <c r="BG98" s="26"/>
      <c r="BO98" s="26"/>
    </row>
    <row r="99" spans="50:67" ht="15.95" hidden="1" customHeight="1">
      <c r="AX99" s="32"/>
      <c r="BA99" s="32"/>
      <c r="BB99" s="32"/>
      <c r="BF99" s="32"/>
      <c r="BG99" s="26"/>
      <c r="BO99" s="26"/>
    </row>
    <row r="100" spans="50:67" ht="15.95" hidden="1" customHeight="1">
      <c r="AX100" s="32"/>
      <c r="BA100" s="32"/>
      <c r="BB100" s="32"/>
      <c r="BF100" s="32"/>
      <c r="BG100" s="26"/>
      <c r="BO100" s="26"/>
    </row>
    <row r="101" spans="50:67" ht="15.95" hidden="1" customHeight="1">
      <c r="AX101" s="32"/>
      <c r="BA101" s="32"/>
      <c r="BB101" s="32"/>
      <c r="BF101" s="32"/>
      <c r="BG101" s="26"/>
      <c r="BO101" s="26"/>
    </row>
    <row r="102" spans="50:67" ht="15.95" hidden="1" customHeight="1">
      <c r="AX102" s="32"/>
      <c r="BA102" s="32"/>
      <c r="BB102" s="32"/>
      <c r="BF102" s="32"/>
      <c r="BG102" s="26"/>
      <c r="BO102" s="26"/>
    </row>
    <row r="103" spans="50:67" ht="15.95" hidden="1" customHeight="1">
      <c r="AX103" s="32"/>
      <c r="BA103" s="32"/>
      <c r="BB103" s="32"/>
      <c r="BF103" s="32"/>
      <c r="BG103" s="26"/>
      <c r="BO103" s="26"/>
    </row>
    <row r="104" spans="50:67" ht="15.95" hidden="1" customHeight="1">
      <c r="AX104" s="32"/>
      <c r="BA104" s="32"/>
      <c r="BB104" s="32"/>
      <c r="BF104" s="32"/>
      <c r="BG104" s="26"/>
      <c r="BO104" s="26"/>
    </row>
    <row r="105" spans="50:67" ht="15.95" hidden="1" customHeight="1">
      <c r="AX105" s="32"/>
      <c r="BA105" s="32"/>
      <c r="BB105" s="32"/>
      <c r="BF105" s="32"/>
      <c r="BG105" s="26"/>
      <c r="BO105" s="26"/>
    </row>
    <row r="106" spans="50:67" ht="15.95" hidden="1" customHeight="1">
      <c r="AX106" s="32"/>
      <c r="BA106" s="32"/>
      <c r="BB106" s="32"/>
      <c r="BF106" s="32"/>
      <c r="BG106" s="26"/>
      <c r="BO106" s="26"/>
    </row>
    <row r="107" spans="50:67" ht="15.95" hidden="1" customHeight="1">
      <c r="AX107" s="32"/>
      <c r="BA107" s="32"/>
      <c r="BB107" s="32"/>
      <c r="BF107" s="32"/>
      <c r="BG107" s="26"/>
      <c r="BO107" s="26"/>
    </row>
    <row r="108" spans="50:67" ht="15.95" hidden="1" customHeight="1">
      <c r="AX108" s="32"/>
      <c r="BA108" s="32"/>
      <c r="BB108" s="32"/>
      <c r="BF108" s="32"/>
      <c r="BG108" s="26"/>
      <c r="BO108" s="26"/>
    </row>
    <row r="109" spans="50:67" ht="15.95" hidden="1" customHeight="1">
      <c r="AX109" s="32"/>
      <c r="BA109" s="32"/>
      <c r="BB109" s="32"/>
      <c r="BF109" s="32"/>
      <c r="BG109" s="26"/>
      <c r="BO109" s="26"/>
    </row>
    <row r="110" spans="50:67" ht="15.95" hidden="1" customHeight="1">
      <c r="AX110" s="32"/>
      <c r="BA110" s="32"/>
      <c r="BB110" s="32"/>
      <c r="BF110" s="32"/>
      <c r="BG110" s="26"/>
      <c r="BO110" s="26"/>
    </row>
    <row r="111" spans="50:67" ht="15.95" hidden="1" customHeight="1">
      <c r="AX111" s="32"/>
      <c r="BA111" s="32"/>
      <c r="BB111" s="32"/>
      <c r="BF111" s="32"/>
      <c r="BG111" s="26"/>
      <c r="BO111" s="26"/>
    </row>
    <row r="112" spans="50:67" ht="15.95" hidden="1" customHeight="1">
      <c r="AX112" s="32"/>
      <c r="BA112" s="32"/>
      <c r="BB112" s="32"/>
      <c r="BF112" s="32"/>
      <c r="BG112" s="26"/>
      <c r="BO112" s="26"/>
    </row>
    <row r="113" spans="50:67" ht="15.95" hidden="1" customHeight="1">
      <c r="AX113" s="32"/>
      <c r="BA113" s="32"/>
      <c r="BB113" s="32"/>
      <c r="BF113" s="32"/>
      <c r="BG113" s="26"/>
      <c r="BO113" s="26"/>
    </row>
    <row r="114" spans="50:67" ht="15.95" hidden="1" customHeight="1">
      <c r="AX114" s="32"/>
      <c r="BA114" s="32"/>
      <c r="BB114" s="32"/>
      <c r="BF114" s="32"/>
      <c r="BG114" s="26"/>
      <c r="BO114" s="26"/>
    </row>
    <row r="115" spans="50:67" ht="15.95" hidden="1" customHeight="1">
      <c r="AX115" s="32"/>
      <c r="BA115" s="32"/>
      <c r="BB115" s="32"/>
      <c r="BF115" s="32"/>
      <c r="BG115" s="26"/>
      <c r="BO115" s="26"/>
    </row>
    <row r="116" spans="50:67" ht="15.95" hidden="1" customHeight="1">
      <c r="AX116" s="32"/>
      <c r="BA116" s="32"/>
      <c r="BB116" s="32"/>
      <c r="BF116" s="32"/>
      <c r="BG116" s="26"/>
      <c r="BO116" s="26"/>
    </row>
    <row r="117" spans="50:67" ht="15.95" hidden="1" customHeight="1">
      <c r="AX117" s="32"/>
      <c r="BA117" s="32"/>
      <c r="BB117" s="32"/>
      <c r="BF117" s="32"/>
      <c r="BG117" s="26"/>
      <c r="BO117" s="26"/>
    </row>
    <row r="118" spans="50:67" ht="15.95" hidden="1" customHeight="1">
      <c r="AX118" s="32"/>
      <c r="BA118" s="32"/>
      <c r="BB118" s="32"/>
      <c r="BF118" s="32"/>
      <c r="BG118" s="26"/>
      <c r="BO118" s="26"/>
    </row>
    <row r="119" spans="50:67" ht="15.95" hidden="1" customHeight="1">
      <c r="AX119" s="32"/>
      <c r="BA119" s="32"/>
      <c r="BB119" s="32"/>
      <c r="BF119" s="32"/>
      <c r="BG119" s="26"/>
      <c r="BO119" s="26"/>
    </row>
    <row r="120" spans="50:67" ht="15.95" hidden="1" customHeight="1">
      <c r="AX120" s="32"/>
      <c r="BA120" s="32"/>
      <c r="BB120" s="32"/>
      <c r="BF120" s="32"/>
      <c r="BG120" s="26"/>
      <c r="BO120" s="26"/>
    </row>
    <row r="121" spans="50:67" ht="15.95" hidden="1" customHeight="1">
      <c r="AX121" s="32"/>
      <c r="BA121" s="32"/>
      <c r="BB121" s="32"/>
      <c r="BF121" s="32"/>
      <c r="BG121" s="26"/>
      <c r="BO121" s="26"/>
    </row>
    <row r="122" spans="50:67" ht="15.95" hidden="1" customHeight="1">
      <c r="AX122" s="32"/>
      <c r="BA122" s="32"/>
      <c r="BB122" s="32"/>
      <c r="BF122" s="32"/>
      <c r="BG122" s="26"/>
      <c r="BO122" s="26"/>
    </row>
    <row r="123" spans="50:67" ht="15.95" hidden="1" customHeight="1">
      <c r="AX123" s="32"/>
      <c r="BA123" s="32"/>
      <c r="BB123" s="32"/>
      <c r="BF123" s="32"/>
      <c r="BG123" s="26"/>
      <c r="BO123" s="26"/>
    </row>
    <row r="124" spans="50:67" ht="15.95" hidden="1" customHeight="1">
      <c r="AX124" s="32"/>
      <c r="BA124" s="32"/>
      <c r="BB124" s="32"/>
      <c r="BF124" s="32"/>
      <c r="BG124" s="26"/>
      <c r="BO124" s="26"/>
    </row>
    <row r="125" spans="50:67" ht="15.95" hidden="1" customHeight="1">
      <c r="AX125" s="32"/>
      <c r="BA125" s="32"/>
      <c r="BB125" s="32"/>
      <c r="BF125" s="32"/>
      <c r="BG125" s="26"/>
      <c r="BO125" s="26"/>
    </row>
    <row r="126" spans="50:67" ht="15.95" hidden="1" customHeight="1">
      <c r="AX126" s="32"/>
      <c r="BA126" s="32"/>
      <c r="BB126" s="32"/>
      <c r="BF126" s="32"/>
      <c r="BG126" s="26"/>
      <c r="BO126" s="26"/>
    </row>
    <row r="127" spans="50:67" ht="15.95" hidden="1" customHeight="1">
      <c r="AX127" s="32"/>
      <c r="BA127" s="32"/>
      <c r="BB127" s="32"/>
      <c r="BF127" s="32"/>
      <c r="BG127" s="26"/>
      <c r="BO127" s="26"/>
    </row>
    <row r="128" spans="50:67" ht="15.95" hidden="1" customHeight="1">
      <c r="AX128" s="32"/>
      <c r="BA128" s="32"/>
      <c r="BB128" s="32"/>
      <c r="BF128" s="32"/>
      <c r="BG128" s="26"/>
      <c r="BO128" s="26"/>
    </row>
    <row r="129" spans="50:67" ht="15.95" hidden="1" customHeight="1">
      <c r="AX129" s="32"/>
      <c r="BA129" s="32"/>
      <c r="BB129" s="32"/>
      <c r="BF129" s="32"/>
      <c r="BG129" s="26"/>
      <c r="BO129" s="26"/>
    </row>
    <row r="130" spans="50:67" ht="15.95" hidden="1" customHeight="1">
      <c r="AX130" s="32"/>
      <c r="BA130" s="32"/>
      <c r="BB130" s="32"/>
      <c r="BF130" s="32"/>
      <c r="BG130" s="26"/>
      <c r="BO130" s="26"/>
    </row>
    <row r="131" spans="50:67" ht="15.95" hidden="1" customHeight="1">
      <c r="AX131" s="32"/>
      <c r="BA131" s="32"/>
      <c r="BB131" s="32"/>
      <c r="BF131" s="32"/>
      <c r="BG131" s="26"/>
      <c r="BO131" s="26"/>
    </row>
    <row r="132" spans="50:67" ht="15.95" hidden="1" customHeight="1">
      <c r="AX132" s="32"/>
      <c r="BA132" s="32"/>
      <c r="BB132" s="32"/>
      <c r="BF132" s="32"/>
      <c r="BG132" s="26"/>
      <c r="BO132" s="26"/>
    </row>
    <row r="133" spans="50:67" ht="15.95" hidden="1" customHeight="1">
      <c r="AX133" s="32"/>
      <c r="BA133" s="32"/>
      <c r="BB133" s="32"/>
      <c r="BF133" s="32"/>
      <c r="BG133" s="26"/>
      <c r="BO133" s="26"/>
    </row>
    <row r="134" spans="50:67" ht="15.95" hidden="1" customHeight="1">
      <c r="AX134" s="32"/>
      <c r="BA134" s="32"/>
      <c r="BB134" s="32"/>
      <c r="BF134" s="32"/>
      <c r="BG134" s="26"/>
      <c r="BO134" s="26"/>
    </row>
    <row r="135" spans="50:67" ht="15.95" hidden="1" customHeight="1">
      <c r="AX135" s="32"/>
      <c r="BA135" s="32"/>
      <c r="BB135" s="32"/>
      <c r="BF135" s="32"/>
      <c r="BG135" s="26"/>
      <c r="BO135" s="26"/>
    </row>
    <row r="136" spans="50:67" ht="15.95" hidden="1" customHeight="1">
      <c r="AX136" s="32"/>
      <c r="BA136" s="32"/>
      <c r="BB136" s="32"/>
      <c r="BF136" s="32"/>
      <c r="BG136" s="26"/>
      <c r="BO136" s="26"/>
    </row>
    <row r="137" spans="50:67" ht="15.95" hidden="1" customHeight="1">
      <c r="AX137" s="32"/>
      <c r="BA137" s="32"/>
      <c r="BB137" s="32"/>
      <c r="BF137" s="32"/>
      <c r="BG137" s="26"/>
      <c r="BO137" s="26"/>
    </row>
    <row r="138" spans="50:67" ht="15.95" hidden="1" customHeight="1">
      <c r="AX138" s="32"/>
      <c r="BA138" s="32"/>
      <c r="BB138" s="32"/>
      <c r="BF138" s="32"/>
      <c r="BG138" s="26"/>
      <c r="BO138" s="26"/>
    </row>
    <row r="139" spans="50:67" ht="15.95" hidden="1" customHeight="1">
      <c r="AX139" s="32"/>
      <c r="BA139" s="32"/>
      <c r="BB139" s="32"/>
      <c r="BF139" s="32"/>
      <c r="BG139" s="26"/>
      <c r="BO139" s="26"/>
    </row>
    <row r="140" spans="50:67" ht="15.95" hidden="1" customHeight="1">
      <c r="AX140" s="32"/>
      <c r="BA140" s="32"/>
      <c r="BB140" s="32"/>
      <c r="BF140" s="32"/>
      <c r="BG140" s="26"/>
      <c r="BO140" s="26"/>
    </row>
    <row r="141" spans="50:67" ht="15.95" hidden="1" customHeight="1">
      <c r="AX141" s="32"/>
      <c r="BA141" s="32"/>
      <c r="BB141" s="32"/>
      <c r="BF141" s="32"/>
      <c r="BG141" s="26"/>
      <c r="BO141" s="26"/>
    </row>
    <row r="142" spans="50:67" ht="15.95" hidden="1" customHeight="1">
      <c r="AX142" s="32"/>
      <c r="BA142" s="32"/>
      <c r="BB142" s="32"/>
      <c r="BF142" s="32"/>
      <c r="BG142" s="26"/>
      <c r="BO142" s="26"/>
    </row>
    <row r="143" spans="50:67" ht="15.95" hidden="1" customHeight="1">
      <c r="AX143" s="32"/>
      <c r="BA143" s="32"/>
      <c r="BB143" s="32"/>
      <c r="BF143" s="32"/>
      <c r="BG143" s="26"/>
      <c r="BO143" s="26"/>
    </row>
    <row r="144" spans="50:67" ht="15.95" hidden="1" customHeight="1">
      <c r="AX144" s="32"/>
      <c r="BA144" s="32"/>
      <c r="BB144" s="32"/>
      <c r="BF144" s="32"/>
      <c r="BG144" s="26"/>
      <c r="BO144" s="26"/>
    </row>
    <row r="145" spans="50:67" ht="15.95" hidden="1" customHeight="1">
      <c r="AX145" s="32"/>
      <c r="BA145" s="32"/>
      <c r="BB145" s="32"/>
      <c r="BF145" s="32"/>
      <c r="BG145" s="26"/>
      <c r="BO145" s="26"/>
    </row>
    <row r="146" spans="50:67" ht="15.95" hidden="1" customHeight="1">
      <c r="AX146" s="32"/>
      <c r="BA146" s="32"/>
      <c r="BB146" s="32"/>
      <c r="BF146" s="32"/>
      <c r="BG146" s="26"/>
      <c r="BO146" s="26"/>
    </row>
    <row r="147" spans="50:67" ht="15.95" hidden="1" customHeight="1">
      <c r="AX147" s="32"/>
      <c r="BA147" s="32"/>
      <c r="BB147" s="32"/>
      <c r="BF147" s="32"/>
      <c r="BG147" s="26"/>
      <c r="BO147" s="26"/>
    </row>
    <row r="148" spans="50:67" ht="15.95" hidden="1" customHeight="1">
      <c r="AX148" s="32"/>
      <c r="BA148" s="32"/>
      <c r="BB148" s="32"/>
      <c r="BF148" s="32"/>
      <c r="BG148" s="26"/>
      <c r="BO148" s="26"/>
    </row>
    <row r="149" spans="50:67" ht="15.95" hidden="1" customHeight="1">
      <c r="AX149" s="32"/>
      <c r="BA149" s="32"/>
      <c r="BB149" s="32"/>
      <c r="BF149" s="32"/>
      <c r="BG149" s="26"/>
      <c r="BO149" s="26"/>
    </row>
    <row r="150" spans="50:67" ht="15.95" hidden="1" customHeight="1">
      <c r="AX150" s="32"/>
      <c r="BA150" s="32"/>
      <c r="BB150" s="32"/>
      <c r="BF150" s="32"/>
      <c r="BG150" s="26"/>
      <c r="BO150" s="26"/>
    </row>
    <row r="151" spans="50:67" ht="15.95" hidden="1" customHeight="1">
      <c r="AX151" s="32"/>
      <c r="BA151" s="32"/>
      <c r="BB151" s="32"/>
      <c r="BF151" s="32"/>
      <c r="BG151" s="26"/>
      <c r="BO151" s="26"/>
    </row>
    <row r="152" spans="50:67" ht="15.95" hidden="1" customHeight="1">
      <c r="AX152" s="32"/>
      <c r="BA152" s="32"/>
      <c r="BB152" s="32"/>
      <c r="BF152" s="32"/>
      <c r="BG152" s="26"/>
      <c r="BO152" s="26"/>
    </row>
    <row r="153" spans="50:67" ht="15.95" hidden="1" customHeight="1">
      <c r="AX153" s="32"/>
      <c r="BA153" s="32"/>
      <c r="BB153" s="32"/>
      <c r="BF153" s="32"/>
      <c r="BG153" s="26"/>
      <c r="BO153" s="26"/>
    </row>
    <row r="154" spans="50:67" ht="15.95" hidden="1" customHeight="1">
      <c r="AX154" s="32"/>
      <c r="BA154" s="32"/>
      <c r="BB154" s="32"/>
      <c r="BF154" s="32"/>
      <c r="BG154" s="26"/>
      <c r="BO154" s="26"/>
    </row>
    <row r="155" spans="50:67" ht="15.95" hidden="1" customHeight="1">
      <c r="AX155" s="32"/>
      <c r="BA155" s="32"/>
      <c r="BB155" s="32"/>
      <c r="BF155" s="32"/>
      <c r="BG155" s="26"/>
      <c r="BO155" s="26"/>
    </row>
    <row r="156" spans="50:67" ht="15.95" hidden="1" customHeight="1">
      <c r="AX156" s="32"/>
      <c r="BA156" s="32"/>
      <c r="BB156" s="32"/>
      <c r="BF156" s="32"/>
      <c r="BG156" s="26"/>
      <c r="BO156" s="26"/>
    </row>
    <row r="157" spans="50:67" ht="15.95" hidden="1" customHeight="1">
      <c r="AX157" s="32"/>
      <c r="BA157" s="32"/>
      <c r="BB157" s="32"/>
      <c r="BF157" s="32"/>
      <c r="BG157" s="26"/>
      <c r="BO157" s="26"/>
    </row>
    <row r="158" spans="50:67" ht="15.95" hidden="1" customHeight="1">
      <c r="AX158" s="32"/>
      <c r="BA158" s="32"/>
      <c r="BB158" s="32"/>
      <c r="BF158" s="32"/>
      <c r="BG158" s="26"/>
      <c r="BO158" s="26"/>
    </row>
    <row r="159" spans="50:67" ht="15.95" hidden="1" customHeight="1">
      <c r="AX159" s="32"/>
      <c r="BA159" s="32"/>
      <c r="BB159" s="32"/>
      <c r="BF159" s="32"/>
      <c r="BG159" s="26"/>
      <c r="BO159" s="26"/>
    </row>
    <row r="160" spans="50:67" ht="15.95" hidden="1" customHeight="1">
      <c r="AX160" s="32"/>
      <c r="BA160" s="32"/>
      <c r="BB160" s="32"/>
      <c r="BF160" s="32"/>
      <c r="BG160" s="26"/>
      <c r="BO160" s="26"/>
    </row>
    <row r="161" spans="50:67" ht="15.95" hidden="1" customHeight="1">
      <c r="AX161" s="32"/>
      <c r="BA161" s="32"/>
      <c r="BB161" s="32"/>
      <c r="BF161" s="32"/>
      <c r="BG161" s="26"/>
      <c r="BO161" s="26"/>
    </row>
    <row r="162" spans="50:67" ht="15.95" hidden="1" customHeight="1">
      <c r="AX162" s="32"/>
      <c r="BA162" s="32"/>
      <c r="BB162" s="32"/>
      <c r="BF162" s="32"/>
      <c r="BG162" s="26"/>
      <c r="BO162" s="26"/>
    </row>
    <row r="163" spans="50:67" ht="15.95" hidden="1" customHeight="1">
      <c r="AX163" s="32"/>
      <c r="BA163" s="32"/>
      <c r="BB163" s="32"/>
      <c r="BF163" s="32"/>
      <c r="BG163" s="26"/>
      <c r="BO163" s="26"/>
    </row>
    <row r="164" spans="50:67" ht="15.95" hidden="1" customHeight="1">
      <c r="AX164" s="32"/>
      <c r="BA164" s="32"/>
      <c r="BB164" s="32"/>
      <c r="BF164" s="32"/>
      <c r="BG164" s="26"/>
      <c r="BO164" s="26"/>
    </row>
    <row r="165" spans="50:67" ht="15.95" hidden="1" customHeight="1">
      <c r="AX165" s="32"/>
      <c r="BA165" s="32"/>
      <c r="BB165" s="32"/>
      <c r="BF165" s="32"/>
      <c r="BG165" s="26"/>
      <c r="BO165" s="26"/>
    </row>
    <row r="166" spans="50:67" ht="15.95" hidden="1" customHeight="1">
      <c r="AX166" s="32"/>
      <c r="BA166" s="32"/>
      <c r="BB166" s="32"/>
      <c r="BF166" s="32"/>
      <c r="BG166" s="26"/>
      <c r="BO166" s="26"/>
    </row>
    <row r="167" spans="50:67" ht="15.95" hidden="1" customHeight="1">
      <c r="AX167" s="32"/>
      <c r="BA167" s="32"/>
      <c r="BB167" s="32"/>
      <c r="BF167" s="32"/>
      <c r="BG167" s="26"/>
      <c r="BO167" s="26"/>
    </row>
    <row r="168" spans="50:67" ht="15.95" hidden="1" customHeight="1">
      <c r="AX168" s="32"/>
      <c r="BA168" s="32"/>
      <c r="BB168" s="32"/>
      <c r="BF168" s="32"/>
      <c r="BG168" s="26"/>
      <c r="BO168" s="26"/>
    </row>
    <row r="169" spans="50:67" ht="15.95" hidden="1" customHeight="1">
      <c r="AX169" s="32"/>
      <c r="BA169" s="32"/>
      <c r="BB169" s="32"/>
      <c r="BF169" s="32"/>
      <c r="BG169" s="26"/>
      <c r="BO169" s="26"/>
    </row>
    <row r="170" spans="50:67" ht="15.95" hidden="1" customHeight="1">
      <c r="AX170" s="32"/>
      <c r="BA170" s="32"/>
      <c r="BB170" s="32"/>
      <c r="BF170" s="32"/>
      <c r="BG170" s="26"/>
      <c r="BO170" s="26"/>
    </row>
    <row r="171" spans="50:67" ht="15.95" hidden="1" customHeight="1">
      <c r="AX171" s="32"/>
      <c r="BA171" s="32"/>
      <c r="BB171" s="32"/>
      <c r="BF171" s="32"/>
      <c r="BG171" s="26"/>
      <c r="BO171" s="26"/>
    </row>
    <row r="172" spans="50:67" ht="15.95" hidden="1" customHeight="1">
      <c r="AX172" s="32"/>
      <c r="BA172" s="32"/>
      <c r="BB172" s="32"/>
      <c r="BF172" s="32"/>
      <c r="BG172" s="26"/>
      <c r="BO172" s="26"/>
    </row>
    <row r="173" spans="50:67" ht="15.95" hidden="1" customHeight="1">
      <c r="AX173" s="32"/>
      <c r="BA173" s="32"/>
      <c r="BB173" s="32"/>
      <c r="BF173" s="32"/>
      <c r="BG173" s="26"/>
      <c r="BO173" s="26"/>
    </row>
    <row r="174" spans="50:67" ht="15.95" hidden="1" customHeight="1">
      <c r="AX174" s="32"/>
      <c r="BA174" s="32"/>
      <c r="BB174" s="32"/>
      <c r="BF174" s="32"/>
      <c r="BG174" s="26"/>
      <c r="BO174" s="26"/>
    </row>
    <row r="175" spans="50:67" ht="15.95" hidden="1" customHeight="1">
      <c r="AX175" s="32"/>
      <c r="BA175" s="32"/>
      <c r="BB175" s="32"/>
      <c r="BF175" s="32"/>
      <c r="BG175" s="26"/>
      <c r="BO175" s="26"/>
    </row>
    <row r="176" spans="50:67" ht="15.95" hidden="1" customHeight="1">
      <c r="AX176" s="32"/>
      <c r="BA176" s="32"/>
      <c r="BB176" s="32"/>
      <c r="BF176" s="32"/>
      <c r="BG176" s="26"/>
      <c r="BO176" s="26"/>
    </row>
    <row r="177" spans="50:67" ht="15.95" hidden="1" customHeight="1">
      <c r="AX177" s="32"/>
      <c r="BA177" s="32"/>
      <c r="BB177" s="32"/>
      <c r="BF177" s="32"/>
      <c r="BG177" s="26"/>
      <c r="BO177" s="26"/>
    </row>
    <row r="178" spans="50:67" ht="15.95" hidden="1" customHeight="1">
      <c r="AX178" s="32"/>
      <c r="BA178" s="32"/>
      <c r="BB178" s="32"/>
      <c r="BF178" s="32"/>
      <c r="BG178" s="26"/>
      <c r="BO178" s="26"/>
    </row>
    <row r="179" spans="50:67" ht="15.95" hidden="1" customHeight="1">
      <c r="AX179" s="32"/>
      <c r="BA179" s="32"/>
      <c r="BB179" s="32"/>
      <c r="BF179" s="32"/>
      <c r="BG179" s="26"/>
      <c r="BO179" s="26"/>
    </row>
    <row r="180" spans="50:67" ht="15.95" hidden="1" customHeight="1">
      <c r="AX180" s="32"/>
      <c r="BA180" s="32"/>
      <c r="BB180" s="32"/>
      <c r="BF180" s="32"/>
      <c r="BG180" s="26"/>
      <c r="BO180" s="26"/>
    </row>
    <row r="181" spans="50:67" ht="15.95" hidden="1" customHeight="1">
      <c r="AX181" s="32"/>
      <c r="BA181" s="32"/>
      <c r="BB181" s="32"/>
      <c r="BF181" s="32"/>
      <c r="BG181" s="26"/>
      <c r="BO181" s="26"/>
    </row>
    <row r="182" spans="50:67" ht="15.95" hidden="1" customHeight="1">
      <c r="AX182" s="32"/>
      <c r="BA182" s="32"/>
      <c r="BB182" s="32"/>
      <c r="BF182" s="32"/>
      <c r="BG182" s="26"/>
      <c r="BO182" s="26"/>
    </row>
    <row r="183" spans="50:67" ht="15.95" hidden="1" customHeight="1">
      <c r="AX183" s="32"/>
      <c r="BA183" s="32"/>
      <c r="BB183" s="32"/>
      <c r="BF183" s="32"/>
      <c r="BG183" s="26"/>
      <c r="BO183" s="26"/>
    </row>
    <row r="184" spans="50:67" ht="15.95" hidden="1" customHeight="1">
      <c r="AX184" s="32"/>
      <c r="BA184" s="32"/>
      <c r="BB184" s="32"/>
      <c r="BF184" s="32"/>
      <c r="BG184" s="26"/>
      <c r="BO184" s="26"/>
    </row>
    <row r="185" spans="50:67" ht="15.95" hidden="1" customHeight="1">
      <c r="AX185" s="32"/>
      <c r="BA185" s="32"/>
      <c r="BB185" s="32"/>
      <c r="BF185" s="32"/>
      <c r="BG185" s="26"/>
      <c r="BO185" s="26"/>
    </row>
    <row r="186" spans="50:67" ht="15.95" hidden="1" customHeight="1">
      <c r="AX186" s="32"/>
      <c r="BA186" s="32"/>
      <c r="BB186" s="32"/>
      <c r="BF186" s="32"/>
      <c r="BG186" s="26"/>
      <c r="BO186" s="26"/>
    </row>
    <row r="187" spans="50:67" ht="15.95" hidden="1" customHeight="1">
      <c r="AX187" s="32"/>
      <c r="BA187" s="32"/>
      <c r="BB187" s="32"/>
      <c r="BF187" s="32"/>
      <c r="BG187" s="26"/>
      <c r="BO187" s="26"/>
    </row>
    <row r="188" spans="50:67" ht="15.95" hidden="1" customHeight="1">
      <c r="AX188" s="32"/>
      <c r="BA188" s="32"/>
      <c r="BB188" s="32"/>
      <c r="BF188" s="32"/>
      <c r="BG188" s="26"/>
      <c r="BO188" s="26"/>
    </row>
    <row r="189" spans="50:67" ht="15.95" hidden="1" customHeight="1">
      <c r="AX189" s="32"/>
      <c r="BA189" s="32"/>
      <c r="BB189" s="32"/>
      <c r="BF189" s="32"/>
      <c r="BG189" s="26"/>
      <c r="BO189" s="26"/>
    </row>
    <row r="190" spans="50:67" ht="15.95" hidden="1" customHeight="1">
      <c r="AX190" s="32"/>
      <c r="BA190" s="32"/>
      <c r="BB190" s="32"/>
      <c r="BF190" s="32"/>
      <c r="BG190" s="26"/>
      <c r="BO190" s="26"/>
    </row>
    <row r="191" spans="50:67" ht="15.95" hidden="1" customHeight="1">
      <c r="AX191" s="32"/>
      <c r="BA191" s="32"/>
      <c r="BB191" s="32"/>
      <c r="BF191" s="32"/>
      <c r="BG191" s="26"/>
      <c r="BO191" s="26"/>
    </row>
    <row r="192" spans="50:67" ht="15.95" hidden="1" customHeight="1">
      <c r="AX192" s="32"/>
      <c r="BA192" s="32"/>
      <c r="BB192" s="32"/>
      <c r="BF192" s="32"/>
      <c r="BG192" s="26"/>
      <c r="BO192" s="26"/>
    </row>
    <row r="193" spans="1:67" ht="15.95" hidden="1" customHeight="1">
      <c r="AX193" s="32"/>
      <c r="BA193" s="32"/>
      <c r="BB193" s="32"/>
      <c r="BF193" s="32"/>
      <c r="BG193" s="26"/>
      <c r="BO193" s="26"/>
    </row>
    <row r="194" spans="1:67" ht="15.95" hidden="1" customHeight="1">
      <c r="AX194" s="32"/>
      <c r="BA194" s="32"/>
      <c r="BB194" s="32"/>
      <c r="BF194" s="32"/>
      <c r="BG194" s="26"/>
      <c r="BO194" s="26"/>
    </row>
    <row r="195" spans="1:67" ht="15.95" hidden="1" customHeight="1">
      <c r="AX195" s="32"/>
      <c r="BA195" s="32"/>
      <c r="BB195" s="32"/>
      <c r="BF195" s="32"/>
      <c r="BG195" s="26"/>
      <c r="BO195" s="26"/>
    </row>
    <row r="196" spans="1:67" ht="15.95" hidden="1" customHeight="1">
      <c r="AX196" s="32"/>
      <c r="BA196" s="32"/>
      <c r="BB196" s="32"/>
      <c r="BF196" s="32"/>
      <c r="BG196" s="26"/>
      <c r="BO196" s="26"/>
    </row>
    <row r="197" spans="1:67" ht="15.95" hidden="1" customHeight="1">
      <c r="AX197" s="32"/>
      <c r="BA197" s="32"/>
      <c r="BB197" s="32"/>
      <c r="BF197" s="32"/>
      <c r="BG197" s="26"/>
      <c r="BO197" s="26"/>
    </row>
    <row r="198" spans="1:67" ht="15.95" hidden="1" customHeight="1">
      <c r="AX198" s="32"/>
      <c r="BA198" s="32"/>
      <c r="BB198" s="32"/>
      <c r="BF198" s="32"/>
      <c r="BG198" s="26"/>
      <c r="BO198" s="26"/>
    </row>
    <row r="199" spans="1:67" ht="15.95" hidden="1" customHeight="1">
      <c r="AX199" s="32"/>
      <c r="BA199" s="32"/>
      <c r="BB199" s="32"/>
      <c r="BF199" s="32"/>
      <c r="BG199" s="26"/>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A200" s="1061">
        <f>SUM(BA18:BA37)</f>
        <v>0</v>
      </c>
      <c r="BB200" s="1061">
        <f>SUM(BB18:BB37)</f>
        <v>0</v>
      </c>
      <c r="BF200" s="1062">
        <f>SUM(BF18:BF37)</f>
        <v>0</v>
      </c>
      <c r="BG200" s="1062">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A201" s="1061"/>
      <c r="BB201" s="1061"/>
      <c r="BF201" s="1063"/>
      <c r="BG201" s="1063"/>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G5WsX0Rk/dagb/yqfBALF71M7xur7ZMg87gu5L2eIEwKWu8dclLtRdmPkyzSBSG4IyjFLP2NX5uEAKDK9Myz3A==" saltValue="T8h9DdIrSIGkvz2xMaOiYQ==" spinCount="100000" sheet="1" objects="1" scenarios="1" selectLockedCells="1"/>
  <mergeCells count="542">
    <mergeCell ref="W18:Z19"/>
    <mergeCell ref="W20:Z21"/>
    <mergeCell ref="W22:Z23"/>
    <mergeCell ref="W24:Z25"/>
    <mergeCell ref="W26:Z27"/>
    <mergeCell ref="W28:Z29"/>
    <mergeCell ref="W30:Z31"/>
    <mergeCell ref="W32:Z33"/>
    <mergeCell ref="AH30:AI31"/>
    <mergeCell ref="AA20:AD21"/>
    <mergeCell ref="AO32:AQ33"/>
    <mergeCell ref="AR32:AU33"/>
    <mergeCell ref="AL30:AN31"/>
    <mergeCell ref="AO30:AQ31"/>
    <mergeCell ref="AE16:AG17"/>
    <mergeCell ref="AE18:AG19"/>
    <mergeCell ref="AE20:AG21"/>
    <mergeCell ref="AE22:AG23"/>
    <mergeCell ref="AA18:AD19"/>
    <mergeCell ref="BF200:BF201"/>
    <mergeCell ref="BA200:BA201"/>
    <mergeCell ref="BB200:BB201"/>
    <mergeCell ref="BG200:BG201"/>
    <mergeCell ref="B20:B21"/>
    <mergeCell ref="B38:B39"/>
    <mergeCell ref="B36:B37"/>
    <mergeCell ref="BJ32:BJ33"/>
    <mergeCell ref="AR34:AU35"/>
    <mergeCell ref="AX34:AX35"/>
    <mergeCell ref="AA34:AD35"/>
    <mergeCell ref="O34:P35"/>
    <mergeCell ref="M34:N35"/>
    <mergeCell ref="AH34:AI35"/>
    <mergeCell ref="AJ34:AK35"/>
    <mergeCell ref="AL34:AN35"/>
    <mergeCell ref="AO34:AQ35"/>
    <mergeCell ref="AX36:AX37"/>
    <mergeCell ref="AJ36:AK37"/>
    <mergeCell ref="O200:AI201"/>
    <mergeCell ref="B46:B47"/>
    <mergeCell ref="B44:B45"/>
    <mergeCell ref="B42:B43"/>
    <mergeCell ref="B40:B41"/>
    <mergeCell ref="B28:B29"/>
    <mergeCell ref="B26:B27"/>
    <mergeCell ref="B24:B25"/>
    <mergeCell ref="B22:B23"/>
    <mergeCell ref="AA30:AD31"/>
    <mergeCell ref="O30:P31"/>
    <mergeCell ref="W36:Z37"/>
    <mergeCell ref="W34:Z35"/>
    <mergeCell ref="B34:B35"/>
    <mergeCell ref="B32:B33"/>
    <mergeCell ref="B30:B31"/>
    <mergeCell ref="C28:L29"/>
    <mergeCell ref="O22:P23"/>
    <mergeCell ref="C34:L35"/>
    <mergeCell ref="C36:L37"/>
    <mergeCell ref="AA28:AD29"/>
    <mergeCell ref="AA26:AD27"/>
    <mergeCell ref="T26:V27"/>
    <mergeCell ref="T28:V29"/>
    <mergeCell ref="T30:V31"/>
    <mergeCell ref="T32:V33"/>
    <mergeCell ref="M26:N27"/>
    <mergeCell ref="O28:P29"/>
    <mergeCell ref="O26:P27"/>
    <mergeCell ref="AH36:AI37"/>
    <mergeCell ref="Q24:S25"/>
    <mergeCell ref="Q26:S27"/>
    <mergeCell ref="Q28:S29"/>
    <mergeCell ref="M30:N31"/>
    <mergeCell ref="AE30:AG31"/>
    <mergeCell ref="AE32:AG33"/>
    <mergeCell ref="AE34:AG35"/>
    <mergeCell ref="AE36:AG37"/>
    <mergeCell ref="M36:N37"/>
    <mergeCell ref="T36:V37"/>
    <mergeCell ref="M32:N33"/>
    <mergeCell ref="Q36:S37"/>
    <mergeCell ref="AA36:AD37"/>
    <mergeCell ref="O36:P37"/>
    <mergeCell ref="O32:P33"/>
    <mergeCell ref="AH28:AI29"/>
    <mergeCell ref="M28:N29"/>
    <mergeCell ref="AE24:AG25"/>
    <mergeCell ref="AE26:AG27"/>
    <mergeCell ref="AE28:AG29"/>
    <mergeCell ref="Q30:S31"/>
    <mergeCell ref="Q32:S33"/>
    <mergeCell ref="AA32:AD33"/>
    <mergeCell ref="B18:B19"/>
    <mergeCell ref="AO16:AQ17"/>
    <mergeCell ref="AO18:AQ19"/>
    <mergeCell ref="X14:AA14"/>
    <mergeCell ref="AB14:AE14"/>
    <mergeCell ref="AH18:AI19"/>
    <mergeCell ref="AJ18:AK19"/>
    <mergeCell ref="AL18:AN19"/>
    <mergeCell ref="AH26:AI27"/>
    <mergeCell ref="AJ26:AK27"/>
    <mergeCell ref="AL26:AN27"/>
    <mergeCell ref="AA24:AD25"/>
    <mergeCell ref="O24:P25"/>
    <mergeCell ref="T14:W14"/>
    <mergeCell ref="AH24:AI25"/>
    <mergeCell ref="AJ24:AK25"/>
    <mergeCell ref="AL24:AN25"/>
    <mergeCell ref="AO24:AQ25"/>
    <mergeCell ref="AO26:AQ27"/>
    <mergeCell ref="O18:P19"/>
    <mergeCell ref="C20:L21"/>
    <mergeCell ref="C22:L23"/>
    <mergeCell ref="C24:L25"/>
    <mergeCell ref="C26:L27"/>
    <mergeCell ref="AS7:AW7"/>
    <mergeCell ref="AS8:AW8"/>
    <mergeCell ref="AR16:AU17"/>
    <mergeCell ref="AM13:AU14"/>
    <mergeCell ref="F1:I3"/>
    <mergeCell ref="J1:M3"/>
    <mergeCell ref="AL1:AO3"/>
    <mergeCell ref="J9:M11"/>
    <mergeCell ref="N9:Q11"/>
    <mergeCell ref="R9:U11"/>
    <mergeCell ref="V9:Y11"/>
    <mergeCell ref="AH9:AK11"/>
    <mergeCell ref="AL9:AO11"/>
    <mergeCell ref="Z9:AC11"/>
    <mergeCell ref="AD9:AG11"/>
    <mergeCell ref="N1:T3"/>
    <mergeCell ref="U1:AK3"/>
    <mergeCell ref="AT1:AW3"/>
    <mergeCell ref="AL16:AN17"/>
    <mergeCell ref="W16:Z17"/>
    <mergeCell ref="AY16:AY17"/>
    <mergeCell ref="BK16:BK17"/>
    <mergeCell ref="BK18:BK19"/>
    <mergeCell ref="BK20:BK21"/>
    <mergeCell ref="BP16:BP17"/>
    <mergeCell ref="A4:E6"/>
    <mergeCell ref="A7:E8"/>
    <mergeCell ref="AP1:AS3"/>
    <mergeCell ref="BY16:BY17"/>
    <mergeCell ref="AH17:AI17"/>
    <mergeCell ref="AJ17:AK17"/>
    <mergeCell ref="Q16:S17"/>
    <mergeCell ref="AA16:AD17"/>
    <mergeCell ref="AH16:AK16"/>
    <mergeCell ref="T12:W13"/>
    <mergeCell ref="X12:AA13"/>
    <mergeCell ref="AB12:AE13"/>
    <mergeCell ref="BR16:BR17"/>
    <mergeCell ref="AX16:AX17"/>
    <mergeCell ref="BC16:BC17"/>
    <mergeCell ref="BA16:BA17"/>
    <mergeCell ref="BB16:BB17"/>
    <mergeCell ref="BJ16:BJ17"/>
    <mergeCell ref="AS5:AW6"/>
    <mergeCell ref="BK22:BK23"/>
    <mergeCell ref="AH20:AI21"/>
    <mergeCell ref="AJ20:AK21"/>
    <mergeCell ref="AL20:AN21"/>
    <mergeCell ref="AO20:AQ21"/>
    <mergeCell ref="BJ22:BJ23"/>
    <mergeCell ref="AX20:AX21"/>
    <mergeCell ref="BV16:BV17"/>
    <mergeCell ref="BU20:BU21"/>
    <mergeCell ref="BU18:BU19"/>
    <mergeCell ref="AX18:AX19"/>
    <mergeCell ref="BG16:BG17"/>
    <mergeCell ref="BA18:BA19"/>
    <mergeCell ref="BB18:BB19"/>
    <mergeCell ref="BU16:BU17"/>
    <mergeCell ref="BB20:BB21"/>
    <mergeCell ref="BN16:BN17"/>
    <mergeCell ref="BO16:BO17"/>
    <mergeCell ref="BF18:BF19"/>
    <mergeCell ref="BJ20:BJ21"/>
    <mergeCell ref="BC20:BC21"/>
    <mergeCell ref="BJ18:BJ19"/>
    <mergeCell ref="BC18:BC19"/>
    <mergeCell ref="AR20:AU21"/>
    <mergeCell ref="BS24:BS25"/>
    <mergeCell ref="BW24:BW25"/>
    <mergeCell ref="BY24:BY25"/>
    <mergeCell ref="BU24:BU25"/>
    <mergeCell ref="BF22:BF23"/>
    <mergeCell ref="BR22:BR23"/>
    <mergeCell ref="AO22:AQ23"/>
    <mergeCell ref="AR22:AU23"/>
    <mergeCell ref="BN22:BN23"/>
    <mergeCell ref="BO22:BO23"/>
    <mergeCell ref="AX22:AX23"/>
    <mergeCell ref="BC24:BC25"/>
    <mergeCell ref="BG24:BG25"/>
    <mergeCell ref="BT22:BT23"/>
    <mergeCell ref="BT24:BT25"/>
    <mergeCell ref="BO24:BO25"/>
    <mergeCell ref="AX24:AX25"/>
    <mergeCell ref="BJ24:BJ25"/>
    <mergeCell ref="BY22:BY23"/>
    <mergeCell ref="BW22:BW23"/>
    <mergeCell ref="BU22:BU23"/>
    <mergeCell ref="BC22:BC23"/>
    <mergeCell ref="BG22:BG23"/>
    <mergeCell ref="BV22:BV23"/>
    <mergeCell ref="BL28:BL29"/>
    <mergeCell ref="BM28:BM29"/>
    <mergeCell ref="AX26:AX27"/>
    <mergeCell ref="BA24:BA25"/>
    <mergeCell ref="BA26:BA27"/>
    <mergeCell ref="BR26:BR27"/>
    <mergeCell ref="BC26:BC27"/>
    <mergeCell ref="BJ26:BJ27"/>
    <mergeCell ref="BB24:BB25"/>
    <mergeCell ref="BB26:BB27"/>
    <mergeCell ref="AY24:AY25"/>
    <mergeCell ref="AZ24:AZ25"/>
    <mergeCell ref="BD24:BD25"/>
    <mergeCell ref="BE24:BE25"/>
    <mergeCell ref="BH24:BH25"/>
    <mergeCell ref="BI24:BI25"/>
    <mergeCell ref="BL24:BL25"/>
    <mergeCell ref="BM24:BM25"/>
    <mergeCell ref="BQ24:BQ25"/>
    <mergeCell ref="BY36:BY37"/>
    <mergeCell ref="BY34:BY35"/>
    <mergeCell ref="BW32:BW33"/>
    <mergeCell ref="BU32:BU33"/>
    <mergeCell ref="BY32:BY33"/>
    <mergeCell ref="BT30:BT31"/>
    <mergeCell ref="BT32:BT33"/>
    <mergeCell ref="BV36:BV37"/>
    <mergeCell ref="BJ34:BJ35"/>
    <mergeCell ref="BJ30:BJ31"/>
    <mergeCell ref="BW30:BW31"/>
    <mergeCell ref="BU30:BU31"/>
    <mergeCell ref="BQ32:BQ33"/>
    <mergeCell ref="BS36:BS37"/>
    <mergeCell ref="BT36:BT37"/>
    <mergeCell ref="BN34:BN35"/>
    <mergeCell ref="BO34:BO35"/>
    <mergeCell ref="BO36:BO37"/>
    <mergeCell ref="BK34:BK35"/>
    <mergeCell ref="BK36:BK37"/>
    <mergeCell ref="BP34:BP35"/>
    <mergeCell ref="BP36:BP37"/>
    <mergeCell ref="BL34:BL35"/>
    <mergeCell ref="BM34:BM35"/>
    <mergeCell ref="BY26:BY27"/>
    <mergeCell ref="BW26:BW27"/>
    <mergeCell ref="BU26:BU27"/>
    <mergeCell ref="BW28:BW29"/>
    <mergeCell ref="BU28:BU29"/>
    <mergeCell ref="BY28:BY29"/>
    <mergeCell ref="BC28:BC29"/>
    <mergeCell ref="BG28:BG29"/>
    <mergeCell ref="BG26:BG27"/>
    <mergeCell ref="BF26:BF27"/>
    <mergeCell ref="BT26:BT27"/>
    <mergeCell ref="BT28:BT29"/>
    <mergeCell ref="BQ28:BQ29"/>
    <mergeCell ref="BS28:BS29"/>
    <mergeCell ref="BN28:BN29"/>
    <mergeCell ref="BO28:BO29"/>
    <mergeCell ref="BJ28:BJ29"/>
    <mergeCell ref="BF28:BF29"/>
    <mergeCell ref="BN26:BN27"/>
    <mergeCell ref="BO26:BO27"/>
    <mergeCell ref="BD28:BD29"/>
    <mergeCell ref="BE28:BE29"/>
    <mergeCell ref="BH28:BH29"/>
    <mergeCell ref="BI28:BI29"/>
    <mergeCell ref="BQ34:BQ35"/>
    <mergeCell ref="BS34:BS35"/>
    <mergeCell ref="BR36:BR37"/>
    <mergeCell ref="BN36:BN37"/>
    <mergeCell ref="BW34:BW35"/>
    <mergeCell ref="BU34:BU35"/>
    <mergeCell ref="AR18:AU19"/>
    <mergeCell ref="BN18:BN19"/>
    <mergeCell ref="BO18:BO19"/>
    <mergeCell ref="BA20:BA21"/>
    <mergeCell ref="BA22:BA23"/>
    <mergeCell ref="AR24:AU25"/>
    <mergeCell ref="BN24:BN25"/>
    <mergeCell ref="BT34:BT35"/>
    <mergeCell ref="AR30:AU31"/>
    <mergeCell ref="AX32:AX33"/>
    <mergeCell ref="BR28:BR29"/>
    <mergeCell ref="BV28:BV29"/>
    <mergeCell ref="BG34:BG35"/>
    <mergeCell ref="BV34:BV35"/>
    <mergeCell ref="BF34:BF35"/>
    <mergeCell ref="BR34:BR35"/>
    <mergeCell ref="BC30:BC31"/>
    <mergeCell ref="BG30:BG31"/>
    <mergeCell ref="BV30:BV31"/>
    <mergeCell ref="BN30:BN31"/>
    <mergeCell ref="M22:N23"/>
    <mergeCell ref="C16:L17"/>
    <mergeCell ref="T18:V19"/>
    <mergeCell ref="T22:V23"/>
    <mergeCell ref="T24:V25"/>
    <mergeCell ref="C18:L19"/>
    <mergeCell ref="M24:N25"/>
    <mergeCell ref="AJ28:AK29"/>
    <mergeCell ref="AL28:AN29"/>
    <mergeCell ref="AO28:AQ29"/>
    <mergeCell ref="AY18:AY19"/>
    <mergeCell ref="AZ18:AZ19"/>
    <mergeCell ref="BD18:BD19"/>
    <mergeCell ref="BE18:BE19"/>
    <mergeCell ref="BH18:BH19"/>
    <mergeCell ref="BI18:BI19"/>
    <mergeCell ref="BL18:BL19"/>
    <mergeCell ref="BM18:BM19"/>
    <mergeCell ref="BE20:BE21"/>
    <mergeCell ref="BH20:BH21"/>
    <mergeCell ref="BI20:BI21"/>
    <mergeCell ref="BB30:BB31"/>
    <mergeCell ref="O20:P21"/>
    <mergeCell ref="O16:P17"/>
    <mergeCell ref="C30:L31"/>
    <mergeCell ref="C32:L33"/>
    <mergeCell ref="M16:N17"/>
    <mergeCell ref="M18:N19"/>
    <mergeCell ref="M20:N21"/>
    <mergeCell ref="T16:V17"/>
    <mergeCell ref="BR30:BR31"/>
    <mergeCell ref="BA30:BA31"/>
    <mergeCell ref="BB32:BB33"/>
    <mergeCell ref="BO32:BO33"/>
    <mergeCell ref="AR28:AU29"/>
    <mergeCell ref="AX28:AX29"/>
    <mergeCell ref="BA28:BA29"/>
    <mergeCell ref="BB28:BB29"/>
    <mergeCell ref="BA32:BA33"/>
    <mergeCell ref="BC32:BC33"/>
    <mergeCell ref="BN32:BN33"/>
    <mergeCell ref="BL32:BL33"/>
    <mergeCell ref="BM32:BM33"/>
    <mergeCell ref="BF30:BF31"/>
    <mergeCell ref="AR26:AU27"/>
    <mergeCell ref="AY28:AY29"/>
    <mergeCell ref="AY34:AY35"/>
    <mergeCell ref="AZ34:AZ35"/>
    <mergeCell ref="BD34:BD35"/>
    <mergeCell ref="BE34:BE35"/>
    <mergeCell ref="BH34:BH35"/>
    <mergeCell ref="BI34:BI35"/>
    <mergeCell ref="T34:V35"/>
    <mergeCell ref="Q18:S19"/>
    <mergeCell ref="Q34:S35"/>
    <mergeCell ref="Q20:S21"/>
    <mergeCell ref="Q22:S23"/>
    <mergeCell ref="T20:V21"/>
    <mergeCell ref="AZ28:AZ29"/>
    <mergeCell ref="AA22:AD23"/>
    <mergeCell ref="AH22:AI23"/>
    <mergeCell ref="AJ22:AK23"/>
    <mergeCell ref="AL22:AN23"/>
    <mergeCell ref="BG20:BG21"/>
    <mergeCell ref="BF20:BF21"/>
    <mergeCell ref="BG18:BG19"/>
    <mergeCell ref="AJ30:AK31"/>
    <mergeCell ref="AH32:AI33"/>
    <mergeCell ref="AJ32:AK33"/>
    <mergeCell ref="AL32:AN33"/>
    <mergeCell ref="AL36:AN37"/>
    <mergeCell ref="AO36:AQ37"/>
    <mergeCell ref="AR36:AU37"/>
    <mergeCell ref="BA34:BA35"/>
    <mergeCell ref="BB34:BB35"/>
    <mergeCell ref="BC34:BC35"/>
    <mergeCell ref="AX30:AX31"/>
    <mergeCell ref="BP24:BP25"/>
    <mergeCell ref="BP26:BP27"/>
    <mergeCell ref="BP28:BP29"/>
    <mergeCell ref="BP30:BP31"/>
    <mergeCell ref="BP32:BP33"/>
    <mergeCell ref="BE32:BE33"/>
    <mergeCell ref="BH32:BH33"/>
    <mergeCell ref="BI32:BI33"/>
    <mergeCell ref="BK24:BK25"/>
    <mergeCell ref="BK26:BK27"/>
    <mergeCell ref="BA36:BA37"/>
    <mergeCell ref="BJ36:BJ37"/>
    <mergeCell ref="BC36:BC37"/>
    <mergeCell ref="BG36:BG37"/>
    <mergeCell ref="BB36:BB37"/>
    <mergeCell ref="BF36:BF37"/>
    <mergeCell ref="BF32:BF33"/>
    <mergeCell ref="CC16:CC17"/>
    <mergeCell ref="BZ18:BZ19"/>
    <mergeCell ref="CA18:CA19"/>
    <mergeCell ref="CB18:CB19"/>
    <mergeCell ref="CC18:CC19"/>
    <mergeCell ref="BH16:BH17"/>
    <mergeCell ref="BI16:BI17"/>
    <mergeCell ref="AZ16:AZ17"/>
    <mergeCell ref="BD16:BD17"/>
    <mergeCell ref="BE16:BF16"/>
    <mergeCell ref="BL16:BL17"/>
    <mergeCell ref="BM16:BM17"/>
    <mergeCell ref="BQ16:BQ17"/>
    <mergeCell ref="BS16:BS17"/>
    <mergeCell ref="BX16:BX17"/>
    <mergeCell ref="BS18:BS19"/>
    <mergeCell ref="BX18:BX19"/>
    <mergeCell ref="BP18:BP19"/>
    <mergeCell ref="BT16:BT17"/>
    <mergeCell ref="BT18:BT19"/>
    <mergeCell ref="BY18:BY19"/>
    <mergeCell ref="BW16:BW17"/>
    <mergeCell ref="BW18:BW19"/>
    <mergeCell ref="BZ16:BZ17"/>
    <mergeCell ref="CA16:CA17"/>
    <mergeCell ref="CB16:CB17"/>
    <mergeCell ref="BW20:BW21"/>
    <mergeCell ref="BT20:BT21"/>
    <mergeCell ref="BN20:BN21"/>
    <mergeCell ref="BO20:BO21"/>
    <mergeCell ref="BS20:BS21"/>
    <mergeCell ref="BX20:BX21"/>
    <mergeCell ref="BZ20:BZ21"/>
    <mergeCell ref="CA20:CA21"/>
    <mergeCell ref="CB20:CB21"/>
    <mergeCell ref="BQ18:BQ19"/>
    <mergeCell ref="BP20:BP21"/>
    <mergeCell ref="BY20:BY21"/>
    <mergeCell ref="BV18:BV19"/>
    <mergeCell ref="BR20:BR21"/>
    <mergeCell ref="BV20:BV21"/>
    <mergeCell ref="BR18:BR19"/>
    <mergeCell ref="CC20:CC21"/>
    <mergeCell ref="AY22:AY23"/>
    <mergeCell ref="AZ22:AZ23"/>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AY20:AY21"/>
    <mergeCell ref="AZ20:AZ21"/>
    <mergeCell ref="BD20:BD21"/>
    <mergeCell ref="BQ20:BQ21"/>
    <mergeCell ref="BP22:BP23"/>
    <mergeCell ref="BB22:BB23"/>
    <mergeCell ref="BL20:BL21"/>
    <mergeCell ref="BM20:BM21"/>
    <mergeCell ref="BX24:BX25"/>
    <mergeCell ref="BZ24:BZ25"/>
    <mergeCell ref="CA24:CA25"/>
    <mergeCell ref="CB24:CB25"/>
    <mergeCell ref="CC24:CC25"/>
    <mergeCell ref="AY26:AY27"/>
    <mergeCell ref="AZ26:AZ27"/>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V26:BV27"/>
    <mergeCell ref="BF24:BF25"/>
    <mergeCell ref="BR24:BR25"/>
    <mergeCell ref="BV24:BV25"/>
    <mergeCell ref="CB28:CB29"/>
    <mergeCell ref="CC28:CC29"/>
    <mergeCell ref="AY30:AY31"/>
    <mergeCell ref="AZ30:AZ31"/>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X28:BX29"/>
    <mergeCell ref="BZ28:BZ29"/>
    <mergeCell ref="CA28:CA29"/>
    <mergeCell ref="BK28:BK29"/>
    <mergeCell ref="BK30:BK31"/>
    <mergeCell ref="BY30:BY31"/>
    <mergeCell ref="BO30:BO31"/>
    <mergeCell ref="BR32:BR33"/>
    <mergeCell ref="BV32:BV33"/>
    <mergeCell ref="BG32:BG33"/>
    <mergeCell ref="BS32:BS33"/>
    <mergeCell ref="BX32:BX33"/>
    <mergeCell ref="BZ32:BZ33"/>
    <mergeCell ref="CA32:CA33"/>
    <mergeCell ref="CB32:CB33"/>
    <mergeCell ref="CC32:CC33"/>
    <mergeCell ref="BK32:BK33"/>
    <mergeCell ref="BX34:BX35"/>
    <mergeCell ref="BZ34:BZ35"/>
    <mergeCell ref="CA34:CA35"/>
    <mergeCell ref="CB34:CB35"/>
    <mergeCell ref="CC34:CC35"/>
    <mergeCell ref="AY32:AY33"/>
    <mergeCell ref="AZ32:AZ33"/>
    <mergeCell ref="BD32:BD33"/>
    <mergeCell ref="BX36:BX37"/>
    <mergeCell ref="BZ36:BZ37"/>
    <mergeCell ref="CA36:CA37"/>
    <mergeCell ref="CB36:CB37"/>
    <mergeCell ref="CC36:CC37"/>
    <mergeCell ref="AY36:AY37"/>
    <mergeCell ref="AZ36:AZ37"/>
    <mergeCell ref="BD36:BD37"/>
    <mergeCell ref="BE36:BE37"/>
    <mergeCell ref="BH36:BH37"/>
    <mergeCell ref="BI36:BI37"/>
    <mergeCell ref="BL36:BL37"/>
    <mergeCell ref="BM36:BM37"/>
    <mergeCell ref="BQ36:BQ37"/>
    <mergeCell ref="BW36:BW37"/>
    <mergeCell ref="BU36:BU37"/>
  </mergeCells>
  <conditionalFormatting sqref="O18:V37 AA18:AK37">
    <cfRule type="expression" dxfId="89" priority="813">
      <formula>AND(ISBLANK($C18)=FALSE,OR(ISBLANK(O18)=TRUE,O18=""))</formula>
    </cfRule>
  </conditionalFormatting>
  <conditionalFormatting sqref="AR18:AU37">
    <cfRule type="expression" dxfId="88" priority="1912" stopIfTrue="1">
      <formula>ISNUMBER($AR18)=FALSE</formula>
    </cfRule>
    <cfRule type="expression" dxfId="87" priority="1913">
      <formula>$AR18 &lt;&gt; $BR18</formula>
    </cfRule>
  </conditionalFormatting>
  <conditionalFormatting sqref="AS8:AW8">
    <cfRule type="expression" dxfId="86" priority="12">
      <formula>IF($AS$8=PROJSTATMEASURE,FALSE,TRUE)</formula>
    </cfRule>
  </conditionalFormatting>
  <dataValidations count="9">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6F4D52-58F2-4D86-B9DA-3087ED2F435C}">
      <formula1>0</formula1>
      <formula2>999999999</formula2>
    </dataValidation>
    <dataValidation type="whole" operator="greaterThan" allowBlank="1" showInputMessage="1" showErrorMessage="1" errorTitle="Invalid Entry" error="Value must be a whole number greater than zero." sqref="O18:P37" xr:uid="{DD5835BE-B336-4B0E-958B-2B1FA815D567}">
      <formula1>0</formula1>
    </dataValidation>
    <dataValidation type="list" allowBlank="1" showInputMessage="1" showErrorMessage="1" sqref="BC18:BC37" xr:uid="{CA003099-C941-4354-991D-338094DEFB82}">
      <formula1>ENDUSECAT</formula1>
    </dataValidation>
    <dataValidation type="whole" allowBlank="1" showInputMessage="1" showErrorMessage="1" prompt="Please enter the COMBINED total wattage controlled by all sensors." sqref="Q18:S37" xr:uid="{1563F501-50D5-414A-BCF6-97C19FAB2968}">
      <formula1>0</formula1>
      <formula2>9999999</formula2>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equipment installed. (e.g. Room 201, Garage, Mechanical Room)" sqref="AE18:AG37" xr:uid="{1C6E9D7D-598C-446D-99F3-82DB8EF21A09}"/>
    <dataValidation allowBlank="1" showInputMessage="1" showErrorMessage="1" prompt="Enter the Brand and Model # as it appears in technical documents and invoices." sqref="W18:AD37" xr:uid="{7A5DCCD5-A989-418B-95EE-A6841746081F}"/>
  </dataValidations>
  <hyperlinks>
    <hyperlink ref="B202" r:id="rId1" display="businessrebates@evergy.com" xr:uid="{CC0D921E-EA48-49E6-97A9-A28E8850FC23}"/>
    <hyperlink ref="J1:M3" location="'M01-S02'!J1" tooltip="Instructions" display="'M01-S02'!J1" xr:uid="{65E46C4F-CF79-46A2-80D6-CE59A2E79A0D}"/>
    <hyperlink ref="AP1:AS3" location="'M05-S05'!AL1" tooltip=" " display="'M05-S05'!AL1" xr:uid="{209D0C86-28D5-4998-A9F8-DFD9CB92552A}"/>
    <hyperlink ref="AL1:AO3" location="'M05-S04'!AH1" tooltip=" " display="'M05-S04'!AH1" xr:uid="{65D531C9-55F8-488B-83E6-95A751E146F2}"/>
    <hyperlink ref="AT1:AW3" location="'M01-S03'!AP1" tooltip="Contact" display="'M01-S03'!AP1" xr:uid="{4EDE9BB1-6910-4ADF-9716-24B77F4B2649}"/>
    <hyperlink ref="N9:Q11" location="'M04-S03'!A1" tooltip="Lighting Controls" display="'M04-S03'!A1" xr:uid="{58D6E697-73EC-4896-99DE-7EE16AF1D10F}"/>
    <hyperlink ref="R9:U11" location="'M04-S04'!A1" tooltip="Refrigeration" display="'M04-S04'!A1" xr:uid="{7D777966-BBAB-4CD7-A25F-C54DCFBA3187}"/>
    <hyperlink ref="V9:Y11" location="'M04-S05'!A1" tooltip="HVAC" display="'M04-S05'!A1" xr:uid="{3B5B5B0C-F515-4BF9-93AA-9305FC6493BC}"/>
    <hyperlink ref="AD9:AG11" location="'M04-S06'!A1" tooltip="Compressed Air / Process" display="'M04-S06'!A1" xr:uid="{A172DA42-828A-4348-9745-B97D1DE61F7D}"/>
    <hyperlink ref="AH9:AK11" location="'M04-S07'!A1" tooltip="Water Heating / Cooking" display="'M04-S07'!A1" xr:uid="{9FD0D550-C307-45B6-ACD8-0FE08DCA108B}"/>
    <hyperlink ref="Z9:AC11" location="'M04-S08'!A1" tooltip="Motors and Drives" display="'M04-S08'!A1" xr:uid="{153BBF94-E45B-4130-8DB5-604853CC4675}"/>
    <hyperlink ref="AL9:AO11" location="'M04-S09'!A1" tooltip="Miscellaneous" display="'M04-S09'!A1" xr:uid="{7F9E77FC-7A6D-4E5D-AB4C-A1DE6F01279A}"/>
    <hyperlink ref="J9:M11" location="'M04-S02'!A1" tooltip="Lighting" display="'M04-S02'!A1" xr:uid="{51C5BF23-7739-47A5-97B7-D67962CCCD88}"/>
  </hyperlinks>
  <printOptions horizontalCentered="1"/>
  <pageMargins left="0" right="0" top="0" bottom="0" header="0" footer="0"/>
  <pageSetup scale="43"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Y589"/>
  <sheetViews>
    <sheetView topLeftCell="Y1" zoomScale="85" zoomScaleNormal="85" workbookViewId="0">
      <selection activeCell="AL13" sqref="AL13:AL28"/>
    </sheetView>
  </sheetViews>
  <sheetFormatPr defaultColWidth="4.7109375" defaultRowHeight="15"/>
  <cols>
    <col min="1" max="1" width="39.140625" bestFit="1" customWidth="1"/>
    <col min="2" max="2" width="4.7109375" customWidth="1"/>
    <col min="3" max="3" width="36.85546875" customWidth="1"/>
    <col min="4" max="4" width="53.5703125" customWidth="1"/>
    <col min="5" max="5" width="4.7109375" customWidth="1"/>
    <col min="6" max="6" width="30.28515625" customWidth="1"/>
    <col min="7" max="7" width="38.28515625" bestFit="1" customWidth="1"/>
    <col min="8" max="8" width="37.28515625" bestFit="1" customWidth="1"/>
    <col min="9" max="9" width="5.7109375" customWidth="1"/>
    <col min="10" max="10" width="15.5703125" bestFit="1" customWidth="1"/>
    <col min="11" max="11" width="12.28515625" bestFit="1" customWidth="1"/>
    <col min="12" max="12" width="11.85546875" bestFit="1" customWidth="1"/>
    <col min="13" max="13" width="11.7109375" bestFit="1" customWidth="1"/>
    <col min="14" max="14" width="5.7109375" customWidth="1"/>
    <col min="15" max="15" width="26.42578125" customWidth="1"/>
    <col min="16" max="16" width="22.85546875" customWidth="1"/>
    <col min="17" max="17" width="29.42578125" customWidth="1"/>
    <col min="18" max="18" width="11.28515625" customWidth="1"/>
    <col min="19" max="19" width="17" bestFit="1" customWidth="1"/>
    <col min="20" max="20" width="6" customWidth="1"/>
    <col min="21" max="21" width="11.28515625" bestFit="1" customWidth="1"/>
    <col min="22" max="22" width="22.7109375" bestFit="1" customWidth="1"/>
    <col min="23" max="23" width="14.85546875" bestFit="1" customWidth="1"/>
    <col min="24" max="24" width="9.85546875" bestFit="1" customWidth="1"/>
    <col min="25" max="25" width="18" bestFit="1" customWidth="1"/>
    <col min="26" max="26" width="11.140625" bestFit="1" customWidth="1"/>
    <col min="27" max="27" width="7.5703125" bestFit="1" customWidth="1"/>
    <col min="28" max="28" width="22.7109375" bestFit="1" customWidth="1"/>
    <col min="29" max="29" width="9" bestFit="1" customWidth="1"/>
    <col min="30" max="30" width="41" bestFit="1" customWidth="1"/>
    <col min="31" max="31" width="30.28515625" customWidth="1"/>
    <col min="32" max="32" width="14.5703125" customWidth="1"/>
    <col min="33" max="33" width="19.42578125" bestFit="1" customWidth="1"/>
    <col min="34" max="34" width="19.7109375" bestFit="1" customWidth="1"/>
    <col min="35" max="35" width="20.42578125" bestFit="1" customWidth="1"/>
    <col min="36" max="38" width="28.7109375" customWidth="1"/>
    <col min="39" max="39" width="9" customWidth="1"/>
    <col min="40" max="40" width="7" customWidth="1"/>
    <col min="41" max="41" width="10.42578125" bestFit="1" customWidth="1"/>
    <col min="42" max="43" width="11.140625" bestFit="1" customWidth="1"/>
    <col min="44" max="44" width="9.42578125" bestFit="1" customWidth="1"/>
    <col min="45" max="45" width="10.42578125" bestFit="1" customWidth="1"/>
    <col min="46" max="47" width="12.140625" bestFit="1" customWidth="1"/>
    <col min="48" max="48" width="10.42578125" bestFit="1" customWidth="1"/>
    <col min="49" max="49" width="4.7109375" customWidth="1"/>
    <col min="50" max="50" width="9.140625"/>
    <col min="51" max="51" width="50.28515625" bestFit="1" customWidth="1"/>
    <col min="52" max="52" width="17" bestFit="1" customWidth="1"/>
    <col min="53" max="56" width="11.85546875" bestFit="1" customWidth="1"/>
    <col min="57" max="58" width="11.85546875" customWidth="1"/>
    <col min="59" max="59" width="9.140625"/>
    <col min="60" max="60" width="4.7109375" customWidth="1"/>
    <col min="61" max="61" width="32.7109375" bestFit="1" customWidth="1"/>
    <col min="62" max="62" width="11.85546875" bestFit="1" customWidth="1"/>
    <col min="63" max="63" width="10.5703125" bestFit="1" customWidth="1"/>
    <col min="64" max="64" width="11.28515625" bestFit="1" customWidth="1"/>
    <col min="65" max="65" width="8.28515625" bestFit="1" customWidth="1"/>
    <col min="66" max="66" width="6.28515625" bestFit="1" customWidth="1"/>
    <col min="67" max="67" width="7.28515625" bestFit="1" customWidth="1"/>
    <col min="68" max="68" width="7" bestFit="1" customWidth="1"/>
    <col min="69" max="69" width="9.28515625" bestFit="1" customWidth="1"/>
    <col min="70" max="70" width="8.28515625" bestFit="1" customWidth="1"/>
    <col min="71" max="71" width="42.28515625" customWidth="1"/>
    <col min="72" max="72" width="21.85546875" bestFit="1" customWidth="1"/>
    <col min="73" max="77" width="4.7109375" customWidth="1"/>
  </cols>
  <sheetData>
    <row r="1" spans="1:77">
      <c r="C1" s="288" t="s">
        <v>1804</v>
      </c>
      <c r="D1" s="7" t="s">
        <v>1292</v>
      </c>
    </row>
    <row r="2" spans="1:77">
      <c r="C2" s="288" t="s">
        <v>1805</v>
      </c>
      <c r="D2" s="7" t="str">
        <f>Hotline</f>
        <v>(844)687-0229</v>
      </c>
    </row>
    <row r="3" spans="1:77">
      <c r="C3" s="288" t="s">
        <v>1806</v>
      </c>
      <c r="D3" s="7" t="s">
        <v>3010</v>
      </c>
    </row>
    <row r="4" spans="1:77">
      <c r="C4" s="288" t="s">
        <v>1807</v>
      </c>
      <c r="D4" s="7" t="str">
        <f>""</f>
        <v/>
      </c>
    </row>
    <row r="5" spans="1:77">
      <c r="C5" s="288" t="s">
        <v>1808</v>
      </c>
      <c r="D5" s="7" t="str">
        <f>""</f>
        <v/>
      </c>
    </row>
    <row r="6" spans="1:77">
      <c r="C6" s="288" t="s">
        <v>1809</v>
      </c>
      <c r="D6" s="7" t="s">
        <v>1660</v>
      </c>
    </row>
    <row r="7" spans="1:77">
      <c r="C7" s="288" t="s">
        <v>1811</v>
      </c>
      <c r="D7" s="7" t="str">
        <f>IF(AND(PROJID=0,M02S04F07=""),"",IF(AND(PROJID=0,M02S04F07&lt;&gt;""),M02S04F07,IF(AND(PROJID&lt;&gt;0,M02S04F07&lt;&gt;""),CONCATENATE("Project ",PROJID," - ",M02S04F07),"")))</f>
        <v/>
      </c>
    </row>
    <row r="8" spans="1:77">
      <c r="C8" s="288" t="s">
        <v>1810</v>
      </c>
      <c r="D8" s="7" t="e">
        <f>IF(AND(PROJID_N=0,N02S03F15=""),"",IF(AND(PROJID_N=0,N02S03F15&lt;&gt;""),N02S03F15,IF(AND(PROJID_N&lt;&gt;0,N02S03F15&lt;&gt;""),CONCATENATE("Project ",PROJID_N," - ",N02S03F15),"")))</f>
        <v>#REF!</v>
      </c>
    </row>
    <row r="9" spans="1:77">
      <c r="C9" s="288" t="s">
        <v>1820</v>
      </c>
      <c r="D9" s="7" t="e">
        <f>IF(AND(PROJID_X=0,X02S03F24=""),"",IF(AND(PROJID_X=0,X02S03F24&lt;&gt;""),X02S03F24,IF(AND(PROJID_X&lt;&gt;0,X02S03F24&lt;&gt;""),CONCATENATE("Project ",PROJID_X," - ",X02S03F24),"")))</f>
        <v>#REF!</v>
      </c>
    </row>
    <row r="10" spans="1:77" ht="30.6" customHeight="1">
      <c r="J10" s="600" t="s">
        <v>1708</v>
      </c>
      <c r="K10" s="600"/>
      <c r="L10" s="600"/>
      <c r="M10" s="600"/>
      <c r="U10" s="601" t="s">
        <v>2307</v>
      </c>
      <c r="V10" s="602"/>
      <c r="W10" s="602"/>
      <c r="X10" s="602"/>
      <c r="Y10" s="602"/>
      <c r="Z10" s="602"/>
      <c r="AA10" s="246"/>
      <c r="AB10" t="s">
        <v>701</v>
      </c>
      <c r="AX10" s="37"/>
      <c r="AY10" s="37"/>
      <c r="AZ10" s="37"/>
      <c r="BA10" s="37"/>
      <c r="BB10" s="37"/>
      <c r="BC10" s="37"/>
      <c r="BD10" s="37"/>
      <c r="BE10" s="37"/>
      <c r="BF10" s="37"/>
      <c r="BG10" s="37"/>
    </row>
    <row r="11" spans="1:77" ht="15.6" customHeight="1">
      <c r="A11" t="s">
        <v>832</v>
      </c>
      <c r="C11" t="s">
        <v>293</v>
      </c>
      <c r="D11" t="s">
        <v>587</v>
      </c>
      <c r="F11" t="s">
        <v>621</v>
      </c>
      <c r="G11" t="s">
        <v>287</v>
      </c>
      <c r="H11" t="s">
        <v>138</v>
      </c>
      <c r="J11" t="s">
        <v>2247</v>
      </c>
      <c r="K11" t="s">
        <v>1724</v>
      </c>
      <c r="L11" t="s">
        <v>211</v>
      </c>
      <c r="M11" t="s">
        <v>1695</v>
      </c>
      <c r="O11" t="s">
        <v>177</v>
      </c>
      <c r="P11" t="s">
        <v>1716</v>
      </c>
      <c r="Q11" t="s">
        <v>955</v>
      </c>
      <c r="R11" t="s">
        <v>1980</v>
      </c>
      <c r="S11" t="s">
        <v>2122</v>
      </c>
      <c r="U11" t="s">
        <v>700</v>
      </c>
      <c r="V11" t="s">
        <v>71</v>
      </c>
      <c r="W11" t="s">
        <v>702</v>
      </c>
      <c r="X11" t="s">
        <v>703</v>
      </c>
      <c r="Y11" t="s">
        <v>704</v>
      </c>
      <c r="Z11" t="s">
        <v>687</v>
      </c>
      <c r="AB11" t="s">
        <v>71</v>
      </c>
      <c r="AD11" t="s">
        <v>321</v>
      </c>
      <c r="AE11" t="s">
        <v>773</v>
      </c>
      <c r="AF11" t="s">
        <v>322</v>
      </c>
      <c r="AG11" t="s">
        <v>2769</v>
      </c>
      <c r="AH11" t="s">
        <v>2770</v>
      </c>
      <c r="AI11" t="s">
        <v>1277</v>
      </c>
      <c r="AJ11" t="s">
        <v>1178</v>
      </c>
      <c r="AK11" t="s">
        <v>3077</v>
      </c>
      <c r="AL11" t="s">
        <v>3078</v>
      </c>
      <c r="AN11" s="599" t="s">
        <v>2123</v>
      </c>
      <c r="AO11" s="599"/>
      <c r="AP11" s="599"/>
      <c r="AQ11" s="599"/>
      <c r="AR11" s="599"/>
      <c r="AS11" s="599"/>
      <c r="AT11" s="599"/>
      <c r="AU11" s="599"/>
      <c r="AV11" s="599"/>
      <c r="AX11" s="367" t="s">
        <v>2252</v>
      </c>
      <c r="AY11" s="499" t="s">
        <v>839</v>
      </c>
      <c r="AZ11" s="499" t="s">
        <v>1729</v>
      </c>
      <c r="BA11" s="499" t="s">
        <v>688</v>
      </c>
      <c r="BB11" s="499" t="s">
        <v>689</v>
      </c>
      <c r="BC11" s="499" t="s">
        <v>690</v>
      </c>
      <c r="BD11" s="499" t="s">
        <v>1184</v>
      </c>
      <c r="BE11" s="241" t="s">
        <v>2176</v>
      </c>
      <c r="BF11" s="37" t="s">
        <v>2270</v>
      </c>
      <c r="BG11" s="37"/>
      <c r="BI11" t="s">
        <v>292</v>
      </c>
      <c r="BJ11" t="s">
        <v>82</v>
      </c>
      <c r="BK11" t="s">
        <v>76</v>
      </c>
      <c r="BL11" t="s">
        <v>71</v>
      </c>
      <c r="BM11" t="s">
        <v>72</v>
      </c>
      <c r="BN11" t="s">
        <v>80</v>
      </c>
      <c r="BO11" t="s">
        <v>288</v>
      </c>
      <c r="BP11" t="s">
        <v>289</v>
      </c>
      <c r="BQ11" t="s">
        <v>287</v>
      </c>
      <c r="BR11" t="s">
        <v>138</v>
      </c>
      <c r="BS11" t="s">
        <v>291</v>
      </c>
      <c r="BT11" t="s">
        <v>597</v>
      </c>
      <c r="BY11" s="69"/>
    </row>
    <row r="12" spans="1:77">
      <c r="A12" t="s">
        <v>694</v>
      </c>
      <c r="C12" t="s">
        <v>1994</v>
      </c>
      <c r="D12" t="s">
        <v>1994</v>
      </c>
      <c r="F12" t="s">
        <v>2189</v>
      </c>
      <c r="G12" t="s">
        <v>2190</v>
      </c>
      <c r="H12" s="396" t="s">
        <v>2191</v>
      </c>
      <c r="J12" s="178" t="b">
        <v>0</v>
      </c>
      <c r="K12" s="178" t="str">
        <f>IF(Excel_Ack[[#This Row],[Acknowledge]]=TRUE, "'M02-S01'!A1", "'M01-S02'!A1")</f>
        <v>'M01-S02'!A1</v>
      </c>
      <c r="L12" s="178" t="str">
        <f>IF(Excel_Ack[[#This Row],[Acknowledge]]=TRUE, "'N02-S01'!A1", "'N01-S02'!A1")</f>
        <v>'N01-S02'!A1</v>
      </c>
      <c r="M12" s="178" t="str">
        <f>IF(Excel_Ack[[#This Row],[Acknowledge]]=TRUE, "'X02-S01'!A1", "'X01-S02'!A1")</f>
        <v>'X01-S02'!A1</v>
      </c>
      <c r="O12" t="s">
        <v>957</v>
      </c>
      <c r="P12" s="9">
        <v>1.1399999999999999</v>
      </c>
      <c r="Q12" s="9">
        <v>0.66</v>
      </c>
      <c r="R12" s="9">
        <v>1.3</v>
      </c>
      <c r="S12" s="9">
        <v>0.22</v>
      </c>
      <c r="U12" s="447">
        <v>67510</v>
      </c>
      <c r="V12" t="s">
        <v>2308</v>
      </c>
      <c r="W12" s="448"/>
      <c r="X12" t="s">
        <v>2309</v>
      </c>
      <c r="Y12" s="448"/>
      <c r="Z12" s="448"/>
      <c r="AB12" s="448" t="s">
        <v>2308</v>
      </c>
      <c r="AD12" s="68" t="s">
        <v>318</v>
      </c>
      <c r="AE12" s="68" t="s">
        <v>2234</v>
      </c>
      <c r="AF12" s="403">
        <v>3.823408E-4</v>
      </c>
      <c r="AG12" s="404">
        <v>0.2</v>
      </c>
      <c r="AH12" s="404">
        <v>0.3</v>
      </c>
      <c r="AI12" s="256"/>
      <c r="AJ12" s="192" t="s">
        <v>1162</v>
      </c>
      <c r="AK12">
        <v>0.15</v>
      </c>
      <c r="AL12">
        <v>0.16</v>
      </c>
      <c r="AN12" s="324"/>
      <c r="AO12" s="600" t="s">
        <v>2124</v>
      </c>
      <c r="AP12" s="600"/>
      <c r="AQ12" s="600"/>
      <c r="AR12" s="600"/>
      <c r="AS12" s="600" t="s">
        <v>2114</v>
      </c>
      <c r="AT12" s="600"/>
      <c r="AU12" s="600"/>
      <c r="AV12" s="600"/>
      <c r="AX12" s="37"/>
      <c r="AY12" s="239" t="s">
        <v>1814</v>
      </c>
      <c r="AZ12" s="62" t="s">
        <v>3091</v>
      </c>
      <c r="BA12" s="5">
        <v>13</v>
      </c>
      <c r="BB12" s="5">
        <v>13</v>
      </c>
      <c r="BC12" s="500">
        <v>13</v>
      </c>
      <c r="BD12" s="500">
        <v>14</v>
      </c>
      <c r="BE12" s="501">
        <v>13.4</v>
      </c>
      <c r="BF12" s="556">
        <v>13.4</v>
      </c>
      <c r="BI12" t="s">
        <v>1298</v>
      </c>
      <c r="BJ12">
        <f>M02S02F02</f>
        <v>0</v>
      </c>
      <c r="BK12">
        <f>M02S02F03</f>
        <v>0</v>
      </c>
      <c r="BL12">
        <f>M02S02F04</f>
        <v>0</v>
      </c>
      <c r="BM12">
        <f>M02S02F05</f>
        <v>0</v>
      </c>
      <c r="BN12">
        <f>M02S02F06</f>
        <v>0</v>
      </c>
      <c r="BO12">
        <f>M02S02F07</f>
        <v>0</v>
      </c>
      <c r="BP12">
        <f>M02S02F08</f>
        <v>0</v>
      </c>
      <c r="BQ12">
        <f>M02S02F10</f>
        <v>0</v>
      </c>
      <c r="BR12">
        <f>M02S02F11</f>
        <v>0</v>
      </c>
      <c r="BS12" t="s">
        <v>1284</v>
      </c>
      <c r="BT12" t="s">
        <v>1187</v>
      </c>
    </row>
    <row r="13" spans="1:77">
      <c r="A13" t="s">
        <v>831</v>
      </c>
      <c r="C13" t="s">
        <v>294</v>
      </c>
      <c r="D13" t="s">
        <v>588</v>
      </c>
      <c r="F13" t="s">
        <v>2196</v>
      </c>
      <c r="G13" t="s">
        <v>2241</v>
      </c>
      <c r="H13" s="396" t="s">
        <v>2197</v>
      </c>
      <c r="O13" t="s">
        <v>1834</v>
      </c>
      <c r="P13" s="9">
        <v>1.1599999999999999</v>
      </c>
      <c r="Q13" s="9">
        <v>0.97</v>
      </c>
      <c r="R13" s="9">
        <v>1.24</v>
      </c>
      <c r="S13" s="9">
        <v>0.22</v>
      </c>
      <c r="U13" s="447">
        <v>67410</v>
      </c>
      <c r="V13" t="s">
        <v>2310</v>
      </c>
      <c r="W13" s="448"/>
      <c r="X13" t="s">
        <v>2311</v>
      </c>
      <c r="Y13" s="448"/>
      <c r="Z13" s="448"/>
      <c r="AB13" s="448" t="s">
        <v>2310</v>
      </c>
      <c r="AD13" s="68" t="s">
        <v>1337</v>
      </c>
      <c r="AE13" s="68" t="s">
        <v>2234</v>
      </c>
      <c r="AF13" s="403">
        <v>1.1674499999999999E-4</v>
      </c>
      <c r="AG13" s="404">
        <v>0.12</v>
      </c>
      <c r="AH13" s="404">
        <v>0.18</v>
      </c>
      <c r="AI13" s="256"/>
      <c r="AJ13" s="192" t="s">
        <v>1161</v>
      </c>
      <c r="AK13">
        <v>0.15</v>
      </c>
      <c r="AL13">
        <v>0.16</v>
      </c>
      <c r="AN13" t="s">
        <v>2118</v>
      </c>
      <c r="AO13" t="s">
        <v>2125</v>
      </c>
      <c r="AP13" t="s">
        <v>2126</v>
      </c>
      <c r="AQ13" t="s">
        <v>2127</v>
      </c>
      <c r="AR13" s="19" t="s">
        <v>2128</v>
      </c>
      <c r="AS13" s="19" t="s">
        <v>2129</v>
      </c>
      <c r="AT13" t="s">
        <v>2130</v>
      </c>
      <c r="AU13" t="s">
        <v>2131</v>
      </c>
      <c r="AV13" s="19" t="s">
        <v>2132</v>
      </c>
      <c r="AX13" s="37"/>
      <c r="AY13" s="230" t="s">
        <v>1813</v>
      </c>
      <c r="AZ13" t="s">
        <v>1654</v>
      </c>
      <c r="BA13" s="5">
        <v>11.2</v>
      </c>
      <c r="BB13" s="5">
        <v>11.2</v>
      </c>
      <c r="BC13" s="500">
        <v>12.6</v>
      </c>
      <c r="BD13" s="500">
        <v>12.6</v>
      </c>
      <c r="BE13" s="500">
        <v>14.6</v>
      </c>
      <c r="BF13" s="500">
        <v>14.6</v>
      </c>
      <c r="BI13" t="s">
        <v>1297</v>
      </c>
      <c r="BJ13">
        <f>M02S03F01</f>
        <v>0</v>
      </c>
      <c r="BK13">
        <f>M02S03F02</f>
        <v>0</v>
      </c>
      <c r="BL13">
        <f>M02S03F03</f>
        <v>0</v>
      </c>
      <c r="BM13">
        <f>M02S03F04</f>
        <v>0</v>
      </c>
      <c r="BN13">
        <f>M02S03F05</f>
        <v>0</v>
      </c>
      <c r="BO13">
        <f>M02S03F06</f>
        <v>0</v>
      </c>
      <c r="BP13">
        <f>M02S03F07</f>
        <v>0</v>
      </c>
      <c r="BQ13">
        <f>M02S03F09</f>
        <v>0</v>
      </c>
      <c r="BR13">
        <f>M02S03F10</f>
        <v>0</v>
      </c>
      <c r="BS13" t="s">
        <v>1285</v>
      </c>
      <c r="BT13" t="s">
        <v>290</v>
      </c>
    </row>
    <row r="14" spans="1:77">
      <c r="C14" t="s">
        <v>295</v>
      </c>
      <c r="D14" t="s">
        <v>295</v>
      </c>
      <c r="F14" t="s">
        <v>1239</v>
      </c>
      <c r="G14" t="s">
        <v>1721</v>
      </c>
      <c r="H14" s="170" t="s">
        <v>1800</v>
      </c>
      <c r="J14" s="600" t="s">
        <v>79</v>
      </c>
      <c r="K14" s="600"/>
      <c r="L14" s="600"/>
      <c r="M14" s="600"/>
      <c r="O14" t="s">
        <v>959</v>
      </c>
      <c r="P14" s="9">
        <v>1.0900000000000001</v>
      </c>
      <c r="Q14" s="9">
        <v>0.76</v>
      </c>
      <c r="R14" s="9">
        <v>1.26</v>
      </c>
      <c r="S14" s="9">
        <v>0.22</v>
      </c>
      <c r="U14" s="449">
        <v>67467</v>
      </c>
      <c r="V14" s="450" t="s">
        <v>2312</v>
      </c>
      <c r="W14" s="450"/>
      <c r="X14" s="450" t="s">
        <v>2313</v>
      </c>
      <c r="Y14" s="450"/>
      <c r="Z14" s="450"/>
      <c r="AB14" s="448" t="s">
        <v>2312</v>
      </c>
      <c r="AD14" s="68" t="s">
        <v>1349</v>
      </c>
      <c r="AE14" s="68" t="s">
        <v>2234</v>
      </c>
      <c r="AF14" s="403">
        <v>6.6623799999999999E-4</v>
      </c>
      <c r="AG14" s="404">
        <v>0.35</v>
      </c>
      <c r="AH14" s="404">
        <v>0.55000000000000004</v>
      </c>
      <c r="AI14" s="256"/>
      <c r="AJ14" s="192" t="s">
        <v>1174</v>
      </c>
      <c r="AK14">
        <v>0.15</v>
      </c>
      <c r="AL14">
        <v>0.16</v>
      </c>
      <c r="AN14">
        <v>0</v>
      </c>
      <c r="AO14" s="327">
        <v>0.9798</v>
      </c>
      <c r="AP14" s="326"/>
      <c r="AQ14" s="326"/>
      <c r="AR14" s="326"/>
      <c r="AS14" s="328">
        <v>0.97340000000000004</v>
      </c>
      <c r="AT14" s="326"/>
      <c r="AU14" s="326"/>
      <c r="AV14" s="326"/>
      <c r="AX14" s="37"/>
      <c r="AY14" s="230" t="s">
        <v>1812</v>
      </c>
      <c r="AZ14" t="s">
        <v>1654</v>
      </c>
      <c r="BA14" s="5">
        <v>11</v>
      </c>
      <c r="BB14" s="5">
        <v>11</v>
      </c>
      <c r="BC14" s="500">
        <v>12.2</v>
      </c>
      <c r="BD14" s="500">
        <v>12.2</v>
      </c>
      <c r="BE14" s="500">
        <v>14</v>
      </c>
      <c r="BF14" s="500">
        <v>14</v>
      </c>
      <c r="BI14" t="s">
        <v>1296</v>
      </c>
      <c r="BJ14">
        <f>M02S04F07</f>
        <v>0</v>
      </c>
      <c r="BK14">
        <f>M02S04F08</f>
        <v>0</v>
      </c>
      <c r="BL14">
        <f>M02S04F09</f>
        <v>0</v>
      </c>
      <c r="BM14" t="str">
        <f>M02S04F10</f>
        <v>KS</v>
      </c>
      <c r="BN14">
        <f>M02S04F11</f>
        <v>0</v>
      </c>
      <c r="BO14" t="str">
        <f>M02S04F12</f>
        <v/>
      </c>
      <c r="BP14" t="str">
        <f>M02S04F13</f>
        <v/>
      </c>
      <c r="BQ14" t="str">
        <f>M02S04F15</f>
        <v/>
      </c>
      <c r="BR14" t="str">
        <f>M02S04F16</f>
        <v/>
      </c>
      <c r="BS14" t="s">
        <v>1286</v>
      </c>
      <c r="BT14" t="s">
        <v>290</v>
      </c>
    </row>
    <row r="15" spans="1:77">
      <c r="A15" t="s">
        <v>286</v>
      </c>
      <c r="C15" t="s">
        <v>296</v>
      </c>
      <c r="D15" t="s">
        <v>296</v>
      </c>
      <c r="F15" t="s">
        <v>2152</v>
      </c>
      <c r="G15" t="s">
        <v>2153</v>
      </c>
      <c r="H15" s="170" t="s">
        <v>2154</v>
      </c>
      <c r="J15" t="s">
        <v>2247</v>
      </c>
      <c r="K15" t="s">
        <v>1724</v>
      </c>
      <c r="L15" t="s">
        <v>211</v>
      </c>
      <c r="M15" t="s">
        <v>1695</v>
      </c>
      <c r="O15" t="s">
        <v>1835</v>
      </c>
      <c r="P15" s="9">
        <v>1.08</v>
      </c>
      <c r="Q15" s="9">
        <v>0.67</v>
      </c>
      <c r="R15" s="9">
        <v>1.3</v>
      </c>
      <c r="S15" s="9">
        <v>0.22</v>
      </c>
      <c r="U15" s="447">
        <v>66830</v>
      </c>
      <c r="V15" t="s">
        <v>2314</v>
      </c>
      <c r="W15" s="448"/>
      <c r="X15" t="s">
        <v>2315</v>
      </c>
      <c r="Y15" s="448"/>
      <c r="Z15" s="448"/>
      <c r="AB15" s="448" t="s">
        <v>2314</v>
      </c>
      <c r="AD15" s="68" t="s">
        <v>1385</v>
      </c>
      <c r="AE15" s="68" t="s">
        <v>2234</v>
      </c>
      <c r="AF15" s="403">
        <v>0</v>
      </c>
      <c r="AG15" s="404">
        <v>0.05</v>
      </c>
      <c r="AH15" s="404">
        <v>0.08</v>
      </c>
      <c r="AI15" s="257"/>
      <c r="AJ15" s="192" t="s">
        <v>1177</v>
      </c>
      <c r="AK15">
        <v>0.15</v>
      </c>
      <c r="AL15">
        <v>0.16</v>
      </c>
      <c r="AN15">
        <v>15</v>
      </c>
      <c r="AO15" s="325">
        <f>ROUND(AVERAGE(AP15:AR15), 4)</f>
        <v>0.9798</v>
      </c>
      <c r="AP15" s="326">
        <v>0.98099999999999998</v>
      </c>
      <c r="AQ15" s="326">
        <v>0.97860000000000003</v>
      </c>
      <c r="AR15" s="326"/>
      <c r="AS15" s="325">
        <f>ROUND(AVERAGE(AT15:AV15), 4)</f>
        <v>0.97340000000000004</v>
      </c>
      <c r="AT15" s="326">
        <v>0.97499999999999998</v>
      </c>
      <c r="AU15" s="326">
        <v>0.97180000000000011</v>
      </c>
      <c r="AV15" s="326"/>
      <c r="AX15" s="37"/>
      <c r="AY15" s="230" t="s">
        <v>1821</v>
      </c>
      <c r="AZ15" t="s">
        <v>1654</v>
      </c>
      <c r="BA15" s="5">
        <v>9.6999999999999993</v>
      </c>
      <c r="BB15" s="5">
        <v>9.9</v>
      </c>
      <c r="BC15" s="500">
        <v>11.4</v>
      </c>
      <c r="BD15" s="500">
        <v>11.4</v>
      </c>
      <c r="BE15" s="500">
        <v>13</v>
      </c>
      <c r="BF15" s="500">
        <v>13</v>
      </c>
      <c r="BI15" t="s">
        <v>1295</v>
      </c>
      <c r="BJ15">
        <f>M02S04F07</f>
        <v>0</v>
      </c>
      <c r="BK15">
        <f>M02S04F08</f>
        <v>0</v>
      </c>
      <c r="BL15">
        <f>M02S04F09</f>
        <v>0</v>
      </c>
      <c r="BM15" t="str">
        <f>M02S04F10</f>
        <v>KS</v>
      </c>
      <c r="BN15">
        <f>M02S04F11</f>
        <v>0</v>
      </c>
      <c r="BO15" t="str">
        <f>M02S04F12</f>
        <v/>
      </c>
      <c r="BP15" t="str">
        <f>M02S04F13</f>
        <v/>
      </c>
      <c r="BQ15" t="str">
        <f>M02S04F15</f>
        <v/>
      </c>
      <c r="BR15" t="str">
        <f>M02S04F16</f>
        <v/>
      </c>
      <c r="BS15" t="s">
        <v>1300</v>
      </c>
      <c r="BT15" t="s">
        <v>97</v>
      </c>
    </row>
    <row r="16" spans="1:77">
      <c r="A16" t="s">
        <v>1319</v>
      </c>
      <c r="C16" t="s">
        <v>97</v>
      </c>
      <c r="D16" t="s">
        <v>97</v>
      </c>
      <c r="F16" s="542" t="s">
        <v>3059</v>
      </c>
      <c r="G16" s="51" t="s">
        <v>3063</v>
      </c>
      <c r="H16" s="550" t="s">
        <v>3061</v>
      </c>
      <c r="J16" s="178" t="b" cm="1">
        <f t="array" ref="J16">Excel_Ack[Acknowledge]</f>
        <v>0</v>
      </c>
      <c r="K16" s="178" t="str">
        <f>"'M01-S03'!A1"</f>
        <v>'M01-S03'!A1</v>
      </c>
      <c r="L16" s="178" t="str">
        <f>"'N01-S03'!A1"</f>
        <v>'N01-S03'!A1</v>
      </c>
      <c r="M16" s="178" t="str">
        <f>"'X01-S03'!A1"</f>
        <v>'X01-S03'!A1</v>
      </c>
      <c r="O16" t="s">
        <v>919</v>
      </c>
      <c r="P16" s="9">
        <v>1</v>
      </c>
      <c r="Q16" s="9">
        <v>0</v>
      </c>
      <c r="R16" s="9">
        <v>1</v>
      </c>
      <c r="S16" s="9">
        <v>0.22</v>
      </c>
      <c r="U16" s="447">
        <v>66833</v>
      </c>
      <c r="V16" t="s">
        <v>2316</v>
      </c>
      <c r="W16" s="448"/>
      <c r="X16" t="s">
        <v>2315</v>
      </c>
      <c r="Y16" s="448"/>
      <c r="Z16" s="448"/>
      <c r="AB16" s="448" t="s">
        <v>2316</v>
      </c>
      <c r="AD16" s="68" t="s">
        <v>2165</v>
      </c>
      <c r="AE16" s="68" t="s">
        <v>2234</v>
      </c>
      <c r="AF16" s="403">
        <v>1.3870850000000001E-4</v>
      </c>
      <c r="AG16" s="404">
        <v>0.08</v>
      </c>
      <c r="AH16" s="404">
        <v>0.12</v>
      </c>
      <c r="AI16" s="256"/>
      <c r="AJ16" s="192" t="s">
        <v>1168</v>
      </c>
      <c r="AK16">
        <v>0.15</v>
      </c>
      <c r="AL16">
        <v>0.16</v>
      </c>
      <c r="AN16">
        <v>25</v>
      </c>
      <c r="AO16" s="325">
        <f t="shared" ref="AO16:AO34" si="0">ROUND(AVERAGE(AP16:AR16), 4)</f>
        <v>0.98229999999999995</v>
      </c>
      <c r="AP16" s="326">
        <v>0.98329999999999995</v>
      </c>
      <c r="AQ16" s="326">
        <v>0.98120000000000007</v>
      </c>
      <c r="AR16" s="326"/>
      <c r="AS16" s="327">
        <v>0.97340000000000004</v>
      </c>
      <c r="AT16" s="326"/>
      <c r="AU16" s="326"/>
      <c r="AV16" s="326"/>
      <c r="AX16" s="37"/>
      <c r="AY16" s="230" t="s">
        <v>1818</v>
      </c>
      <c r="AZ16" t="s">
        <v>1654</v>
      </c>
      <c r="BA16" s="5">
        <v>9.4</v>
      </c>
      <c r="BB16" s="5">
        <v>9.6</v>
      </c>
      <c r="BC16" s="500">
        <v>11</v>
      </c>
      <c r="BD16" s="500">
        <v>11</v>
      </c>
      <c r="BE16" s="500">
        <v>12.3</v>
      </c>
      <c r="BF16" s="500"/>
      <c r="BI16" t="s">
        <v>1299</v>
      </c>
      <c r="BJ16" t="str">
        <f>""</f>
        <v/>
      </c>
      <c r="BK16" t="str">
        <f>""</f>
        <v/>
      </c>
      <c r="BL16" t="str">
        <f>""</f>
        <v/>
      </c>
      <c r="BM16" t="str">
        <f>""</f>
        <v/>
      </c>
      <c r="BN16" t="str">
        <f>""</f>
        <v/>
      </c>
      <c r="BO16" t="str">
        <f>""</f>
        <v/>
      </c>
      <c r="BP16" t="str">
        <f>""</f>
        <v/>
      </c>
      <c r="BQ16" t="str">
        <f>""</f>
        <v/>
      </c>
      <c r="BR16" t="str">
        <f>""</f>
        <v/>
      </c>
      <c r="BS16" t="s">
        <v>1286</v>
      </c>
      <c r="BT16" t="s">
        <v>97</v>
      </c>
    </row>
    <row r="17" spans="1:72">
      <c r="A17" t="s">
        <v>1320</v>
      </c>
      <c r="C17" t="s">
        <v>297</v>
      </c>
      <c r="D17" t="s">
        <v>590</v>
      </c>
      <c r="F17" t="s">
        <v>1847</v>
      </c>
      <c r="G17" t="s">
        <v>1849</v>
      </c>
      <c r="H17" s="170" t="s">
        <v>1848</v>
      </c>
      <c r="O17" t="s">
        <v>944</v>
      </c>
      <c r="P17" s="9">
        <v>1</v>
      </c>
      <c r="Q17" s="9">
        <v>0.92</v>
      </c>
      <c r="R17" s="9">
        <v>1</v>
      </c>
      <c r="S17" s="9">
        <v>0.22</v>
      </c>
      <c r="U17" s="447">
        <v>66401</v>
      </c>
      <c r="V17" t="s">
        <v>705</v>
      </c>
      <c r="W17" s="448"/>
      <c r="X17" t="s">
        <v>2317</v>
      </c>
      <c r="Y17" s="448"/>
      <c r="Z17" s="448"/>
      <c r="AB17" s="448" t="s">
        <v>705</v>
      </c>
      <c r="AD17" s="68" t="s">
        <v>1623</v>
      </c>
      <c r="AE17" s="68" t="s">
        <v>2234</v>
      </c>
      <c r="AF17" s="403">
        <v>0</v>
      </c>
      <c r="AG17" s="404">
        <v>0.05</v>
      </c>
      <c r="AH17" s="404">
        <v>0.08</v>
      </c>
      <c r="AI17" s="256"/>
      <c r="AJ17" s="192" t="s">
        <v>1167</v>
      </c>
      <c r="AK17">
        <v>0.15</v>
      </c>
      <c r="AL17">
        <v>0.16</v>
      </c>
      <c r="AN17">
        <v>30</v>
      </c>
      <c r="AO17" s="327">
        <v>0.98229999999999995</v>
      </c>
      <c r="AP17" s="326"/>
      <c r="AQ17" s="326"/>
      <c r="AR17" s="326"/>
      <c r="AS17" s="325">
        <f t="shared" ref="AS17:AS38" si="1">ROUND(AVERAGE(AT17:AV17), 4)</f>
        <v>0.97770000000000001</v>
      </c>
      <c r="AT17" s="326">
        <v>0.97900000000000009</v>
      </c>
      <c r="AU17" s="326">
        <v>0.97629999999999995</v>
      </c>
      <c r="AV17" s="326"/>
      <c r="AX17" s="37"/>
      <c r="AY17" s="230" t="s">
        <v>2177</v>
      </c>
      <c r="AZ17" s="62" t="s">
        <v>3040</v>
      </c>
      <c r="BA17" s="5">
        <v>13</v>
      </c>
      <c r="BB17" s="5">
        <v>13</v>
      </c>
      <c r="BC17" s="500">
        <v>14</v>
      </c>
      <c r="BD17" s="500">
        <v>14</v>
      </c>
      <c r="BE17" s="501">
        <v>14.3</v>
      </c>
      <c r="BF17" s="500">
        <v>14.3</v>
      </c>
    </row>
    <row r="18" spans="1:72">
      <c r="C18" t="s">
        <v>1995</v>
      </c>
      <c r="D18" t="s">
        <v>1995</v>
      </c>
      <c r="F18" t="s">
        <v>2096</v>
      </c>
      <c r="G18" t="s">
        <v>2097</v>
      </c>
      <c r="H18" s="170" t="s">
        <v>2098</v>
      </c>
      <c r="J18" s="600" t="s">
        <v>2268</v>
      </c>
      <c r="K18" s="600"/>
      <c r="L18" s="600"/>
      <c r="M18" s="600"/>
      <c r="O18" t="s">
        <v>960</v>
      </c>
      <c r="P18" s="9">
        <v>1</v>
      </c>
      <c r="Q18" s="9">
        <v>1</v>
      </c>
      <c r="R18" s="9">
        <v>1</v>
      </c>
      <c r="S18" s="9">
        <v>0.22</v>
      </c>
      <c r="U18" s="449">
        <v>66501</v>
      </c>
      <c r="V18" s="450" t="s">
        <v>705</v>
      </c>
      <c r="W18" s="450"/>
      <c r="X18" s="450" t="s">
        <v>2317</v>
      </c>
      <c r="Y18" s="450"/>
      <c r="Z18" s="450"/>
      <c r="AB18" s="448" t="s">
        <v>2318</v>
      </c>
      <c r="AD18" s="68" t="s">
        <v>1330</v>
      </c>
      <c r="AE18" s="68" t="s">
        <v>2234</v>
      </c>
      <c r="AF18" s="403">
        <v>1.998949E-4</v>
      </c>
      <c r="AG18" s="404">
        <v>0.09</v>
      </c>
      <c r="AH18" s="404">
        <v>0.14000000000000001</v>
      </c>
      <c r="AI18" s="256"/>
      <c r="AJ18" s="192" t="s">
        <v>1163</v>
      </c>
      <c r="AK18">
        <v>0.15</v>
      </c>
      <c r="AL18">
        <v>0.16</v>
      </c>
      <c r="AN18">
        <v>37.5</v>
      </c>
      <c r="AO18" s="325">
        <f t="shared" si="0"/>
        <v>0.98399999999999999</v>
      </c>
      <c r="AP18" s="326">
        <v>0.9849</v>
      </c>
      <c r="AQ18" s="326">
        <v>0.98299999999999998</v>
      </c>
      <c r="AR18" s="326"/>
      <c r="AS18" s="327">
        <v>0.97770000000000001</v>
      </c>
      <c r="AT18" s="326"/>
      <c r="AU18" s="326"/>
      <c r="AV18" s="326"/>
      <c r="AX18" s="37"/>
      <c r="AY18" s="230" t="s">
        <v>2178</v>
      </c>
      <c r="AZ18" s="62" t="s">
        <v>3040</v>
      </c>
      <c r="BA18" s="5">
        <v>13</v>
      </c>
      <c r="BB18" s="5">
        <v>13</v>
      </c>
      <c r="BC18" s="500">
        <v>14</v>
      </c>
      <c r="BD18" s="500">
        <v>14</v>
      </c>
      <c r="BE18" s="501">
        <v>13.4</v>
      </c>
      <c r="BF18" s="500">
        <v>13.4</v>
      </c>
      <c r="BI18" t="s">
        <v>292</v>
      </c>
      <c r="BJ18" t="s">
        <v>82</v>
      </c>
      <c r="BK18" t="s">
        <v>76</v>
      </c>
      <c r="BL18" t="s">
        <v>71</v>
      </c>
      <c r="BM18" t="s">
        <v>72</v>
      </c>
      <c r="BN18" t="s">
        <v>80</v>
      </c>
      <c r="BO18" t="s">
        <v>288</v>
      </c>
      <c r="BP18" t="s">
        <v>289</v>
      </c>
      <c r="BQ18" t="s">
        <v>287</v>
      </c>
      <c r="BR18" t="s">
        <v>138</v>
      </c>
      <c r="BS18" t="s">
        <v>291</v>
      </c>
      <c r="BT18" t="s">
        <v>597</v>
      </c>
    </row>
    <row r="19" spans="1:72">
      <c r="A19" t="s">
        <v>927</v>
      </c>
      <c r="C19" t="s">
        <v>1997</v>
      </c>
      <c r="D19" t="s">
        <v>589</v>
      </c>
      <c r="F19" s="542" t="s">
        <v>3060</v>
      </c>
      <c r="G19" s="542" t="s">
        <v>3066</v>
      </c>
      <c r="H19" s="550" t="s">
        <v>3062</v>
      </c>
      <c r="J19" t="s">
        <v>2247</v>
      </c>
      <c r="K19" t="s">
        <v>1724</v>
      </c>
      <c r="L19" t="s">
        <v>211</v>
      </c>
      <c r="M19" t="s">
        <v>1695</v>
      </c>
      <c r="O19" t="s">
        <v>1836</v>
      </c>
      <c r="P19" s="9">
        <v>1.0900000000000001</v>
      </c>
      <c r="Q19" s="9">
        <v>0.76</v>
      </c>
      <c r="R19" s="9">
        <v>1.26</v>
      </c>
      <c r="S19" s="9">
        <v>0.22</v>
      </c>
      <c r="U19" s="447">
        <v>66834</v>
      </c>
      <c r="V19" t="s">
        <v>2318</v>
      </c>
      <c r="W19" s="448"/>
      <c r="X19" t="s">
        <v>2317</v>
      </c>
      <c r="Y19" s="448"/>
      <c r="Z19" s="448"/>
      <c r="AB19" s="448" t="s">
        <v>706</v>
      </c>
      <c r="AD19" s="68" t="s">
        <v>94</v>
      </c>
      <c r="AE19" s="68" t="s">
        <v>2234</v>
      </c>
      <c r="AF19" s="403">
        <v>3.4198269999999997E-4</v>
      </c>
      <c r="AG19" s="404">
        <v>0.18</v>
      </c>
      <c r="AH19" s="404">
        <v>0.27</v>
      </c>
      <c r="AI19" s="256"/>
      <c r="AJ19" s="192" t="s">
        <v>1164</v>
      </c>
      <c r="AK19">
        <v>0.15</v>
      </c>
      <c r="AL19">
        <v>0.16</v>
      </c>
      <c r="AN19">
        <v>45</v>
      </c>
      <c r="AO19" s="327">
        <v>0.98399999999999999</v>
      </c>
      <c r="AP19" s="326"/>
      <c r="AQ19" s="326"/>
      <c r="AR19" s="326"/>
      <c r="AS19" s="325">
        <f t="shared" si="1"/>
        <v>0.9798</v>
      </c>
      <c r="AT19" s="326">
        <v>0.98099999999999998</v>
      </c>
      <c r="AU19" s="326">
        <v>0.97860000000000003</v>
      </c>
      <c r="AV19" s="326"/>
      <c r="AX19" s="37"/>
      <c r="AY19" s="230" t="s">
        <v>1817</v>
      </c>
      <c r="AZ19" t="s">
        <v>1654</v>
      </c>
      <c r="BA19" s="5">
        <v>11</v>
      </c>
      <c r="BB19" s="5">
        <v>11</v>
      </c>
      <c r="BC19" s="500">
        <v>11.8</v>
      </c>
      <c r="BD19" s="500">
        <v>11.8</v>
      </c>
      <c r="BE19" s="500">
        <v>13.9</v>
      </c>
      <c r="BF19" s="500">
        <v>13.9</v>
      </c>
      <c r="BI19" t="s">
        <v>1799</v>
      </c>
      <c r="BJ19" t="e">
        <f>IF(X05S01F15="Service Provider", X02S02F01,
IF(X05S01F15=X02S02F12, X02S02F13,
IF(X05S01F15=X02S02F23, X02S02F24,"")))</f>
        <v>#REF!</v>
      </c>
      <c r="BK19" t="e">
        <f>IF(X05S01F15="Service Provider", X02S02F02,
IF(X05S01F15=X02S02F12, X02S02F14,
IF(X05S01F15=X02S02F23, X02S02F25,"")))</f>
        <v>#REF!</v>
      </c>
      <c r="BL19" t="e">
        <f>IF(X05S01F15="Service Provider", X02S02F03,
IF(X05S01F15=X02S02F12, X02S02F15,
IF(X05S01F15=X02S02F23, X02S02F26,"")))</f>
        <v>#REF!</v>
      </c>
      <c r="BM19" t="e">
        <f>IF(X05S01F15="Service Provider", X02S02F04,
IF(X05S01F15=X02S02F12, X02S02F16,
IF(X05S01F15=X02S02F23, X02S02F27,"")))</f>
        <v>#REF!</v>
      </c>
      <c r="BN19" t="e">
        <f>IF(X05S01F15="Service Provider", X02S02F05,
IF(X05S01F15=X02S02F12, X02S02F17,
IF(X05S01F15=X02S02F23, X02S02F28,"")))</f>
        <v>#REF!</v>
      </c>
      <c r="BO19" t="e">
        <f>IF(X05S01F15="Service Provider", X02S02F06,
IF(X05S01F15=X02S02F12, X02S02F18,
IF(X05S01F15=X02S02F23, X02S02F29,"")))</f>
        <v>#REF!</v>
      </c>
      <c r="BP19" t="e">
        <f>IF(X05S01F15="Service Provider", X02S02F07,
IF(X05S01F15=X02S02F12, X02S02F19,
IF(X05S01F15=X02S02F23, X02S02F30,"")))</f>
        <v>#REF!</v>
      </c>
      <c r="BQ19" t="e">
        <f>IF(X05S01F15="Service Provider", X02S02F09,
IF(X05S01F15=X02S02F12, X02S02F21,
IF(X05S01F15=X02S02F23, X02S02F32,"")))</f>
        <v>#REF!</v>
      </c>
      <c r="BR19" t="e">
        <f>IF(X05S01F15="Service Provider", X02S02F10,
IF(X05S01F15=X02S02F12, X02S02F22,
IF(X05S01F15=X02S02F23, X02S02F33,"")))</f>
        <v>#REF!</v>
      </c>
      <c r="BS19" t="s">
        <v>1284</v>
      </c>
      <c r="BT19" t="s">
        <v>1187</v>
      </c>
    </row>
    <row r="20" spans="1:72">
      <c r="A20" t="s">
        <v>938</v>
      </c>
      <c r="C20" t="s">
        <v>1996</v>
      </c>
      <c r="D20" t="s">
        <v>1996</v>
      </c>
      <c r="F20" t="s">
        <v>625</v>
      </c>
      <c r="J20" s="178" t="b" cm="1">
        <f t="array" ref="J20">Excel_Ack[Acknowledge]</f>
        <v>0</v>
      </c>
      <c r="K20" s="178" t="str">
        <f>IF(Excel_Ack_Offer[[#This Row],[Acknowledge]]=TRUE, IF(ACTIVEOFFER="Yes", "'M05-S04'!A1", ""), "'M01-S02'!A1")</f>
        <v>'M01-S02'!A1</v>
      </c>
      <c r="L20" s="178" t="str">
        <f>IF(Excel_Ack_Offer[[#This Row],[Acknowledge]]=TRUE, IF(ACTIVEOFFER_N="Yes", "'N05-S04'!A1", ""), "'N01-S02'!A1")</f>
        <v>'N01-S02'!A1</v>
      </c>
      <c r="M20" s="178" t="str">
        <f>IF(Excel_Ack_Offer[[#This Row],[Acknowledge]]=TRUE, IF(ACTIVEOFFER_X="Yes", "'X05-S04'!A1", ""), "'X01-S02'!A1")</f>
        <v>'X01-S02'!A1</v>
      </c>
      <c r="O20" t="s">
        <v>961</v>
      </c>
      <c r="P20" s="9">
        <v>1.05</v>
      </c>
      <c r="Q20" s="9">
        <v>0.82</v>
      </c>
      <c r="R20" s="9">
        <v>1.22</v>
      </c>
      <c r="S20" s="9">
        <v>0.22</v>
      </c>
      <c r="U20" s="447">
        <v>67330</v>
      </c>
      <c r="V20" t="s">
        <v>706</v>
      </c>
      <c r="W20" s="448"/>
      <c r="X20" t="s">
        <v>2319</v>
      </c>
      <c r="Y20" s="448"/>
      <c r="Z20" s="448"/>
      <c r="AB20" s="448" t="s">
        <v>2320</v>
      </c>
      <c r="AD20" s="68" t="s">
        <v>1621</v>
      </c>
      <c r="AE20" s="68" t="s">
        <v>2234</v>
      </c>
      <c r="AF20" s="403">
        <v>1.3870850000000001E-4</v>
      </c>
      <c r="AG20" s="404">
        <v>0.14000000000000001</v>
      </c>
      <c r="AH20" s="404">
        <v>0.21</v>
      </c>
      <c r="AI20" s="257"/>
      <c r="AJ20" s="192" t="s">
        <v>1165</v>
      </c>
      <c r="AK20">
        <v>0.15</v>
      </c>
      <c r="AL20">
        <v>0.16</v>
      </c>
      <c r="AN20">
        <v>50</v>
      </c>
      <c r="AO20" s="325">
        <f t="shared" si="0"/>
        <v>0.98509999999999998</v>
      </c>
      <c r="AP20" s="326">
        <v>0.98599999999999999</v>
      </c>
      <c r="AQ20" s="326">
        <v>0.98419999999999996</v>
      </c>
      <c r="AR20" s="326"/>
      <c r="AS20" s="327">
        <v>0.9798</v>
      </c>
      <c r="AT20" s="326"/>
      <c r="AU20" s="326"/>
      <c r="AV20" s="326"/>
      <c r="AX20" s="37"/>
      <c r="AY20" s="230" t="s">
        <v>1819</v>
      </c>
      <c r="AZ20" t="s">
        <v>1654</v>
      </c>
      <c r="BA20" s="5">
        <v>10.5</v>
      </c>
      <c r="BB20" s="5">
        <v>10.5</v>
      </c>
      <c r="BC20" s="500">
        <v>11.4</v>
      </c>
      <c r="BD20" s="500">
        <v>11.4</v>
      </c>
      <c r="BE20" s="500">
        <v>13.3</v>
      </c>
      <c r="BF20" s="500">
        <v>13.3</v>
      </c>
      <c r="BI20" t="s">
        <v>1297</v>
      </c>
      <c r="BJ20" t="e">
        <f>X02S03F01</f>
        <v>#REF!</v>
      </c>
      <c r="BK20" t="e">
        <f>X02S03F02</f>
        <v>#REF!</v>
      </c>
      <c r="BL20" t="e">
        <f>X02S03F03</f>
        <v>#REF!</v>
      </c>
      <c r="BM20" t="e">
        <f>X02S03F04</f>
        <v>#REF!</v>
      </c>
      <c r="BN20" t="e">
        <f>X02S03F05</f>
        <v>#REF!</v>
      </c>
      <c r="BO20" t="e">
        <f>X02S03F06</f>
        <v>#REF!</v>
      </c>
      <c r="BP20" t="e">
        <f>X02S03F07</f>
        <v>#REF!</v>
      </c>
      <c r="BQ20" t="e">
        <f>X02S03F09</f>
        <v>#REF!</v>
      </c>
      <c r="BR20" t="e">
        <f>X02S03F10</f>
        <v>#REF!</v>
      </c>
      <c r="BS20" t="s">
        <v>1285</v>
      </c>
      <c r="BT20" t="s">
        <v>290</v>
      </c>
    </row>
    <row r="21" spans="1:72">
      <c r="A21" t="s">
        <v>135</v>
      </c>
      <c r="F21" t="s">
        <v>97</v>
      </c>
      <c r="J21" s="33"/>
      <c r="O21" t="s">
        <v>971</v>
      </c>
      <c r="P21" s="9">
        <v>1.1299999999999999</v>
      </c>
      <c r="Q21" s="9">
        <v>0.56000000000000005</v>
      </c>
      <c r="R21" s="9">
        <v>1.35</v>
      </c>
      <c r="S21" s="9">
        <v>0.22</v>
      </c>
      <c r="U21" s="447">
        <v>66710</v>
      </c>
      <c r="V21" t="s">
        <v>2320</v>
      </c>
      <c r="W21" s="448"/>
      <c r="X21" t="s">
        <v>2321</v>
      </c>
      <c r="Y21" s="448"/>
      <c r="Z21" s="448"/>
      <c r="AB21" s="448" t="s">
        <v>2322</v>
      </c>
      <c r="AD21" s="68" t="s">
        <v>1622</v>
      </c>
      <c r="AE21" s="68" t="s">
        <v>2234</v>
      </c>
      <c r="AF21" s="403">
        <v>0</v>
      </c>
      <c r="AG21" s="404">
        <v>7.0000000000000007E-2</v>
      </c>
      <c r="AH21" s="404">
        <v>0.11</v>
      </c>
      <c r="AI21" s="256"/>
      <c r="AJ21" s="192" t="s">
        <v>1166</v>
      </c>
      <c r="AK21">
        <v>0.15</v>
      </c>
      <c r="AL21">
        <v>0.16</v>
      </c>
      <c r="AN21">
        <v>75</v>
      </c>
      <c r="AO21" s="325">
        <f t="shared" si="0"/>
        <v>0.98609999999999998</v>
      </c>
      <c r="AP21" s="326">
        <v>0.98730000000000007</v>
      </c>
      <c r="AQ21" s="326">
        <v>0.98569999999999991</v>
      </c>
      <c r="AR21" s="326">
        <v>0.98530000000000006</v>
      </c>
      <c r="AS21" s="325">
        <f t="shared" si="1"/>
        <v>0.98229999999999995</v>
      </c>
      <c r="AT21" s="326">
        <v>0.98329999999999995</v>
      </c>
      <c r="AU21" s="326">
        <v>0.98129999999999995</v>
      </c>
      <c r="AV21" s="326"/>
      <c r="AX21" s="37"/>
      <c r="AY21" s="230" t="s">
        <v>1824</v>
      </c>
      <c r="AZ21" t="s">
        <v>1654</v>
      </c>
      <c r="BA21" s="5">
        <v>9.4</v>
      </c>
      <c r="BB21" s="5">
        <v>9.4</v>
      </c>
      <c r="BC21" s="500">
        <v>9.4</v>
      </c>
      <c r="BD21" s="500">
        <v>9.4</v>
      </c>
      <c r="BE21" s="500">
        <v>12.3</v>
      </c>
      <c r="BF21" s="500">
        <v>12.3</v>
      </c>
      <c r="BI21" t="s">
        <v>1296</v>
      </c>
      <c r="BJ21" t="e">
        <f>X02S03F24</f>
        <v>#REF!</v>
      </c>
      <c r="BK21" t="e">
        <f>X02S03F25</f>
        <v>#REF!</v>
      </c>
      <c r="BL21" t="e">
        <f>X02S03F26</f>
        <v>#REF!</v>
      </c>
      <c r="BM21" t="e">
        <f>X02S03F27</f>
        <v>#REF!</v>
      </c>
      <c r="BN21" t="e">
        <f>X02S03F28</f>
        <v>#REF!</v>
      </c>
      <c r="BO21" t="e">
        <f>X02S03F12</f>
        <v>#REF!</v>
      </c>
      <c r="BP21" t="e">
        <f>X02S03F13</f>
        <v>#REF!</v>
      </c>
      <c r="BQ21" t="e">
        <f>X02S03F15</f>
        <v>#REF!</v>
      </c>
      <c r="BR21" t="e">
        <f>X02S03F16</f>
        <v>#REF!</v>
      </c>
      <c r="BS21" t="s">
        <v>1286</v>
      </c>
      <c r="BT21" t="s">
        <v>290</v>
      </c>
    </row>
    <row r="22" spans="1:72">
      <c r="A22" t="s">
        <v>1083</v>
      </c>
      <c r="C22" t="s">
        <v>179</v>
      </c>
      <c r="D22" t="s">
        <v>280</v>
      </c>
      <c r="J22" s="600" t="s">
        <v>2269</v>
      </c>
      <c r="K22" s="600"/>
      <c r="L22" s="600"/>
      <c r="M22" s="600"/>
      <c r="O22" t="s">
        <v>962</v>
      </c>
      <c r="P22" s="9">
        <v>1.1399999999999999</v>
      </c>
      <c r="Q22" s="9">
        <v>0.67</v>
      </c>
      <c r="R22" s="9">
        <v>1.04</v>
      </c>
      <c r="S22" s="9">
        <v>0.22</v>
      </c>
      <c r="U22" s="447">
        <v>66835</v>
      </c>
      <c r="V22" t="s">
        <v>2322</v>
      </c>
      <c r="W22" s="448"/>
      <c r="X22" t="s">
        <v>2315</v>
      </c>
      <c r="Y22" s="448"/>
      <c r="Z22" s="448"/>
      <c r="AB22" s="448" t="s">
        <v>2323</v>
      </c>
      <c r="AD22" s="68" t="s">
        <v>751</v>
      </c>
      <c r="AE22" s="68" t="s">
        <v>2234</v>
      </c>
      <c r="AF22" s="403">
        <v>1.69729E-4</v>
      </c>
      <c r="AG22" s="404">
        <v>0.08</v>
      </c>
      <c r="AH22" s="404">
        <v>0.12</v>
      </c>
      <c r="AI22" s="256"/>
      <c r="AJ22" s="192" t="s">
        <v>1169</v>
      </c>
      <c r="AK22">
        <v>0.15</v>
      </c>
      <c r="AL22">
        <v>0.16</v>
      </c>
      <c r="AN22">
        <v>100</v>
      </c>
      <c r="AO22" s="325">
        <f t="shared" si="0"/>
        <v>0.98709999999999998</v>
      </c>
      <c r="AP22" s="326">
        <v>0.98819999999999997</v>
      </c>
      <c r="AQ22" s="326">
        <v>0.98670000000000002</v>
      </c>
      <c r="AR22" s="326">
        <v>0.98629999999999995</v>
      </c>
      <c r="AS22" s="327">
        <v>0.98229999999999995</v>
      </c>
      <c r="AT22" s="326"/>
      <c r="AU22" s="326"/>
      <c r="AV22" s="326"/>
      <c r="AX22" s="37"/>
      <c r="AY22" s="239" t="s">
        <v>2761</v>
      </c>
      <c r="AZ22" t="s">
        <v>1652</v>
      </c>
      <c r="BA22" s="5">
        <f>ROUND(12.5-(0.213*12000/1000), 3)</f>
        <v>9.9440000000000008</v>
      </c>
      <c r="BB22" s="5">
        <f>ROUND(13.8-(0.3*12000/1000), 3)</f>
        <v>10.199999999999999</v>
      </c>
      <c r="BC22" s="500">
        <f t="shared" ref="BC22:BF23" si="2">ROUND(14-(0.3*12000/1000), 3)</f>
        <v>10.4</v>
      </c>
      <c r="BD22" s="500">
        <f t="shared" si="2"/>
        <v>10.4</v>
      </c>
      <c r="BE22" s="500">
        <f t="shared" si="2"/>
        <v>10.4</v>
      </c>
      <c r="BF22" s="500">
        <f t="shared" si="2"/>
        <v>10.4</v>
      </c>
      <c r="BI22" t="s">
        <v>1295</v>
      </c>
      <c r="BJ22" t="e">
        <f>X02S03F24</f>
        <v>#REF!</v>
      </c>
      <c r="BK22" t="e">
        <f>X02S03F25</f>
        <v>#REF!</v>
      </c>
      <c r="BL22" t="e">
        <f>X02S03F26</f>
        <v>#REF!</v>
      </c>
      <c r="BM22" t="e">
        <f>X02S03F27</f>
        <v>#REF!</v>
      </c>
      <c r="BN22" t="e">
        <f>X02S03F28</f>
        <v>#REF!</v>
      </c>
      <c r="BO22" t="e">
        <f>X02S03F12</f>
        <v>#REF!</v>
      </c>
      <c r="BP22" t="e">
        <f>X02S03F13</f>
        <v>#REF!</v>
      </c>
      <c r="BQ22" t="e">
        <f>X02S03F15</f>
        <v>#REF!</v>
      </c>
      <c r="BR22" t="e">
        <f>X02S03F16</f>
        <v>#REF!</v>
      </c>
      <c r="BS22" t="s">
        <v>1300</v>
      </c>
      <c r="BT22" t="s">
        <v>97</v>
      </c>
    </row>
    <row r="23" spans="1:72">
      <c r="A23" t="s">
        <v>122</v>
      </c>
      <c r="C23" t="s">
        <v>184</v>
      </c>
      <c r="D23" t="s">
        <v>185</v>
      </c>
      <c r="J23" t="s">
        <v>2247</v>
      </c>
      <c r="K23" t="s">
        <v>1724</v>
      </c>
      <c r="L23" t="s">
        <v>211</v>
      </c>
      <c r="M23" t="s">
        <v>1695</v>
      </c>
      <c r="O23" t="s">
        <v>695</v>
      </c>
      <c r="P23" s="9">
        <v>1.1299999999999999</v>
      </c>
      <c r="Q23" s="9">
        <v>0.65500000000000003</v>
      </c>
      <c r="R23" s="9">
        <v>1.24</v>
      </c>
      <c r="S23" s="9">
        <v>0.22</v>
      </c>
      <c r="U23" s="447">
        <v>67001</v>
      </c>
      <c r="V23" t="s">
        <v>2323</v>
      </c>
      <c r="W23" s="448"/>
      <c r="X23" t="s">
        <v>2324</v>
      </c>
      <c r="Y23" s="448"/>
      <c r="Z23" s="448"/>
      <c r="AB23" s="448" t="s">
        <v>2325</v>
      </c>
      <c r="AD23" s="68" t="s">
        <v>752</v>
      </c>
      <c r="AE23" s="68" t="s">
        <v>2234</v>
      </c>
      <c r="AF23" s="403">
        <v>4.5176359999999998E-4</v>
      </c>
      <c r="AG23" s="404">
        <v>7.0000000000000007E-2</v>
      </c>
      <c r="AH23" s="404">
        <v>0.11</v>
      </c>
      <c r="AI23" s="256"/>
      <c r="AJ23" s="192" t="s">
        <v>1170</v>
      </c>
      <c r="AK23">
        <v>0.15</v>
      </c>
      <c r="AL23">
        <v>0.16</v>
      </c>
      <c r="AN23">
        <v>112.5</v>
      </c>
      <c r="AO23" s="327">
        <v>0.98709999999999998</v>
      </c>
      <c r="AP23" s="326"/>
      <c r="AQ23" s="326"/>
      <c r="AR23" s="326"/>
      <c r="AS23" s="325">
        <f t="shared" si="1"/>
        <v>0.98440000000000005</v>
      </c>
      <c r="AT23" s="326">
        <v>0.98519999999999996</v>
      </c>
      <c r="AU23" s="326">
        <v>0.98360000000000003</v>
      </c>
      <c r="AV23" s="326"/>
      <c r="AX23" s="37"/>
      <c r="AY23" s="239" t="s">
        <v>2762</v>
      </c>
      <c r="AZ23" t="s">
        <v>1652</v>
      </c>
      <c r="BA23" s="5">
        <f>ROUND(12.3-(0.213*12000/1000), 3)</f>
        <v>9.7439999999999998</v>
      </c>
      <c r="BB23" s="5">
        <f>ROUND(14-(0.3*12000/1000), 3)</f>
        <v>10.4</v>
      </c>
      <c r="BC23" s="500">
        <f t="shared" si="2"/>
        <v>10.4</v>
      </c>
      <c r="BD23" s="500">
        <f t="shared" si="2"/>
        <v>10.4</v>
      </c>
      <c r="BE23" s="500">
        <f t="shared" si="2"/>
        <v>10.4</v>
      </c>
      <c r="BF23" s="500">
        <f t="shared" si="2"/>
        <v>10.4</v>
      </c>
      <c r="BI23" t="s">
        <v>1299</v>
      </c>
      <c r="BJ23" t="str">
        <f>""</f>
        <v/>
      </c>
      <c r="BK23" t="str">
        <f>""</f>
        <v/>
      </c>
      <c r="BL23" t="str">
        <f>""</f>
        <v/>
      </c>
      <c r="BM23" t="str">
        <f>""</f>
        <v/>
      </c>
      <c r="BN23" t="str">
        <f>""</f>
        <v/>
      </c>
      <c r="BO23" t="str">
        <f>""</f>
        <v/>
      </c>
      <c r="BP23" t="str">
        <f>""</f>
        <v/>
      </c>
      <c r="BQ23" t="str">
        <f>""</f>
        <v/>
      </c>
      <c r="BR23" t="str">
        <f>""</f>
        <v/>
      </c>
      <c r="BS23" t="s">
        <v>1286</v>
      </c>
      <c r="BT23" t="s">
        <v>97</v>
      </c>
    </row>
    <row r="24" spans="1:72">
      <c r="A24" t="s">
        <v>1695</v>
      </c>
      <c r="C24" t="s">
        <v>180</v>
      </c>
      <c r="D24" t="s">
        <v>181</v>
      </c>
      <c r="F24" t="s">
        <v>580</v>
      </c>
      <c r="G24" t="s">
        <v>581</v>
      </c>
      <c r="H24" t="s">
        <v>1945</v>
      </c>
      <c r="J24" s="178" t="b" cm="1">
        <f t="array" ref="J24">Excel_Ack[Acknowledge]</f>
        <v>0</v>
      </c>
      <c r="K24" s="178" t="str">
        <f>IF(Excel_Ack_Compl[[#This Row],[Acknowledge]]=TRUE, IF(ACTIVECOMPL="Yes", "'M05-S05'!A1", ""), "'M01-S02'!A1")</f>
        <v>'M01-S02'!A1</v>
      </c>
      <c r="L24" s="178" t="str">
        <f>IF(Excel_Ack_Compl[[#This Row],[Acknowledge]]=TRUE, IF(ACTIVECOMPL_N="Yes", "'N05-S05'!A1", ""), "'N01-S02'!A1")</f>
        <v>'N01-S02'!A1</v>
      </c>
      <c r="M24" s="178" t="str">
        <f>IF(Excel_Ack_Compl[[#This Row],[Acknowledge]]=TRUE, IF(ACTIVECOMPL_X="Yes", "'X05-S05'!A1", ""), "'X01-S02'!A1")</f>
        <v>'X01-S02'!A1</v>
      </c>
      <c r="O24" t="s">
        <v>1837</v>
      </c>
      <c r="P24" s="9">
        <v>1.08</v>
      </c>
      <c r="Q24" s="9">
        <v>0.67</v>
      </c>
      <c r="R24" s="9">
        <v>1.3</v>
      </c>
      <c r="S24" s="9">
        <v>0.45</v>
      </c>
      <c r="U24" s="447">
        <v>67002</v>
      </c>
      <c r="V24" t="s">
        <v>2325</v>
      </c>
      <c r="W24" s="448" t="s">
        <v>689</v>
      </c>
      <c r="X24" t="s">
        <v>2326</v>
      </c>
      <c r="Y24" s="448"/>
      <c r="Z24" s="448"/>
      <c r="AB24" s="448" t="s">
        <v>2327</v>
      </c>
      <c r="AD24" s="68" t="s">
        <v>319</v>
      </c>
      <c r="AE24" s="68" t="s">
        <v>2234</v>
      </c>
      <c r="AF24" s="403">
        <v>1.379439E-4</v>
      </c>
      <c r="AG24" s="404">
        <v>0.08</v>
      </c>
      <c r="AH24" s="404">
        <v>0.12</v>
      </c>
      <c r="AI24" s="256"/>
      <c r="AJ24" s="192" t="s">
        <v>1175</v>
      </c>
      <c r="AK24">
        <v>0.15</v>
      </c>
      <c r="AL24">
        <v>0.16</v>
      </c>
      <c r="AN24">
        <v>150</v>
      </c>
      <c r="AO24" s="327">
        <v>0.98709999999999998</v>
      </c>
      <c r="AP24" s="326"/>
      <c r="AQ24" s="326"/>
      <c r="AR24" s="326"/>
      <c r="AS24" s="325">
        <f t="shared" si="1"/>
        <v>0.98580000000000001</v>
      </c>
      <c r="AT24" s="326">
        <v>0.98650000000000004</v>
      </c>
      <c r="AU24" s="326">
        <v>0.98510000000000009</v>
      </c>
      <c r="AV24" s="326"/>
      <c r="AX24" s="37"/>
      <c r="AY24" s="230" t="s">
        <v>1885</v>
      </c>
      <c r="AZ24" s="230" t="s">
        <v>1652</v>
      </c>
      <c r="BA24" s="5">
        <v>12.5</v>
      </c>
      <c r="BB24" s="5">
        <v>12.5</v>
      </c>
      <c r="BC24" s="500">
        <v>13.7</v>
      </c>
      <c r="BD24" s="500">
        <v>13.7</v>
      </c>
      <c r="BE24" s="500">
        <v>13.7</v>
      </c>
      <c r="BF24" s="500"/>
    </row>
    <row r="25" spans="1:72">
      <c r="A25" t="s">
        <v>1756</v>
      </c>
      <c r="C25" t="s">
        <v>192</v>
      </c>
      <c r="D25" t="s">
        <v>193</v>
      </c>
      <c r="F25" s="33" t="s">
        <v>2277</v>
      </c>
      <c r="G25" s="33" t="s">
        <v>1003</v>
      </c>
      <c r="O25" t="s">
        <v>964</v>
      </c>
      <c r="P25" s="9">
        <v>1.02</v>
      </c>
      <c r="Q25" s="9">
        <v>0.64</v>
      </c>
      <c r="R25" s="9">
        <v>1.04</v>
      </c>
      <c r="S25" s="9">
        <v>0.45</v>
      </c>
      <c r="U25" s="449">
        <v>66858</v>
      </c>
      <c r="V25" s="450" t="s">
        <v>2327</v>
      </c>
      <c r="W25" s="450"/>
      <c r="X25" s="450" t="s">
        <v>2328</v>
      </c>
      <c r="Y25" s="450"/>
      <c r="Z25" s="450"/>
      <c r="AB25" s="448" t="s">
        <v>2329</v>
      </c>
      <c r="AD25" s="68" t="s">
        <v>772</v>
      </c>
      <c r="AE25" s="68" t="s">
        <v>2234</v>
      </c>
      <c r="AF25" s="403">
        <v>1.6543880000000001E-4</v>
      </c>
      <c r="AG25" s="404">
        <v>0.12</v>
      </c>
      <c r="AH25" s="404">
        <v>0.18</v>
      </c>
      <c r="AI25" s="257"/>
      <c r="AJ25" s="192" t="s">
        <v>1171</v>
      </c>
      <c r="AK25">
        <v>0.15</v>
      </c>
      <c r="AL25">
        <v>0.16</v>
      </c>
      <c r="AN25">
        <v>167</v>
      </c>
      <c r="AO25" s="325">
        <f t="shared" si="0"/>
        <v>0.98860000000000003</v>
      </c>
      <c r="AP25" s="326">
        <v>0.98959999999999992</v>
      </c>
      <c r="AQ25" s="326">
        <v>0.98829999999999996</v>
      </c>
      <c r="AR25" s="326">
        <v>0.98799999999999999</v>
      </c>
      <c r="AS25" s="327">
        <v>0.98580000000000001</v>
      </c>
      <c r="AT25" s="326"/>
      <c r="AU25" s="326"/>
      <c r="AV25" s="326"/>
      <c r="AX25" s="37"/>
      <c r="AY25" s="230" t="s">
        <v>1886</v>
      </c>
      <c r="AZ25" s="230" t="s">
        <v>1652</v>
      </c>
      <c r="BA25" s="5">
        <v>12.75</v>
      </c>
      <c r="BB25" s="5">
        <v>12.75</v>
      </c>
      <c r="BC25" s="500">
        <v>14</v>
      </c>
      <c r="BD25" s="500">
        <v>14</v>
      </c>
      <c r="BE25" s="500">
        <v>14</v>
      </c>
      <c r="BF25" s="500"/>
      <c r="BI25" t="s">
        <v>292</v>
      </c>
      <c r="BJ25" t="s">
        <v>82</v>
      </c>
      <c r="BK25" t="s">
        <v>76</v>
      </c>
      <c r="BL25" t="s">
        <v>71</v>
      </c>
      <c r="BM25" t="s">
        <v>72</v>
      </c>
      <c r="BN25" t="s">
        <v>80</v>
      </c>
      <c r="BO25" t="s">
        <v>288</v>
      </c>
      <c r="BP25" t="s">
        <v>289</v>
      </c>
      <c r="BQ25" t="s">
        <v>287</v>
      </c>
      <c r="BR25" t="s">
        <v>138</v>
      </c>
      <c r="BS25" t="s">
        <v>291</v>
      </c>
      <c r="BT25" t="s">
        <v>597</v>
      </c>
    </row>
    <row r="26" spans="1:72">
      <c r="A26" t="s">
        <v>1146</v>
      </c>
      <c r="C26" t="s">
        <v>188</v>
      </c>
      <c r="D26" t="s">
        <v>189</v>
      </c>
      <c r="F26" t="s">
        <v>2279</v>
      </c>
      <c r="G26">
        <v>0.13675000000000001</v>
      </c>
      <c r="H26" t="s">
        <v>2299</v>
      </c>
      <c r="O26" t="s">
        <v>963</v>
      </c>
      <c r="P26" s="9">
        <v>1.1100000000000001</v>
      </c>
      <c r="Q26" s="9">
        <v>0.53</v>
      </c>
      <c r="R26" s="9">
        <v>1.38</v>
      </c>
      <c r="S26" s="9">
        <v>0.22</v>
      </c>
      <c r="U26" s="447">
        <v>66711</v>
      </c>
      <c r="V26" t="s">
        <v>2329</v>
      </c>
      <c r="W26" s="448"/>
      <c r="X26" t="s">
        <v>2330</v>
      </c>
      <c r="Y26" s="448"/>
      <c r="Z26" s="448"/>
      <c r="AB26" s="448" t="s">
        <v>2332</v>
      </c>
      <c r="AD26" s="68" t="s">
        <v>134</v>
      </c>
      <c r="AE26" s="68" t="s">
        <v>2234</v>
      </c>
      <c r="AF26" s="403">
        <v>2.0772379999999999E-4</v>
      </c>
      <c r="AG26" s="404">
        <v>0.16</v>
      </c>
      <c r="AH26" s="404">
        <v>0.24</v>
      </c>
      <c r="AI26" s="256"/>
      <c r="AJ26" s="192" t="s">
        <v>1172</v>
      </c>
      <c r="AK26">
        <v>0.15</v>
      </c>
      <c r="AL26">
        <v>0.16</v>
      </c>
      <c r="AN26">
        <v>225</v>
      </c>
      <c r="AO26" s="327">
        <v>0.98860000000000003</v>
      </c>
      <c r="AP26" s="326"/>
      <c r="AQ26" s="326"/>
      <c r="AR26" s="326"/>
      <c r="AS26" s="325">
        <f t="shared" si="1"/>
        <v>0.9869</v>
      </c>
      <c r="AT26" s="326">
        <v>0.98819999999999997</v>
      </c>
      <c r="AU26" s="326">
        <v>0.9869</v>
      </c>
      <c r="AV26" s="326">
        <v>0.98569999999999991</v>
      </c>
      <c r="AX26" s="37"/>
      <c r="AY26" s="230" t="s">
        <v>1898</v>
      </c>
      <c r="AZ26" s="230" t="s">
        <v>1897</v>
      </c>
      <c r="BA26" s="5">
        <v>0.63</v>
      </c>
      <c r="BB26" s="5">
        <v>0.63</v>
      </c>
      <c r="BC26" s="500">
        <v>0.6</v>
      </c>
      <c r="BD26" s="500">
        <v>0.6</v>
      </c>
      <c r="BE26" s="500">
        <v>0.6</v>
      </c>
      <c r="BF26" s="500"/>
      <c r="BI26" t="s">
        <v>1750</v>
      </c>
      <c r="BJ26" t="e">
        <f>IF(N05S01F15="Trade Ally / General Contractor",N02S02F01,
IF(N05S01F15="Architect",N02S02F11,
IF(N05S01F15="Mechanical Engineer",N02S02F21,
IF(N05S01F15="Electrical Engineer",N02S02F31,
IF(N05S01F15="Additional Contact 1",N02S02F41,
IF(N05S01F15="Additional Contact 2",N02S02F51,
""))))))</f>
        <v>#REF!</v>
      </c>
      <c r="BK26" t="e">
        <f>IF(N05S01F15="Trade Ally / General Contractor",N02S02F02,
IF(N05S01F15="Architect",N02S02F12,
IF(N05S01F15="Mechanical Engineer",N02S02F22,
IF(N05S01F15="Electrical Engineer",N02S02F32,
IF(N05S01F15="Additional Contact 1",N02S02F42,
IF(N05S01F15="Additional Contact 2",N02S02F52,
""))))))</f>
        <v>#REF!</v>
      </c>
      <c r="BL26" t="e">
        <f>IF(N05S01F15="Trade Ally / General Contractor",N02S02F03,
IF(N05S01F15="Architect",N02S02F13,
IF(N05S01F15="Mechanical Engineer",N02S02F23,
IF(N05S01F15="Electrical Engineer",N02S02F33,
IF(N05S01F15="Additional Contact 1",N02S02F43,
IF(N05S01F15="Additional Contact 2",N02S02F53,
""))))))</f>
        <v>#REF!</v>
      </c>
      <c r="BM26" t="e">
        <f>IF(N05S01F15="Trade Ally / General Contractor",N02S02F04,
IF(N05S01F15="Architect",N02S02F14,
IF(N05S01F15="Mechanical Engineer",N02S02F24,
IF(N05S01F15="Electrical Engineer",N02S02F34,
IF(N05S01F15="Additional Contact 1",N02S02F44,
IF(N05S01F15="Additional Contact 2",N02S02F54,
""))))))</f>
        <v>#REF!</v>
      </c>
      <c r="BN26" t="e">
        <f>IF(N05S01F15="Trade Ally / General Contractor",N02S02F05,
IF(N05S01F15="Architect",N02S02F15,
IF(N05S01F15="Mechanical Engineer",N02S02F25,
IF(N05S01F15="Electrical Engineer",N02S02F35,
IF(N05S01F15="Additional Contact 1",N02S02F45,
IF(N05S01F15="Additional Contact 2",N02S02F55,
""))))))</f>
        <v>#REF!</v>
      </c>
      <c r="BO26" t="e">
        <f>IF(N05S01F15="Trade Ally / General Contractor",N02S02F06,
IF(N05S01F15="Architect",N02S02F16,
IF(N05S01F15="Mechanical Engineer",N02S02F26,
IF(N05S01F15="Electrical Engineer",N02S02F36,
IF(N05S01F15="Additional Contact 1",N02S02F46,
IF(N05S01F15="Additional Contact 2",N02S02F56,
""))))))</f>
        <v>#REF!</v>
      </c>
      <c r="BP26" t="e">
        <f>IF(N05S01F15="Trade Ally / General Contractor",N02S02F07,
IF(N05S01F15="Architect",N02S02F17,
IF(N05S01F15="Mechanical Engineer",N02S02F27,
IF(N05S01F15="Electrical Engineer",N02S02F37,
IF(N05S01F15="Additional Contact 1",N02S02F47,
IF(N05S01F15="Additional Contact 2",N02S02F57,
""))))))</f>
        <v>#REF!</v>
      </c>
      <c r="BQ26" t="e">
        <f>IF(N05S01F15="Trade Ally / General Contractor",N02S02F09,
IF(N05S01F15="Architect",N02S02F19,
IF(N05S01F15="Mechanical Engineer",N02S02F29,
IF(N05S01F15="Electrical Engineer",N02S02F39,
IF(N05S01F15="Additional Contact 1",N02S02F49,
IF(N05S01F15="Additional Contact 2",N02S02F59,
""))))))</f>
        <v>#REF!</v>
      </c>
      <c r="BR26" t="e">
        <f>IF(N05S01F15="Trade Ally / General Contractor",N02S02F10,
IF(N05S01F15="Architect",N02S02F20,
IF(N05S01F15="Mechanical Engineer",N02S02F30,
IF(N05S01F15="Electrical Engineer",N02S02F40,
IF(N05S01F15="Additional Contact 1",N02S02F50,
IF(N05S01F15="Additional Contact 2",N02S02F60,
""))))))</f>
        <v>#REF!</v>
      </c>
      <c r="BS26" t="s">
        <v>1284</v>
      </c>
      <c r="BT26" t="s">
        <v>1187</v>
      </c>
    </row>
    <row r="27" spans="1:72">
      <c r="C27" t="s">
        <v>196</v>
      </c>
      <c r="D27" t="s">
        <v>197</v>
      </c>
      <c r="F27" t="s">
        <v>2280</v>
      </c>
      <c r="G27">
        <v>8.5510000000000003E-2</v>
      </c>
      <c r="H27" t="s">
        <v>2299</v>
      </c>
      <c r="O27" t="s">
        <v>1006</v>
      </c>
      <c r="P27" s="9">
        <v>1.155</v>
      </c>
      <c r="Q27" s="9">
        <v>0.76</v>
      </c>
      <c r="R27" s="9">
        <v>1.2</v>
      </c>
      <c r="S27" s="9">
        <v>0.22</v>
      </c>
      <c r="U27" s="449">
        <v>66741</v>
      </c>
      <c r="V27" s="450" t="s">
        <v>2329</v>
      </c>
      <c r="W27" s="450"/>
      <c r="X27" s="450" t="s">
        <v>2331</v>
      </c>
      <c r="Y27" s="450"/>
      <c r="Z27" s="450"/>
      <c r="AB27" s="448" t="s">
        <v>2334</v>
      </c>
      <c r="AD27" s="68" t="s">
        <v>96</v>
      </c>
      <c r="AE27" s="68" t="s">
        <v>2234</v>
      </c>
      <c r="AF27" s="403">
        <v>8.0642000000000005E-5</v>
      </c>
      <c r="AG27" s="404">
        <v>0.08</v>
      </c>
      <c r="AH27" s="404">
        <v>0.12</v>
      </c>
      <c r="AI27" s="256"/>
      <c r="AJ27" s="192" t="s">
        <v>1173</v>
      </c>
      <c r="AK27">
        <v>0.15</v>
      </c>
      <c r="AL27">
        <v>0.16</v>
      </c>
      <c r="AN27">
        <v>250</v>
      </c>
      <c r="AO27" s="325">
        <f t="shared" si="0"/>
        <v>0.98980000000000001</v>
      </c>
      <c r="AP27" s="326">
        <v>0.99069999999999991</v>
      </c>
      <c r="AQ27" s="326">
        <v>0.98950000000000005</v>
      </c>
      <c r="AR27" s="326">
        <v>0.98909999999999998</v>
      </c>
      <c r="AS27" s="327">
        <v>0.9869</v>
      </c>
      <c r="AT27" s="326"/>
      <c r="AU27" s="326"/>
      <c r="AV27" s="326"/>
      <c r="AX27" s="37"/>
      <c r="AY27" s="230" t="s">
        <v>1927</v>
      </c>
      <c r="AZ27" s="230" t="s">
        <v>1897</v>
      </c>
      <c r="BA27" s="5">
        <v>0.61499999999999999</v>
      </c>
      <c r="BB27" s="5">
        <v>0.61499999999999999</v>
      </c>
      <c r="BC27" s="500">
        <v>0.56000000000000005</v>
      </c>
      <c r="BD27" s="500">
        <v>0.56000000000000005</v>
      </c>
      <c r="BE27" s="500">
        <v>0.56000000000000005</v>
      </c>
      <c r="BF27" s="500"/>
      <c r="BI27" t="s">
        <v>1297</v>
      </c>
      <c r="BJ27" t="e">
        <f>N02S03F01</f>
        <v>#REF!</v>
      </c>
      <c r="BK27" t="e">
        <f>N02S03F02</f>
        <v>#REF!</v>
      </c>
      <c r="BL27" t="e">
        <f>N02S03F03</f>
        <v>#REF!</v>
      </c>
      <c r="BM27" t="e">
        <f>N02S03F04</f>
        <v>#REF!</v>
      </c>
      <c r="BN27" t="e">
        <f>N02S03F05</f>
        <v>#REF!</v>
      </c>
      <c r="BO27" t="e">
        <f>N02S03F06</f>
        <v>#REF!</v>
      </c>
      <c r="BP27" t="e">
        <f>N02S03F07</f>
        <v>#REF!</v>
      </c>
      <c r="BQ27" t="e">
        <f>N02S03F09</f>
        <v>#REF!</v>
      </c>
      <c r="BR27" t="e">
        <f>N02S03F10</f>
        <v>#REF!</v>
      </c>
      <c r="BS27" t="s">
        <v>1285</v>
      </c>
      <c r="BT27" t="s">
        <v>290</v>
      </c>
    </row>
    <row r="28" spans="1:72">
      <c r="A28" t="s">
        <v>1186</v>
      </c>
      <c r="C28" t="s">
        <v>1240</v>
      </c>
      <c r="D28" t="s">
        <v>1241</v>
      </c>
      <c r="F28" t="s">
        <v>2281</v>
      </c>
      <c r="G28">
        <v>6.4089999999999994E-2</v>
      </c>
      <c r="H28" t="s">
        <v>2299</v>
      </c>
      <c r="O28" s="37" t="s">
        <v>1850</v>
      </c>
      <c r="P28" s="9">
        <v>1.06</v>
      </c>
      <c r="Q28">
        <v>0.65</v>
      </c>
      <c r="R28" s="9">
        <v>1.0900000000000001</v>
      </c>
      <c r="S28" s="9">
        <v>0.22</v>
      </c>
      <c r="U28" s="447">
        <v>67005</v>
      </c>
      <c r="V28" t="s">
        <v>2332</v>
      </c>
      <c r="W28" s="448"/>
      <c r="X28" t="s">
        <v>2333</v>
      </c>
      <c r="Y28" s="448"/>
      <c r="Z28" s="448"/>
      <c r="AB28" s="448" t="s">
        <v>2335</v>
      </c>
      <c r="AD28" t="s">
        <v>136</v>
      </c>
      <c r="AE28" s="68" t="s">
        <v>2234</v>
      </c>
      <c r="AF28" s="403">
        <v>1.811545E-4</v>
      </c>
      <c r="AG28" s="404">
        <v>0.09</v>
      </c>
      <c r="AH28" s="404">
        <v>0.14000000000000001</v>
      </c>
      <c r="AI28" s="42"/>
      <c r="AJ28" s="192" t="s">
        <v>1176</v>
      </c>
      <c r="AK28">
        <v>0.15</v>
      </c>
      <c r="AL28">
        <v>0.16</v>
      </c>
      <c r="AN28">
        <v>300</v>
      </c>
      <c r="AO28" s="327">
        <v>0.98980000000000001</v>
      </c>
      <c r="AP28" s="326"/>
      <c r="AQ28" s="326"/>
      <c r="AR28" s="326"/>
      <c r="AS28" s="325">
        <f t="shared" si="1"/>
        <v>0.98809999999999998</v>
      </c>
      <c r="AT28" s="326">
        <v>0.98930000000000007</v>
      </c>
      <c r="AU28" s="326">
        <v>0.98809999999999998</v>
      </c>
      <c r="AV28" s="326">
        <v>0.9869</v>
      </c>
      <c r="AX28" s="37"/>
      <c r="AY28" s="230" t="s">
        <v>1928</v>
      </c>
      <c r="AZ28" s="230" t="s">
        <v>1897</v>
      </c>
      <c r="BA28" s="5">
        <v>0.57999999999999996</v>
      </c>
      <c r="BB28" s="5">
        <v>0.57999999999999996</v>
      </c>
      <c r="BC28" s="500">
        <v>0.54</v>
      </c>
      <c r="BD28" s="500">
        <v>0.54</v>
      </c>
      <c r="BE28" s="500">
        <v>0.54</v>
      </c>
      <c r="BF28" s="500"/>
      <c r="BI28" t="s">
        <v>1296</v>
      </c>
      <c r="BJ28" t="e">
        <f>N02S03F15</f>
        <v>#REF!</v>
      </c>
      <c r="BK28" t="e">
        <f>N02S03F16</f>
        <v>#REF!</v>
      </c>
      <c r="BL28" t="e">
        <f>N02S03F17</f>
        <v>#REF!</v>
      </c>
      <c r="BM28" t="e">
        <f>N02S03F18</f>
        <v>#REF!</v>
      </c>
      <c r="BN28" t="e">
        <f>N02S03F19</f>
        <v>#REF!</v>
      </c>
      <c r="BO28" t="e">
        <f>N02S03F21</f>
        <v>#REF!</v>
      </c>
      <c r="BP28" t="e">
        <f>N02S03F22</f>
        <v>#REF!</v>
      </c>
      <c r="BQ28" t="e">
        <f>N02S03F24</f>
        <v>#REF!</v>
      </c>
      <c r="BR28" t="e">
        <f>N02S03F25</f>
        <v>#REF!</v>
      </c>
      <c r="BS28" t="s">
        <v>1286</v>
      </c>
      <c r="BT28" t="s">
        <v>290</v>
      </c>
    </row>
    <row r="29" spans="1:72">
      <c r="A29" t="s">
        <v>688</v>
      </c>
      <c r="C29" t="s">
        <v>200</v>
      </c>
      <c r="D29" t="s">
        <v>201</v>
      </c>
      <c r="F29" t="s">
        <v>2282</v>
      </c>
      <c r="G29">
        <v>6.4089999999999994E-2</v>
      </c>
      <c r="H29" t="s">
        <v>2299</v>
      </c>
      <c r="O29" s="37" t="s">
        <v>965</v>
      </c>
      <c r="P29" s="9">
        <v>1.06</v>
      </c>
      <c r="Q29" s="9">
        <v>0.6</v>
      </c>
      <c r="R29" s="9">
        <v>1.65</v>
      </c>
      <c r="S29" s="9">
        <v>0.22</v>
      </c>
      <c r="U29" s="447">
        <v>67514</v>
      </c>
      <c r="V29" t="s">
        <v>2334</v>
      </c>
      <c r="W29" s="448"/>
      <c r="X29" t="s">
        <v>2309</v>
      </c>
      <c r="Y29" s="448"/>
      <c r="Z29" s="448"/>
      <c r="AB29" s="448" t="s">
        <v>2336</v>
      </c>
      <c r="AN29">
        <v>333</v>
      </c>
      <c r="AO29" s="325">
        <f t="shared" si="0"/>
        <v>0.99050000000000005</v>
      </c>
      <c r="AP29" s="326">
        <v>0.99140000000000006</v>
      </c>
      <c r="AQ29" s="326">
        <v>0.99029999999999996</v>
      </c>
      <c r="AR29" s="326">
        <v>0.9899</v>
      </c>
      <c r="AS29" s="327">
        <v>0.98809999999999998</v>
      </c>
      <c r="AT29" s="326"/>
      <c r="AU29" s="326"/>
      <c r="AV29" s="326"/>
      <c r="AX29" s="37"/>
      <c r="AY29" s="230" t="s">
        <v>1943</v>
      </c>
      <c r="AZ29" s="230" t="s">
        <v>1897</v>
      </c>
      <c r="BA29" s="5">
        <v>0.54</v>
      </c>
      <c r="BB29" s="5">
        <v>0.54</v>
      </c>
      <c r="BC29" s="500">
        <v>0.52</v>
      </c>
      <c r="BD29" s="500">
        <v>0.52</v>
      </c>
      <c r="BE29" s="500">
        <v>0.52</v>
      </c>
      <c r="BF29" s="500"/>
      <c r="BI29" t="s">
        <v>1295</v>
      </c>
      <c r="BJ29" t="e">
        <f>N02S03F15</f>
        <v>#REF!</v>
      </c>
      <c r="BK29" t="e">
        <f>N02S03F16</f>
        <v>#REF!</v>
      </c>
      <c r="BL29" t="e">
        <f>N02S03F17</f>
        <v>#REF!</v>
      </c>
      <c r="BM29" t="e">
        <f>N02S03F18</f>
        <v>#REF!</v>
      </c>
      <c r="BN29" t="e">
        <f>N02S03F19</f>
        <v>#REF!</v>
      </c>
      <c r="BO29" t="e">
        <f>N02S03F21</f>
        <v>#REF!</v>
      </c>
      <c r="BP29" t="e">
        <f>N02S03F22</f>
        <v>#REF!</v>
      </c>
      <c r="BQ29" t="e">
        <f>N02S03F24</f>
        <v>#REF!</v>
      </c>
      <c r="BR29" t="e">
        <f>N02S03F25</f>
        <v>#REF!</v>
      </c>
      <c r="BS29" t="s">
        <v>1300</v>
      </c>
      <c r="BT29" t="s">
        <v>97</v>
      </c>
    </row>
    <row r="30" spans="1:72">
      <c r="A30" t="s">
        <v>689</v>
      </c>
      <c r="C30" t="s">
        <v>204</v>
      </c>
      <c r="D30" t="s">
        <v>205</v>
      </c>
      <c r="F30" s="33" t="s">
        <v>2278</v>
      </c>
      <c r="G30" s="33" t="s">
        <v>1003</v>
      </c>
      <c r="O30" s="37" t="s">
        <v>966</v>
      </c>
      <c r="P30" s="9">
        <v>1.1000000000000001</v>
      </c>
      <c r="Q30" s="9">
        <v>0.52</v>
      </c>
      <c r="R30" s="9">
        <v>1.26</v>
      </c>
      <c r="S30" s="9">
        <v>0.22</v>
      </c>
      <c r="U30" s="447">
        <v>66712</v>
      </c>
      <c r="V30" t="s">
        <v>2335</v>
      </c>
      <c r="W30" s="448"/>
      <c r="X30" t="s">
        <v>2330</v>
      </c>
      <c r="Y30" s="448"/>
      <c r="Z30" s="448"/>
      <c r="AB30" s="448" t="s">
        <v>707</v>
      </c>
      <c r="AN30">
        <v>500</v>
      </c>
      <c r="AO30" s="325">
        <f t="shared" si="0"/>
        <v>0.99139999999999995</v>
      </c>
      <c r="AP30" s="326">
        <v>0.99219999999999997</v>
      </c>
      <c r="AQ30" s="326">
        <v>0.99120000000000008</v>
      </c>
      <c r="AR30" s="326">
        <v>0.9909</v>
      </c>
      <c r="AS30" s="325">
        <f t="shared" si="1"/>
        <v>0.9899</v>
      </c>
      <c r="AT30" s="326">
        <v>0.9909</v>
      </c>
      <c r="AU30" s="326">
        <v>0.9899</v>
      </c>
      <c r="AV30" s="326">
        <v>0.9889</v>
      </c>
      <c r="AX30" s="37"/>
      <c r="AY30" s="230" t="s">
        <v>1944</v>
      </c>
      <c r="AZ30" s="230" t="s">
        <v>1897</v>
      </c>
      <c r="BA30" s="5">
        <v>0.54</v>
      </c>
      <c r="BB30" s="5">
        <v>0.54</v>
      </c>
      <c r="BC30" s="500">
        <v>0.5</v>
      </c>
      <c r="BD30" s="500">
        <v>0.5</v>
      </c>
      <c r="BE30" s="500">
        <v>0.5</v>
      </c>
      <c r="BF30" s="500"/>
      <c r="BI30" t="s">
        <v>1299</v>
      </c>
      <c r="BJ30" t="str">
        <f>""</f>
        <v/>
      </c>
      <c r="BK30" t="str">
        <f>""</f>
        <v/>
      </c>
      <c r="BL30" t="str">
        <f>""</f>
        <v/>
      </c>
      <c r="BM30" t="str">
        <f>""</f>
        <v/>
      </c>
      <c r="BN30" t="str">
        <f>""</f>
        <v/>
      </c>
      <c r="BO30" t="str">
        <f>""</f>
        <v/>
      </c>
      <c r="BP30" t="str">
        <f>""</f>
        <v/>
      </c>
      <c r="BQ30" t="str">
        <f>""</f>
        <v/>
      </c>
      <c r="BR30" t="str">
        <f>""</f>
        <v/>
      </c>
      <c r="BS30" t="s">
        <v>1286</v>
      </c>
      <c r="BT30" t="s">
        <v>97</v>
      </c>
    </row>
    <row r="31" spans="1:72">
      <c r="A31" t="s">
        <v>690</v>
      </c>
      <c r="C31" t="s">
        <v>2198</v>
      </c>
      <c r="D31" t="s">
        <v>2199</v>
      </c>
      <c r="F31" t="s">
        <v>2286</v>
      </c>
      <c r="G31">
        <v>7.2830000000000006E-2</v>
      </c>
      <c r="H31" t="s">
        <v>2297</v>
      </c>
      <c r="O31" s="37" t="s">
        <v>967</v>
      </c>
      <c r="P31" s="9">
        <v>1.25</v>
      </c>
      <c r="Q31" s="9">
        <v>0.69</v>
      </c>
      <c r="R31" s="9">
        <v>1.36</v>
      </c>
      <c r="S31" s="9">
        <v>0.22</v>
      </c>
      <c r="U31" s="447">
        <v>67416</v>
      </c>
      <c r="V31" t="s">
        <v>2336</v>
      </c>
      <c r="W31" s="448"/>
      <c r="X31" t="s">
        <v>2337</v>
      </c>
      <c r="Y31" s="448"/>
      <c r="Z31" s="448"/>
      <c r="AB31" s="448" t="s">
        <v>2339</v>
      </c>
      <c r="AN31">
        <v>500</v>
      </c>
      <c r="AO31" s="325">
        <f t="shared" si="0"/>
        <v>0.99139999999999995</v>
      </c>
      <c r="AP31" s="326">
        <v>0.99219999999999997</v>
      </c>
      <c r="AQ31" s="326">
        <v>0.99120000000000008</v>
      </c>
      <c r="AR31" s="326">
        <v>0.9909</v>
      </c>
      <c r="AS31" s="327">
        <v>0.9899</v>
      </c>
      <c r="AT31" s="326"/>
      <c r="AU31" s="326"/>
      <c r="AV31" s="326"/>
      <c r="AX31" s="37"/>
      <c r="AY31" s="230" t="s">
        <v>1895</v>
      </c>
      <c r="AZ31" s="230" t="s">
        <v>1897</v>
      </c>
      <c r="BA31" s="5">
        <v>0.59599999999999997</v>
      </c>
      <c r="BB31" s="5">
        <v>0.59599999999999997</v>
      </c>
      <c r="BC31" s="500">
        <v>0.55000000000000004</v>
      </c>
      <c r="BD31" s="500">
        <v>0.55000000000000004</v>
      </c>
      <c r="BE31" s="500">
        <v>0.55000000000000004</v>
      </c>
      <c r="BF31" s="500"/>
    </row>
    <row r="32" spans="1:72">
      <c r="A32" t="s">
        <v>1184</v>
      </c>
      <c r="C32" t="s">
        <v>208</v>
      </c>
      <c r="D32" t="s">
        <v>209</v>
      </c>
      <c r="F32" t="s">
        <v>2285</v>
      </c>
      <c r="G32">
        <v>1.61E-2</v>
      </c>
      <c r="H32" t="s">
        <v>2297</v>
      </c>
      <c r="O32" s="37" t="s">
        <v>97</v>
      </c>
      <c r="P32" s="9">
        <v>1.0900000000000001</v>
      </c>
      <c r="Q32" s="9">
        <v>0.73</v>
      </c>
      <c r="R32" s="9">
        <v>1.36</v>
      </c>
      <c r="S32" s="9">
        <v>0.22</v>
      </c>
      <c r="U32" s="447">
        <v>66002</v>
      </c>
      <c r="V32" t="s">
        <v>707</v>
      </c>
      <c r="W32" s="448"/>
      <c r="X32" t="s">
        <v>2338</v>
      </c>
      <c r="Y32" s="448"/>
      <c r="Z32" s="448"/>
      <c r="AB32" s="448" t="s">
        <v>2340</v>
      </c>
      <c r="AN32">
        <v>667</v>
      </c>
      <c r="AO32" s="325">
        <f t="shared" si="0"/>
        <v>0.99199999999999999</v>
      </c>
      <c r="AP32" s="326">
        <v>0.99269999999999992</v>
      </c>
      <c r="AQ32" s="326">
        <v>0.99180000000000001</v>
      </c>
      <c r="AR32" s="326">
        <v>0.99150000000000005</v>
      </c>
      <c r="AS32" s="327">
        <v>0.9899</v>
      </c>
      <c r="AT32" s="326"/>
      <c r="AU32" s="326"/>
      <c r="AV32" s="326"/>
      <c r="AX32" s="37"/>
      <c r="AY32" s="230" t="s">
        <v>1929</v>
      </c>
      <c r="AZ32" s="230" t="s">
        <v>1897</v>
      </c>
      <c r="BA32" s="5">
        <v>0.59599999999999997</v>
      </c>
      <c r="BB32" s="5">
        <v>0.59599999999999997</v>
      </c>
      <c r="BC32" s="500">
        <v>0.55000000000000004</v>
      </c>
      <c r="BD32" s="500">
        <v>0.55000000000000004</v>
      </c>
      <c r="BE32" s="500">
        <v>0.55000000000000004</v>
      </c>
      <c r="BF32" s="500"/>
    </row>
    <row r="33" spans="1:58">
      <c r="A33" t="s">
        <v>2176</v>
      </c>
      <c r="C33" t="s">
        <v>212</v>
      </c>
      <c r="D33" t="s">
        <v>213</v>
      </c>
      <c r="F33" t="s">
        <v>2284</v>
      </c>
      <c r="G33">
        <v>1.4330000000000001E-2</v>
      </c>
      <c r="H33" t="s">
        <v>2297</v>
      </c>
      <c r="O33" s="37" t="s">
        <v>1008</v>
      </c>
      <c r="P33" s="9">
        <v>1.1200000000000001</v>
      </c>
      <c r="Q33" s="9">
        <v>0.48</v>
      </c>
      <c r="R33" s="9">
        <v>1.37</v>
      </c>
      <c r="S33" s="9">
        <v>0.22</v>
      </c>
      <c r="T33" s="9"/>
      <c r="U33" s="447">
        <v>67008</v>
      </c>
      <c r="V33" t="s">
        <v>2339</v>
      </c>
      <c r="W33" s="448"/>
      <c r="X33" t="s">
        <v>2333</v>
      </c>
      <c r="Y33" s="448"/>
      <c r="Z33" s="448"/>
      <c r="AB33" s="448" t="s">
        <v>2341</v>
      </c>
      <c r="AN33">
        <v>750</v>
      </c>
      <c r="AO33" s="327">
        <v>0.99199999999999999</v>
      </c>
      <c r="AP33" s="326"/>
      <c r="AQ33" s="326"/>
      <c r="AR33" s="326"/>
      <c r="AS33" s="325">
        <f t="shared" si="1"/>
        <v>0.99119999999999997</v>
      </c>
      <c r="AT33" s="326">
        <v>0.99209999999999998</v>
      </c>
      <c r="AU33" s="326">
        <v>0.99120000000000008</v>
      </c>
      <c r="AV33" s="326">
        <v>0.99019999999999997</v>
      </c>
      <c r="AX33" s="37"/>
      <c r="AY33" s="230" t="s">
        <v>1941</v>
      </c>
      <c r="AZ33" s="230" t="s">
        <v>1897</v>
      </c>
      <c r="BA33" s="5">
        <v>0.54900000000000004</v>
      </c>
      <c r="BB33" s="5">
        <v>0.54900000000000004</v>
      </c>
      <c r="BC33" s="500">
        <v>0.52</v>
      </c>
      <c r="BD33" s="500">
        <v>0.52</v>
      </c>
      <c r="BE33" s="500">
        <v>0.52</v>
      </c>
      <c r="BF33" s="500"/>
    </row>
    <row r="34" spans="1:58">
      <c r="C34" t="s">
        <v>216</v>
      </c>
      <c r="D34" t="s">
        <v>217</v>
      </c>
      <c r="F34" t="s">
        <v>2283</v>
      </c>
      <c r="G34">
        <v>1.4330000000000001E-2</v>
      </c>
      <c r="H34" t="s">
        <v>2297</v>
      </c>
      <c r="O34" s="37" t="s">
        <v>968</v>
      </c>
      <c r="P34" s="9">
        <v>1.08</v>
      </c>
      <c r="Q34" s="9">
        <v>1</v>
      </c>
      <c r="R34" s="9">
        <v>1.1000000000000001</v>
      </c>
      <c r="S34" s="9">
        <v>0.22</v>
      </c>
      <c r="T34" s="9"/>
      <c r="U34" s="447">
        <v>67010</v>
      </c>
      <c r="V34" t="s">
        <v>2340</v>
      </c>
      <c r="W34" s="448"/>
      <c r="X34" t="s">
        <v>2326</v>
      </c>
      <c r="Y34" s="448"/>
      <c r="Z34" s="448"/>
      <c r="AB34" s="448" t="s">
        <v>2343</v>
      </c>
      <c r="AN34">
        <v>833</v>
      </c>
      <c r="AO34" s="325">
        <f t="shared" si="0"/>
        <v>0.99250000000000005</v>
      </c>
      <c r="AP34" s="326">
        <v>0.99309999999999998</v>
      </c>
      <c r="AQ34" s="326">
        <v>0.99230000000000007</v>
      </c>
      <c r="AR34" s="326">
        <v>0.99199999999999999</v>
      </c>
      <c r="AS34" s="327">
        <v>0.99119999999999997</v>
      </c>
      <c r="AT34" s="326"/>
      <c r="AU34" s="326"/>
      <c r="AV34" s="326"/>
      <c r="AX34" s="37"/>
      <c r="AY34" s="230" t="s">
        <v>1942</v>
      </c>
      <c r="AZ34" s="230" t="s">
        <v>1897</v>
      </c>
      <c r="BA34" s="5">
        <v>0.54900000000000004</v>
      </c>
      <c r="BB34" s="5">
        <v>0.54900000000000004</v>
      </c>
      <c r="BC34" s="500">
        <v>0.5</v>
      </c>
      <c r="BD34" s="500">
        <v>0.5</v>
      </c>
      <c r="BE34" s="500">
        <v>0.5</v>
      </c>
      <c r="BF34" s="500"/>
    </row>
    <row r="35" spans="1:58">
      <c r="C35" t="s">
        <v>220</v>
      </c>
      <c r="D35" t="s">
        <v>221</v>
      </c>
      <c r="O35" s="37" t="s">
        <v>969</v>
      </c>
      <c r="P35" s="9">
        <v>1.06</v>
      </c>
      <c r="Q35" s="9">
        <v>0.94</v>
      </c>
      <c r="R35" s="9">
        <v>1.06</v>
      </c>
      <c r="S35" s="9">
        <v>0.22</v>
      </c>
      <c r="T35" s="9"/>
      <c r="U35" s="447">
        <v>66403</v>
      </c>
      <c r="V35" t="s">
        <v>2341</v>
      </c>
      <c r="W35" s="448"/>
      <c r="X35" t="s">
        <v>2342</v>
      </c>
      <c r="Y35" s="448"/>
      <c r="Z35" s="448"/>
      <c r="AB35" s="448" t="s">
        <v>2345</v>
      </c>
      <c r="AN35">
        <v>1000</v>
      </c>
      <c r="AO35" s="327">
        <v>0.99250000000000005</v>
      </c>
      <c r="AP35" s="326"/>
      <c r="AQ35" s="326"/>
      <c r="AR35" s="326"/>
      <c r="AS35" s="325">
        <f t="shared" si="1"/>
        <v>0.99199999999999999</v>
      </c>
      <c r="AT35" s="326">
        <v>0.99280000000000002</v>
      </c>
      <c r="AU35" s="326">
        <v>0.99199999999999999</v>
      </c>
      <c r="AV35" s="326">
        <v>0.99109999999999998</v>
      </c>
      <c r="AX35" s="37"/>
      <c r="AY35" s="230" t="s">
        <v>1896</v>
      </c>
      <c r="AZ35" s="230" t="s">
        <v>1897</v>
      </c>
      <c r="BA35" s="5">
        <v>0.53900000000000003</v>
      </c>
      <c r="BB35" s="5">
        <v>0.53900000000000003</v>
      </c>
      <c r="BC35" s="500">
        <v>0.5</v>
      </c>
      <c r="BD35" s="500">
        <v>0.5</v>
      </c>
      <c r="BE35" s="500">
        <v>0.5</v>
      </c>
      <c r="BF35" s="500"/>
    </row>
    <row r="36" spans="1:58">
      <c r="A36" t="s">
        <v>998</v>
      </c>
      <c r="C36" t="s">
        <v>236</v>
      </c>
      <c r="D36" t="s">
        <v>237</v>
      </c>
      <c r="O36" s="37" t="s">
        <v>970</v>
      </c>
      <c r="P36" s="9">
        <v>1.1200000000000001</v>
      </c>
      <c r="Q36" s="9">
        <v>0.74</v>
      </c>
      <c r="R36" s="9">
        <v>1.29</v>
      </c>
      <c r="S36" s="9">
        <v>0.22</v>
      </c>
      <c r="T36" s="9"/>
      <c r="U36" s="447">
        <v>66404</v>
      </c>
      <c r="V36" t="s">
        <v>2343</v>
      </c>
      <c r="W36" s="448"/>
      <c r="X36" t="s">
        <v>2344</v>
      </c>
      <c r="Y36" s="448"/>
      <c r="Z36" s="448"/>
      <c r="AB36" s="448" t="s">
        <v>709</v>
      </c>
      <c r="AN36">
        <v>1500</v>
      </c>
      <c r="AO36" s="327">
        <v>0.99250000000000005</v>
      </c>
      <c r="AP36" s="326"/>
      <c r="AQ36" s="326"/>
      <c r="AR36" s="326"/>
      <c r="AS36" s="325">
        <f t="shared" si="1"/>
        <v>0.9929</v>
      </c>
      <c r="AT36" s="326">
        <v>0.99370000000000003</v>
      </c>
      <c r="AU36" s="326">
        <v>0.99299999999999999</v>
      </c>
      <c r="AV36" s="326">
        <v>0.99209999999999998</v>
      </c>
      <c r="AX36" s="37"/>
      <c r="AY36" s="230" t="s">
        <v>1973</v>
      </c>
      <c r="AZ36" s="230" t="s">
        <v>1653</v>
      </c>
      <c r="BA36" s="5">
        <v>13</v>
      </c>
      <c r="BB36" s="5">
        <v>13</v>
      </c>
      <c r="BC36" s="500">
        <v>13</v>
      </c>
      <c r="BD36" s="500">
        <v>13</v>
      </c>
      <c r="BE36" s="500">
        <v>13</v>
      </c>
      <c r="BF36" s="500">
        <v>13</v>
      </c>
    </row>
    <row r="37" spans="1:58">
      <c r="A37" t="s">
        <v>1287</v>
      </c>
      <c r="C37" t="s">
        <v>224</v>
      </c>
      <c r="D37" t="s">
        <v>225</v>
      </c>
      <c r="O37" s="37" t="s">
        <v>958</v>
      </c>
      <c r="P37" s="9">
        <v>1.17</v>
      </c>
      <c r="Q37" s="9">
        <v>0.63</v>
      </c>
      <c r="R37" s="9">
        <v>1.33</v>
      </c>
      <c r="S37" s="9">
        <v>0.22</v>
      </c>
      <c r="T37" s="9"/>
      <c r="U37" s="447">
        <v>66006</v>
      </c>
      <c r="V37" t="s">
        <v>2345</v>
      </c>
      <c r="W37" s="448"/>
      <c r="X37" t="s">
        <v>2346</v>
      </c>
      <c r="Y37" s="448"/>
      <c r="Z37" s="448"/>
      <c r="AB37" s="448" t="s">
        <v>2348</v>
      </c>
      <c r="AN37">
        <v>2000</v>
      </c>
      <c r="AO37" s="327">
        <v>0.99250000000000005</v>
      </c>
      <c r="AP37" s="326"/>
      <c r="AQ37" s="326"/>
      <c r="AR37" s="326"/>
      <c r="AS37" s="325">
        <f t="shared" si="1"/>
        <v>0.99360000000000004</v>
      </c>
      <c r="AT37" s="326">
        <v>0.99430000000000007</v>
      </c>
      <c r="AU37" s="326">
        <v>0.99360000000000004</v>
      </c>
      <c r="AV37" s="326">
        <v>0.99280000000000002</v>
      </c>
      <c r="AX37" s="37"/>
      <c r="AY37" s="230" t="s">
        <v>1974</v>
      </c>
      <c r="AZ37" s="230" t="s">
        <v>1654</v>
      </c>
      <c r="BA37" s="5">
        <v>12.9</v>
      </c>
      <c r="BB37" s="5">
        <v>12.9</v>
      </c>
      <c r="BC37" s="500">
        <v>12.9</v>
      </c>
      <c r="BD37" s="500">
        <v>14.6</v>
      </c>
      <c r="BE37" s="500">
        <v>14.6</v>
      </c>
      <c r="BF37" s="500">
        <v>14.6</v>
      </c>
    </row>
    <row r="38" spans="1:58">
      <c r="A38" t="s">
        <v>1288</v>
      </c>
      <c r="C38" t="s">
        <v>228</v>
      </c>
      <c r="D38" t="s">
        <v>229</v>
      </c>
      <c r="O38" s="37" t="s">
        <v>956</v>
      </c>
      <c r="P38" s="9">
        <v>1.02</v>
      </c>
      <c r="Q38" s="9">
        <v>0.63</v>
      </c>
      <c r="R38" s="9">
        <v>1.54</v>
      </c>
      <c r="S38" s="9">
        <v>0.22</v>
      </c>
      <c r="T38" s="9"/>
      <c r="U38" s="447">
        <v>67418</v>
      </c>
      <c r="V38" t="s">
        <v>709</v>
      </c>
      <c r="W38" s="448"/>
      <c r="X38" t="s">
        <v>2347</v>
      </c>
      <c r="Y38" s="448"/>
      <c r="Z38" s="448"/>
      <c r="AB38" s="448" t="s">
        <v>2349</v>
      </c>
      <c r="AN38">
        <v>2500</v>
      </c>
      <c r="AO38" s="327">
        <v>0.99250000000000005</v>
      </c>
      <c r="AP38" s="326"/>
      <c r="AQ38" s="326"/>
      <c r="AR38" s="326"/>
      <c r="AS38" s="325">
        <f t="shared" si="1"/>
        <v>0.99399999999999999</v>
      </c>
      <c r="AT38" s="326">
        <v>0.99470000000000003</v>
      </c>
      <c r="AU38" s="326">
        <v>0.99409999999999998</v>
      </c>
      <c r="AV38" s="326">
        <v>0.99329999999999996</v>
      </c>
      <c r="AX38" s="37"/>
      <c r="AY38" s="230" t="s">
        <v>1975</v>
      </c>
      <c r="AZ38" s="230" t="s">
        <v>1654</v>
      </c>
      <c r="BA38" s="5">
        <v>12.7</v>
      </c>
      <c r="BB38" s="5">
        <v>12.7</v>
      </c>
      <c r="BC38" s="500">
        <v>12.3</v>
      </c>
      <c r="BD38" s="500">
        <v>13.9</v>
      </c>
      <c r="BE38" s="500">
        <v>13.9</v>
      </c>
      <c r="BF38" s="500">
        <v>13.9</v>
      </c>
    </row>
    <row r="39" spans="1:58">
      <c r="A39" t="s">
        <v>999</v>
      </c>
      <c r="C39" t="s">
        <v>232</v>
      </c>
      <c r="D39" t="s">
        <v>233</v>
      </c>
      <c r="O39" s="37" t="s">
        <v>696</v>
      </c>
      <c r="P39" s="9">
        <v>1.04</v>
      </c>
      <c r="Q39" s="9">
        <v>0.65</v>
      </c>
      <c r="R39" s="9">
        <v>1.51</v>
      </c>
      <c r="S39" s="9">
        <v>0.22</v>
      </c>
      <c r="T39" s="9"/>
      <c r="U39" s="447">
        <v>67332</v>
      </c>
      <c r="V39" t="s">
        <v>2348</v>
      </c>
      <c r="W39" s="448"/>
      <c r="X39" t="s">
        <v>2319</v>
      </c>
      <c r="Y39" s="448"/>
      <c r="Z39" s="448"/>
      <c r="AB39" s="448" t="s">
        <v>2351</v>
      </c>
      <c r="AX39" s="37"/>
      <c r="AY39" s="230" t="s">
        <v>1976</v>
      </c>
      <c r="AZ39" s="230" t="s">
        <v>1654</v>
      </c>
      <c r="BA39" s="5">
        <v>12.3</v>
      </c>
      <c r="BB39" s="5">
        <v>12.3</v>
      </c>
      <c r="BC39" s="500">
        <v>11</v>
      </c>
      <c r="BD39" s="500">
        <v>12.7</v>
      </c>
      <c r="BE39" s="500">
        <v>12.7</v>
      </c>
      <c r="BF39" s="500">
        <v>12.7</v>
      </c>
    </row>
    <row r="40" spans="1:58">
      <c r="A40" t="s">
        <v>1000</v>
      </c>
      <c r="C40" t="s">
        <v>240</v>
      </c>
      <c r="D40" t="s">
        <v>241</v>
      </c>
      <c r="O40" s="37" t="s">
        <v>697</v>
      </c>
      <c r="P40" s="9">
        <v>1.17</v>
      </c>
      <c r="Q40" s="9">
        <v>0.63</v>
      </c>
      <c r="R40" s="9">
        <v>1.33</v>
      </c>
      <c r="S40" s="9">
        <v>0.22</v>
      </c>
      <c r="T40" s="9"/>
      <c r="U40" s="447">
        <v>66007</v>
      </c>
      <c r="V40" t="s">
        <v>2349</v>
      </c>
      <c r="W40" s="448"/>
      <c r="X40" t="s">
        <v>2350</v>
      </c>
      <c r="Y40" s="448"/>
      <c r="Z40" s="448"/>
      <c r="AB40" s="448" t="s">
        <v>2352</v>
      </c>
      <c r="AN40" s="599" t="s">
        <v>2133</v>
      </c>
      <c r="AO40" s="599"/>
      <c r="AP40" s="599"/>
      <c r="AR40" s="599" t="s">
        <v>2134</v>
      </c>
      <c r="AS40" s="599"/>
      <c r="AT40" s="599"/>
      <c r="AX40" s="37"/>
      <c r="AY40" s="230"/>
      <c r="AZ40" s="230"/>
      <c r="BA40" s="272" t="s">
        <v>2179</v>
      </c>
      <c r="BB40" s="272" t="s">
        <v>2185</v>
      </c>
      <c r="BC40" s="272" t="s">
        <v>2184</v>
      </c>
      <c r="BD40" s="272" t="s">
        <v>2183</v>
      </c>
      <c r="BE40" s="272" t="s">
        <v>2182</v>
      </c>
      <c r="BF40" s="272"/>
    </row>
    <row r="41" spans="1:58">
      <c r="A41" t="s">
        <v>1001</v>
      </c>
      <c r="C41" t="s">
        <v>244</v>
      </c>
      <c r="D41" t="s">
        <v>245</v>
      </c>
      <c r="O41" s="37" t="s">
        <v>178</v>
      </c>
      <c r="P41" s="9">
        <v>1</v>
      </c>
      <c r="Q41">
        <v>0.55000000000000004</v>
      </c>
      <c r="R41" s="9">
        <v>1.22</v>
      </c>
      <c r="S41" s="9">
        <v>0.22</v>
      </c>
      <c r="T41" s="9"/>
      <c r="U41" s="449">
        <v>67401</v>
      </c>
      <c r="V41" s="450" t="s">
        <v>2351</v>
      </c>
      <c r="W41" s="450"/>
      <c r="X41" s="450" t="s">
        <v>2337</v>
      </c>
      <c r="Y41" s="450"/>
      <c r="Z41" s="450"/>
      <c r="AB41" s="448" t="s">
        <v>2353</v>
      </c>
      <c r="AN41" t="s">
        <v>2118</v>
      </c>
      <c r="AO41" t="s">
        <v>2125</v>
      </c>
      <c r="AP41" t="s">
        <v>2129</v>
      </c>
      <c r="AR41" t="s">
        <v>2118</v>
      </c>
      <c r="AS41" t="s">
        <v>2125</v>
      </c>
      <c r="AT41" t="s">
        <v>2129</v>
      </c>
      <c r="AX41" s="37"/>
      <c r="AY41" s="37"/>
      <c r="AZ41" s="37"/>
      <c r="BA41" s="37"/>
      <c r="BB41" s="37"/>
      <c r="BC41" s="37"/>
      <c r="BD41" s="37"/>
      <c r="BE41" s="37"/>
      <c r="BF41" s="37"/>
    </row>
    <row r="42" spans="1:58">
      <c r="A42" t="s">
        <v>1002</v>
      </c>
      <c r="C42" t="s">
        <v>248</v>
      </c>
      <c r="D42" t="s">
        <v>249</v>
      </c>
      <c r="O42" s="9"/>
      <c r="P42" s="9"/>
      <c r="Q42" s="9"/>
      <c r="R42" s="9"/>
      <c r="S42" s="9"/>
      <c r="T42" s="9"/>
      <c r="U42" s="447">
        <v>66406</v>
      </c>
      <c r="V42" t="s">
        <v>2352</v>
      </c>
      <c r="W42" s="448"/>
      <c r="X42" t="s">
        <v>2342</v>
      </c>
      <c r="Y42" s="448"/>
      <c r="Z42" s="448"/>
      <c r="AB42" s="448" t="s">
        <v>2354</v>
      </c>
      <c r="AN42">
        <v>0</v>
      </c>
      <c r="AO42" s="328">
        <v>0.98699999999999999</v>
      </c>
      <c r="AP42" s="328">
        <v>0.98650000000000004</v>
      </c>
      <c r="AR42">
        <v>0</v>
      </c>
      <c r="AS42" s="327">
        <v>0.97699999999999998</v>
      </c>
      <c r="AT42" s="328">
        <v>0.97889999999999999</v>
      </c>
      <c r="AX42" s="367" t="s">
        <v>97</v>
      </c>
      <c r="AY42" s="499" t="s">
        <v>839</v>
      </c>
      <c r="AZ42" s="499" t="s">
        <v>1729</v>
      </c>
      <c r="BA42" s="499" t="s">
        <v>688</v>
      </c>
      <c r="BB42" s="499" t="s">
        <v>689</v>
      </c>
      <c r="BC42" s="499" t="s">
        <v>690</v>
      </c>
      <c r="BD42" s="499" t="s">
        <v>1184</v>
      </c>
      <c r="BE42" s="241" t="s">
        <v>2176</v>
      </c>
      <c r="BF42" s="37" t="s">
        <v>2270</v>
      </c>
    </row>
    <row r="43" spans="1:58">
      <c r="A43" t="s">
        <v>1825</v>
      </c>
      <c r="C43" t="s">
        <v>260</v>
      </c>
      <c r="D43" t="s">
        <v>261</v>
      </c>
      <c r="O43" s="9"/>
      <c r="P43" s="9"/>
      <c r="Q43" s="9"/>
      <c r="R43" s="9"/>
      <c r="S43" s="9"/>
      <c r="T43" s="9"/>
      <c r="U43" s="447">
        <v>67012</v>
      </c>
      <c r="V43" t="s">
        <v>2353</v>
      </c>
      <c r="W43" s="448"/>
      <c r="X43" t="s">
        <v>2326</v>
      </c>
      <c r="Y43" s="448"/>
      <c r="Z43" s="448"/>
      <c r="AB43" s="448" t="s">
        <v>2355</v>
      </c>
      <c r="AN43">
        <v>10</v>
      </c>
      <c r="AO43" s="325">
        <v>0.98699999999999999</v>
      </c>
      <c r="AP43" s="327">
        <v>0.98650000000000004</v>
      </c>
      <c r="AR43">
        <v>15</v>
      </c>
      <c r="AS43" s="325">
        <v>0.97699999999999998</v>
      </c>
      <c r="AT43" s="325">
        <v>0.97889999999999999</v>
      </c>
      <c r="AX43" s="37"/>
      <c r="AY43" s="239" t="s">
        <v>1814</v>
      </c>
      <c r="AZ43" s="538" t="s">
        <v>3041</v>
      </c>
      <c r="BA43" s="395">
        <f>1.12*13-0.02*13^2</f>
        <v>11.180000000000003</v>
      </c>
      <c r="BB43" s="395">
        <f>1.12*13-0.02*13^2</f>
        <v>11.180000000000003</v>
      </c>
      <c r="BC43" s="395">
        <f>1.12*13-0.02*13^2</f>
        <v>11.180000000000003</v>
      </c>
      <c r="BD43" s="395">
        <f>1.12*14-0.02*14^2</f>
        <v>11.760000000000002</v>
      </c>
      <c r="BE43" s="395">
        <v>10.96</v>
      </c>
      <c r="BF43" s="37"/>
    </row>
    <row r="44" spans="1:58">
      <c r="A44" t="s">
        <v>97</v>
      </c>
      <c r="C44" t="s">
        <v>256</v>
      </c>
      <c r="D44" t="s">
        <v>257</v>
      </c>
      <c r="O44" s="9"/>
      <c r="P44" s="9"/>
      <c r="Q44" s="9"/>
      <c r="R44" s="9"/>
      <c r="S44" s="9"/>
      <c r="T44" s="9"/>
      <c r="U44" s="449">
        <v>67220</v>
      </c>
      <c r="V44" s="450" t="s">
        <v>2354</v>
      </c>
      <c r="W44" s="450"/>
      <c r="X44" s="450" t="s">
        <v>2324</v>
      </c>
      <c r="Y44" s="450"/>
      <c r="Z44" s="450"/>
      <c r="AB44" s="448" t="s">
        <v>2357</v>
      </c>
      <c r="AN44">
        <v>15</v>
      </c>
      <c r="AO44" s="325">
        <v>0.98819999999999997</v>
      </c>
      <c r="AP44" s="325">
        <v>0.98650000000000004</v>
      </c>
      <c r="AR44">
        <v>25</v>
      </c>
      <c r="AS44" s="325">
        <v>0.98</v>
      </c>
      <c r="AT44" s="327">
        <v>0.97889999999999999</v>
      </c>
      <c r="AX44" s="37"/>
      <c r="AY44" s="230" t="s">
        <v>1813</v>
      </c>
      <c r="AZ44" s="37" t="s">
        <v>1652</v>
      </c>
      <c r="BA44" s="37">
        <v>11</v>
      </c>
      <c r="BB44" s="37">
        <v>11</v>
      </c>
      <c r="BC44" s="37">
        <v>11</v>
      </c>
      <c r="BD44" s="37">
        <v>11</v>
      </c>
      <c r="BE44" s="37">
        <v>11</v>
      </c>
      <c r="BF44" s="37">
        <v>11</v>
      </c>
    </row>
    <row r="45" spans="1:58">
      <c r="C45" t="s">
        <v>252</v>
      </c>
      <c r="D45" t="s">
        <v>253</v>
      </c>
      <c r="O45" s="9"/>
      <c r="P45" s="9"/>
      <c r="Q45" s="9"/>
      <c r="R45" s="9"/>
      <c r="S45" s="9"/>
      <c r="T45" s="9"/>
      <c r="U45" s="449">
        <v>67226</v>
      </c>
      <c r="V45" s="450" t="s">
        <v>2354</v>
      </c>
      <c r="W45" s="450"/>
      <c r="X45" s="450" t="s">
        <v>2324</v>
      </c>
      <c r="Y45" s="450"/>
      <c r="Z45" s="450"/>
      <c r="AB45" s="448" t="s">
        <v>2359</v>
      </c>
      <c r="AN45">
        <v>25</v>
      </c>
      <c r="AO45" s="325">
        <v>0.98950000000000005</v>
      </c>
      <c r="AP45" s="327">
        <v>0.98650000000000004</v>
      </c>
      <c r="AR45">
        <v>30</v>
      </c>
      <c r="AS45" s="327">
        <v>0.98</v>
      </c>
      <c r="AT45" s="325">
        <v>0.98229999999999995</v>
      </c>
      <c r="AX45" s="37"/>
      <c r="AY45" s="230" t="s">
        <v>1812</v>
      </c>
      <c r="AZ45" s="37" t="s">
        <v>1652</v>
      </c>
      <c r="BA45" s="37">
        <v>10.8</v>
      </c>
      <c r="BB45" s="37">
        <v>10.8</v>
      </c>
      <c r="BC45" s="37">
        <v>10.8</v>
      </c>
      <c r="BD45" s="37">
        <v>10.8</v>
      </c>
      <c r="BE45" s="37">
        <v>10.8</v>
      </c>
      <c r="BF45" s="37">
        <v>10.8</v>
      </c>
    </row>
    <row r="46" spans="1:58">
      <c r="A46" t="s">
        <v>298</v>
      </c>
      <c r="C46" t="s">
        <v>264</v>
      </c>
      <c r="D46" t="s">
        <v>265</v>
      </c>
      <c r="O46" s="9"/>
      <c r="P46" s="9"/>
      <c r="Q46" s="9"/>
      <c r="R46" s="9"/>
      <c r="S46" s="9"/>
      <c r="T46" s="9"/>
      <c r="U46" s="447">
        <v>67013</v>
      </c>
      <c r="V46" t="s">
        <v>2355</v>
      </c>
      <c r="W46" s="448"/>
      <c r="X46" t="s">
        <v>2356</v>
      </c>
      <c r="Y46" s="448"/>
      <c r="Z46" s="448"/>
      <c r="AB46" s="448" t="s">
        <v>2361</v>
      </c>
      <c r="AN46">
        <v>30</v>
      </c>
      <c r="AO46" s="327">
        <v>0.98950000000000005</v>
      </c>
      <c r="AP46" s="325">
        <v>0.98829999999999996</v>
      </c>
      <c r="AR46">
        <v>37.5</v>
      </c>
      <c r="AS46" s="325">
        <v>0.98199999999999998</v>
      </c>
      <c r="AT46" s="327">
        <v>0.98229999999999995</v>
      </c>
      <c r="AX46" s="37"/>
      <c r="AY46" s="230" t="s">
        <v>1821</v>
      </c>
      <c r="AZ46" s="37" t="s">
        <v>1652</v>
      </c>
      <c r="BA46" s="37">
        <v>9.5</v>
      </c>
      <c r="BB46" s="37">
        <v>9.8000000000000007</v>
      </c>
      <c r="BC46" s="37">
        <v>9.8000000000000007</v>
      </c>
      <c r="BD46" s="37">
        <v>9.8000000000000007</v>
      </c>
      <c r="BE46" s="37">
        <v>9.8000000000000007</v>
      </c>
      <c r="BF46" s="37">
        <v>9.8000000000000007</v>
      </c>
    </row>
    <row r="47" spans="1:58">
      <c r="A47" t="s">
        <v>575</v>
      </c>
      <c r="C47" t="s">
        <v>268</v>
      </c>
      <c r="D47" t="s">
        <v>269</v>
      </c>
      <c r="O47" s="9"/>
      <c r="P47" s="9"/>
      <c r="Q47" s="9"/>
      <c r="R47" s="9"/>
      <c r="S47" s="9"/>
      <c r="T47" s="9"/>
      <c r="U47" s="449">
        <v>67068</v>
      </c>
      <c r="V47" s="450" t="s">
        <v>2357</v>
      </c>
      <c r="W47" s="450"/>
      <c r="X47" s="450" t="s">
        <v>2358</v>
      </c>
      <c r="Y47" s="450"/>
      <c r="Z47" s="450"/>
      <c r="AB47" s="448" t="s">
        <v>2363</v>
      </c>
      <c r="AN47">
        <v>37.5</v>
      </c>
      <c r="AO47" s="325">
        <v>0.99049999999999994</v>
      </c>
      <c r="AP47" s="327">
        <v>0.98829999999999996</v>
      </c>
      <c r="AR47">
        <v>45</v>
      </c>
      <c r="AS47" s="327">
        <v>0.98199999999999998</v>
      </c>
      <c r="AT47" s="325">
        <v>0.98399999999999999</v>
      </c>
      <c r="AX47" s="37"/>
      <c r="AY47" s="230" t="s">
        <v>1818</v>
      </c>
      <c r="AZ47" s="37" t="s">
        <v>1652</v>
      </c>
      <c r="BA47" s="37">
        <v>9.1999999999999993</v>
      </c>
      <c r="BB47" s="37">
        <v>9.5</v>
      </c>
      <c r="BC47" s="37">
        <v>9.5</v>
      </c>
      <c r="BD47" s="37">
        <v>9.5</v>
      </c>
      <c r="BE47" s="37">
        <v>9.5</v>
      </c>
      <c r="BF47" s="37"/>
    </row>
    <row r="48" spans="1:58">
      <c r="A48" t="s">
        <v>592</v>
      </c>
      <c r="C48" t="s">
        <v>276</v>
      </c>
      <c r="D48" t="s">
        <v>277</v>
      </c>
      <c r="O48" s="9"/>
      <c r="P48" s="9"/>
      <c r="Q48" s="9"/>
      <c r="R48" s="9"/>
      <c r="S48" s="9"/>
      <c r="T48" s="9"/>
      <c r="U48" s="447">
        <v>66407</v>
      </c>
      <c r="V48" t="s">
        <v>2359</v>
      </c>
      <c r="W48" s="448"/>
      <c r="X48" t="s">
        <v>2360</v>
      </c>
      <c r="Y48" s="448"/>
      <c r="Z48" s="448"/>
      <c r="AB48" s="448" t="s">
        <v>2364</v>
      </c>
      <c r="AN48">
        <v>45</v>
      </c>
      <c r="AO48" s="327">
        <v>0.99050000000000005</v>
      </c>
      <c r="AP48" s="325">
        <v>0.98919999999999997</v>
      </c>
      <c r="AR48">
        <v>50</v>
      </c>
      <c r="AS48" s="325">
        <v>0.98299999999999998</v>
      </c>
      <c r="AT48" s="327">
        <v>0.98399999999999999</v>
      </c>
      <c r="AX48" s="37"/>
      <c r="AY48" s="230" t="s">
        <v>1815</v>
      </c>
      <c r="AZ48" s="538" t="s">
        <v>3042</v>
      </c>
      <c r="BA48" s="37">
        <v>7.7</v>
      </c>
      <c r="BB48" s="37">
        <v>7.7</v>
      </c>
      <c r="BC48" s="37">
        <v>8.1999999999999993</v>
      </c>
      <c r="BD48" s="37">
        <v>8.1999999999999993</v>
      </c>
      <c r="BE48" s="395">
        <v>7.5</v>
      </c>
      <c r="BF48" s="37">
        <v>7.5</v>
      </c>
    </row>
    <row r="49" spans="1:58">
      <c r="A49" t="s">
        <v>593</v>
      </c>
      <c r="C49" t="s">
        <v>272</v>
      </c>
      <c r="D49" t="s">
        <v>273</v>
      </c>
      <c r="O49" s="9"/>
      <c r="P49" s="9"/>
      <c r="Q49" s="9"/>
      <c r="R49" s="9"/>
      <c r="S49" s="9"/>
      <c r="T49" s="9"/>
      <c r="U49" s="447">
        <v>66008</v>
      </c>
      <c r="V49" t="s">
        <v>2361</v>
      </c>
      <c r="W49" s="448"/>
      <c r="X49" t="s">
        <v>2362</v>
      </c>
      <c r="Y49" s="448"/>
      <c r="Z49" s="448"/>
      <c r="AB49" s="448" t="s">
        <v>2365</v>
      </c>
      <c r="AN49">
        <v>50</v>
      </c>
      <c r="AO49" s="325">
        <v>0.99109999999999998</v>
      </c>
      <c r="AP49" s="327">
        <v>0.98919999999999997</v>
      </c>
      <c r="AR49">
        <v>75</v>
      </c>
      <c r="AS49" s="325">
        <v>0.98499999999999999</v>
      </c>
      <c r="AT49" s="325">
        <v>0.98599999999999999</v>
      </c>
      <c r="AX49" s="37"/>
      <c r="AY49" s="230" t="s">
        <v>1816</v>
      </c>
      <c r="AZ49" s="538" t="s">
        <v>3042</v>
      </c>
      <c r="BA49" s="37">
        <v>7.7</v>
      </c>
      <c r="BB49" s="37">
        <v>7.7</v>
      </c>
      <c r="BC49" s="37">
        <v>8</v>
      </c>
      <c r="BD49" s="37">
        <v>8</v>
      </c>
      <c r="BE49" s="395">
        <v>6.7</v>
      </c>
      <c r="BF49" s="37">
        <v>6.7</v>
      </c>
    </row>
    <row r="50" spans="1:58">
      <c r="A50" t="s">
        <v>582</v>
      </c>
      <c r="C50" t="s">
        <v>182</v>
      </c>
      <c r="D50" t="s">
        <v>183</v>
      </c>
      <c r="O50" s="9"/>
      <c r="P50" s="9"/>
      <c r="Q50" s="9"/>
      <c r="R50" s="9"/>
      <c r="S50" s="9"/>
      <c r="T50" s="9"/>
      <c r="U50" s="447">
        <v>66714</v>
      </c>
      <c r="V50" t="s">
        <v>2363</v>
      </c>
      <c r="W50" s="448"/>
      <c r="X50" t="s">
        <v>2321</v>
      </c>
      <c r="Y50" s="448"/>
      <c r="Z50" s="448"/>
      <c r="AB50" s="448" t="s">
        <v>710</v>
      </c>
      <c r="AN50">
        <v>75</v>
      </c>
      <c r="AO50" s="325">
        <v>0.9919</v>
      </c>
      <c r="AP50" s="325">
        <v>0.99029999999999996</v>
      </c>
      <c r="AR50">
        <v>100</v>
      </c>
      <c r="AS50" s="325">
        <v>0.98599999999999999</v>
      </c>
      <c r="AT50" s="327">
        <v>0.98599999999999999</v>
      </c>
      <c r="AX50" s="37"/>
      <c r="AY50" s="230" t="s">
        <v>1817</v>
      </c>
      <c r="AZ50" s="37" t="s">
        <v>1657</v>
      </c>
      <c r="BA50" s="37">
        <v>3.3</v>
      </c>
      <c r="BB50" s="37">
        <v>3.3</v>
      </c>
      <c r="BC50" s="37">
        <v>3.3</v>
      </c>
      <c r="BD50" s="37">
        <v>3.3</v>
      </c>
      <c r="BE50" s="37">
        <v>3.4</v>
      </c>
      <c r="BF50" s="37">
        <v>3.4</v>
      </c>
    </row>
    <row r="51" spans="1:58">
      <c r="A51" t="s">
        <v>1261</v>
      </c>
      <c r="C51" t="s">
        <v>210</v>
      </c>
      <c r="D51" t="s">
        <v>211</v>
      </c>
      <c r="O51" s="9"/>
      <c r="P51" s="9"/>
      <c r="Q51" s="9"/>
      <c r="R51" s="9"/>
      <c r="S51" s="9"/>
      <c r="T51" s="9"/>
      <c r="U51" s="447">
        <v>67422</v>
      </c>
      <c r="V51" t="s">
        <v>2364</v>
      </c>
      <c r="W51" s="448"/>
      <c r="X51" t="s">
        <v>2313</v>
      </c>
      <c r="Y51" s="448"/>
      <c r="Z51" s="448"/>
      <c r="AB51" s="448" t="s">
        <v>2366</v>
      </c>
      <c r="AN51">
        <v>100</v>
      </c>
      <c r="AO51" s="325">
        <v>0.99250000000000005</v>
      </c>
      <c r="AP51" s="327">
        <v>0.99029999999999996</v>
      </c>
      <c r="AR51">
        <v>112.5</v>
      </c>
      <c r="AS51" s="327">
        <v>0.98599999999999999</v>
      </c>
      <c r="AT51" s="325">
        <v>0.98740000000000006</v>
      </c>
      <c r="AX51" s="37"/>
      <c r="AY51" s="230" t="s">
        <v>1819</v>
      </c>
      <c r="AZ51" s="37" t="s">
        <v>1657</v>
      </c>
      <c r="BA51" s="37">
        <v>3.2</v>
      </c>
      <c r="BB51" s="37">
        <v>3.2</v>
      </c>
      <c r="BC51" s="37">
        <v>3.2</v>
      </c>
      <c r="BD51" s="37">
        <v>3.2</v>
      </c>
      <c r="BE51" s="37">
        <v>3.3</v>
      </c>
      <c r="BF51" s="37">
        <v>3.3</v>
      </c>
    </row>
    <row r="52" spans="1:58">
      <c r="A52" t="s">
        <v>586</v>
      </c>
      <c r="C52" t="s">
        <v>214</v>
      </c>
      <c r="D52" t="s">
        <v>215</v>
      </c>
      <c r="O52" s="9"/>
      <c r="P52" s="9"/>
      <c r="Q52" s="9"/>
      <c r="R52" s="9"/>
      <c r="S52" s="9"/>
      <c r="T52" s="9"/>
      <c r="U52" s="447">
        <v>67016</v>
      </c>
      <c r="V52" t="s">
        <v>2365</v>
      </c>
      <c r="W52" s="448"/>
      <c r="X52" t="s">
        <v>2324</v>
      </c>
      <c r="Y52" s="448"/>
      <c r="Z52" s="448"/>
      <c r="AB52" s="448" t="s">
        <v>2367</v>
      </c>
      <c r="AN52">
        <v>112.5</v>
      </c>
      <c r="AO52" s="327">
        <v>0.99250000000000005</v>
      </c>
      <c r="AP52" s="325">
        <v>0.99109999999999998</v>
      </c>
      <c r="AR52">
        <v>150</v>
      </c>
      <c r="AS52" s="327">
        <v>0.98599999999999999</v>
      </c>
      <c r="AT52" s="325">
        <v>0.98829999999999996</v>
      </c>
      <c r="AX52" s="37"/>
      <c r="AY52" s="230" t="s">
        <v>1824</v>
      </c>
      <c r="AZ52" s="37" t="s">
        <v>1657</v>
      </c>
      <c r="BA52" s="37">
        <v>3.2</v>
      </c>
      <c r="BB52" s="37">
        <v>3.2</v>
      </c>
      <c r="BC52" s="37">
        <v>3.2</v>
      </c>
      <c r="BD52" s="37">
        <v>3.2</v>
      </c>
      <c r="BE52" s="37">
        <v>3.2</v>
      </c>
      <c r="BF52" s="37">
        <v>3.2</v>
      </c>
    </row>
    <row r="53" spans="1:58">
      <c r="A53" t="s">
        <v>601</v>
      </c>
      <c r="C53" t="s">
        <v>186</v>
      </c>
      <c r="D53" t="s">
        <v>187</v>
      </c>
      <c r="O53" s="9"/>
      <c r="P53" s="9"/>
      <c r="Q53" s="9"/>
      <c r="R53" s="9"/>
      <c r="S53" s="9"/>
      <c r="T53" s="9"/>
      <c r="U53" s="447">
        <v>67017</v>
      </c>
      <c r="V53" t="s">
        <v>710</v>
      </c>
      <c r="W53" s="448"/>
      <c r="X53" t="s">
        <v>2326</v>
      </c>
      <c r="Y53" s="448"/>
      <c r="Z53" s="448"/>
      <c r="AB53" s="448" t="s">
        <v>2369</v>
      </c>
      <c r="AN53">
        <v>150</v>
      </c>
      <c r="AO53" s="327">
        <v>0.99250000000000005</v>
      </c>
      <c r="AP53" s="325">
        <v>0.99159999999999993</v>
      </c>
      <c r="AR53">
        <v>167</v>
      </c>
      <c r="AS53" s="325">
        <v>0.98699999999999999</v>
      </c>
      <c r="AT53" s="327">
        <v>0.98829999999999996</v>
      </c>
      <c r="AX53" s="37"/>
      <c r="AY53" s="239" t="s">
        <v>2761</v>
      </c>
      <c r="AZ53" s="37" t="s">
        <v>1657</v>
      </c>
      <c r="BA53" s="500">
        <v>1</v>
      </c>
      <c r="BB53" s="500">
        <v>1</v>
      </c>
      <c r="BC53" s="500">
        <v>1</v>
      </c>
      <c r="BD53" s="500">
        <v>1</v>
      </c>
      <c r="BE53" s="500">
        <v>1</v>
      </c>
      <c r="BF53" s="500">
        <v>1</v>
      </c>
    </row>
    <row r="54" spans="1:58">
      <c r="A54" t="s">
        <v>630</v>
      </c>
      <c r="C54" t="s">
        <v>194</v>
      </c>
      <c r="D54" t="s">
        <v>195</v>
      </c>
      <c r="O54" s="9"/>
      <c r="P54" s="9"/>
      <c r="Q54" s="9"/>
      <c r="R54" s="9"/>
      <c r="S54" s="9"/>
      <c r="T54" s="9"/>
      <c r="U54" s="447">
        <v>66408</v>
      </c>
      <c r="V54" t="s">
        <v>2366</v>
      </c>
      <c r="W54" s="448"/>
      <c r="X54" t="s">
        <v>2344</v>
      </c>
      <c r="Y54" s="448"/>
      <c r="Z54" s="448"/>
      <c r="AB54" s="448" t="s">
        <v>2370</v>
      </c>
      <c r="AN54">
        <v>167</v>
      </c>
      <c r="AO54" s="325">
        <v>0.99329999999999996</v>
      </c>
      <c r="AP54" s="327">
        <v>0.99160000000000004</v>
      </c>
      <c r="AR54">
        <v>225</v>
      </c>
      <c r="AS54" s="327">
        <v>0.98699999999999999</v>
      </c>
      <c r="AT54" s="325">
        <v>0.98939999999999995</v>
      </c>
      <c r="AX54" s="37"/>
      <c r="AY54" s="239" t="s">
        <v>2762</v>
      </c>
      <c r="AZ54" s="37" t="s">
        <v>1657</v>
      </c>
      <c r="BA54" s="37">
        <f>ROUND(3.2 - (0.026*12000/1000), 3)</f>
        <v>2.8879999999999999</v>
      </c>
      <c r="BB54" s="37">
        <f>ROUND(3.2 - (0.026*12000/1000), 3)</f>
        <v>2.8879999999999999</v>
      </c>
      <c r="BC54" s="37">
        <f>ROUND(3.2 - (0.026*12000/1000), 3)</f>
        <v>2.8879999999999999</v>
      </c>
      <c r="BD54" s="37">
        <f>ROUND(3.2 - (0.026*12000/1000), 3)</f>
        <v>2.8879999999999999</v>
      </c>
      <c r="BE54" s="37">
        <f>ROUND(3.7 - (0.052*12000/1000), 3)</f>
        <v>3.0760000000000001</v>
      </c>
      <c r="BF54" s="37">
        <f>ROUND(3.7 - (0.052*12000/1000), 3)</f>
        <v>3.0760000000000001</v>
      </c>
    </row>
    <row r="55" spans="1:58">
      <c r="A55" t="s">
        <v>692</v>
      </c>
      <c r="C55" t="s">
        <v>198</v>
      </c>
      <c r="D55" t="s">
        <v>199</v>
      </c>
      <c r="O55" s="9"/>
      <c r="P55" s="9"/>
      <c r="Q55" s="9"/>
      <c r="R55" s="9"/>
      <c r="S55" s="9"/>
      <c r="T55" s="9"/>
      <c r="U55" s="447">
        <v>66409</v>
      </c>
      <c r="V55" t="s">
        <v>2367</v>
      </c>
      <c r="W55" s="448"/>
      <c r="X55" t="s">
        <v>2368</v>
      </c>
      <c r="Y55" s="448"/>
      <c r="Z55" s="448"/>
      <c r="AB55" s="448" t="s">
        <v>2371</v>
      </c>
      <c r="AN55">
        <v>225</v>
      </c>
      <c r="AO55" s="327">
        <v>0.99329999999999996</v>
      </c>
      <c r="AP55" s="325">
        <v>0.99230000000000007</v>
      </c>
      <c r="AR55">
        <v>250</v>
      </c>
      <c r="AS55" s="325">
        <v>0.98799999999999999</v>
      </c>
      <c r="AT55" s="327">
        <v>0.98939999999999995</v>
      </c>
      <c r="AX55" s="37"/>
      <c r="AY55" s="230" t="s">
        <v>1885</v>
      </c>
      <c r="AZ55" s="37" t="s">
        <v>1903</v>
      </c>
      <c r="BA55" s="37">
        <v>9.5619999999999994</v>
      </c>
      <c r="BB55" s="37">
        <v>9.5619999999999994</v>
      </c>
      <c r="BC55" s="37">
        <v>10.1</v>
      </c>
      <c r="BD55" s="37">
        <v>10.1</v>
      </c>
      <c r="BE55" s="37">
        <v>10.1</v>
      </c>
      <c r="BF55" s="37"/>
    </row>
    <row r="56" spans="1:58">
      <c r="A56" t="s">
        <v>699</v>
      </c>
      <c r="C56" t="s">
        <v>202</v>
      </c>
      <c r="D56" t="s">
        <v>203</v>
      </c>
      <c r="O56" s="9"/>
      <c r="P56" s="9"/>
      <c r="Q56" s="9"/>
      <c r="R56" s="9"/>
      <c r="S56" s="9"/>
      <c r="T56" s="9"/>
      <c r="U56" s="447">
        <v>67423</v>
      </c>
      <c r="V56" t="s">
        <v>2369</v>
      </c>
      <c r="W56" s="448"/>
      <c r="X56" t="s">
        <v>2347</v>
      </c>
      <c r="Y56" s="448"/>
      <c r="Z56" s="448"/>
      <c r="AB56" s="448" t="s">
        <v>2373</v>
      </c>
      <c r="AN56">
        <v>250</v>
      </c>
      <c r="AO56" s="325">
        <v>0.99390000000000001</v>
      </c>
      <c r="AP56" s="327">
        <v>0.99229999999999996</v>
      </c>
      <c r="AR56">
        <v>300</v>
      </c>
      <c r="AS56" s="327">
        <v>0.98799999999999999</v>
      </c>
      <c r="AT56" s="325">
        <v>0.99019999999999997</v>
      </c>
      <c r="AX56" s="37"/>
      <c r="AY56" s="230" t="s">
        <v>1886</v>
      </c>
      <c r="AZ56" s="37" t="s">
        <v>1903</v>
      </c>
      <c r="BA56" s="37">
        <v>9.5619999999999994</v>
      </c>
      <c r="BB56" s="37">
        <v>9.5619999999999994</v>
      </c>
      <c r="BC56" s="37">
        <v>10.1</v>
      </c>
      <c r="BD56" s="37">
        <v>10.1</v>
      </c>
      <c r="BE56" s="37">
        <v>10.1</v>
      </c>
      <c r="BF56" s="37"/>
    </row>
    <row r="57" spans="1:58">
      <c r="A57" t="s">
        <v>1748</v>
      </c>
      <c r="C57" t="s">
        <v>190</v>
      </c>
      <c r="D57" t="s">
        <v>191</v>
      </c>
      <c r="O57" s="9"/>
      <c r="P57" s="9"/>
      <c r="Q57" s="9"/>
      <c r="R57" s="9"/>
      <c r="S57" s="9"/>
      <c r="T57" s="9"/>
      <c r="U57" s="449">
        <v>66549</v>
      </c>
      <c r="V57" s="450" t="s">
        <v>2370</v>
      </c>
      <c r="W57" s="450"/>
      <c r="X57" s="450" t="s">
        <v>2360</v>
      </c>
      <c r="Y57" s="450"/>
      <c r="Z57" s="450"/>
      <c r="AB57" s="448" t="s">
        <v>2374</v>
      </c>
      <c r="AN57">
        <v>300</v>
      </c>
      <c r="AO57" s="327">
        <v>0.99390000000000001</v>
      </c>
      <c r="AP57" s="325">
        <v>0.99269999999999992</v>
      </c>
      <c r="AR57">
        <v>333</v>
      </c>
      <c r="AS57" s="325">
        <v>0.98899999999999999</v>
      </c>
      <c r="AT57" s="327">
        <v>0.99019999999999997</v>
      </c>
      <c r="AX57" s="37"/>
      <c r="AY57" s="230" t="s">
        <v>1898</v>
      </c>
      <c r="AZ57" s="37" t="s">
        <v>1903</v>
      </c>
      <c r="BA57" s="37">
        <v>0.78</v>
      </c>
      <c r="BB57" s="37">
        <v>0.78</v>
      </c>
      <c r="BC57" s="37">
        <v>0.75</v>
      </c>
      <c r="BD57" s="37">
        <v>0.75</v>
      </c>
      <c r="BE57" s="37">
        <v>0.75</v>
      </c>
      <c r="BF57" s="37"/>
    </row>
    <row r="58" spans="1:58">
      <c r="A58" t="s">
        <v>1749</v>
      </c>
      <c r="C58" t="s">
        <v>206</v>
      </c>
      <c r="D58" t="s">
        <v>207</v>
      </c>
      <c r="O58" s="9"/>
      <c r="P58" s="9"/>
      <c r="Q58" s="9"/>
      <c r="R58" s="9"/>
      <c r="S58" s="9"/>
      <c r="T58" s="9"/>
      <c r="U58" s="447">
        <v>66010</v>
      </c>
      <c r="V58" t="s">
        <v>2371</v>
      </c>
      <c r="W58" s="448"/>
      <c r="X58" t="s">
        <v>2372</v>
      </c>
      <c r="Y58" s="448"/>
      <c r="Z58" s="448"/>
      <c r="AB58" s="448" t="s">
        <v>2376</v>
      </c>
      <c r="AN58">
        <v>333</v>
      </c>
      <c r="AO58" s="325">
        <v>0.99430000000000007</v>
      </c>
      <c r="AP58" s="327">
        <v>0.99270000000000003</v>
      </c>
      <c r="AR58">
        <v>500</v>
      </c>
      <c r="AS58" s="327">
        <v>0.98899999999999999</v>
      </c>
      <c r="AT58" s="325">
        <v>0.99139999999999995</v>
      </c>
      <c r="AX58" s="37"/>
      <c r="AY58" s="230" t="s">
        <v>1927</v>
      </c>
      <c r="AZ58" s="37" t="s">
        <v>1903</v>
      </c>
      <c r="BA58" s="37">
        <v>0.77500000000000002</v>
      </c>
      <c r="BB58" s="37">
        <v>0.77500000000000002</v>
      </c>
      <c r="BC58" s="37">
        <v>0.72</v>
      </c>
      <c r="BD58" s="37">
        <v>0.72</v>
      </c>
      <c r="BE58" s="37">
        <v>0.72</v>
      </c>
      <c r="BF58" s="37"/>
    </row>
    <row r="59" spans="1:58">
      <c r="C59" t="s">
        <v>218</v>
      </c>
      <c r="D59" t="s">
        <v>219</v>
      </c>
      <c r="O59" s="9"/>
      <c r="P59" s="9"/>
      <c r="Q59" s="9"/>
      <c r="R59" s="9"/>
      <c r="S59" s="9"/>
      <c r="T59" s="9"/>
      <c r="U59" s="447">
        <v>66411</v>
      </c>
      <c r="V59" t="s">
        <v>2373</v>
      </c>
      <c r="W59" s="448"/>
      <c r="X59" t="s">
        <v>2342</v>
      </c>
      <c r="Y59" s="448"/>
      <c r="Z59" s="448"/>
      <c r="AB59" s="448" t="s">
        <v>2377</v>
      </c>
      <c r="AN59">
        <v>500</v>
      </c>
      <c r="AO59" s="325">
        <v>0.9948999999999999</v>
      </c>
      <c r="AP59" s="325">
        <v>0.99349999999999994</v>
      </c>
      <c r="AR59">
        <v>750</v>
      </c>
      <c r="AS59" s="327">
        <v>0.98899999999999999</v>
      </c>
      <c r="AT59" s="325">
        <v>0.99229999999999996</v>
      </c>
      <c r="AX59" s="37"/>
      <c r="AY59" s="230" t="s">
        <v>1928</v>
      </c>
      <c r="AZ59" s="37" t="s">
        <v>1903</v>
      </c>
      <c r="BA59" s="37">
        <v>0.68</v>
      </c>
      <c r="BB59" s="37">
        <v>0.68</v>
      </c>
      <c r="BC59" s="37">
        <v>0.66</v>
      </c>
      <c r="BD59" s="37">
        <v>0.66</v>
      </c>
      <c r="BE59" s="37">
        <v>0.66</v>
      </c>
      <c r="BF59" s="37"/>
    </row>
    <row r="60" spans="1:58">
      <c r="A60" t="s">
        <v>600</v>
      </c>
      <c r="C60" t="s">
        <v>222</v>
      </c>
      <c r="D60" t="s">
        <v>223</v>
      </c>
      <c r="O60" s="9"/>
      <c r="P60" s="9"/>
      <c r="Q60" s="9"/>
      <c r="R60" s="9"/>
      <c r="S60" s="9"/>
      <c r="T60" s="9"/>
      <c r="U60" s="447">
        <v>66012</v>
      </c>
      <c r="V60" t="s">
        <v>2374</v>
      </c>
      <c r="W60" s="448"/>
      <c r="X60" t="s">
        <v>2375</v>
      </c>
      <c r="Y60" s="448" t="s">
        <v>1184</v>
      </c>
      <c r="Z60" s="448"/>
      <c r="AB60" s="448" t="s">
        <v>2378</v>
      </c>
      <c r="AN60">
        <v>667</v>
      </c>
      <c r="AO60" s="325">
        <v>0.99519999999999997</v>
      </c>
      <c r="AP60" s="327">
        <v>0.99350000000000005</v>
      </c>
      <c r="AR60">
        <v>1000</v>
      </c>
      <c r="AS60" s="327">
        <v>0.98899999999999999</v>
      </c>
      <c r="AT60" s="325">
        <v>0.99280000000000002</v>
      </c>
      <c r="AX60" s="37"/>
      <c r="AY60" s="230" t="s">
        <v>1943</v>
      </c>
      <c r="AZ60" s="37" t="s">
        <v>1903</v>
      </c>
      <c r="BA60" s="37">
        <v>0.62</v>
      </c>
      <c r="BB60" s="37">
        <v>0.62</v>
      </c>
      <c r="BC60" s="37">
        <v>0.61</v>
      </c>
      <c r="BD60" s="37">
        <v>0.61</v>
      </c>
      <c r="BE60" s="37">
        <v>0.61</v>
      </c>
      <c r="BF60" s="37"/>
    </row>
    <row r="61" spans="1:58">
      <c r="A61" t="s">
        <v>2106</v>
      </c>
      <c r="C61" t="s">
        <v>226</v>
      </c>
      <c r="D61" t="s">
        <v>227</v>
      </c>
      <c r="O61" s="9"/>
      <c r="P61" s="9"/>
      <c r="Q61" s="9"/>
      <c r="R61" s="9"/>
      <c r="S61" s="9"/>
      <c r="T61" s="9"/>
      <c r="U61" s="447">
        <v>66412</v>
      </c>
      <c r="V61" t="s">
        <v>2376</v>
      </c>
      <c r="W61" s="448"/>
      <c r="X61" t="s">
        <v>2342</v>
      </c>
      <c r="Y61" s="448"/>
      <c r="Z61" s="448"/>
      <c r="AB61" s="448" t="s">
        <v>2379</v>
      </c>
      <c r="AN61">
        <v>750</v>
      </c>
      <c r="AO61" s="327">
        <v>0.99519999999999997</v>
      </c>
      <c r="AP61" s="325">
        <v>0.99400000000000011</v>
      </c>
      <c r="AX61" s="37"/>
      <c r="AY61" s="230" t="s">
        <v>1944</v>
      </c>
      <c r="AZ61" s="37" t="s">
        <v>1903</v>
      </c>
      <c r="BA61" s="37">
        <v>0.62</v>
      </c>
      <c r="BB61" s="37">
        <v>0.62</v>
      </c>
      <c r="BC61" s="37">
        <v>0.56000000000000005</v>
      </c>
      <c r="BD61" s="37">
        <v>0.56000000000000005</v>
      </c>
      <c r="BE61" s="37">
        <v>0.56000000000000005</v>
      </c>
      <c r="BF61" s="37"/>
    </row>
    <row r="62" spans="1:58">
      <c r="A62" s="542" t="s">
        <v>3055</v>
      </c>
      <c r="C62" t="s">
        <v>230</v>
      </c>
      <c r="D62" t="s">
        <v>231</v>
      </c>
      <c r="O62" s="9"/>
      <c r="P62" s="9"/>
      <c r="Q62" s="9"/>
      <c r="R62" s="9"/>
      <c r="S62" s="9"/>
      <c r="T62" s="9"/>
      <c r="U62" s="447">
        <v>66716</v>
      </c>
      <c r="V62" t="s">
        <v>2377</v>
      </c>
      <c r="W62" s="448"/>
      <c r="X62" t="s">
        <v>2331</v>
      </c>
      <c r="Y62" s="448"/>
      <c r="Z62" s="448"/>
      <c r="AB62" s="448" t="s">
        <v>2381</v>
      </c>
      <c r="AN62">
        <v>833</v>
      </c>
      <c r="AO62" s="325">
        <v>0.99549999999999994</v>
      </c>
      <c r="AP62" s="327">
        <v>0.99399999999999999</v>
      </c>
      <c r="AX62" s="37"/>
      <c r="AY62" s="230" t="s">
        <v>1895</v>
      </c>
      <c r="AZ62" s="37" t="s">
        <v>1903</v>
      </c>
      <c r="BA62" s="37">
        <v>0.63400000000000001</v>
      </c>
      <c r="BB62" s="37">
        <v>0.63400000000000001</v>
      </c>
      <c r="BC62" s="37">
        <v>0.61</v>
      </c>
      <c r="BD62" s="37">
        <v>0.61</v>
      </c>
      <c r="BE62" s="37">
        <v>0.61</v>
      </c>
      <c r="BF62" s="37"/>
    </row>
    <row r="63" spans="1:58">
      <c r="A63" t="s">
        <v>2194</v>
      </c>
      <c r="C63" t="s">
        <v>2200</v>
      </c>
      <c r="D63" t="s">
        <v>2201</v>
      </c>
      <c r="U63" s="447">
        <v>67425</v>
      </c>
      <c r="V63" t="s">
        <v>2378</v>
      </c>
      <c r="W63" s="448"/>
      <c r="X63" t="s">
        <v>2337</v>
      </c>
      <c r="Y63" s="448"/>
      <c r="Z63" s="448"/>
      <c r="AB63" s="448" t="s">
        <v>2382</v>
      </c>
      <c r="AN63">
        <v>1000</v>
      </c>
      <c r="AO63" s="327">
        <v>0.99550000000000005</v>
      </c>
      <c r="AP63" s="325">
        <v>0.99430000000000007</v>
      </c>
      <c r="AX63" s="37"/>
      <c r="AY63" s="230" t="s">
        <v>1929</v>
      </c>
      <c r="AZ63" s="37" t="s">
        <v>1903</v>
      </c>
      <c r="BA63" s="37">
        <v>0.63400000000000001</v>
      </c>
      <c r="BB63" s="37">
        <v>0.63400000000000001</v>
      </c>
      <c r="BC63" s="37">
        <v>0.61</v>
      </c>
      <c r="BD63" s="37">
        <v>0.61</v>
      </c>
      <c r="BE63" s="37">
        <v>0.61</v>
      </c>
      <c r="BF63" s="37"/>
    </row>
    <row r="64" spans="1:58">
      <c r="A64" t="s">
        <v>2192</v>
      </c>
      <c r="C64" t="s">
        <v>234</v>
      </c>
      <c r="D64" t="s">
        <v>235</v>
      </c>
      <c r="U64" s="447">
        <v>66013</v>
      </c>
      <c r="V64" t="s">
        <v>2379</v>
      </c>
      <c r="W64" s="448"/>
      <c r="X64" t="s">
        <v>2380</v>
      </c>
      <c r="Y64" s="448" t="s">
        <v>1184</v>
      </c>
      <c r="Z64" s="448"/>
      <c r="AB64" s="448" t="s">
        <v>2383</v>
      </c>
      <c r="AN64">
        <v>1500</v>
      </c>
      <c r="AO64" s="327">
        <v>0.99550000000000005</v>
      </c>
      <c r="AP64" s="325">
        <v>0.99480000000000002</v>
      </c>
      <c r="AX64" s="37"/>
      <c r="AY64" s="230" t="s">
        <v>1941</v>
      </c>
      <c r="AZ64" s="37" t="s">
        <v>1903</v>
      </c>
      <c r="BA64" s="37">
        <v>0.57599999999999996</v>
      </c>
      <c r="BB64" s="37">
        <v>0.57599999999999996</v>
      </c>
      <c r="BC64" s="37">
        <v>0.56000000000000005</v>
      </c>
      <c r="BD64" s="37">
        <v>0.56000000000000005</v>
      </c>
      <c r="BE64" s="37">
        <v>0.56000000000000005</v>
      </c>
      <c r="BF64" s="37"/>
    </row>
    <row r="65" spans="1:59">
      <c r="A65" t="s">
        <v>2167</v>
      </c>
      <c r="C65" t="s">
        <v>238</v>
      </c>
      <c r="D65" t="s">
        <v>239</v>
      </c>
      <c r="U65" s="449">
        <v>66085</v>
      </c>
      <c r="V65" s="450" t="s">
        <v>2379</v>
      </c>
      <c r="W65" s="450"/>
      <c r="X65" s="450" t="s">
        <v>2380</v>
      </c>
      <c r="Y65" s="450" t="s">
        <v>1184</v>
      </c>
      <c r="Z65" s="450"/>
      <c r="AB65" s="448" t="s">
        <v>2384</v>
      </c>
      <c r="AN65">
        <v>2000</v>
      </c>
      <c r="AO65" s="327">
        <v>0.99550000000000005</v>
      </c>
      <c r="AP65" s="325">
        <v>0.9951000000000001</v>
      </c>
      <c r="AX65" s="37"/>
      <c r="AY65" s="230" t="s">
        <v>1942</v>
      </c>
      <c r="AZ65" s="37" t="s">
        <v>1903</v>
      </c>
      <c r="BA65" s="37">
        <v>0.57599999999999996</v>
      </c>
      <c r="BB65" s="37">
        <v>0.57599999999999996</v>
      </c>
      <c r="BC65" s="37">
        <v>0.56000000000000005</v>
      </c>
      <c r="BD65" s="37">
        <v>0.56000000000000005</v>
      </c>
      <c r="BE65" s="37">
        <v>0.56000000000000005</v>
      </c>
      <c r="BF65" s="37"/>
    </row>
    <row r="66" spans="1:59">
      <c r="A66" t="s">
        <v>1846</v>
      </c>
      <c r="C66" t="s">
        <v>242</v>
      </c>
      <c r="D66" t="s">
        <v>243</v>
      </c>
      <c r="U66" s="447">
        <v>66717</v>
      </c>
      <c r="V66" t="s">
        <v>2381</v>
      </c>
      <c r="W66" s="448"/>
      <c r="X66" t="s">
        <v>2321</v>
      </c>
      <c r="Y66" s="448"/>
      <c r="Z66" s="448"/>
      <c r="AB66" s="448" t="s">
        <v>2386</v>
      </c>
      <c r="AN66">
        <v>2500</v>
      </c>
      <c r="AO66" s="327">
        <v>0.99550000000000005</v>
      </c>
      <c r="AP66" s="325">
        <v>0.99529999999999996</v>
      </c>
      <c r="AX66" s="37"/>
      <c r="AY66" s="230" t="s">
        <v>1896</v>
      </c>
      <c r="AZ66" s="37" t="s">
        <v>1903</v>
      </c>
      <c r="BA66" s="37">
        <v>0.56999999999999995</v>
      </c>
      <c r="BB66" s="37">
        <v>0.56999999999999995</v>
      </c>
      <c r="BC66" s="37">
        <v>0.56000000000000005</v>
      </c>
      <c r="BD66" s="37">
        <v>0.56000000000000005</v>
      </c>
      <c r="BE66" s="37">
        <v>0.56000000000000005</v>
      </c>
      <c r="BF66" s="37"/>
    </row>
    <row r="67" spans="1:59">
      <c r="A67" t="s">
        <v>2193</v>
      </c>
      <c r="C67" t="s">
        <v>246</v>
      </c>
      <c r="D67" t="s">
        <v>247</v>
      </c>
      <c r="U67" s="447">
        <v>67522</v>
      </c>
      <c r="V67" t="s">
        <v>2382</v>
      </c>
      <c r="W67" s="448"/>
      <c r="X67" t="s">
        <v>2309</v>
      </c>
      <c r="Y67" s="448"/>
      <c r="Z67" s="448"/>
      <c r="AB67" s="448" t="s">
        <v>2388</v>
      </c>
      <c r="AX67" s="37"/>
      <c r="AY67" s="230" t="s">
        <v>1973</v>
      </c>
      <c r="AZ67" s="37" t="s">
        <v>1652</v>
      </c>
      <c r="BA67" s="395">
        <f>ROUND(BA43*BA36/BA12, 2)</f>
        <v>11.18</v>
      </c>
      <c r="BB67" s="395">
        <f>ROUND(BB43*BB36/BB12, 2)</f>
        <v>11.18</v>
      </c>
      <c r="BC67" s="395">
        <f>ROUND(BC43*BC36/BC12, 2)</f>
        <v>11.18</v>
      </c>
      <c r="BD67" s="395">
        <f>ROUND(BD43*BD36/BD12, 2)</f>
        <v>10.92</v>
      </c>
      <c r="BE67" s="395">
        <f>ROUND(BE43*BE36/BE12, 2)</f>
        <v>10.63</v>
      </c>
      <c r="BF67" s="37"/>
    </row>
    <row r="68" spans="1:59">
      <c r="A68" t="s">
        <v>2188</v>
      </c>
      <c r="C68" t="s">
        <v>250</v>
      </c>
      <c r="D68" t="s">
        <v>251</v>
      </c>
      <c r="U68" s="447">
        <v>67019</v>
      </c>
      <c r="V68" t="s">
        <v>2383</v>
      </c>
      <c r="W68" s="448"/>
      <c r="X68" t="s">
        <v>2333</v>
      </c>
      <c r="Y68" s="448"/>
      <c r="Z68" s="448"/>
      <c r="AB68" s="448" t="s">
        <v>2390</v>
      </c>
      <c r="AX68" s="37"/>
      <c r="AY68" s="230" t="s">
        <v>1974</v>
      </c>
      <c r="AZ68" s="37" t="s">
        <v>1652</v>
      </c>
      <c r="BA68" s="37">
        <v>11</v>
      </c>
      <c r="BB68" s="37">
        <v>11</v>
      </c>
      <c r="BC68" s="37">
        <v>11</v>
      </c>
      <c r="BD68" s="37">
        <v>11</v>
      </c>
      <c r="BE68" s="37">
        <v>11</v>
      </c>
      <c r="BF68" s="37"/>
    </row>
    <row r="69" spans="1:59">
      <c r="A69" s="542" t="s">
        <v>3054</v>
      </c>
      <c r="C69" t="s">
        <v>254</v>
      </c>
      <c r="D69" t="s">
        <v>255</v>
      </c>
      <c r="U69" s="447">
        <v>66838</v>
      </c>
      <c r="V69" t="s">
        <v>2384</v>
      </c>
      <c r="W69" s="448"/>
      <c r="X69" t="s">
        <v>2385</v>
      </c>
      <c r="Y69" s="448"/>
      <c r="Z69" s="448"/>
      <c r="AB69" s="448" t="s">
        <v>2391</v>
      </c>
      <c r="AX69" s="37"/>
      <c r="AY69" s="230" t="s">
        <v>1975</v>
      </c>
      <c r="AZ69" s="37" t="s">
        <v>1652</v>
      </c>
      <c r="BA69" s="37">
        <v>10.6</v>
      </c>
      <c r="BB69" s="37">
        <v>10.6</v>
      </c>
      <c r="BC69" s="37">
        <v>10.6</v>
      </c>
      <c r="BD69" s="37">
        <v>10.6</v>
      </c>
      <c r="BE69" s="37">
        <v>10.6</v>
      </c>
      <c r="BF69" s="37"/>
    </row>
    <row r="70" spans="1:59">
      <c r="C70" t="s">
        <v>262</v>
      </c>
      <c r="D70" t="s">
        <v>263</v>
      </c>
      <c r="U70" s="447">
        <v>66413</v>
      </c>
      <c r="V70" t="s">
        <v>2386</v>
      </c>
      <c r="W70" s="448"/>
      <c r="X70" t="s">
        <v>2387</v>
      </c>
      <c r="Y70" s="448"/>
      <c r="Z70" s="448"/>
      <c r="AB70" s="448" t="s">
        <v>2393</v>
      </c>
      <c r="AX70" s="37"/>
      <c r="AY70" s="230" t="s">
        <v>1976</v>
      </c>
      <c r="AZ70" s="37" t="s">
        <v>1652</v>
      </c>
      <c r="BA70" s="37">
        <v>9.5</v>
      </c>
      <c r="BB70" s="37">
        <v>9.5</v>
      </c>
      <c r="BC70" s="37">
        <v>9.5</v>
      </c>
      <c r="BD70" s="37">
        <v>9.5</v>
      </c>
      <c r="BE70" s="37">
        <v>9.5</v>
      </c>
      <c r="BF70" s="37"/>
    </row>
    <row r="71" spans="1:59">
      <c r="C71" t="s">
        <v>2202</v>
      </c>
      <c r="D71" t="s">
        <v>2203</v>
      </c>
      <c r="U71" s="447">
        <v>66839</v>
      </c>
      <c r="V71" t="s">
        <v>2388</v>
      </c>
      <c r="W71" s="448"/>
      <c r="X71" t="s">
        <v>2389</v>
      </c>
      <c r="Y71" s="448"/>
      <c r="Z71" s="448"/>
      <c r="AB71" s="448" t="s">
        <v>2394</v>
      </c>
      <c r="AX71" s="37"/>
      <c r="AY71" s="230"/>
      <c r="AZ71" s="37"/>
      <c r="BA71" s="272" t="s">
        <v>2179</v>
      </c>
      <c r="BB71" s="272" t="s">
        <v>2185</v>
      </c>
      <c r="BC71" s="272" t="s">
        <v>2184</v>
      </c>
      <c r="BD71" s="272" t="s">
        <v>2183</v>
      </c>
      <c r="BE71" s="272" t="s">
        <v>2182</v>
      </c>
      <c r="BF71" s="272"/>
    </row>
    <row r="72" spans="1:59">
      <c r="A72" t="s">
        <v>624</v>
      </c>
      <c r="C72" t="s">
        <v>258</v>
      </c>
      <c r="D72" t="s">
        <v>259</v>
      </c>
      <c r="U72" s="447">
        <v>66840</v>
      </c>
      <c r="V72" t="s">
        <v>2390</v>
      </c>
      <c r="W72" s="448"/>
      <c r="X72" t="s">
        <v>2328</v>
      </c>
      <c r="Y72" s="448"/>
      <c r="Z72" s="448"/>
      <c r="AB72" s="448" t="s">
        <v>2395</v>
      </c>
      <c r="AX72" s="37"/>
      <c r="AY72" s="230"/>
      <c r="AZ72" s="37"/>
      <c r="BA72" s="37"/>
      <c r="BB72" s="37"/>
      <c r="BC72" s="37"/>
      <c r="BD72" s="37"/>
      <c r="BE72" s="37"/>
      <c r="BF72" s="37"/>
    </row>
    <row r="73" spans="1:59">
      <c r="A73" t="s">
        <v>3064</v>
      </c>
      <c r="C73" t="s">
        <v>266</v>
      </c>
      <c r="D73" t="s">
        <v>267</v>
      </c>
      <c r="U73" s="447">
        <v>67020</v>
      </c>
      <c r="V73" t="s">
        <v>2391</v>
      </c>
      <c r="W73" s="448"/>
      <c r="X73" t="s">
        <v>2392</v>
      </c>
      <c r="Y73" s="448"/>
      <c r="Z73" s="448"/>
      <c r="AB73" s="448" t="s">
        <v>2397</v>
      </c>
      <c r="AX73" s="367" t="s">
        <v>2271</v>
      </c>
      <c r="AY73" s="499" t="s">
        <v>839</v>
      </c>
      <c r="AZ73" s="499" t="s">
        <v>1729</v>
      </c>
      <c r="BA73" s="499" t="s">
        <v>688</v>
      </c>
      <c r="BB73" s="499" t="s">
        <v>689</v>
      </c>
      <c r="BC73" s="499" t="s">
        <v>690</v>
      </c>
      <c r="BD73" s="499" t="s">
        <v>1184</v>
      </c>
      <c r="BE73" s="241" t="s">
        <v>2176</v>
      </c>
      <c r="BF73" s="37" t="s">
        <v>2270</v>
      </c>
    </row>
    <row r="74" spans="1:59">
      <c r="A74" t="s">
        <v>1237</v>
      </c>
      <c r="C74" t="s">
        <v>274</v>
      </c>
      <c r="D74" t="s">
        <v>275</v>
      </c>
      <c r="U74" s="449">
        <v>66833</v>
      </c>
      <c r="V74" s="450" t="s">
        <v>2393</v>
      </c>
      <c r="W74" s="450"/>
      <c r="X74" s="450" t="s">
        <v>2315</v>
      </c>
      <c r="Y74" s="450"/>
      <c r="Z74" s="450"/>
      <c r="AB74" s="448" t="s">
        <v>2399</v>
      </c>
      <c r="AX74" s="37"/>
      <c r="AY74" s="230" t="s">
        <v>1815</v>
      </c>
      <c r="AZ74" s="538" t="s">
        <v>3041</v>
      </c>
      <c r="BA74" s="37">
        <f t="shared" ref="BA74:BD75" si="3">1.12*BA17-0.02*BA17^2</f>
        <v>11.180000000000003</v>
      </c>
      <c r="BB74" s="37">
        <f t="shared" si="3"/>
        <v>11.180000000000003</v>
      </c>
      <c r="BC74" s="37">
        <f t="shared" si="3"/>
        <v>11.760000000000002</v>
      </c>
      <c r="BD74" s="37">
        <f t="shared" si="3"/>
        <v>11.760000000000002</v>
      </c>
      <c r="BE74" s="395">
        <v>11.45</v>
      </c>
      <c r="BF74" s="37"/>
    </row>
    <row r="75" spans="1:59">
      <c r="A75" t="s">
        <v>1238</v>
      </c>
      <c r="C75" t="s">
        <v>270</v>
      </c>
      <c r="D75" t="s">
        <v>271</v>
      </c>
      <c r="U75" s="447">
        <v>67023</v>
      </c>
      <c r="V75" t="s">
        <v>2394</v>
      </c>
      <c r="W75" s="448"/>
      <c r="X75" t="s">
        <v>2333</v>
      </c>
      <c r="Y75" s="448"/>
      <c r="Z75" s="448"/>
      <c r="AB75" s="448" t="s">
        <v>2400</v>
      </c>
      <c r="AX75" s="37"/>
      <c r="AY75" s="230" t="s">
        <v>1816</v>
      </c>
      <c r="AZ75" s="538" t="s">
        <v>3041</v>
      </c>
      <c r="BA75" s="37">
        <f t="shared" si="3"/>
        <v>11.180000000000003</v>
      </c>
      <c r="BB75" s="37">
        <f t="shared" si="3"/>
        <v>11.180000000000003</v>
      </c>
      <c r="BC75" s="37">
        <f t="shared" si="3"/>
        <v>11.760000000000002</v>
      </c>
      <c r="BD75" s="37">
        <f t="shared" si="3"/>
        <v>11.760000000000002</v>
      </c>
      <c r="BE75" s="395">
        <v>11.45</v>
      </c>
      <c r="BF75" s="37"/>
    </row>
    <row r="76" spans="1:59">
      <c r="A76" t="s">
        <v>2100</v>
      </c>
      <c r="C76" t="s">
        <v>278</v>
      </c>
      <c r="D76" t="s">
        <v>279</v>
      </c>
      <c r="U76" s="447">
        <v>67333</v>
      </c>
      <c r="V76" t="s">
        <v>2395</v>
      </c>
      <c r="W76" s="448"/>
      <c r="X76" t="s">
        <v>2396</v>
      </c>
      <c r="Y76" s="448"/>
      <c r="Z76" s="448"/>
      <c r="AB76" s="448" t="s">
        <v>2401</v>
      </c>
      <c r="AX76" s="37"/>
      <c r="AY76" s="230" t="s">
        <v>1817</v>
      </c>
      <c r="AZ76" s="37" t="s">
        <v>1652</v>
      </c>
      <c r="BA76" s="37">
        <v>10.8</v>
      </c>
      <c r="BB76" s="37">
        <v>10.8</v>
      </c>
      <c r="BC76" s="37">
        <v>10.8</v>
      </c>
      <c r="BD76" s="37">
        <v>10.8</v>
      </c>
      <c r="BE76" s="37">
        <v>10.8</v>
      </c>
      <c r="BF76" s="37">
        <v>10.8</v>
      </c>
    </row>
    <row r="77" spans="1:59">
      <c r="A77" t="s">
        <v>2195</v>
      </c>
      <c r="U77" s="447">
        <v>67428</v>
      </c>
      <c r="V77" t="s">
        <v>2397</v>
      </c>
      <c r="W77" s="448"/>
      <c r="X77" t="s">
        <v>2398</v>
      </c>
      <c r="Y77" s="448"/>
      <c r="Z77" s="448"/>
      <c r="AB77" s="448" t="s">
        <v>2403</v>
      </c>
      <c r="AX77" s="37"/>
      <c r="AY77" s="230" t="s">
        <v>1819</v>
      </c>
      <c r="AZ77" s="37" t="s">
        <v>1652</v>
      </c>
      <c r="BA77" s="37">
        <v>10.4</v>
      </c>
      <c r="BB77" s="37">
        <v>10.4</v>
      </c>
      <c r="BC77" s="37">
        <v>10.4</v>
      </c>
      <c r="BD77" s="37">
        <v>10.4</v>
      </c>
      <c r="BE77" s="37">
        <v>10.4</v>
      </c>
      <c r="BF77" s="37">
        <v>10.4</v>
      </c>
    </row>
    <row r="78" spans="1:59">
      <c r="A78" t="s">
        <v>2099</v>
      </c>
      <c r="C78" t="s">
        <v>573</v>
      </c>
      <c r="D78" t="s">
        <v>574</v>
      </c>
      <c r="U78" s="447">
        <v>66414</v>
      </c>
      <c r="V78" t="s">
        <v>2399</v>
      </c>
      <c r="W78" s="448"/>
      <c r="X78" t="s">
        <v>2387</v>
      </c>
      <c r="Y78" s="448"/>
      <c r="Z78" s="448"/>
      <c r="AB78" s="448" t="s">
        <v>2404</v>
      </c>
      <c r="AX78" s="37"/>
      <c r="AY78" s="230" t="s">
        <v>1824</v>
      </c>
      <c r="AZ78" s="37" t="s">
        <v>1652</v>
      </c>
      <c r="BA78" s="37">
        <v>9.3000000000000007</v>
      </c>
      <c r="BB78" s="37">
        <v>9.3000000000000007</v>
      </c>
      <c r="BC78" s="37">
        <v>9.3000000000000007</v>
      </c>
      <c r="BD78" s="37">
        <v>9.3000000000000007</v>
      </c>
      <c r="BE78" s="37">
        <v>9.3000000000000007</v>
      </c>
      <c r="BF78" s="37">
        <v>9.3000000000000007</v>
      </c>
    </row>
    <row r="79" spans="1:59">
      <c r="A79" t="s">
        <v>3065</v>
      </c>
      <c r="C79" t="s">
        <v>583</v>
      </c>
      <c r="D79" t="s">
        <v>586</v>
      </c>
      <c r="U79" s="449">
        <v>67448</v>
      </c>
      <c r="V79" s="450" t="s">
        <v>2400</v>
      </c>
      <c r="W79" s="450"/>
      <c r="X79" s="450" t="s">
        <v>2337</v>
      </c>
      <c r="Y79" s="450"/>
      <c r="Z79" s="450"/>
      <c r="AB79" s="448" t="s">
        <v>2406</v>
      </c>
      <c r="AX79" s="37"/>
      <c r="AY79" s="230" t="s">
        <v>1973</v>
      </c>
      <c r="AZ79" s="37" t="s">
        <v>1659</v>
      </c>
      <c r="BA79" s="37">
        <v>7.7</v>
      </c>
      <c r="BB79" s="37">
        <v>7.7</v>
      </c>
      <c r="BC79" s="37">
        <v>7.7</v>
      </c>
      <c r="BD79" s="37">
        <v>7.7</v>
      </c>
      <c r="BE79" s="37">
        <v>7.7</v>
      </c>
      <c r="BF79" s="37">
        <v>7.7</v>
      </c>
      <c r="BG79" s="37"/>
    </row>
    <row r="80" spans="1:59">
      <c r="C80" t="s">
        <v>576</v>
      </c>
      <c r="D80" t="s">
        <v>586</v>
      </c>
      <c r="U80" s="449">
        <v>66749</v>
      </c>
      <c r="V80" s="450" t="s">
        <v>2401</v>
      </c>
      <c r="W80" s="450"/>
      <c r="X80" s="450" t="s">
        <v>2402</v>
      </c>
      <c r="Y80" s="450"/>
      <c r="Z80" s="450"/>
      <c r="AB80" s="448" t="s">
        <v>2407</v>
      </c>
      <c r="AX80" s="37"/>
      <c r="AY80" s="230" t="s">
        <v>1974</v>
      </c>
      <c r="AZ80" s="37" t="s">
        <v>1657</v>
      </c>
      <c r="BA80" s="37">
        <v>3.3</v>
      </c>
      <c r="BB80" s="37">
        <v>3.3</v>
      </c>
      <c r="BC80" s="37">
        <v>3.3</v>
      </c>
      <c r="BD80" s="37">
        <v>3.3</v>
      </c>
      <c r="BE80" s="37">
        <v>3.3</v>
      </c>
      <c r="BF80" s="37">
        <v>3.3</v>
      </c>
      <c r="BG80" s="37"/>
    </row>
    <row r="81" spans="1:59">
      <c r="A81" t="s">
        <v>1702</v>
      </c>
      <c r="C81" t="s">
        <v>577</v>
      </c>
      <c r="D81" t="s">
        <v>585</v>
      </c>
      <c r="U81" s="447">
        <v>66842</v>
      </c>
      <c r="V81" t="s">
        <v>2403</v>
      </c>
      <c r="W81" s="448"/>
      <c r="X81" t="s">
        <v>2326</v>
      </c>
      <c r="Y81" s="448"/>
      <c r="Z81" s="448"/>
      <c r="AB81" s="448" t="s">
        <v>2408</v>
      </c>
      <c r="AX81" s="37"/>
      <c r="AY81" s="230" t="s">
        <v>1975</v>
      </c>
      <c r="AZ81" s="37" t="s">
        <v>1657</v>
      </c>
      <c r="BA81" s="37">
        <v>3.2</v>
      </c>
      <c r="BB81" s="37">
        <v>3.2</v>
      </c>
      <c r="BC81" s="37">
        <v>3.2</v>
      </c>
      <c r="BD81" s="37">
        <v>3.2</v>
      </c>
      <c r="BE81" s="37">
        <v>3.2</v>
      </c>
      <c r="BF81" s="37">
        <v>3.2</v>
      </c>
      <c r="BG81" s="37"/>
    </row>
    <row r="82" spans="1:59">
      <c r="A82" t="s">
        <v>1695</v>
      </c>
      <c r="C82" t="s">
        <v>578</v>
      </c>
      <c r="D82" t="s">
        <v>584</v>
      </c>
      <c r="U82" s="447">
        <v>66843</v>
      </c>
      <c r="V82" t="s">
        <v>2404</v>
      </c>
      <c r="W82" s="448"/>
      <c r="X82" t="s">
        <v>2405</v>
      </c>
      <c r="Y82" s="448"/>
      <c r="Z82" s="448"/>
      <c r="AB82" s="448" t="s">
        <v>2410</v>
      </c>
      <c r="AX82" s="37"/>
      <c r="AY82" s="230" t="s">
        <v>1976</v>
      </c>
      <c r="AZ82" s="37" t="s">
        <v>1657</v>
      </c>
      <c r="BA82" s="37">
        <v>3.2</v>
      </c>
      <c r="BB82" s="37">
        <v>3.2</v>
      </c>
      <c r="BC82" s="37">
        <v>3.2</v>
      </c>
      <c r="BD82" s="37">
        <v>3.2</v>
      </c>
      <c r="BE82" s="37">
        <v>3.2</v>
      </c>
      <c r="BF82" s="37">
        <v>3.2</v>
      </c>
      <c r="BG82" s="37"/>
    </row>
    <row r="83" spans="1:59">
      <c r="A83" t="s">
        <v>135</v>
      </c>
      <c r="C83" t="s">
        <v>579</v>
      </c>
      <c r="D83" t="s">
        <v>586</v>
      </c>
      <c r="U83" s="447">
        <v>66014</v>
      </c>
      <c r="V83" t="s">
        <v>2406</v>
      </c>
      <c r="W83" s="448"/>
      <c r="X83" t="s">
        <v>2372</v>
      </c>
      <c r="Y83" s="448"/>
      <c r="Z83" s="448"/>
      <c r="AB83" s="448" t="s">
        <v>2412</v>
      </c>
      <c r="AX83" s="37"/>
      <c r="AY83" s="37"/>
      <c r="AZ83" s="37"/>
      <c r="BA83" s="272" t="s">
        <v>2179</v>
      </c>
      <c r="BB83" s="272" t="s">
        <v>2185</v>
      </c>
      <c r="BC83" s="272" t="s">
        <v>2184</v>
      </c>
      <c r="BD83" s="272" t="s">
        <v>2183</v>
      </c>
      <c r="BE83" s="272" t="s">
        <v>2182</v>
      </c>
      <c r="BF83" s="272"/>
      <c r="BG83" s="37"/>
    </row>
    <row r="84" spans="1:59">
      <c r="C84" t="s">
        <v>3012</v>
      </c>
      <c r="D84" t="s">
        <v>586</v>
      </c>
      <c r="U84" s="447">
        <v>66415</v>
      </c>
      <c r="V84" t="s">
        <v>2407</v>
      </c>
      <c r="W84" s="448"/>
      <c r="X84" t="s">
        <v>2344</v>
      </c>
      <c r="Y84" s="448"/>
      <c r="Z84" s="448"/>
      <c r="AB84" s="448" t="s">
        <v>2413</v>
      </c>
    </row>
    <row r="85" spans="1:59">
      <c r="A85" t="s">
        <v>1717</v>
      </c>
      <c r="C85" t="s">
        <v>3013</v>
      </c>
      <c r="D85" t="s">
        <v>586</v>
      </c>
      <c r="U85" s="449">
        <v>66067</v>
      </c>
      <c r="V85" s="450" t="s">
        <v>2408</v>
      </c>
      <c r="W85" s="450"/>
      <c r="X85" s="450" t="s">
        <v>2409</v>
      </c>
      <c r="Y85" s="450"/>
      <c r="Z85" s="450"/>
      <c r="AB85" s="448" t="s">
        <v>2414</v>
      </c>
    </row>
    <row r="86" spans="1:59">
      <c r="A86" t="s">
        <v>1718</v>
      </c>
      <c r="C86" t="s">
        <v>614</v>
      </c>
      <c r="D86" t="s">
        <v>586</v>
      </c>
      <c r="U86" s="447">
        <v>66720</v>
      </c>
      <c r="V86" t="s">
        <v>2410</v>
      </c>
      <c r="W86" s="448"/>
      <c r="X86" t="s">
        <v>2411</v>
      </c>
      <c r="Y86" s="448"/>
      <c r="Z86" s="448"/>
      <c r="AB86" s="448" t="s">
        <v>2415</v>
      </c>
    </row>
    <row r="87" spans="1:59">
      <c r="A87" t="s">
        <v>1719</v>
      </c>
      <c r="C87" t="s">
        <v>615</v>
      </c>
      <c r="D87" t="s">
        <v>586</v>
      </c>
      <c r="U87" s="447">
        <v>67431</v>
      </c>
      <c r="V87" t="s">
        <v>2412</v>
      </c>
      <c r="W87" s="448"/>
      <c r="X87" t="s">
        <v>2311</v>
      </c>
      <c r="Y87" s="448"/>
      <c r="Z87" s="448"/>
      <c r="AB87" s="448" t="s">
        <v>2416</v>
      </c>
    </row>
    <row r="88" spans="1:59">
      <c r="A88" t="s">
        <v>1720</v>
      </c>
      <c r="C88" t="s">
        <v>616</v>
      </c>
      <c r="D88" t="s">
        <v>586</v>
      </c>
      <c r="U88" s="447">
        <v>67025</v>
      </c>
      <c r="V88" t="s">
        <v>2413</v>
      </c>
      <c r="W88" s="448"/>
      <c r="X88" t="s">
        <v>2324</v>
      </c>
      <c r="Y88" s="448"/>
      <c r="Z88" s="448"/>
      <c r="AB88" s="448" t="s">
        <v>2418</v>
      </c>
    </row>
    <row r="89" spans="1:59">
      <c r="C89" t="s">
        <v>1150</v>
      </c>
      <c r="D89" t="s">
        <v>586</v>
      </c>
      <c r="U89" s="447">
        <v>66724</v>
      </c>
      <c r="V89" t="s">
        <v>2414</v>
      </c>
      <c r="W89" s="448"/>
      <c r="X89" t="s">
        <v>2330</v>
      </c>
      <c r="Y89" s="448"/>
      <c r="Z89" s="448"/>
      <c r="AB89" s="448" t="s">
        <v>2420</v>
      </c>
    </row>
    <row r="90" spans="1:59">
      <c r="A90" t="s">
        <v>1740</v>
      </c>
      <c r="C90" t="s">
        <v>1183</v>
      </c>
      <c r="D90" t="s">
        <v>586</v>
      </c>
      <c r="U90" s="447">
        <v>67335</v>
      </c>
      <c r="V90" t="s">
        <v>2415</v>
      </c>
      <c r="W90" s="448"/>
      <c r="X90" t="s">
        <v>2396</v>
      </c>
      <c r="Y90" s="448"/>
      <c r="Z90" s="448"/>
      <c r="AB90" s="448" t="s">
        <v>2421</v>
      </c>
    </row>
    <row r="91" spans="1:59">
      <c r="A91" t="s">
        <v>1742</v>
      </c>
      <c r="C91" t="s">
        <v>1185</v>
      </c>
      <c r="D91" t="s">
        <v>586</v>
      </c>
      <c r="U91" s="447">
        <v>66416</v>
      </c>
      <c r="V91" t="s">
        <v>2416</v>
      </c>
      <c r="W91" s="448"/>
      <c r="X91" t="s">
        <v>2417</v>
      </c>
      <c r="Y91" s="448"/>
      <c r="Z91" s="448"/>
      <c r="AB91" s="448" t="s">
        <v>2422</v>
      </c>
    </row>
    <row r="92" spans="1:59">
      <c r="A92" t="s">
        <v>1741</v>
      </c>
      <c r="C92" t="s">
        <v>1726</v>
      </c>
      <c r="D92" t="s">
        <v>586</v>
      </c>
      <c r="U92" s="447">
        <v>67432</v>
      </c>
      <c r="V92" t="s">
        <v>2418</v>
      </c>
      <c r="W92" s="448"/>
      <c r="X92" t="s">
        <v>2419</v>
      </c>
      <c r="Y92" s="448"/>
      <c r="Z92" s="448"/>
      <c r="AB92" s="448" t="s">
        <v>2424</v>
      </c>
    </row>
    <row r="93" spans="1:59">
      <c r="A93" t="s">
        <v>1736</v>
      </c>
      <c r="C93" t="s">
        <v>1744</v>
      </c>
      <c r="D93" t="s">
        <v>586</v>
      </c>
      <c r="U93" s="447">
        <v>67026</v>
      </c>
      <c r="V93" t="s">
        <v>2420</v>
      </c>
      <c r="W93" s="448"/>
      <c r="X93" t="s">
        <v>2324</v>
      </c>
      <c r="Y93" s="448"/>
      <c r="Z93" s="448"/>
      <c r="AB93" s="448" t="s">
        <v>2425</v>
      </c>
    </row>
    <row r="94" spans="1:59">
      <c r="A94" t="s">
        <v>1738</v>
      </c>
      <c r="C94" t="s">
        <v>1745</v>
      </c>
      <c r="D94" t="s">
        <v>1746</v>
      </c>
      <c r="U94" s="449">
        <v>66843</v>
      </c>
      <c r="V94" s="450" t="s">
        <v>2421</v>
      </c>
      <c r="W94" s="450"/>
      <c r="X94" s="450" t="s">
        <v>2405</v>
      </c>
      <c r="Y94" s="450"/>
      <c r="Z94" s="450"/>
      <c r="AB94" s="448" t="s">
        <v>2427</v>
      </c>
    </row>
    <row r="95" spans="1:59">
      <c r="A95" t="s">
        <v>1735</v>
      </c>
      <c r="C95" t="s">
        <v>1747</v>
      </c>
      <c r="D95" t="s">
        <v>585</v>
      </c>
      <c r="U95" s="449">
        <v>67137</v>
      </c>
      <c r="V95" s="450" t="s">
        <v>2422</v>
      </c>
      <c r="W95" s="450"/>
      <c r="X95" s="450" t="s">
        <v>2423</v>
      </c>
      <c r="Y95" s="450"/>
      <c r="Z95" s="450"/>
      <c r="AB95" s="448" t="s">
        <v>2428</v>
      </c>
    </row>
    <row r="96" spans="1:59">
      <c r="A96" t="s">
        <v>1739</v>
      </c>
      <c r="U96" s="447">
        <v>67337</v>
      </c>
      <c r="V96" t="s">
        <v>2424</v>
      </c>
      <c r="W96" s="448" t="s">
        <v>1184</v>
      </c>
      <c r="X96" t="s">
        <v>2396</v>
      </c>
      <c r="Y96" s="448"/>
      <c r="Z96" s="448"/>
      <c r="AB96" s="448" t="s">
        <v>713</v>
      </c>
    </row>
    <row r="97" spans="1:28">
      <c r="A97" t="s">
        <v>1737</v>
      </c>
      <c r="C97" t="s">
        <v>1730</v>
      </c>
      <c r="D97" s="13" t="s">
        <v>934</v>
      </c>
      <c r="U97" s="447">
        <v>66015</v>
      </c>
      <c r="V97" t="s">
        <v>2425</v>
      </c>
      <c r="W97" s="448"/>
      <c r="X97" t="s">
        <v>2426</v>
      </c>
      <c r="Y97" s="448"/>
      <c r="Z97" s="448"/>
      <c r="AB97" s="448" t="s">
        <v>2429</v>
      </c>
    </row>
    <row r="98" spans="1:28">
      <c r="A98" t="s">
        <v>542</v>
      </c>
      <c r="C98" t="s">
        <v>933</v>
      </c>
      <c r="D98" s="13">
        <v>1</v>
      </c>
      <c r="U98" s="447">
        <v>67030</v>
      </c>
      <c r="V98" t="s">
        <v>2427</v>
      </c>
      <c r="W98" s="448"/>
      <c r="X98" t="s">
        <v>2324</v>
      </c>
      <c r="Y98" s="448"/>
      <c r="Z98" s="448"/>
      <c r="AB98" s="448" t="s">
        <v>2430</v>
      </c>
    </row>
    <row r="99" spans="1:28">
      <c r="C99" t="s">
        <v>935</v>
      </c>
      <c r="D99" s="13">
        <v>1</v>
      </c>
      <c r="U99" s="449">
        <v>67460</v>
      </c>
      <c r="V99" s="450" t="s">
        <v>2428</v>
      </c>
      <c r="W99" s="450"/>
      <c r="X99" s="450" t="s">
        <v>2398</v>
      </c>
      <c r="Y99" s="450"/>
      <c r="Z99" s="450"/>
      <c r="AB99" s="448" t="s">
        <v>2431</v>
      </c>
    </row>
    <row r="100" spans="1:28">
      <c r="A100" t="s">
        <v>531</v>
      </c>
      <c r="C100" t="s">
        <v>936</v>
      </c>
      <c r="D100" s="280">
        <v>0.04</v>
      </c>
      <c r="U100" s="447">
        <v>66417</v>
      </c>
      <c r="V100" t="s">
        <v>713</v>
      </c>
      <c r="W100" s="448"/>
      <c r="X100" t="s">
        <v>2344</v>
      </c>
      <c r="Y100" s="448"/>
      <c r="Z100" s="448"/>
      <c r="AB100" s="448" t="s">
        <v>2432</v>
      </c>
    </row>
    <row r="101" spans="1:28">
      <c r="A101" t="s">
        <v>2135</v>
      </c>
      <c r="C101" t="s">
        <v>937</v>
      </c>
      <c r="D101" s="280">
        <v>0.45</v>
      </c>
      <c r="U101" s="447">
        <v>66845</v>
      </c>
      <c r="V101" t="s">
        <v>2429</v>
      </c>
      <c r="W101" s="448"/>
      <c r="X101" t="s">
        <v>2405</v>
      </c>
      <c r="Y101" s="448"/>
      <c r="Z101" s="448"/>
      <c r="AB101" s="448" t="s">
        <v>2433</v>
      </c>
    </row>
    <row r="102" spans="1:28">
      <c r="A102" t="s">
        <v>2136</v>
      </c>
      <c r="C102" t="s">
        <v>1615</v>
      </c>
      <c r="D102" s="282">
        <v>0.75</v>
      </c>
      <c r="U102" s="447">
        <v>66846</v>
      </c>
      <c r="V102" t="s">
        <v>2430</v>
      </c>
      <c r="W102" s="448"/>
      <c r="X102" t="s">
        <v>2385</v>
      </c>
      <c r="Y102" s="448"/>
      <c r="Z102" s="448"/>
      <c r="AB102" s="448" t="s">
        <v>2434</v>
      </c>
    </row>
    <row r="103" spans="1:28">
      <c r="A103" t="s">
        <v>2137</v>
      </c>
      <c r="C103" t="s">
        <v>1616</v>
      </c>
      <c r="D103" s="281">
        <v>1</v>
      </c>
      <c r="U103" s="449">
        <v>66873</v>
      </c>
      <c r="V103" s="450" t="s">
        <v>2430</v>
      </c>
      <c r="W103" s="450"/>
      <c r="X103" s="450" t="s">
        <v>2385</v>
      </c>
      <c r="Y103" s="450"/>
      <c r="Z103" s="450"/>
      <c r="AB103" s="448" t="s">
        <v>2435</v>
      </c>
    </row>
    <row r="104" spans="1:28">
      <c r="A104" t="s">
        <v>2138</v>
      </c>
      <c r="C104" t="s">
        <v>1147</v>
      </c>
      <c r="D104" s="283">
        <v>0.04</v>
      </c>
      <c r="U104" s="449">
        <v>66202</v>
      </c>
      <c r="V104" s="450" t="s">
        <v>2431</v>
      </c>
      <c r="W104" s="450"/>
      <c r="X104" s="450" t="s">
        <v>2380</v>
      </c>
      <c r="Y104" s="450" t="s">
        <v>1184</v>
      </c>
      <c r="Z104" s="450"/>
      <c r="AB104" s="448" t="s">
        <v>2436</v>
      </c>
    </row>
    <row r="105" spans="1:28">
      <c r="C105" t="s">
        <v>1149</v>
      </c>
      <c r="D105" s="284">
        <v>550</v>
      </c>
      <c r="U105" s="449">
        <v>66736</v>
      </c>
      <c r="V105" s="450" t="s">
        <v>2432</v>
      </c>
      <c r="W105" s="450"/>
      <c r="X105" s="450" t="s">
        <v>2321</v>
      </c>
      <c r="Y105" s="450"/>
      <c r="Z105" s="450"/>
      <c r="AB105" s="448" t="s">
        <v>2437</v>
      </c>
    </row>
    <row r="106" spans="1:28">
      <c r="A106" t="s">
        <v>930</v>
      </c>
      <c r="C106" t="s">
        <v>1703</v>
      </c>
      <c r="D106" s="285">
        <v>500000</v>
      </c>
      <c r="U106" s="449">
        <v>67484</v>
      </c>
      <c r="V106" s="450" t="s">
        <v>2433</v>
      </c>
      <c r="W106" s="450"/>
      <c r="X106" s="450" t="s">
        <v>2313</v>
      </c>
      <c r="Y106" s="450"/>
      <c r="Z106" s="450"/>
      <c r="AB106" s="448" t="s">
        <v>2438</v>
      </c>
    </row>
    <row r="107" spans="1:28">
      <c r="A107" t="s">
        <v>84</v>
      </c>
      <c r="C107" t="s">
        <v>1727</v>
      </c>
      <c r="D107" s="280">
        <v>0.4</v>
      </c>
      <c r="U107" s="447">
        <v>66016</v>
      </c>
      <c r="V107" t="s">
        <v>2434</v>
      </c>
      <c r="W107" s="448"/>
      <c r="X107" t="s">
        <v>2338</v>
      </c>
      <c r="Y107" s="448"/>
      <c r="Z107" s="448"/>
      <c r="AB107" s="448" t="s">
        <v>2439</v>
      </c>
    </row>
    <row r="108" spans="1:28">
      <c r="A108" t="s">
        <v>523</v>
      </c>
      <c r="C108" t="s">
        <v>1728</v>
      </c>
      <c r="D108" s="281">
        <v>0.5</v>
      </c>
      <c r="U108" s="447">
        <v>66018</v>
      </c>
      <c r="V108" t="s">
        <v>2435</v>
      </c>
      <c r="W108" s="448"/>
      <c r="X108" t="s">
        <v>2380</v>
      </c>
      <c r="Y108" s="448" t="s">
        <v>1184</v>
      </c>
      <c r="Z108" s="448"/>
      <c r="AB108" s="448" t="s">
        <v>2440</v>
      </c>
    </row>
    <row r="109" spans="1:28">
      <c r="C109" t="s">
        <v>1743</v>
      </c>
      <c r="D109" s="280">
        <v>50000</v>
      </c>
      <c r="U109" s="447">
        <v>67340</v>
      </c>
      <c r="V109" t="s">
        <v>2436</v>
      </c>
      <c r="W109" s="448"/>
      <c r="X109" t="s">
        <v>2396</v>
      </c>
      <c r="Y109" s="448"/>
      <c r="Z109" s="448"/>
      <c r="AB109" s="448" t="s">
        <v>2441</v>
      </c>
    </row>
    <row r="110" spans="1:28">
      <c r="A110" s="330" t="s">
        <v>1144</v>
      </c>
      <c r="C110" t="s">
        <v>2186</v>
      </c>
      <c r="D110" s="280">
        <v>15000</v>
      </c>
      <c r="U110" s="449">
        <v>67449</v>
      </c>
      <c r="V110" s="450" t="s">
        <v>2437</v>
      </c>
      <c r="W110" s="450"/>
      <c r="X110" s="450" t="s">
        <v>2311</v>
      </c>
      <c r="Y110" s="450"/>
      <c r="Z110" s="450"/>
      <c r="AB110" s="448" t="s">
        <v>2442</v>
      </c>
    </row>
    <row r="111" spans="1:28">
      <c r="A111" s="329" t="s">
        <v>1145</v>
      </c>
      <c r="D111" s="13"/>
      <c r="U111" s="447">
        <v>66418</v>
      </c>
      <c r="V111" t="s">
        <v>2438</v>
      </c>
      <c r="W111" s="448"/>
      <c r="X111" t="s">
        <v>2417</v>
      </c>
      <c r="Y111" s="448"/>
      <c r="Z111" s="448"/>
      <c r="AB111" s="448" t="s">
        <v>2443</v>
      </c>
    </row>
    <row r="112" spans="1:28">
      <c r="C112" s="13" t="s">
        <v>1731</v>
      </c>
      <c r="D112" s="13" t="s">
        <v>1732</v>
      </c>
      <c r="U112" s="447">
        <v>67436</v>
      </c>
      <c r="V112" t="s">
        <v>2439</v>
      </c>
      <c r="W112" s="448"/>
      <c r="X112" t="s">
        <v>2313</v>
      </c>
      <c r="Y112" s="448"/>
      <c r="Z112" s="448"/>
      <c r="AB112" s="448" t="s">
        <v>2444</v>
      </c>
    </row>
    <row r="113" spans="1:28">
      <c r="A113" t="s">
        <v>1754</v>
      </c>
      <c r="C113" s="13" t="s">
        <v>1733</v>
      </c>
      <c r="D113" s="280">
        <v>0.03</v>
      </c>
      <c r="U113" s="447">
        <v>66419</v>
      </c>
      <c r="V113" t="s">
        <v>2440</v>
      </c>
      <c r="W113" s="448"/>
      <c r="X113" t="s">
        <v>2417</v>
      </c>
      <c r="Y113" s="448"/>
      <c r="Z113" s="448"/>
      <c r="AB113" s="448" t="s">
        <v>2445</v>
      </c>
    </row>
    <row r="114" spans="1:28">
      <c r="A114" t="s">
        <v>1751</v>
      </c>
      <c r="C114" s="13" t="s">
        <v>1734</v>
      </c>
      <c r="D114" s="280">
        <v>0.04</v>
      </c>
      <c r="U114" s="447">
        <v>67341</v>
      </c>
      <c r="V114" t="s">
        <v>2441</v>
      </c>
      <c r="W114" s="448"/>
      <c r="X114" t="s">
        <v>2319</v>
      </c>
      <c r="Y114" s="448"/>
      <c r="Z114" s="448"/>
      <c r="AB114" s="448" t="s">
        <v>2446</v>
      </c>
    </row>
    <row r="115" spans="1:28">
      <c r="A115" t="s">
        <v>1707</v>
      </c>
      <c r="U115" s="447">
        <v>66017</v>
      </c>
      <c r="V115" t="s">
        <v>2442</v>
      </c>
      <c r="W115" s="448"/>
      <c r="X115" t="s">
        <v>2362</v>
      </c>
      <c r="Y115" s="448"/>
      <c r="Z115" s="448"/>
      <c r="AB115" s="448" t="s">
        <v>2447</v>
      </c>
    </row>
    <row r="116" spans="1:28">
      <c r="A116" t="s">
        <v>1706</v>
      </c>
      <c r="C116" s="286" t="s">
        <v>1760</v>
      </c>
      <c r="D116" t="s">
        <v>1762</v>
      </c>
      <c r="U116" s="447">
        <v>67037</v>
      </c>
      <c r="V116" t="s">
        <v>2443</v>
      </c>
      <c r="W116" s="448" t="s">
        <v>1184</v>
      </c>
      <c r="X116" t="s">
        <v>2324</v>
      </c>
      <c r="Y116" s="448"/>
      <c r="Z116" s="448"/>
      <c r="AB116" s="448" t="s">
        <v>2448</v>
      </c>
    </row>
    <row r="117" spans="1:28">
      <c r="A117" t="s">
        <v>1705</v>
      </c>
      <c r="C117" t="s">
        <v>1761</v>
      </c>
      <c r="D117">
        <v>10.3</v>
      </c>
      <c r="U117" s="447">
        <v>67039</v>
      </c>
      <c r="V117" t="s">
        <v>2444</v>
      </c>
      <c r="W117" s="448"/>
      <c r="X117" t="s">
        <v>2326</v>
      </c>
      <c r="Y117" s="448"/>
      <c r="Z117" s="448"/>
      <c r="AB117" s="448" t="s">
        <v>2449</v>
      </c>
    </row>
    <row r="118" spans="1:28">
      <c r="A118" t="s">
        <v>1752</v>
      </c>
      <c r="C118" t="s">
        <v>1773</v>
      </c>
      <c r="D118">
        <v>50.5</v>
      </c>
      <c r="U118" s="449">
        <v>66521</v>
      </c>
      <c r="V118" s="450" t="s">
        <v>2445</v>
      </c>
      <c r="W118" s="450"/>
      <c r="X118" s="450" t="s">
        <v>2360</v>
      </c>
      <c r="Y118" s="450"/>
      <c r="Z118" s="450"/>
      <c r="AB118" s="448" t="s">
        <v>712</v>
      </c>
    </row>
    <row r="119" spans="1:28">
      <c r="A119" t="s">
        <v>1753</v>
      </c>
      <c r="C119" t="s">
        <v>1772</v>
      </c>
      <c r="D119">
        <v>43.1</v>
      </c>
      <c r="U119" s="449">
        <v>66846</v>
      </c>
      <c r="V119" s="450" t="s">
        <v>2446</v>
      </c>
      <c r="W119" s="450"/>
      <c r="X119" s="450" t="s">
        <v>2385</v>
      </c>
      <c r="Y119" s="450"/>
      <c r="Z119" s="450"/>
      <c r="AB119" s="448" t="s">
        <v>714</v>
      </c>
    </row>
    <row r="120" spans="1:28">
      <c r="C120" t="s">
        <v>1771</v>
      </c>
      <c r="D120">
        <v>25.1</v>
      </c>
      <c r="U120" s="447">
        <v>67438</v>
      </c>
      <c r="V120" t="s">
        <v>2447</v>
      </c>
      <c r="W120" s="448"/>
      <c r="X120" t="s">
        <v>2328</v>
      </c>
      <c r="Y120" s="448"/>
      <c r="Z120" s="448"/>
      <c r="AB120" s="448" t="s">
        <v>2450</v>
      </c>
    </row>
    <row r="121" spans="1:28">
      <c r="A121" t="s">
        <v>2105</v>
      </c>
      <c r="C121" t="s">
        <v>1770</v>
      </c>
      <c r="D121">
        <v>28.9</v>
      </c>
      <c r="U121" s="447">
        <v>66849</v>
      </c>
      <c r="V121" t="s">
        <v>2448</v>
      </c>
      <c r="W121" s="448"/>
      <c r="X121" t="s">
        <v>2385</v>
      </c>
      <c r="Y121" s="448"/>
      <c r="Z121" s="448"/>
      <c r="AB121" s="448" t="s">
        <v>2451</v>
      </c>
    </row>
    <row r="122" spans="1:28">
      <c r="A122" t="s">
        <v>1696</v>
      </c>
      <c r="C122" t="s">
        <v>1769</v>
      </c>
      <c r="D122">
        <v>20.100000000000001</v>
      </c>
      <c r="U122" s="449">
        <v>67206</v>
      </c>
      <c r="V122" s="450" t="s">
        <v>2449</v>
      </c>
      <c r="W122" s="450"/>
      <c r="X122" s="450" t="s">
        <v>2324</v>
      </c>
      <c r="Y122" s="450"/>
      <c r="Z122" s="450"/>
      <c r="AB122" s="448" t="s">
        <v>2452</v>
      </c>
    </row>
    <row r="123" spans="1:28">
      <c r="A123" t="e">
        <f>X02S02F12</f>
        <v>#REF!</v>
      </c>
      <c r="C123" t="s">
        <v>1768</v>
      </c>
      <c r="D123">
        <v>15.4</v>
      </c>
      <c r="U123" s="449">
        <v>67207</v>
      </c>
      <c r="V123" s="450" t="s">
        <v>2449</v>
      </c>
      <c r="W123" s="450"/>
      <c r="X123" s="450" t="s">
        <v>2324</v>
      </c>
      <c r="Y123" s="450"/>
      <c r="Z123" s="450"/>
      <c r="AB123" s="448" t="s">
        <v>2453</v>
      </c>
    </row>
    <row r="124" spans="1:28">
      <c r="A124" t="e">
        <f>X02S02F23</f>
        <v>#REF!</v>
      </c>
      <c r="C124" t="s">
        <v>1767</v>
      </c>
      <c r="D124">
        <v>17.5</v>
      </c>
      <c r="U124" s="449">
        <v>67208</v>
      </c>
      <c r="V124" s="450" t="s">
        <v>2449</v>
      </c>
      <c r="W124" s="450"/>
      <c r="X124" s="450" t="s">
        <v>2324</v>
      </c>
      <c r="Y124" s="450"/>
      <c r="Z124" s="450"/>
      <c r="AB124" s="448" t="s">
        <v>2454</v>
      </c>
    </row>
    <row r="125" spans="1:28">
      <c r="C125" t="s">
        <v>1766</v>
      </c>
      <c r="D125">
        <v>14.1</v>
      </c>
      <c r="U125" s="447">
        <v>66020</v>
      </c>
      <c r="V125" t="s">
        <v>712</v>
      </c>
      <c r="W125" s="448"/>
      <c r="X125" t="s">
        <v>2350</v>
      </c>
      <c r="Y125" s="448"/>
      <c r="Z125" s="448"/>
      <c r="AB125" s="448" t="s">
        <v>2455</v>
      </c>
    </row>
    <row r="126" spans="1:28">
      <c r="A126" t="s">
        <v>2121</v>
      </c>
      <c r="C126" t="s">
        <v>1765</v>
      </c>
      <c r="D126">
        <v>21.4</v>
      </c>
      <c r="U126" s="447">
        <v>66021</v>
      </c>
      <c r="V126" t="s">
        <v>714</v>
      </c>
      <c r="W126" s="448"/>
      <c r="X126" t="s">
        <v>2380</v>
      </c>
      <c r="Y126" s="448" t="s">
        <v>1184</v>
      </c>
      <c r="Z126" s="448"/>
      <c r="AB126" s="448" t="s">
        <v>2456</v>
      </c>
    </row>
    <row r="127" spans="1:28">
      <c r="A127" t="s">
        <v>2117</v>
      </c>
      <c r="C127" t="s">
        <v>1007</v>
      </c>
      <c r="D127">
        <v>15.3</v>
      </c>
      <c r="U127" s="449">
        <v>66030</v>
      </c>
      <c r="V127" s="450" t="s">
        <v>714</v>
      </c>
      <c r="W127" s="450"/>
      <c r="X127" s="450" t="s">
        <v>2380</v>
      </c>
      <c r="Y127" s="450" t="s">
        <v>1184</v>
      </c>
      <c r="Z127" s="450"/>
      <c r="AB127" s="448" t="s">
        <v>2458</v>
      </c>
    </row>
    <row r="128" spans="1:28">
      <c r="A128" t="s">
        <v>2114</v>
      </c>
      <c r="C128" t="s">
        <v>1764</v>
      </c>
      <c r="D128">
        <v>13.2</v>
      </c>
      <c r="U128" s="447">
        <v>67342</v>
      </c>
      <c r="V128" t="s">
        <v>2450</v>
      </c>
      <c r="W128" s="448"/>
      <c r="X128" t="s">
        <v>2319</v>
      </c>
      <c r="Y128" s="448"/>
      <c r="Z128" s="448"/>
      <c r="AB128" s="448" t="s">
        <v>2459</v>
      </c>
    </row>
    <row r="129" spans="3:28">
      <c r="C129" t="s">
        <v>1777</v>
      </c>
      <c r="D129">
        <v>10.3</v>
      </c>
      <c r="U129" s="449">
        <v>66111</v>
      </c>
      <c r="V129" s="450" t="s">
        <v>2451</v>
      </c>
      <c r="W129" s="450"/>
      <c r="X129" s="450" t="s">
        <v>2375</v>
      </c>
      <c r="Y129" s="450" t="s">
        <v>1184</v>
      </c>
      <c r="Z129" s="450"/>
      <c r="AB129" s="448" t="s">
        <v>2460</v>
      </c>
    </row>
    <row r="130" spans="3:28">
      <c r="C130" t="s">
        <v>1776</v>
      </c>
      <c r="D130">
        <v>4.5</v>
      </c>
      <c r="U130" s="447">
        <v>66113</v>
      </c>
      <c r="V130" t="s">
        <v>2451</v>
      </c>
      <c r="W130" s="448"/>
      <c r="X130" t="s">
        <v>2375</v>
      </c>
      <c r="Y130" s="448" t="s">
        <v>1184</v>
      </c>
      <c r="Z130" s="448"/>
      <c r="AB130" s="448" t="s">
        <v>2461</v>
      </c>
    </row>
    <row r="131" spans="3:28">
      <c r="C131" t="s">
        <v>1775</v>
      </c>
      <c r="D131">
        <v>7.3</v>
      </c>
      <c r="U131" s="447">
        <v>66023</v>
      </c>
      <c r="V131" t="s">
        <v>2452</v>
      </c>
      <c r="W131" s="448"/>
      <c r="X131" t="s">
        <v>2338</v>
      </c>
      <c r="Y131" s="448"/>
      <c r="Z131" s="448"/>
      <c r="AB131" s="448" t="s">
        <v>2462</v>
      </c>
    </row>
    <row r="132" spans="3:28">
      <c r="C132" t="s">
        <v>1774</v>
      </c>
      <c r="D132">
        <v>6.6</v>
      </c>
      <c r="U132" s="447">
        <v>67042</v>
      </c>
      <c r="V132" t="s">
        <v>2453</v>
      </c>
      <c r="W132" s="448"/>
      <c r="X132" t="s">
        <v>2326</v>
      </c>
      <c r="Y132" s="448"/>
      <c r="Z132" s="448"/>
      <c r="AB132" s="448" t="s">
        <v>2463</v>
      </c>
    </row>
    <row r="133" spans="3:28">
      <c r="C133" t="s">
        <v>97</v>
      </c>
      <c r="D133">
        <v>20.2</v>
      </c>
      <c r="U133" s="447">
        <v>67041</v>
      </c>
      <c r="V133" t="s">
        <v>2454</v>
      </c>
      <c r="W133" s="448"/>
      <c r="X133" t="s">
        <v>2326</v>
      </c>
      <c r="Y133" s="448"/>
      <c r="Z133" s="448"/>
      <c r="AB133" s="448" t="s">
        <v>2464</v>
      </c>
    </row>
    <row r="134" spans="3:28">
      <c r="C134" t="s">
        <v>1763</v>
      </c>
      <c r="D134">
        <v>5.3</v>
      </c>
      <c r="U134" s="447">
        <v>67344</v>
      </c>
      <c r="V134" t="s">
        <v>2455</v>
      </c>
      <c r="W134" s="448"/>
      <c r="X134" t="s">
        <v>2396</v>
      </c>
      <c r="Y134" s="448"/>
      <c r="Z134" s="448"/>
      <c r="AB134" s="448" t="s">
        <v>2465</v>
      </c>
    </row>
    <row r="135" spans="3:28">
      <c r="U135" s="447">
        <v>67345</v>
      </c>
      <c r="V135" t="s">
        <v>2456</v>
      </c>
      <c r="W135" s="448"/>
      <c r="X135" t="s">
        <v>2457</v>
      </c>
      <c r="Y135" s="448"/>
      <c r="Z135" s="448"/>
      <c r="AB135" s="448" t="s">
        <v>2466</v>
      </c>
    </row>
    <row r="136" spans="3:28">
      <c r="C136" t="s">
        <v>281</v>
      </c>
      <c r="D136" t="s">
        <v>1983</v>
      </c>
      <c r="U136" s="447">
        <v>66850</v>
      </c>
      <c r="V136" t="s">
        <v>2458</v>
      </c>
      <c r="W136" s="448"/>
      <c r="X136" t="s">
        <v>2405</v>
      </c>
      <c r="Y136" s="448"/>
      <c r="Z136" s="448"/>
      <c r="AB136" s="448" t="s">
        <v>2467</v>
      </c>
    </row>
    <row r="137" spans="3:28">
      <c r="C137" t="s">
        <v>282</v>
      </c>
      <c r="D137">
        <v>0</v>
      </c>
      <c r="U137" s="447">
        <v>66732</v>
      </c>
      <c r="V137" t="s">
        <v>2459</v>
      </c>
      <c r="W137" s="448"/>
      <c r="X137" t="s">
        <v>2402</v>
      </c>
      <c r="Y137" s="448"/>
      <c r="Z137" s="448"/>
      <c r="AB137" s="448" t="s">
        <v>2468</v>
      </c>
    </row>
    <row r="138" spans="3:28">
      <c r="C138" t="s">
        <v>283</v>
      </c>
      <c r="D138">
        <v>1</v>
      </c>
      <c r="U138" s="447">
        <v>66024</v>
      </c>
      <c r="V138" t="s">
        <v>2460</v>
      </c>
      <c r="W138" s="448"/>
      <c r="X138" t="s">
        <v>2362</v>
      </c>
      <c r="Y138" s="448"/>
      <c r="Z138" s="448"/>
      <c r="AB138" s="448" t="s">
        <v>2470</v>
      </c>
    </row>
    <row r="139" spans="3:28">
      <c r="C139" t="s">
        <v>95</v>
      </c>
      <c r="D139">
        <v>1</v>
      </c>
      <c r="U139" s="447">
        <v>66422</v>
      </c>
      <c r="V139" t="s">
        <v>2461</v>
      </c>
      <c r="W139" s="448"/>
      <c r="X139" t="s">
        <v>2360</v>
      </c>
      <c r="Y139" s="448"/>
      <c r="Z139" s="448"/>
      <c r="AB139" s="448" t="s">
        <v>2471</v>
      </c>
    </row>
    <row r="140" spans="3:28">
      <c r="C140" t="s">
        <v>284</v>
      </c>
      <c r="D140">
        <v>1</v>
      </c>
      <c r="U140" s="447">
        <v>66801</v>
      </c>
      <c r="V140" t="s">
        <v>2462</v>
      </c>
      <c r="W140" s="448" t="s">
        <v>690</v>
      </c>
      <c r="X140" t="s">
        <v>2315</v>
      </c>
      <c r="Y140" s="448"/>
      <c r="Z140" s="448"/>
      <c r="AB140" s="448" t="s">
        <v>2472</v>
      </c>
    </row>
    <row r="141" spans="3:28">
      <c r="C141" t="s">
        <v>285</v>
      </c>
      <c r="D141">
        <v>0</v>
      </c>
      <c r="U141" s="447">
        <v>67441</v>
      </c>
      <c r="V141" t="s">
        <v>2463</v>
      </c>
      <c r="W141" s="448"/>
      <c r="X141" t="s">
        <v>2311</v>
      </c>
      <c r="Y141" s="448"/>
      <c r="Z141" s="448"/>
      <c r="AB141" s="448" t="s">
        <v>2473</v>
      </c>
    </row>
    <row r="142" spans="3:28">
      <c r="C142" t="s">
        <v>627</v>
      </c>
      <c r="D142">
        <v>0</v>
      </c>
      <c r="U142" s="447">
        <v>66733</v>
      </c>
      <c r="V142" t="s">
        <v>2464</v>
      </c>
      <c r="W142" s="448"/>
      <c r="X142" t="s">
        <v>2411</v>
      </c>
      <c r="Y142" s="448"/>
      <c r="Z142" s="448"/>
      <c r="AB142" s="448" t="s">
        <v>2474</v>
      </c>
    </row>
    <row r="143" spans="3:28">
      <c r="U143" s="447">
        <v>66423</v>
      </c>
      <c r="V143" t="s">
        <v>2465</v>
      </c>
      <c r="W143" s="448"/>
      <c r="X143" t="s">
        <v>2317</v>
      </c>
      <c r="Y143" s="448"/>
      <c r="Z143" s="448"/>
      <c r="AB143" s="448" t="s">
        <v>2475</v>
      </c>
    </row>
    <row r="144" spans="3:28">
      <c r="U144" s="447">
        <v>66025</v>
      </c>
      <c r="V144" t="s">
        <v>2466</v>
      </c>
      <c r="W144" s="448"/>
      <c r="X144" t="s">
        <v>2346</v>
      </c>
      <c r="Y144" s="448"/>
      <c r="Z144" s="448"/>
      <c r="AB144" s="448" t="s">
        <v>2476</v>
      </c>
    </row>
    <row r="145" spans="21:28">
      <c r="U145" s="447">
        <v>67045</v>
      </c>
      <c r="V145" t="s">
        <v>2467</v>
      </c>
      <c r="W145" s="448"/>
      <c r="X145" t="s">
        <v>2423</v>
      </c>
      <c r="Y145" s="448"/>
      <c r="Z145" s="448"/>
      <c r="AB145" s="448" t="s">
        <v>2478</v>
      </c>
    </row>
    <row r="146" spans="21:28">
      <c r="U146" s="447">
        <v>66424</v>
      </c>
      <c r="V146" t="s">
        <v>2468</v>
      </c>
      <c r="W146" s="448"/>
      <c r="X146" t="s">
        <v>2469</v>
      </c>
      <c r="Y146" s="448"/>
      <c r="Z146" s="448"/>
      <c r="AB146" s="448" t="s">
        <v>2479</v>
      </c>
    </row>
    <row r="147" spans="21:28">
      <c r="U147" s="447">
        <v>66425</v>
      </c>
      <c r="V147" t="s">
        <v>2470</v>
      </c>
      <c r="W147" s="448"/>
      <c r="X147" t="s">
        <v>2469</v>
      </c>
      <c r="Y147" s="448"/>
      <c r="Z147" s="448"/>
      <c r="AB147" s="448" t="s">
        <v>2480</v>
      </c>
    </row>
    <row r="148" spans="21:28">
      <c r="U148" s="449">
        <v>66205</v>
      </c>
      <c r="V148" s="450" t="s">
        <v>2471</v>
      </c>
      <c r="W148" s="450"/>
      <c r="X148" s="450" t="s">
        <v>2380</v>
      </c>
      <c r="Y148" s="450" t="s">
        <v>1184</v>
      </c>
      <c r="Z148" s="450"/>
      <c r="AB148" s="448" t="s">
        <v>716</v>
      </c>
    </row>
    <row r="149" spans="21:28">
      <c r="U149" s="447">
        <v>67047</v>
      </c>
      <c r="V149" t="s">
        <v>2472</v>
      </c>
      <c r="W149" s="448"/>
      <c r="X149" t="s">
        <v>2423</v>
      </c>
      <c r="Y149" s="448"/>
      <c r="Z149" s="448"/>
      <c r="AB149" s="448" t="s">
        <v>2481</v>
      </c>
    </row>
    <row r="150" spans="21:28">
      <c r="U150" s="447">
        <v>67442</v>
      </c>
      <c r="V150" t="s">
        <v>2473</v>
      </c>
      <c r="W150" s="448"/>
      <c r="X150" t="s">
        <v>2337</v>
      </c>
      <c r="Y150" s="448"/>
      <c r="Z150" s="448"/>
      <c r="AB150" s="448" t="s">
        <v>2482</v>
      </c>
    </row>
    <row r="151" spans="21:28">
      <c r="U151" s="447">
        <v>66734</v>
      </c>
      <c r="V151" t="s">
        <v>2474</v>
      </c>
      <c r="W151" s="448"/>
      <c r="X151" t="s">
        <v>2330</v>
      </c>
      <c r="Y151" s="448"/>
      <c r="Z151" s="448"/>
      <c r="AB151" s="448" t="s">
        <v>2483</v>
      </c>
    </row>
    <row r="152" spans="21:28">
      <c r="U152" s="447">
        <v>66851</v>
      </c>
      <c r="V152" t="s">
        <v>2475</v>
      </c>
      <c r="W152" s="448"/>
      <c r="X152" t="s">
        <v>2328</v>
      </c>
      <c r="Y152" s="448"/>
      <c r="Z152" s="448"/>
      <c r="AB152" s="448" t="s">
        <v>2484</v>
      </c>
    </row>
    <row r="153" spans="21:28">
      <c r="U153" s="447">
        <v>66026</v>
      </c>
      <c r="V153" t="s">
        <v>2476</v>
      </c>
      <c r="W153" s="448"/>
      <c r="X153" t="s">
        <v>2477</v>
      </c>
      <c r="Y153" s="448"/>
      <c r="Z153" s="448"/>
      <c r="AB153" s="448" t="s">
        <v>2485</v>
      </c>
    </row>
    <row r="154" spans="21:28">
      <c r="U154" s="447">
        <v>66701</v>
      </c>
      <c r="V154" t="s">
        <v>2478</v>
      </c>
      <c r="W154" s="448"/>
      <c r="X154" t="s">
        <v>2331</v>
      </c>
      <c r="Y154" s="448"/>
      <c r="Z154" s="448"/>
      <c r="AB154" s="448" t="s">
        <v>2486</v>
      </c>
    </row>
    <row r="155" spans="21:28">
      <c r="U155" s="447">
        <v>66426</v>
      </c>
      <c r="V155" t="s">
        <v>2479</v>
      </c>
      <c r="W155" s="448"/>
      <c r="X155" t="s">
        <v>2360</v>
      </c>
      <c r="Y155" s="448"/>
      <c r="Z155" s="448"/>
      <c r="AB155" s="448" t="s">
        <v>2487</v>
      </c>
    </row>
    <row r="156" spans="21:28">
      <c r="U156" s="447">
        <v>66427</v>
      </c>
      <c r="V156" t="s">
        <v>2480</v>
      </c>
      <c r="W156" s="448"/>
      <c r="X156" t="s">
        <v>2342</v>
      </c>
      <c r="Y156" s="448"/>
      <c r="Z156" s="448"/>
      <c r="AB156" s="448" t="s">
        <v>2488</v>
      </c>
    </row>
    <row r="157" spans="21:28">
      <c r="U157" s="447">
        <v>66735</v>
      </c>
      <c r="V157" t="s">
        <v>716</v>
      </c>
      <c r="W157" s="448"/>
      <c r="X157" t="s">
        <v>2330</v>
      </c>
      <c r="Y157" s="448"/>
      <c r="Z157" s="448"/>
      <c r="AB157" s="448" t="s">
        <v>2489</v>
      </c>
    </row>
    <row r="158" spans="21:28">
      <c r="U158" s="447">
        <v>66736</v>
      </c>
      <c r="V158" t="s">
        <v>2481</v>
      </c>
      <c r="W158" s="448"/>
      <c r="X158" t="s">
        <v>2321</v>
      </c>
      <c r="Y158" s="448"/>
      <c r="Z158" s="448"/>
      <c r="AB158" s="448" t="s">
        <v>2490</v>
      </c>
    </row>
    <row r="159" spans="21:28">
      <c r="U159" s="447">
        <v>66763</v>
      </c>
      <c r="V159" t="s">
        <v>2482</v>
      </c>
      <c r="W159" s="448"/>
      <c r="X159" t="s">
        <v>2330</v>
      </c>
      <c r="Y159" s="448"/>
      <c r="Z159" s="448"/>
      <c r="AB159" s="448" t="s">
        <v>2491</v>
      </c>
    </row>
    <row r="160" spans="21:28">
      <c r="U160" s="447">
        <v>66738</v>
      </c>
      <c r="V160" t="s">
        <v>2483</v>
      </c>
      <c r="W160" s="448"/>
      <c r="X160" t="s">
        <v>2331</v>
      </c>
      <c r="Y160" s="448"/>
      <c r="Z160" s="448"/>
      <c r="AB160" s="448" t="s">
        <v>2492</v>
      </c>
    </row>
    <row r="161" spans="21:28">
      <c r="U161" s="447">
        <v>66740</v>
      </c>
      <c r="V161" t="s">
        <v>2484</v>
      </c>
      <c r="W161" s="448"/>
      <c r="X161" t="s">
        <v>2411</v>
      </c>
      <c r="Y161" s="448"/>
      <c r="Z161" s="448"/>
      <c r="AB161" s="448" t="s">
        <v>2493</v>
      </c>
    </row>
    <row r="162" spans="21:28">
      <c r="U162" s="447">
        <v>67443</v>
      </c>
      <c r="V162" t="s">
        <v>2485</v>
      </c>
      <c r="W162" s="448"/>
      <c r="X162" t="s">
        <v>2398</v>
      </c>
      <c r="Y162" s="448"/>
      <c r="Z162" s="448"/>
      <c r="AB162" s="448" t="s">
        <v>2494</v>
      </c>
    </row>
    <row r="163" spans="21:28">
      <c r="U163" s="447">
        <v>67050</v>
      </c>
      <c r="V163" t="s">
        <v>2486</v>
      </c>
      <c r="W163" s="448"/>
      <c r="X163" t="s">
        <v>2324</v>
      </c>
      <c r="Y163" s="448"/>
      <c r="Z163" s="448"/>
      <c r="AB163" s="448" t="s">
        <v>2495</v>
      </c>
    </row>
    <row r="164" spans="21:28">
      <c r="U164" s="447">
        <v>66030</v>
      </c>
      <c r="V164" t="s">
        <v>2487</v>
      </c>
      <c r="W164" s="448"/>
      <c r="X164" t="s">
        <v>2380</v>
      </c>
      <c r="Y164" s="448" t="s">
        <v>1184</v>
      </c>
      <c r="Z164" s="448"/>
      <c r="AB164" s="448" t="s">
        <v>2497</v>
      </c>
    </row>
    <row r="165" spans="21:28">
      <c r="U165" s="447">
        <v>66741</v>
      </c>
      <c r="V165" t="s">
        <v>2488</v>
      </c>
      <c r="W165" s="448"/>
      <c r="X165" t="s">
        <v>2331</v>
      </c>
      <c r="Y165" s="448"/>
      <c r="Z165" s="448"/>
      <c r="AB165" s="448" t="s">
        <v>2498</v>
      </c>
    </row>
    <row r="166" spans="21:28">
      <c r="U166" s="447">
        <v>66032</v>
      </c>
      <c r="V166" t="s">
        <v>2489</v>
      </c>
      <c r="W166" s="448"/>
      <c r="X166" t="s">
        <v>2426</v>
      </c>
      <c r="Y166" s="448"/>
      <c r="Z166" s="448"/>
      <c r="AB166" s="448" t="s">
        <v>2499</v>
      </c>
    </row>
    <row r="167" spans="21:28">
      <c r="U167" s="447">
        <v>67051</v>
      </c>
      <c r="V167" t="s">
        <v>2490</v>
      </c>
      <c r="W167" s="448"/>
      <c r="X167" t="s">
        <v>2356</v>
      </c>
      <c r="Y167" s="448"/>
      <c r="Z167" s="448"/>
      <c r="AB167" s="448" t="s">
        <v>2500</v>
      </c>
    </row>
    <row r="168" spans="21:28">
      <c r="U168" s="447">
        <v>66743</v>
      </c>
      <c r="V168" t="s">
        <v>2491</v>
      </c>
      <c r="W168" s="448"/>
      <c r="X168" t="s">
        <v>2330</v>
      </c>
      <c r="Y168" s="448"/>
      <c r="Z168" s="448"/>
      <c r="AB168" s="448" t="s">
        <v>2501</v>
      </c>
    </row>
    <row r="169" spans="21:28">
      <c r="U169" s="447">
        <v>67052</v>
      </c>
      <c r="V169" t="s">
        <v>2492</v>
      </c>
      <c r="W169" s="448"/>
      <c r="X169" t="s">
        <v>2324</v>
      </c>
      <c r="Y169" s="448"/>
      <c r="Z169" s="448"/>
      <c r="AB169" s="448" t="s">
        <v>2502</v>
      </c>
    </row>
    <row r="170" spans="21:28">
      <c r="U170" s="447">
        <v>67053</v>
      </c>
      <c r="V170" t="s">
        <v>2493</v>
      </c>
      <c r="W170" s="448"/>
      <c r="X170" t="s">
        <v>2328</v>
      </c>
      <c r="Y170" s="448"/>
      <c r="Z170" s="448"/>
      <c r="AB170" s="448" t="s">
        <v>2503</v>
      </c>
    </row>
    <row r="171" spans="21:28">
      <c r="U171" s="447">
        <v>66428</v>
      </c>
      <c r="V171" t="s">
        <v>2494</v>
      </c>
      <c r="W171" s="448"/>
      <c r="X171" t="s">
        <v>2344</v>
      </c>
      <c r="Y171" s="448"/>
      <c r="Z171" s="448"/>
      <c r="AB171" s="448" t="s">
        <v>2504</v>
      </c>
    </row>
    <row r="172" spans="21:28">
      <c r="U172" s="447">
        <v>66429</v>
      </c>
      <c r="V172" t="s">
        <v>2495</v>
      </c>
      <c r="W172" s="448"/>
      <c r="X172" t="s">
        <v>2496</v>
      </c>
      <c r="Y172" s="448"/>
      <c r="Z172" s="448"/>
      <c r="AB172" s="448" t="s">
        <v>2506</v>
      </c>
    </row>
    <row r="173" spans="21:28">
      <c r="U173" s="447">
        <v>66033</v>
      </c>
      <c r="V173" t="s">
        <v>2497</v>
      </c>
      <c r="W173" s="448"/>
      <c r="X173" t="s">
        <v>2426</v>
      </c>
      <c r="Y173" s="448"/>
      <c r="Z173" s="448"/>
      <c r="AB173" s="448" t="s">
        <v>2507</v>
      </c>
    </row>
    <row r="174" spans="21:28">
      <c r="U174" s="447">
        <v>67055</v>
      </c>
      <c r="V174" t="s">
        <v>2498</v>
      </c>
      <c r="W174" s="448"/>
      <c r="X174" t="s">
        <v>2324</v>
      </c>
      <c r="Y174" s="448"/>
      <c r="Z174" s="448"/>
      <c r="AB174" s="448" t="s">
        <v>2508</v>
      </c>
    </row>
    <row r="175" spans="21:28">
      <c r="U175" s="447">
        <v>67346</v>
      </c>
      <c r="V175" t="s">
        <v>2499</v>
      </c>
      <c r="W175" s="448"/>
      <c r="X175" t="s">
        <v>2457</v>
      </c>
      <c r="Y175" s="448"/>
      <c r="Z175" s="448"/>
      <c r="AB175" s="448" t="s">
        <v>2509</v>
      </c>
    </row>
    <row r="176" spans="21:28">
      <c r="U176" s="447">
        <v>66852</v>
      </c>
      <c r="V176" t="s">
        <v>2500</v>
      </c>
      <c r="W176" s="448"/>
      <c r="X176" t="s">
        <v>2389</v>
      </c>
      <c r="Y176" s="448"/>
      <c r="Z176" s="448"/>
      <c r="AB176" s="448" t="s">
        <v>2510</v>
      </c>
    </row>
    <row r="177" spans="21:28">
      <c r="U177" s="447">
        <v>67448</v>
      </c>
      <c r="V177" t="s">
        <v>2501</v>
      </c>
      <c r="W177" s="448"/>
      <c r="X177" t="s">
        <v>2337</v>
      </c>
      <c r="Y177" s="448"/>
      <c r="Z177" s="448"/>
      <c r="AB177" s="448" t="s">
        <v>2511</v>
      </c>
    </row>
    <row r="178" spans="21:28">
      <c r="U178" s="447">
        <v>67056</v>
      </c>
      <c r="V178" t="s">
        <v>2502</v>
      </c>
      <c r="W178" s="448"/>
      <c r="X178" t="s">
        <v>2392</v>
      </c>
      <c r="Y178" s="448"/>
      <c r="Z178" s="448"/>
      <c r="AB178" s="448" t="s">
        <v>2512</v>
      </c>
    </row>
    <row r="179" spans="21:28">
      <c r="U179" s="447">
        <v>66853</v>
      </c>
      <c r="V179" t="s">
        <v>2503</v>
      </c>
      <c r="W179" s="448"/>
      <c r="X179" t="s">
        <v>2423</v>
      </c>
      <c r="Y179" s="448"/>
      <c r="Z179" s="448"/>
      <c r="AB179" s="448" t="s">
        <v>2513</v>
      </c>
    </row>
    <row r="180" spans="21:28">
      <c r="U180" s="447">
        <v>66945</v>
      </c>
      <c r="V180" t="s">
        <v>2504</v>
      </c>
      <c r="W180" s="448"/>
      <c r="X180" t="s">
        <v>2505</v>
      </c>
      <c r="Y180" s="448"/>
      <c r="Z180" s="448"/>
      <c r="AB180" s="448" t="s">
        <v>2514</v>
      </c>
    </row>
    <row r="181" spans="21:28">
      <c r="U181" s="447">
        <v>66854</v>
      </c>
      <c r="V181" t="s">
        <v>2506</v>
      </c>
      <c r="W181" s="448"/>
      <c r="X181" t="s">
        <v>2315</v>
      </c>
      <c r="Y181" s="448"/>
      <c r="Z181" s="448"/>
      <c r="AB181" s="448" t="s">
        <v>2515</v>
      </c>
    </row>
    <row r="182" spans="21:28">
      <c r="U182" s="447">
        <v>66431</v>
      </c>
      <c r="V182" t="s">
        <v>2507</v>
      </c>
      <c r="W182" s="448"/>
      <c r="X182" t="s">
        <v>2317</v>
      </c>
      <c r="Y182" s="448"/>
      <c r="Z182" s="448"/>
      <c r="AB182" s="448" t="s">
        <v>2516</v>
      </c>
    </row>
    <row r="183" spans="21:28">
      <c r="U183" s="447">
        <v>67543</v>
      </c>
      <c r="V183" t="s">
        <v>2508</v>
      </c>
      <c r="W183" s="448"/>
      <c r="X183" t="s">
        <v>2309</v>
      </c>
      <c r="Y183" s="448"/>
      <c r="Z183" s="448"/>
      <c r="AB183" s="448" t="s">
        <v>2517</v>
      </c>
    </row>
    <row r="184" spans="21:28">
      <c r="U184" s="447">
        <v>66432</v>
      </c>
      <c r="V184" t="s">
        <v>2509</v>
      </c>
      <c r="W184" s="448"/>
      <c r="X184" t="s">
        <v>2360</v>
      </c>
      <c r="Y184" s="448"/>
      <c r="Z184" s="448"/>
      <c r="AB184" s="448" t="s">
        <v>2518</v>
      </c>
    </row>
    <row r="185" spans="21:28">
      <c r="U185" s="447">
        <v>67060</v>
      </c>
      <c r="V185" t="s">
        <v>2510</v>
      </c>
      <c r="W185" s="448"/>
      <c r="X185" t="s">
        <v>2324</v>
      </c>
      <c r="Y185" s="448"/>
      <c r="Z185" s="448"/>
      <c r="AB185" s="448" t="s">
        <v>2519</v>
      </c>
    </row>
    <row r="186" spans="21:28">
      <c r="U186" s="447">
        <v>66746</v>
      </c>
      <c r="V186" t="s">
        <v>2511</v>
      </c>
      <c r="W186" s="448"/>
      <c r="X186" t="s">
        <v>2330</v>
      </c>
      <c r="Y186" s="448"/>
      <c r="Z186" s="448"/>
      <c r="AB186" s="448" t="s">
        <v>2520</v>
      </c>
    </row>
    <row r="187" spans="21:28">
      <c r="U187" s="447">
        <v>67449</v>
      </c>
      <c r="V187" t="s">
        <v>2512</v>
      </c>
      <c r="W187" s="448"/>
      <c r="X187" t="s">
        <v>2311</v>
      </c>
      <c r="Y187" s="448"/>
      <c r="Z187" s="448"/>
      <c r="AB187" s="448" t="s">
        <v>2521</v>
      </c>
    </row>
    <row r="188" spans="21:28">
      <c r="U188" s="449">
        <v>66508</v>
      </c>
      <c r="V188" s="450" t="s">
        <v>2513</v>
      </c>
      <c r="W188" s="450"/>
      <c r="X188" s="450" t="s">
        <v>2342</v>
      </c>
      <c r="Y188" s="450"/>
      <c r="Z188" s="450"/>
      <c r="AB188" s="448" t="s">
        <v>2522</v>
      </c>
    </row>
    <row r="189" spans="21:28">
      <c r="U189" s="447">
        <v>67062</v>
      </c>
      <c r="V189" t="s">
        <v>2514</v>
      </c>
      <c r="W189" s="448"/>
      <c r="X189" t="s">
        <v>2392</v>
      </c>
      <c r="Y189" s="448"/>
      <c r="Z189" s="448"/>
      <c r="AB189" s="448" t="s">
        <v>719</v>
      </c>
    </row>
    <row r="190" spans="21:28">
      <c r="U190" s="449">
        <v>66701</v>
      </c>
      <c r="V190" s="450" t="s">
        <v>2515</v>
      </c>
      <c r="W190" s="450"/>
      <c r="X190" s="450" t="s">
        <v>2331</v>
      </c>
      <c r="Y190" s="450"/>
      <c r="Z190" s="450"/>
      <c r="AB190" s="448" t="s">
        <v>722</v>
      </c>
    </row>
    <row r="191" spans="21:28">
      <c r="U191" s="447">
        <v>66434</v>
      </c>
      <c r="V191" t="s">
        <v>2516</v>
      </c>
      <c r="W191" s="448"/>
      <c r="X191" t="s">
        <v>2469</v>
      </c>
      <c r="Y191" s="448"/>
      <c r="Z191" s="448"/>
      <c r="AB191" s="448" t="s">
        <v>2523</v>
      </c>
    </row>
    <row r="192" spans="21:28">
      <c r="U192" s="447">
        <v>66035</v>
      </c>
      <c r="V192" t="s">
        <v>2517</v>
      </c>
      <c r="W192" s="448"/>
      <c r="X192" t="s">
        <v>2362</v>
      </c>
      <c r="Y192" s="448"/>
      <c r="Z192" s="448"/>
      <c r="AB192" s="448" t="s">
        <v>2524</v>
      </c>
    </row>
    <row r="193" spans="21:28">
      <c r="U193" s="447">
        <v>67063</v>
      </c>
      <c r="V193" t="s">
        <v>2518</v>
      </c>
      <c r="W193" s="448"/>
      <c r="X193" t="s">
        <v>2328</v>
      </c>
      <c r="Y193" s="448"/>
      <c r="Z193" s="448"/>
      <c r="AB193" s="448" t="s">
        <v>2525</v>
      </c>
    </row>
    <row r="194" spans="21:28">
      <c r="U194" s="447">
        <v>66036</v>
      </c>
      <c r="V194" t="s">
        <v>2519</v>
      </c>
      <c r="W194" s="448"/>
      <c r="X194" t="s">
        <v>2477</v>
      </c>
      <c r="Y194" s="448"/>
      <c r="Z194" s="448"/>
      <c r="AB194" s="448" t="s">
        <v>2526</v>
      </c>
    </row>
    <row r="195" spans="21:28">
      <c r="U195" s="447">
        <v>66436</v>
      </c>
      <c r="V195" t="s">
        <v>2520</v>
      </c>
      <c r="W195" s="448"/>
      <c r="X195" t="s">
        <v>2417</v>
      </c>
      <c r="Y195" s="448"/>
      <c r="Z195" s="448"/>
      <c r="AB195" s="448" t="s">
        <v>720</v>
      </c>
    </row>
    <row r="196" spans="21:28">
      <c r="U196" s="447">
        <v>66438</v>
      </c>
      <c r="V196" t="s">
        <v>2521</v>
      </c>
      <c r="W196" s="448"/>
      <c r="X196" t="s">
        <v>2342</v>
      </c>
      <c r="Y196" s="448"/>
      <c r="Z196" s="448"/>
      <c r="AB196" s="448" t="s">
        <v>2527</v>
      </c>
    </row>
    <row r="197" spans="21:28">
      <c r="U197" s="447">
        <v>67451</v>
      </c>
      <c r="V197" t="s">
        <v>2522</v>
      </c>
      <c r="W197" s="448"/>
      <c r="X197" t="s">
        <v>2311</v>
      </c>
      <c r="Y197" s="448"/>
      <c r="Z197" s="448"/>
      <c r="AB197" s="448" t="s">
        <v>2528</v>
      </c>
    </row>
    <row r="198" spans="21:28">
      <c r="U198" s="447">
        <v>66439</v>
      </c>
      <c r="V198" t="s">
        <v>719</v>
      </c>
      <c r="W198" s="448"/>
      <c r="X198" t="s">
        <v>2469</v>
      </c>
      <c r="Y198" s="448"/>
      <c r="Z198" s="448"/>
      <c r="AB198" s="448" t="s">
        <v>2529</v>
      </c>
    </row>
    <row r="199" spans="21:28">
      <c r="U199" s="447">
        <v>67349</v>
      </c>
      <c r="V199" t="s">
        <v>722</v>
      </c>
      <c r="W199" s="448"/>
      <c r="X199" t="s">
        <v>2457</v>
      </c>
      <c r="Y199" s="448"/>
      <c r="Z199" s="448"/>
      <c r="AB199" s="448" t="s">
        <v>2530</v>
      </c>
    </row>
    <row r="200" spans="21:28">
      <c r="U200" s="447">
        <v>66440</v>
      </c>
      <c r="V200" t="s">
        <v>2523</v>
      </c>
      <c r="W200" s="448"/>
      <c r="X200" t="s">
        <v>2417</v>
      </c>
      <c r="Y200" s="448"/>
      <c r="Z200" s="448"/>
      <c r="AB200" s="448" t="s">
        <v>718</v>
      </c>
    </row>
    <row r="201" spans="21:28">
      <c r="U201" s="447">
        <v>66748</v>
      </c>
      <c r="V201" t="s">
        <v>2524</v>
      </c>
      <c r="W201" s="448"/>
      <c r="X201" t="s">
        <v>2402</v>
      </c>
      <c r="Y201" s="448"/>
      <c r="Z201" s="448"/>
      <c r="AB201" s="448" t="s">
        <v>2532</v>
      </c>
    </row>
    <row r="202" spans="21:28">
      <c r="U202" s="449">
        <v>66041</v>
      </c>
      <c r="V202" s="450" t="s">
        <v>2525</v>
      </c>
      <c r="W202" s="450"/>
      <c r="X202" s="450" t="s">
        <v>2338</v>
      </c>
      <c r="Y202" s="450"/>
      <c r="Z202" s="450"/>
      <c r="AB202" s="448" t="s">
        <v>2533</v>
      </c>
    </row>
    <row r="203" spans="21:28">
      <c r="U203" s="447">
        <v>67501</v>
      </c>
      <c r="V203" t="s">
        <v>2526</v>
      </c>
      <c r="W203" s="448" t="s">
        <v>1184</v>
      </c>
      <c r="X203" t="s">
        <v>2309</v>
      </c>
      <c r="Y203" s="448"/>
      <c r="Z203" s="448"/>
      <c r="AB203" s="448" t="s">
        <v>2534</v>
      </c>
    </row>
    <row r="204" spans="21:28">
      <c r="U204" s="447">
        <v>67502</v>
      </c>
      <c r="V204" t="s">
        <v>2526</v>
      </c>
      <c r="W204" s="448" t="s">
        <v>1184</v>
      </c>
      <c r="X204" t="s">
        <v>2309</v>
      </c>
      <c r="Y204" s="448"/>
      <c r="Z204" s="448"/>
      <c r="AB204" s="448" t="s">
        <v>2535</v>
      </c>
    </row>
    <row r="205" spans="21:28">
      <c r="U205" s="449">
        <v>67505</v>
      </c>
      <c r="V205" s="450" t="s">
        <v>2526</v>
      </c>
      <c r="W205" s="450" t="s">
        <v>1184</v>
      </c>
      <c r="X205" s="450" t="s">
        <v>2309</v>
      </c>
      <c r="Y205" s="450"/>
      <c r="Z205" s="450"/>
      <c r="AB205" s="448" t="s">
        <v>2536</v>
      </c>
    </row>
    <row r="206" spans="21:28">
      <c r="U206" s="447">
        <v>67301</v>
      </c>
      <c r="V206" t="s">
        <v>720</v>
      </c>
      <c r="W206" s="448"/>
      <c r="X206" t="s">
        <v>2396</v>
      </c>
      <c r="Y206" s="448"/>
      <c r="Z206" s="448"/>
      <c r="AB206" s="448" t="s">
        <v>2537</v>
      </c>
    </row>
    <row r="207" spans="21:28">
      <c r="U207" s="449">
        <v>67410</v>
      </c>
      <c r="V207" s="450" t="s">
        <v>2527</v>
      </c>
      <c r="W207" s="450"/>
      <c r="X207" s="450" t="s">
        <v>2311</v>
      </c>
      <c r="Y207" s="450"/>
      <c r="Z207" s="450"/>
      <c r="AB207" s="448" t="s">
        <v>2538</v>
      </c>
    </row>
    <row r="208" spans="21:28">
      <c r="U208" s="447">
        <v>67546</v>
      </c>
      <c r="V208" t="s">
        <v>2528</v>
      </c>
      <c r="W208" s="448"/>
      <c r="X208" t="s">
        <v>2398</v>
      </c>
      <c r="Y208" s="448"/>
      <c r="Z208" s="448"/>
      <c r="AB208" s="448" t="s">
        <v>2539</v>
      </c>
    </row>
    <row r="209" spans="21:28">
      <c r="U209" s="447">
        <v>66749</v>
      </c>
      <c r="V209" t="s">
        <v>2529</v>
      </c>
      <c r="W209" s="448"/>
      <c r="X209" t="s">
        <v>2402</v>
      </c>
      <c r="Y209" s="448"/>
      <c r="Z209" s="448"/>
      <c r="AB209" s="448" t="s">
        <v>2540</v>
      </c>
    </row>
    <row r="210" spans="21:28">
      <c r="U210" s="447">
        <v>66441</v>
      </c>
      <c r="V210" t="s">
        <v>2530</v>
      </c>
      <c r="W210" s="448" t="s">
        <v>689</v>
      </c>
      <c r="X210" t="s">
        <v>2531</v>
      </c>
      <c r="Y210" s="448"/>
      <c r="Z210" s="448"/>
      <c r="AB210" s="448" t="s">
        <v>2541</v>
      </c>
    </row>
    <row r="211" spans="21:28">
      <c r="U211" s="447">
        <v>66106</v>
      </c>
      <c r="V211" t="s">
        <v>718</v>
      </c>
      <c r="W211" s="448" t="s">
        <v>1184</v>
      </c>
      <c r="X211" t="s">
        <v>2375</v>
      </c>
      <c r="Y211" s="448" t="s">
        <v>1184</v>
      </c>
      <c r="Z211" s="448"/>
      <c r="AB211" s="448" t="s">
        <v>2542</v>
      </c>
    </row>
    <row r="212" spans="21:28">
      <c r="U212" s="447">
        <v>66109</v>
      </c>
      <c r="V212" t="s">
        <v>718</v>
      </c>
      <c r="W212" s="448" t="s">
        <v>1184</v>
      </c>
      <c r="X212" t="s">
        <v>2375</v>
      </c>
      <c r="Y212" s="448" t="s">
        <v>1184</v>
      </c>
      <c r="Z212" s="448"/>
      <c r="AB212" s="448" t="s">
        <v>2543</v>
      </c>
    </row>
    <row r="213" spans="21:28">
      <c r="U213" s="447">
        <v>66111</v>
      </c>
      <c r="V213" t="s">
        <v>718</v>
      </c>
      <c r="W213" s="448" t="s">
        <v>1184</v>
      </c>
      <c r="X213" t="s">
        <v>2375</v>
      </c>
      <c r="Y213" s="448" t="s">
        <v>1184</v>
      </c>
      <c r="Z213" s="448"/>
      <c r="AB213" s="448" t="s">
        <v>2544</v>
      </c>
    </row>
    <row r="214" spans="21:28">
      <c r="U214" s="449">
        <v>66113</v>
      </c>
      <c r="V214" s="450" t="s">
        <v>718</v>
      </c>
      <c r="W214" s="450" t="s">
        <v>1184</v>
      </c>
      <c r="X214" s="450" t="s">
        <v>2375</v>
      </c>
      <c r="Y214" s="450" t="s">
        <v>1184</v>
      </c>
      <c r="Z214" s="450"/>
      <c r="AB214" s="448" t="s">
        <v>2545</v>
      </c>
    </row>
    <row r="215" spans="21:28">
      <c r="U215" s="447">
        <v>66119</v>
      </c>
      <c r="V215" t="s">
        <v>718</v>
      </c>
      <c r="W215" s="448" t="s">
        <v>1184</v>
      </c>
      <c r="X215" t="s">
        <v>2375</v>
      </c>
      <c r="Y215" s="448" t="s">
        <v>1184</v>
      </c>
      <c r="Z215" s="448"/>
      <c r="AB215" s="448" t="s">
        <v>2546</v>
      </c>
    </row>
    <row r="216" spans="21:28">
      <c r="U216" s="447">
        <v>67067</v>
      </c>
      <c r="V216" t="s">
        <v>2532</v>
      </c>
      <c r="W216" s="448"/>
      <c r="X216" t="s">
        <v>2324</v>
      </c>
      <c r="Y216" s="448"/>
      <c r="Z216" s="448"/>
      <c r="AB216" s="448" t="s">
        <v>2547</v>
      </c>
    </row>
    <row r="217" spans="21:28">
      <c r="U217" s="449">
        <v>66538</v>
      </c>
      <c r="V217" s="450" t="s">
        <v>2533</v>
      </c>
      <c r="W217" s="450"/>
      <c r="X217" s="450" t="s">
        <v>2344</v>
      </c>
      <c r="Y217" s="450"/>
      <c r="Z217" s="450"/>
      <c r="AB217" s="448" t="s">
        <v>2548</v>
      </c>
    </row>
    <row r="218" spans="21:28">
      <c r="U218" s="447">
        <v>66039</v>
      </c>
      <c r="V218" t="s">
        <v>2534</v>
      </c>
      <c r="W218" s="448"/>
      <c r="X218" t="s">
        <v>2426</v>
      </c>
      <c r="Y218" s="448"/>
      <c r="Z218" s="448"/>
      <c r="AB218" s="448" t="s">
        <v>2550</v>
      </c>
    </row>
    <row r="219" spans="21:28">
      <c r="U219" s="447">
        <v>67068</v>
      </c>
      <c r="V219" t="s">
        <v>2535</v>
      </c>
      <c r="W219" s="448"/>
      <c r="X219" t="s">
        <v>2358</v>
      </c>
      <c r="Y219" s="448"/>
      <c r="Z219" s="448"/>
      <c r="AB219" s="448" t="s">
        <v>2551</v>
      </c>
    </row>
    <row r="220" spans="21:28">
      <c r="U220" s="447">
        <v>66040</v>
      </c>
      <c r="V220" t="s">
        <v>2536</v>
      </c>
      <c r="W220" s="448"/>
      <c r="X220" t="s">
        <v>2372</v>
      </c>
      <c r="Y220" s="448"/>
      <c r="Z220" s="448"/>
      <c r="AB220" s="448" t="s">
        <v>2552</v>
      </c>
    </row>
    <row r="221" spans="21:28">
      <c r="U221" s="447">
        <v>66751</v>
      </c>
      <c r="V221" t="s">
        <v>2537</v>
      </c>
      <c r="W221" s="448"/>
      <c r="X221" t="s">
        <v>2402</v>
      </c>
      <c r="Y221" s="448"/>
      <c r="Z221" s="448"/>
      <c r="AB221" s="448" t="s">
        <v>2553</v>
      </c>
    </row>
    <row r="222" spans="21:28">
      <c r="U222" s="449">
        <v>66040</v>
      </c>
      <c r="V222" s="450" t="s">
        <v>2538</v>
      </c>
      <c r="W222" s="450"/>
      <c r="X222" s="450" t="s">
        <v>2372</v>
      </c>
      <c r="Y222" s="450"/>
      <c r="Z222" s="450"/>
      <c r="AB222" s="448" t="s">
        <v>2554</v>
      </c>
    </row>
    <row r="223" spans="21:28">
      <c r="U223" s="449">
        <v>66736</v>
      </c>
      <c r="V223" s="450" t="s">
        <v>2539</v>
      </c>
      <c r="W223" s="450"/>
      <c r="X223" s="450" t="s">
        <v>2321</v>
      </c>
      <c r="Y223" s="450"/>
      <c r="Z223" s="450"/>
      <c r="AB223" s="448" t="s">
        <v>2555</v>
      </c>
    </row>
    <row r="224" spans="21:28">
      <c r="U224" s="449">
        <v>66012</v>
      </c>
      <c r="V224" s="450" t="s">
        <v>2540</v>
      </c>
      <c r="W224" s="450"/>
      <c r="X224" s="450" t="s">
        <v>2375</v>
      </c>
      <c r="Y224" s="450" t="s">
        <v>1184</v>
      </c>
      <c r="Z224" s="450"/>
      <c r="AB224" s="448" t="s">
        <v>2556</v>
      </c>
    </row>
    <row r="225" spans="21:28">
      <c r="U225" s="449">
        <v>66217</v>
      </c>
      <c r="V225" s="450" t="s">
        <v>2541</v>
      </c>
      <c r="W225" s="450"/>
      <c r="X225" s="450" t="s">
        <v>2380</v>
      </c>
      <c r="Y225" s="450" t="s">
        <v>1184</v>
      </c>
      <c r="Z225" s="450"/>
      <c r="AB225" s="448" t="s">
        <v>2557</v>
      </c>
    </row>
    <row r="226" spans="21:28">
      <c r="U226" s="447">
        <v>66855</v>
      </c>
      <c r="V226" t="s">
        <v>2542</v>
      </c>
      <c r="W226" s="448"/>
      <c r="X226" t="s">
        <v>2423</v>
      </c>
      <c r="Y226" s="448"/>
      <c r="Z226" s="448"/>
      <c r="AB226" s="448" t="s">
        <v>2558</v>
      </c>
    </row>
    <row r="227" spans="21:28">
      <c r="U227" s="447">
        <v>66041</v>
      </c>
      <c r="V227" t="s">
        <v>2543</v>
      </c>
      <c r="W227" s="448"/>
      <c r="X227" t="s">
        <v>2338</v>
      </c>
      <c r="Y227" s="448"/>
      <c r="Z227" s="448"/>
      <c r="AB227" s="448" t="s">
        <v>2559</v>
      </c>
    </row>
    <row r="228" spans="21:28">
      <c r="U228" s="447">
        <v>66042</v>
      </c>
      <c r="V228" t="s">
        <v>2544</v>
      </c>
      <c r="W228" s="448"/>
      <c r="X228" t="s">
        <v>2409</v>
      </c>
      <c r="Y228" s="448"/>
      <c r="Z228" s="448"/>
      <c r="AB228" s="448" t="s">
        <v>2560</v>
      </c>
    </row>
    <row r="229" spans="21:28">
      <c r="U229" s="447">
        <v>66043</v>
      </c>
      <c r="V229" t="s">
        <v>2545</v>
      </c>
      <c r="W229" s="448"/>
      <c r="X229" t="s">
        <v>2350</v>
      </c>
      <c r="Y229" s="448"/>
      <c r="Z229" s="448"/>
      <c r="AB229" s="448" t="s">
        <v>715</v>
      </c>
    </row>
    <row r="230" spans="21:28">
      <c r="U230" s="447">
        <v>67072</v>
      </c>
      <c r="V230" t="s">
        <v>2546</v>
      </c>
      <c r="W230" s="448"/>
      <c r="X230" t="s">
        <v>2326</v>
      </c>
      <c r="Y230" s="448"/>
      <c r="Z230" s="448"/>
      <c r="AB230" s="448" t="s">
        <v>711</v>
      </c>
    </row>
    <row r="231" spans="21:28">
      <c r="U231" s="449">
        <v>67449</v>
      </c>
      <c r="V231" s="450" t="s">
        <v>2547</v>
      </c>
      <c r="W231" s="450"/>
      <c r="X231" s="450" t="s">
        <v>2311</v>
      </c>
      <c r="Y231" s="450"/>
      <c r="Z231" s="450"/>
      <c r="AB231" s="448" t="s">
        <v>2562</v>
      </c>
    </row>
    <row r="232" spans="21:28">
      <c r="U232" s="449">
        <v>66781</v>
      </c>
      <c r="V232" s="450" t="s">
        <v>2548</v>
      </c>
      <c r="W232" s="450"/>
      <c r="X232" s="450" t="s">
        <v>2549</v>
      </c>
      <c r="Y232" s="450"/>
      <c r="Z232" s="450"/>
      <c r="AB232" s="448" t="s">
        <v>2563</v>
      </c>
    </row>
    <row r="233" spans="21:28">
      <c r="U233" s="447">
        <v>66044</v>
      </c>
      <c r="V233" t="s">
        <v>2550</v>
      </c>
      <c r="W233" s="448" t="s">
        <v>1184</v>
      </c>
      <c r="X233" t="s">
        <v>2346</v>
      </c>
      <c r="Y233" s="448"/>
      <c r="Z233" s="448"/>
      <c r="AB233" s="448" t="s">
        <v>2564</v>
      </c>
    </row>
    <row r="234" spans="21:28">
      <c r="U234" s="447">
        <v>66046</v>
      </c>
      <c r="V234" t="s">
        <v>2550</v>
      </c>
      <c r="W234" s="448" t="s">
        <v>1184</v>
      </c>
      <c r="X234" t="s">
        <v>2346</v>
      </c>
      <c r="Y234" s="448"/>
      <c r="Z234" s="448"/>
      <c r="AB234" s="448" t="s">
        <v>2565</v>
      </c>
    </row>
    <row r="235" spans="21:28">
      <c r="U235" s="447">
        <v>66047</v>
      </c>
      <c r="V235" t="s">
        <v>2550</v>
      </c>
      <c r="W235" s="448" t="s">
        <v>1184</v>
      </c>
      <c r="X235" t="s">
        <v>2346</v>
      </c>
      <c r="Y235" s="448"/>
      <c r="Z235" s="448"/>
      <c r="AB235" s="448" t="s">
        <v>2566</v>
      </c>
    </row>
    <row r="236" spans="21:28">
      <c r="U236" s="447">
        <v>66049</v>
      </c>
      <c r="V236" t="s">
        <v>2550</v>
      </c>
      <c r="W236" s="448" t="s">
        <v>1184</v>
      </c>
      <c r="X236" t="s">
        <v>2346</v>
      </c>
      <c r="Y236" s="448"/>
      <c r="Z236" s="448"/>
      <c r="AB236" s="448" t="s">
        <v>2567</v>
      </c>
    </row>
    <row r="237" spans="21:28">
      <c r="U237" s="447">
        <v>66857</v>
      </c>
      <c r="V237" t="s">
        <v>2551</v>
      </c>
      <c r="W237" s="448"/>
      <c r="X237" t="s">
        <v>2389</v>
      </c>
      <c r="Y237" s="448"/>
      <c r="Z237" s="448"/>
      <c r="AB237" s="448" t="s">
        <v>2568</v>
      </c>
    </row>
    <row r="238" spans="21:28">
      <c r="U238" s="449">
        <v>66043</v>
      </c>
      <c r="V238" s="450" t="s">
        <v>2552</v>
      </c>
      <c r="W238" s="450" t="s">
        <v>1184</v>
      </c>
      <c r="X238" s="450" t="s">
        <v>2350</v>
      </c>
      <c r="Y238" s="450"/>
      <c r="Z238" s="450"/>
      <c r="AB238" s="448" t="s">
        <v>2569</v>
      </c>
    </row>
    <row r="239" spans="21:28">
      <c r="U239" s="447">
        <v>66048</v>
      </c>
      <c r="V239" t="s">
        <v>2552</v>
      </c>
      <c r="W239" s="448" t="s">
        <v>1184</v>
      </c>
      <c r="X239" t="s">
        <v>2350</v>
      </c>
      <c r="Y239" s="448"/>
      <c r="Z239" s="448"/>
      <c r="AB239" s="448" t="s">
        <v>2570</v>
      </c>
    </row>
    <row r="240" spans="21:28">
      <c r="U240" s="447">
        <v>66206</v>
      </c>
      <c r="V240" t="s">
        <v>2553</v>
      </c>
      <c r="W240" s="448" t="s">
        <v>1184</v>
      </c>
      <c r="X240" t="s">
        <v>2380</v>
      </c>
      <c r="Y240" s="448" t="s">
        <v>1184</v>
      </c>
      <c r="Z240" s="448"/>
      <c r="AB240" s="448" t="s">
        <v>2571</v>
      </c>
    </row>
    <row r="241" spans="21:28">
      <c r="U241" s="447">
        <v>66209</v>
      </c>
      <c r="V241" t="s">
        <v>2553</v>
      </c>
      <c r="W241" s="448" t="s">
        <v>1184</v>
      </c>
      <c r="X241" t="s">
        <v>2380</v>
      </c>
      <c r="Y241" s="448" t="s">
        <v>1184</v>
      </c>
      <c r="Z241" s="448"/>
      <c r="AB241" s="448" t="s">
        <v>2572</v>
      </c>
    </row>
    <row r="242" spans="21:28">
      <c r="U242" s="447">
        <v>66211</v>
      </c>
      <c r="V242" t="s">
        <v>2553</v>
      </c>
      <c r="W242" s="448" t="s">
        <v>1184</v>
      </c>
      <c r="X242" t="s">
        <v>2380</v>
      </c>
      <c r="Y242" s="448" t="s">
        <v>1184</v>
      </c>
      <c r="Z242" s="448"/>
      <c r="AB242" s="448" t="s">
        <v>2573</v>
      </c>
    </row>
    <row r="243" spans="21:28">
      <c r="U243" s="449">
        <v>66224</v>
      </c>
      <c r="V243" s="450" t="s">
        <v>2553</v>
      </c>
      <c r="W243" s="450" t="s">
        <v>1184</v>
      </c>
      <c r="X243" s="450" t="s">
        <v>2380</v>
      </c>
      <c r="Y243" s="450" t="s">
        <v>1184</v>
      </c>
      <c r="Z243" s="450"/>
      <c r="AB243" s="448" t="s">
        <v>2574</v>
      </c>
    </row>
    <row r="244" spans="21:28">
      <c r="U244" s="447">
        <v>66856</v>
      </c>
      <c r="V244" t="s">
        <v>2554</v>
      </c>
      <c r="W244" s="448"/>
      <c r="X244" t="s">
        <v>2389</v>
      </c>
      <c r="Y244" s="448"/>
      <c r="Z244" s="448"/>
      <c r="AB244" s="448" t="s">
        <v>2575</v>
      </c>
    </row>
    <row r="245" spans="21:28">
      <c r="U245" s="447">
        <v>66050</v>
      </c>
      <c r="V245" t="s">
        <v>2555</v>
      </c>
      <c r="W245" s="448"/>
      <c r="X245" t="s">
        <v>2346</v>
      </c>
      <c r="Y245" s="448"/>
      <c r="Z245" s="448"/>
      <c r="AB245" s="448" t="s">
        <v>2576</v>
      </c>
    </row>
    <row r="246" spans="21:28">
      <c r="U246" s="447">
        <v>67073</v>
      </c>
      <c r="V246" t="s">
        <v>2556</v>
      </c>
      <c r="W246" s="448"/>
      <c r="X246" t="s">
        <v>2328</v>
      </c>
      <c r="Y246" s="448"/>
      <c r="Z246" s="448"/>
      <c r="AB246" s="448" t="s">
        <v>2577</v>
      </c>
    </row>
    <row r="247" spans="21:28">
      <c r="U247" s="449">
        <v>66062</v>
      </c>
      <c r="V247" s="450" t="s">
        <v>2557</v>
      </c>
      <c r="W247" s="450" t="s">
        <v>689</v>
      </c>
      <c r="X247" s="450" t="s">
        <v>2380</v>
      </c>
      <c r="Y247" s="450" t="s">
        <v>1184</v>
      </c>
      <c r="Z247" s="450"/>
      <c r="AB247" s="448" t="s">
        <v>2578</v>
      </c>
    </row>
    <row r="248" spans="21:28">
      <c r="U248" s="449">
        <v>66210</v>
      </c>
      <c r="V248" s="450" t="s">
        <v>2557</v>
      </c>
      <c r="W248" s="450" t="s">
        <v>689</v>
      </c>
      <c r="X248" s="450" t="s">
        <v>2380</v>
      </c>
      <c r="Y248" s="450" t="s">
        <v>1184</v>
      </c>
      <c r="Z248" s="450"/>
      <c r="AB248" s="448" t="s">
        <v>2579</v>
      </c>
    </row>
    <row r="249" spans="21:28">
      <c r="U249" s="449">
        <v>66214</v>
      </c>
      <c r="V249" s="450" t="s">
        <v>2557</v>
      </c>
      <c r="W249" s="450" t="s">
        <v>689</v>
      </c>
      <c r="X249" s="450" t="s">
        <v>2380</v>
      </c>
      <c r="Y249" s="450" t="s">
        <v>1184</v>
      </c>
      <c r="Z249" s="450"/>
      <c r="AB249" s="448" t="s">
        <v>2580</v>
      </c>
    </row>
    <row r="250" spans="21:28">
      <c r="U250" s="447">
        <v>66215</v>
      </c>
      <c r="V250" t="s">
        <v>2557</v>
      </c>
      <c r="W250" s="448" t="s">
        <v>689</v>
      </c>
      <c r="X250" t="s">
        <v>2380</v>
      </c>
      <c r="Y250" s="448" t="s">
        <v>1184</v>
      </c>
      <c r="Z250" s="448"/>
      <c r="AB250" s="448" t="s">
        <v>2581</v>
      </c>
    </row>
    <row r="251" spans="21:28">
      <c r="U251" s="449">
        <v>66216</v>
      </c>
      <c r="V251" s="450" t="s">
        <v>2557</v>
      </c>
      <c r="W251" s="450" t="s">
        <v>689</v>
      </c>
      <c r="X251" s="450" t="s">
        <v>2380</v>
      </c>
      <c r="Y251" s="450" t="s">
        <v>1184</v>
      </c>
      <c r="Z251" s="450"/>
      <c r="AB251" s="448" t="s">
        <v>2582</v>
      </c>
    </row>
    <row r="252" spans="21:28">
      <c r="U252" s="449">
        <v>66217</v>
      </c>
      <c r="V252" s="450" t="s">
        <v>2557</v>
      </c>
      <c r="W252" s="450" t="s">
        <v>689</v>
      </c>
      <c r="X252" s="450" t="s">
        <v>2380</v>
      </c>
      <c r="Y252" s="450" t="s">
        <v>1184</v>
      </c>
      <c r="Z252" s="450"/>
      <c r="AB252" s="448" t="s">
        <v>2583</v>
      </c>
    </row>
    <row r="253" spans="21:28">
      <c r="U253" s="447">
        <v>66219</v>
      </c>
      <c r="V253" t="s">
        <v>2557</v>
      </c>
      <c r="W253" s="448" t="s">
        <v>689</v>
      </c>
      <c r="X253" t="s">
        <v>2380</v>
      </c>
      <c r="Y253" s="448" t="s">
        <v>1184</v>
      </c>
      <c r="Z253" s="448"/>
      <c r="AB253" s="448" t="s">
        <v>2584</v>
      </c>
    </row>
    <row r="254" spans="21:28">
      <c r="U254" s="447">
        <v>66220</v>
      </c>
      <c r="V254" t="s">
        <v>2557</v>
      </c>
      <c r="W254" s="448" t="s">
        <v>689</v>
      </c>
      <c r="X254" t="s">
        <v>2380</v>
      </c>
      <c r="Y254" s="448" t="s">
        <v>1184</v>
      </c>
      <c r="Z254" s="448"/>
      <c r="AB254" s="448" t="s">
        <v>2585</v>
      </c>
    </row>
    <row r="255" spans="21:28">
      <c r="U255" s="447">
        <v>66227</v>
      </c>
      <c r="V255" t="s">
        <v>2557</v>
      </c>
      <c r="W255" s="448" t="s">
        <v>689</v>
      </c>
      <c r="X255" t="s">
        <v>2380</v>
      </c>
      <c r="Y255" s="448" t="s">
        <v>1184</v>
      </c>
      <c r="Z255" s="448"/>
      <c r="AB255" s="448" t="s">
        <v>2587</v>
      </c>
    </row>
    <row r="256" spans="21:28">
      <c r="U256" s="447">
        <v>66285</v>
      </c>
      <c r="V256" t="s">
        <v>2557</v>
      </c>
      <c r="W256" s="448" t="s">
        <v>689</v>
      </c>
      <c r="X256" t="s">
        <v>2380</v>
      </c>
      <c r="Y256" s="448" t="s">
        <v>1184</v>
      </c>
      <c r="Z256" s="448"/>
      <c r="AB256" s="448" t="s">
        <v>2588</v>
      </c>
    </row>
    <row r="257" spans="21:28">
      <c r="U257" s="449">
        <v>66286</v>
      </c>
      <c r="V257" s="450" t="s">
        <v>2557</v>
      </c>
      <c r="W257" s="450" t="s">
        <v>689</v>
      </c>
      <c r="X257" s="450" t="s">
        <v>2380</v>
      </c>
      <c r="Y257" s="450" t="s">
        <v>1184</v>
      </c>
      <c r="Z257" s="450"/>
      <c r="AB257" s="448" t="s">
        <v>2589</v>
      </c>
    </row>
    <row r="258" spans="21:28">
      <c r="U258" s="447">
        <v>67074</v>
      </c>
      <c r="V258" t="s">
        <v>2558</v>
      </c>
      <c r="W258" s="448"/>
      <c r="X258" t="s">
        <v>2326</v>
      </c>
      <c r="Y258" s="448"/>
      <c r="Z258" s="448"/>
      <c r="AB258" s="448" t="s">
        <v>2590</v>
      </c>
    </row>
    <row r="259" spans="21:28">
      <c r="U259" s="449">
        <v>66532</v>
      </c>
      <c r="V259" s="450" t="s">
        <v>2559</v>
      </c>
      <c r="W259" s="450"/>
      <c r="X259" s="450" t="s">
        <v>2469</v>
      </c>
      <c r="Y259" s="450"/>
      <c r="Z259" s="450"/>
      <c r="AB259" s="448" t="s">
        <v>2591</v>
      </c>
    </row>
    <row r="260" spans="21:28">
      <c r="U260" s="447">
        <v>66449</v>
      </c>
      <c r="V260" t="s">
        <v>2560</v>
      </c>
      <c r="W260" s="448"/>
      <c r="X260" t="s">
        <v>2561</v>
      </c>
      <c r="Y260" s="448"/>
      <c r="Z260" s="448"/>
      <c r="AB260" s="448" t="s">
        <v>708</v>
      </c>
    </row>
    <row r="261" spans="21:28">
      <c r="U261" s="447">
        <v>67351</v>
      </c>
      <c r="V261" t="s">
        <v>715</v>
      </c>
      <c r="W261" s="448"/>
      <c r="X261" t="s">
        <v>2396</v>
      </c>
      <c r="Y261" s="448"/>
      <c r="Z261" s="448"/>
      <c r="AB261" s="448" t="s">
        <v>2592</v>
      </c>
    </row>
    <row r="262" spans="21:28">
      <c r="U262" s="447">
        <v>67455</v>
      </c>
      <c r="V262" t="s">
        <v>711</v>
      </c>
      <c r="W262" s="448"/>
      <c r="X262" t="s">
        <v>2347</v>
      </c>
      <c r="Y262" s="448"/>
      <c r="Z262" s="448"/>
      <c r="AB262" s="448" t="s">
        <v>2594</v>
      </c>
    </row>
    <row r="263" spans="21:28">
      <c r="U263" s="447">
        <v>66858</v>
      </c>
      <c r="V263" t="s">
        <v>2562</v>
      </c>
      <c r="W263" s="448"/>
      <c r="X263" t="s">
        <v>2328</v>
      </c>
      <c r="Y263" s="448"/>
      <c r="Z263" s="448"/>
      <c r="AB263" s="448" t="s">
        <v>2595</v>
      </c>
    </row>
    <row r="264" spans="21:28">
      <c r="U264" s="447">
        <v>67456</v>
      </c>
      <c r="V264" t="s">
        <v>2563</v>
      </c>
      <c r="W264" s="448"/>
      <c r="X264" t="s">
        <v>2398</v>
      </c>
      <c r="Y264" s="448"/>
      <c r="Z264" s="448"/>
      <c r="AB264" s="448" t="s">
        <v>2596</v>
      </c>
    </row>
    <row r="265" spans="21:28">
      <c r="U265" s="449">
        <v>66040</v>
      </c>
      <c r="V265" s="450" t="s">
        <v>2564</v>
      </c>
      <c r="W265" s="450"/>
      <c r="X265" s="450" t="s">
        <v>2372</v>
      </c>
      <c r="Y265" s="450"/>
      <c r="Z265" s="450"/>
      <c r="AB265" s="448" t="s">
        <v>2597</v>
      </c>
    </row>
    <row r="266" spans="21:28">
      <c r="U266" s="447">
        <v>66052</v>
      </c>
      <c r="V266" t="s">
        <v>2565</v>
      </c>
      <c r="W266" s="448"/>
      <c r="X266" t="s">
        <v>2350</v>
      </c>
      <c r="Y266" s="448"/>
      <c r="Z266" s="448"/>
      <c r="AB266" s="448" t="s">
        <v>2598</v>
      </c>
    </row>
    <row r="267" spans="21:28">
      <c r="U267" s="447">
        <v>67458</v>
      </c>
      <c r="V267" t="s">
        <v>2566</v>
      </c>
      <c r="W267" s="448"/>
      <c r="X267" t="s">
        <v>2419</v>
      </c>
      <c r="Y267" s="448"/>
      <c r="Z267" s="448"/>
      <c r="AB267" s="448" t="s">
        <v>2599</v>
      </c>
    </row>
    <row r="268" spans="21:28">
      <c r="U268" s="447">
        <v>67352</v>
      </c>
      <c r="V268" t="s">
        <v>2567</v>
      </c>
      <c r="W268" s="448"/>
      <c r="X268" t="s">
        <v>2457</v>
      </c>
      <c r="Y268" s="448"/>
      <c r="Z268" s="448"/>
      <c r="AB268" s="448" t="s">
        <v>2600</v>
      </c>
    </row>
    <row r="269" spans="21:28">
      <c r="U269" s="447">
        <v>66859</v>
      </c>
      <c r="V269" t="s">
        <v>2568</v>
      </c>
      <c r="W269" s="448"/>
      <c r="X269" t="s">
        <v>2328</v>
      </c>
      <c r="Y269" s="448"/>
      <c r="Z269" s="448"/>
      <c r="AB269" s="448" t="s">
        <v>2601</v>
      </c>
    </row>
    <row r="270" spans="21:28">
      <c r="U270" s="447">
        <v>66053</v>
      </c>
      <c r="V270" t="s">
        <v>2569</v>
      </c>
      <c r="W270" s="448"/>
      <c r="X270" t="s">
        <v>2477</v>
      </c>
      <c r="Y270" s="448"/>
      <c r="Z270" s="448"/>
      <c r="AB270" s="448" t="s">
        <v>721</v>
      </c>
    </row>
    <row r="271" spans="21:28">
      <c r="U271" s="449">
        <v>66547</v>
      </c>
      <c r="V271" s="450" t="s">
        <v>2570</v>
      </c>
      <c r="W271" s="450"/>
      <c r="X271" s="450" t="s">
        <v>2360</v>
      </c>
      <c r="Y271" s="450"/>
      <c r="Z271" s="450"/>
      <c r="AB271" s="448" t="s">
        <v>2602</v>
      </c>
    </row>
    <row r="272" spans="21:28">
      <c r="U272" s="447">
        <v>66451</v>
      </c>
      <c r="V272" t="s">
        <v>2571</v>
      </c>
      <c r="W272" s="448"/>
      <c r="X272" t="s">
        <v>2387</v>
      </c>
      <c r="Y272" s="448"/>
      <c r="Z272" s="448"/>
      <c r="AB272" s="448" t="s">
        <v>2603</v>
      </c>
    </row>
    <row r="273" spans="21:28">
      <c r="U273" s="449">
        <v>66855</v>
      </c>
      <c r="V273" s="450" t="s">
        <v>2572</v>
      </c>
      <c r="W273" s="450"/>
      <c r="X273" s="450" t="s">
        <v>2423</v>
      </c>
      <c r="Y273" s="450"/>
      <c r="Z273" s="450"/>
      <c r="AB273" s="448" t="s">
        <v>2604</v>
      </c>
    </row>
    <row r="274" spans="21:28">
      <c r="U274" s="447">
        <v>66860</v>
      </c>
      <c r="V274" t="s">
        <v>2572</v>
      </c>
      <c r="W274" s="448"/>
      <c r="X274" t="s">
        <v>2423</v>
      </c>
      <c r="Y274" s="448"/>
      <c r="Z274" s="448"/>
      <c r="AB274" s="448" t="s">
        <v>2605</v>
      </c>
    </row>
    <row r="275" spans="21:28">
      <c r="U275" s="447">
        <v>67101</v>
      </c>
      <c r="V275" t="s">
        <v>2573</v>
      </c>
      <c r="W275" s="448"/>
      <c r="X275" t="s">
        <v>2324</v>
      </c>
      <c r="Y275" s="448"/>
      <c r="Z275" s="448"/>
      <c r="AB275" s="448" t="s">
        <v>2606</v>
      </c>
    </row>
    <row r="276" spans="21:28">
      <c r="U276" s="449">
        <v>67410</v>
      </c>
      <c r="V276" s="450" t="s">
        <v>2574</v>
      </c>
      <c r="W276" s="450"/>
      <c r="X276" s="450" t="s">
        <v>2311</v>
      </c>
      <c r="Y276" s="450"/>
      <c r="Z276" s="450"/>
      <c r="AB276" s="448" t="s">
        <v>2607</v>
      </c>
    </row>
    <row r="277" spans="21:28">
      <c r="U277" s="447">
        <v>66502</v>
      </c>
      <c r="V277" t="s">
        <v>2575</v>
      </c>
      <c r="W277" s="448" t="s">
        <v>688</v>
      </c>
      <c r="X277" t="s">
        <v>2561</v>
      </c>
      <c r="Y277" s="448"/>
      <c r="Z277" s="448"/>
      <c r="AB277" s="448" t="s">
        <v>2608</v>
      </c>
    </row>
    <row r="278" spans="21:28">
      <c r="U278" s="447">
        <v>66503</v>
      </c>
      <c r="V278" t="s">
        <v>2575</v>
      </c>
      <c r="W278" s="448" t="s">
        <v>688</v>
      </c>
      <c r="X278" t="s">
        <v>2561</v>
      </c>
      <c r="Y278" s="448"/>
      <c r="Z278" s="448"/>
      <c r="AB278" s="448" t="s">
        <v>2609</v>
      </c>
    </row>
    <row r="279" spans="21:28">
      <c r="U279" s="447">
        <v>66506</v>
      </c>
      <c r="V279" t="s">
        <v>2575</v>
      </c>
      <c r="W279" s="448" t="s">
        <v>688</v>
      </c>
      <c r="X279" t="s">
        <v>2561</v>
      </c>
      <c r="Y279" s="448"/>
      <c r="Z279" s="448"/>
      <c r="AB279" s="448" t="s">
        <v>2610</v>
      </c>
    </row>
    <row r="280" spans="21:28">
      <c r="U280" s="447">
        <v>66507</v>
      </c>
      <c r="V280" t="s">
        <v>2576</v>
      </c>
      <c r="W280" s="448"/>
      <c r="X280" t="s">
        <v>2317</v>
      </c>
      <c r="Y280" s="448"/>
      <c r="Z280" s="448"/>
      <c r="AB280" s="448" t="s">
        <v>2611</v>
      </c>
    </row>
    <row r="281" spans="21:28">
      <c r="U281" s="447">
        <v>66754</v>
      </c>
      <c r="V281" t="s">
        <v>2577</v>
      </c>
      <c r="W281" s="448"/>
      <c r="X281" t="s">
        <v>2331</v>
      </c>
      <c r="Y281" s="448"/>
      <c r="Z281" s="448"/>
      <c r="AB281" s="448" t="s">
        <v>2612</v>
      </c>
    </row>
    <row r="282" spans="21:28">
      <c r="U282" s="447">
        <v>66861</v>
      </c>
      <c r="V282" t="s">
        <v>2578</v>
      </c>
      <c r="W282" s="448"/>
      <c r="X282" t="s">
        <v>2328</v>
      </c>
      <c r="Y282" s="448"/>
      <c r="Z282" s="448"/>
      <c r="AB282" s="448" t="s">
        <v>2614</v>
      </c>
    </row>
    <row r="283" spans="21:28">
      <c r="U283" s="447">
        <v>67464</v>
      </c>
      <c r="V283" t="s">
        <v>2579</v>
      </c>
      <c r="W283" s="448"/>
      <c r="X283" t="s">
        <v>2398</v>
      </c>
      <c r="Y283" s="448"/>
      <c r="Z283" s="448"/>
      <c r="AB283" s="448" t="s">
        <v>2615</v>
      </c>
    </row>
    <row r="284" spans="21:28">
      <c r="U284" s="447">
        <v>66508</v>
      </c>
      <c r="V284" t="s">
        <v>2580</v>
      </c>
      <c r="W284" s="448"/>
      <c r="X284" t="s">
        <v>2342</v>
      </c>
      <c r="Y284" s="448"/>
      <c r="Z284" s="448"/>
      <c r="AB284" s="448" t="s">
        <v>2616</v>
      </c>
    </row>
    <row r="285" spans="21:28">
      <c r="U285" s="447">
        <v>66509</v>
      </c>
      <c r="V285" t="s">
        <v>2581</v>
      </c>
      <c r="W285" s="448"/>
      <c r="X285" t="s">
        <v>2417</v>
      </c>
      <c r="Y285" s="448"/>
      <c r="Z285" s="448"/>
      <c r="AB285" s="448" t="s">
        <v>2617</v>
      </c>
    </row>
    <row r="286" spans="21:28">
      <c r="U286" s="447">
        <v>66753</v>
      </c>
      <c r="V286" t="s">
        <v>2582</v>
      </c>
      <c r="W286" s="448"/>
      <c r="X286" t="s">
        <v>2330</v>
      </c>
      <c r="Y286" s="448"/>
      <c r="Z286" s="448"/>
      <c r="AB286" s="448" t="s">
        <v>2618</v>
      </c>
    </row>
    <row r="287" spans="21:28">
      <c r="U287" s="447">
        <v>66501</v>
      </c>
      <c r="V287" t="s">
        <v>2583</v>
      </c>
      <c r="W287" s="448"/>
      <c r="X287" t="s">
        <v>2317</v>
      </c>
      <c r="Y287" s="448"/>
      <c r="Z287" s="448"/>
      <c r="AB287" s="448" t="s">
        <v>2619</v>
      </c>
    </row>
    <row r="288" spans="21:28">
      <c r="U288" s="447">
        <v>66054</v>
      </c>
      <c r="V288" t="s">
        <v>2584</v>
      </c>
      <c r="W288" s="448"/>
      <c r="X288" t="s">
        <v>2496</v>
      </c>
      <c r="Y288" s="448"/>
      <c r="Z288" s="448"/>
      <c r="AB288" s="448" t="s">
        <v>2620</v>
      </c>
    </row>
    <row r="289" spans="21:28">
      <c r="U289" s="447">
        <v>67460</v>
      </c>
      <c r="V289" t="s">
        <v>2585</v>
      </c>
      <c r="W289" s="448" t="s">
        <v>1184</v>
      </c>
      <c r="X289" t="s">
        <v>2398</v>
      </c>
      <c r="Y289" s="448"/>
      <c r="Z289" s="448"/>
      <c r="AB289" s="448" t="s">
        <v>2621</v>
      </c>
    </row>
    <row r="290" spans="21:28">
      <c r="U290" s="449">
        <v>67460</v>
      </c>
      <c r="V290" s="450" t="s">
        <v>2586</v>
      </c>
      <c r="W290" s="450"/>
      <c r="X290" s="450" t="s">
        <v>2398</v>
      </c>
      <c r="Y290" s="450"/>
      <c r="Z290" s="450"/>
      <c r="AB290" s="448" t="s">
        <v>2622</v>
      </c>
    </row>
    <row r="291" spans="21:28">
      <c r="U291" s="449">
        <v>67502</v>
      </c>
      <c r="V291" s="450" t="s">
        <v>2587</v>
      </c>
      <c r="W291" s="450"/>
      <c r="X291" s="450" t="s">
        <v>2309</v>
      </c>
      <c r="Y291" s="450"/>
      <c r="Z291" s="450"/>
      <c r="AB291" s="448" t="s">
        <v>2623</v>
      </c>
    </row>
    <row r="292" spans="21:28">
      <c r="U292" s="447">
        <v>66510</v>
      </c>
      <c r="V292" t="s">
        <v>2588</v>
      </c>
      <c r="W292" s="448"/>
      <c r="X292" t="s">
        <v>2387</v>
      </c>
      <c r="Y292" s="448"/>
      <c r="Z292" s="448"/>
      <c r="AB292" s="448" t="s">
        <v>2624</v>
      </c>
    </row>
    <row r="293" spans="21:28">
      <c r="U293" s="449">
        <v>67416</v>
      </c>
      <c r="V293" s="450" t="s">
        <v>2589</v>
      </c>
      <c r="W293" s="450"/>
      <c r="X293" s="450" t="s">
        <v>2337</v>
      </c>
      <c r="Y293" s="450"/>
      <c r="Z293" s="450"/>
      <c r="AB293" s="448" t="s">
        <v>2625</v>
      </c>
    </row>
    <row r="294" spans="21:28">
      <c r="U294" s="447">
        <v>66512</v>
      </c>
      <c r="V294" t="s">
        <v>2590</v>
      </c>
      <c r="W294" s="448"/>
      <c r="X294" t="s">
        <v>2496</v>
      </c>
      <c r="Y294" s="448"/>
      <c r="Z294" s="448"/>
      <c r="AB294" s="448" t="s">
        <v>2626</v>
      </c>
    </row>
    <row r="295" spans="21:28">
      <c r="U295" s="449">
        <v>66202</v>
      </c>
      <c r="V295" s="450" t="s">
        <v>2591</v>
      </c>
      <c r="W295" s="450" t="s">
        <v>1184</v>
      </c>
      <c r="X295" s="450" t="s">
        <v>2380</v>
      </c>
      <c r="Y295" s="450" t="s">
        <v>1184</v>
      </c>
      <c r="Z295" s="450"/>
      <c r="AB295" s="448" t="s">
        <v>2627</v>
      </c>
    </row>
    <row r="296" spans="21:28">
      <c r="U296" s="449">
        <v>66203</v>
      </c>
      <c r="V296" s="450" t="s">
        <v>2591</v>
      </c>
      <c r="W296" s="450" t="s">
        <v>1184</v>
      </c>
      <c r="X296" s="450" t="s">
        <v>2380</v>
      </c>
      <c r="Y296" s="450" t="s">
        <v>1184</v>
      </c>
      <c r="Z296" s="450"/>
      <c r="AB296" s="448" t="s">
        <v>2628</v>
      </c>
    </row>
    <row r="297" spans="21:28">
      <c r="U297" s="449">
        <v>66204</v>
      </c>
      <c r="V297" s="450" t="s">
        <v>2591</v>
      </c>
      <c r="W297" s="450" t="s">
        <v>1184</v>
      </c>
      <c r="X297" s="450" t="s">
        <v>2380</v>
      </c>
      <c r="Y297" s="450" t="s">
        <v>1184</v>
      </c>
      <c r="Z297" s="450"/>
      <c r="AB297" s="448" t="s">
        <v>2629</v>
      </c>
    </row>
    <row r="298" spans="21:28">
      <c r="U298" s="447">
        <v>66514</v>
      </c>
      <c r="V298" t="s">
        <v>708</v>
      </c>
      <c r="W298" s="448"/>
      <c r="X298" t="s">
        <v>2531</v>
      </c>
      <c r="Y298" s="448"/>
      <c r="Z298" s="448"/>
      <c r="AB298" s="448" t="s">
        <v>2630</v>
      </c>
    </row>
    <row r="299" spans="21:28">
      <c r="U299" s="447">
        <v>67466</v>
      </c>
      <c r="V299" t="s">
        <v>2592</v>
      </c>
      <c r="W299" s="448"/>
      <c r="X299" t="s">
        <v>2593</v>
      </c>
      <c r="Y299" s="448"/>
      <c r="Z299" s="448"/>
      <c r="AB299" s="448" t="s">
        <v>2631</v>
      </c>
    </row>
    <row r="300" spans="21:28">
      <c r="U300" s="447">
        <v>67467</v>
      </c>
      <c r="V300" t="s">
        <v>2594</v>
      </c>
      <c r="W300" s="448"/>
      <c r="X300" t="s">
        <v>2313</v>
      </c>
      <c r="Y300" s="448"/>
      <c r="Z300" s="448"/>
      <c r="AB300" s="448" t="s">
        <v>2632</v>
      </c>
    </row>
    <row r="301" spans="21:28">
      <c r="U301" s="447">
        <v>66201</v>
      </c>
      <c r="V301" t="s">
        <v>2595</v>
      </c>
      <c r="W301" s="448"/>
      <c r="X301" t="s">
        <v>2380</v>
      </c>
      <c r="Y301" s="448" t="s">
        <v>1184</v>
      </c>
      <c r="Z301" s="448"/>
      <c r="AB301" s="448" t="s">
        <v>2633</v>
      </c>
    </row>
    <row r="302" spans="21:28">
      <c r="U302" s="447">
        <v>66202</v>
      </c>
      <c r="V302" t="s">
        <v>2595</v>
      </c>
      <c r="W302" s="448"/>
      <c r="X302" t="s">
        <v>2380</v>
      </c>
      <c r="Y302" s="448" t="s">
        <v>1184</v>
      </c>
      <c r="Z302" s="448"/>
      <c r="AB302" s="448" t="s">
        <v>2634</v>
      </c>
    </row>
    <row r="303" spans="21:28">
      <c r="U303" s="447">
        <v>66205</v>
      </c>
      <c r="V303" t="s">
        <v>2595</v>
      </c>
      <c r="W303" s="448"/>
      <c r="X303" t="s">
        <v>2380</v>
      </c>
      <c r="Y303" s="448" t="s">
        <v>1184</v>
      </c>
      <c r="Z303" s="448"/>
      <c r="AB303" s="448" t="s">
        <v>2635</v>
      </c>
    </row>
    <row r="304" spans="21:28">
      <c r="U304" s="447">
        <v>66222</v>
      </c>
      <c r="V304" t="s">
        <v>2595</v>
      </c>
      <c r="W304" s="448"/>
      <c r="X304" t="s">
        <v>2380</v>
      </c>
      <c r="Y304" s="448" t="s">
        <v>1184</v>
      </c>
      <c r="Z304" s="448"/>
      <c r="AB304" s="448" t="s">
        <v>2636</v>
      </c>
    </row>
    <row r="305" spans="21:28">
      <c r="U305" s="449">
        <v>66208</v>
      </c>
      <c r="V305" s="450" t="s">
        <v>2596</v>
      </c>
      <c r="W305" s="450"/>
      <c r="X305" s="450" t="s">
        <v>2380</v>
      </c>
      <c r="Y305" s="450" t="s">
        <v>1184</v>
      </c>
      <c r="Z305" s="450"/>
      <c r="AB305" s="448" t="s">
        <v>2637</v>
      </c>
    </row>
    <row r="306" spans="21:28">
      <c r="U306" s="449">
        <v>66205</v>
      </c>
      <c r="V306" s="450" t="s">
        <v>2597</v>
      </c>
      <c r="W306" s="450"/>
      <c r="X306" s="450" t="s">
        <v>2380</v>
      </c>
      <c r="Y306" s="450" t="s">
        <v>1184</v>
      </c>
      <c r="Z306" s="450"/>
      <c r="AB306" s="448" t="s">
        <v>2638</v>
      </c>
    </row>
    <row r="307" spans="21:28">
      <c r="U307" s="447">
        <v>67353</v>
      </c>
      <c r="V307" t="s">
        <v>2598</v>
      </c>
      <c r="W307" s="448"/>
      <c r="X307" t="s">
        <v>2457</v>
      </c>
      <c r="Y307" s="448"/>
      <c r="Z307" s="448"/>
      <c r="AB307" s="448" t="s">
        <v>2639</v>
      </c>
    </row>
    <row r="308" spans="21:28">
      <c r="U308" s="447">
        <v>66755</v>
      </c>
      <c r="V308" t="s">
        <v>2599</v>
      </c>
      <c r="W308" s="448"/>
      <c r="X308" t="s">
        <v>2402</v>
      </c>
      <c r="Y308" s="448"/>
      <c r="Z308" s="448"/>
      <c r="AB308" s="448" t="s">
        <v>2640</v>
      </c>
    </row>
    <row r="309" spans="21:28">
      <c r="U309" s="447">
        <v>67468</v>
      </c>
      <c r="V309" t="s">
        <v>2600</v>
      </c>
      <c r="W309" s="448"/>
      <c r="X309" t="s">
        <v>2419</v>
      </c>
      <c r="Y309" s="448"/>
      <c r="Z309" s="448"/>
      <c r="AB309" s="448" t="s">
        <v>2641</v>
      </c>
    </row>
    <row r="310" spans="21:28">
      <c r="U310" s="447">
        <v>66515</v>
      </c>
      <c r="V310" t="s">
        <v>2601</v>
      </c>
      <c r="W310" s="448"/>
      <c r="X310" t="s">
        <v>2469</v>
      </c>
      <c r="Y310" s="448"/>
      <c r="Z310" s="448"/>
      <c r="AB310" s="448" t="s">
        <v>2642</v>
      </c>
    </row>
    <row r="311" spans="21:28">
      <c r="U311" s="447">
        <v>66056</v>
      </c>
      <c r="V311" t="s">
        <v>721</v>
      </c>
      <c r="W311" s="448"/>
      <c r="X311" t="s">
        <v>2372</v>
      </c>
      <c r="Y311" s="448"/>
      <c r="Z311" s="448"/>
      <c r="AB311" s="448" t="s">
        <v>2643</v>
      </c>
    </row>
    <row r="312" spans="21:28">
      <c r="U312" s="447">
        <v>67354</v>
      </c>
      <c r="V312" t="s">
        <v>2602</v>
      </c>
      <c r="W312" s="448"/>
      <c r="X312" t="s">
        <v>2319</v>
      </c>
      <c r="Y312" s="448"/>
      <c r="Z312" s="448"/>
      <c r="AB312" s="448" t="s">
        <v>2644</v>
      </c>
    </row>
    <row r="313" spans="21:28">
      <c r="U313" s="447">
        <v>67107</v>
      </c>
      <c r="V313" t="s">
        <v>2603</v>
      </c>
      <c r="W313" s="448"/>
      <c r="X313" t="s">
        <v>2398</v>
      </c>
      <c r="Y313" s="448"/>
      <c r="Z313" s="448"/>
      <c r="AB313" s="448" t="s">
        <v>2645</v>
      </c>
    </row>
    <row r="314" spans="21:28">
      <c r="U314" s="447">
        <v>67108</v>
      </c>
      <c r="V314" t="s">
        <v>2604</v>
      </c>
      <c r="W314" s="448"/>
      <c r="X314" t="s">
        <v>2324</v>
      </c>
      <c r="Y314" s="448"/>
      <c r="Z314" s="448"/>
      <c r="AB314" s="448" t="s">
        <v>2646</v>
      </c>
    </row>
    <row r="315" spans="21:28">
      <c r="U315" s="447">
        <v>66756</v>
      </c>
      <c r="V315" t="s">
        <v>2605</v>
      </c>
      <c r="W315" s="448"/>
      <c r="X315" t="s">
        <v>2330</v>
      </c>
      <c r="Y315" s="448"/>
      <c r="Z315" s="448"/>
      <c r="AB315" s="448" t="s">
        <v>2647</v>
      </c>
    </row>
    <row r="316" spans="21:28">
      <c r="U316" s="447">
        <v>67110</v>
      </c>
      <c r="V316" t="s">
        <v>2606</v>
      </c>
      <c r="W316" s="448"/>
      <c r="X316" t="s">
        <v>2324</v>
      </c>
      <c r="Y316" s="448"/>
      <c r="Z316" s="448"/>
      <c r="AB316" s="448" t="s">
        <v>2648</v>
      </c>
    </row>
    <row r="317" spans="21:28">
      <c r="U317" s="447">
        <v>67111</v>
      </c>
      <c r="V317" t="s">
        <v>2607</v>
      </c>
      <c r="W317" s="448"/>
      <c r="X317" t="s">
        <v>2358</v>
      </c>
      <c r="Y317" s="448"/>
      <c r="Z317" s="448"/>
      <c r="AB317" s="448" t="s">
        <v>2649</v>
      </c>
    </row>
    <row r="318" spans="21:28">
      <c r="U318" s="447">
        <v>66058</v>
      </c>
      <c r="V318" t="s">
        <v>2608</v>
      </c>
      <c r="W318" s="448"/>
      <c r="X318" t="s">
        <v>2338</v>
      </c>
      <c r="Y318" s="448"/>
      <c r="Z318" s="448"/>
      <c r="AB318" s="448" t="s">
        <v>2650</v>
      </c>
    </row>
    <row r="319" spans="21:28">
      <c r="U319" s="449">
        <v>67451</v>
      </c>
      <c r="V319" s="450" t="s">
        <v>2609</v>
      </c>
      <c r="W319" s="450"/>
      <c r="X319" s="450" t="s">
        <v>2311</v>
      </c>
      <c r="Y319" s="450"/>
      <c r="Z319" s="450"/>
      <c r="AB319" s="448" t="s">
        <v>2651</v>
      </c>
    </row>
    <row r="320" spans="21:28">
      <c r="U320" s="447">
        <v>66863</v>
      </c>
      <c r="V320" t="s">
        <v>2610</v>
      </c>
      <c r="W320" s="448"/>
      <c r="X320" t="s">
        <v>2423</v>
      </c>
      <c r="Y320" s="448"/>
      <c r="Z320" s="448"/>
      <c r="AB320" s="448" t="s">
        <v>2652</v>
      </c>
    </row>
    <row r="321" spans="21:28">
      <c r="U321" s="447">
        <v>66757</v>
      </c>
      <c r="V321" t="s">
        <v>2611</v>
      </c>
      <c r="W321" s="448"/>
      <c r="X321" t="s">
        <v>2321</v>
      </c>
      <c r="Y321" s="448"/>
      <c r="Z321" s="448"/>
      <c r="AB321" s="448" t="s">
        <v>2653</v>
      </c>
    </row>
    <row r="322" spans="21:28">
      <c r="U322" s="447">
        <v>66758</v>
      </c>
      <c r="V322" t="s">
        <v>2612</v>
      </c>
      <c r="W322" s="448"/>
      <c r="X322" t="s">
        <v>2613</v>
      </c>
      <c r="Y322" s="448"/>
      <c r="Z322" s="448"/>
      <c r="AB322" s="448" t="s">
        <v>2654</v>
      </c>
    </row>
    <row r="323" spans="21:28">
      <c r="U323" s="447">
        <v>66864</v>
      </c>
      <c r="V323" t="s">
        <v>2614</v>
      </c>
      <c r="W323" s="448"/>
      <c r="X323" t="s">
        <v>2315</v>
      </c>
      <c r="Y323" s="448"/>
      <c r="Z323" s="448"/>
      <c r="AB323" s="448" t="s">
        <v>2655</v>
      </c>
    </row>
    <row r="324" spans="21:28">
      <c r="U324" s="447">
        <v>66516</v>
      </c>
      <c r="V324" t="s">
        <v>2615</v>
      </c>
      <c r="W324" s="448"/>
      <c r="X324" t="s">
        <v>2417</v>
      </c>
      <c r="Y324" s="448"/>
      <c r="Z324" s="448"/>
      <c r="AB324" s="448" t="s">
        <v>2656</v>
      </c>
    </row>
    <row r="325" spans="21:28">
      <c r="U325" s="449">
        <v>66736</v>
      </c>
      <c r="V325" s="450" t="s">
        <v>2616</v>
      </c>
      <c r="W325" s="450"/>
      <c r="X325" s="450" t="s">
        <v>2321</v>
      </c>
      <c r="Y325" s="450"/>
      <c r="Z325" s="450"/>
      <c r="AB325" s="448" t="s">
        <v>2657</v>
      </c>
    </row>
    <row r="326" spans="21:28">
      <c r="U326" s="447">
        <v>67470</v>
      </c>
      <c r="V326" t="s">
        <v>2617</v>
      </c>
      <c r="W326" s="448"/>
      <c r="X326" t="s">
        <v>2337</v>
      </c>
      <c r="Y326" s="448"/>
      <c r="Z326" s="448"/>
      <c r="AB326" s="448" t="s">
        <v>2658</v>
      </c>
    </row>
    <row r="327" spans="21:28">
      <c r="U327" s="447">
        <v>66031</v>
      </c>
      <c r="V327" t="s">
        <v>2618</v>
      </c>
      <c r="W327" s="448"/>
      <c r="X327" t="s">
        <v>2380</v>
      </c>
      <c r="Y327" s="448" t="s">
        <v>1184</v>
      </c>
      <c r="Z327" s="448"/>
      <c r="AB327" s="448" t="s">
        <v>2659</v>
      </c>
    </row>
    <row r="328" spans="21:28">
      <c r="U328" s="449">
        <v>66839</v>
      </c>
      <c r="V328" s="450" t="s">
        <v>2619</v>
      </c>
      <c r="W328" s="450"/>
      <c r="X328" s="450" t="s">
        <v>2389</v>
      </c>
      <c r="Y328" s="450"/>
      <c r="Z328" s="450"/>
      <c r="AB328" s="448" t="s">
        <v>2660</v>
      </c>
    </row>
    <row r="329" spans="21:28">
      <c r="U329" s="447">
        <v>67114</v>
      </c>
      <c r="V329" t="s">
        <v>2620</v>
      </c>
      <c r="W329" s="448" t="s">
        <v>1184</v>
      </c>
      <c r="X329" t="s">
        <v>2392</v>
      </c>
      <c r="Y329" s="448"/>
      <c r="Z329" s="448"/>
      <c r="AB329" s="448" t="s">
        <v>2661</v>
      </c>
    </row>
    <row r="330" spans="21:28">
      <c r="U330" s="449">
        <v>67117</v>
      </c>
      <c r="V330" s="450" t="s">
        <v>2620</v>
      </c>
      <c r="W330" s="450" t="s">
        <v>1184</v>
      </c>
      <c r="X330" s="450" t="s">
        <v>2392</v>
      </c>
      <c r="Y330" s="450"/>
      <c r="Z330" s="450"/>
      <c r="AB330" s="448" t="s">
        <v>2662</v>
      </c>
    </row>
    <row r="331" spans="21:28">
      <c r="U331" s="447">
        <v>67561</v>
      </c>
      <c r="V331" t="s">
        <v>2621</v>
      </c>
      <c r="W331" s="448"/>
      <c r="X331" t="s">
        <v>2309</v>
      </c>
      <c r="Y331" s="448"/>
      <c r="Z331" s="448"/>
      <c r="AB331" s="448" t="s">
        <v>2663</v>
      </c>
    </row>
    <row r="332" spans="21:28">
      <c r="U332" s="447">
        <v>67117</v>
      </c>
      <c r="V332" t="s">
        <v>2622</v>
      </c>
      <c r="W332" s="448"/>
      <c r="X332" t="s">
        <v>2392</v>
      </c>
      <c r="Y332" s="448"/>
      <c r="Z332" s="448"/>
      <c r="AB332" s="448" t="s">
        <v>2664</v>
      </c>
    </row>
    <row r="333" spans="21:28">
      <c r="U333" s="447">
        <v>66060</v>
      </c>
      <c r="V333" t="s">
        <v>2623</v>
      </c>
      <c r="W333" s="448"/>
      <c r="X333" t="s">
        <v>2496</v>
      </c>
      <c r="Y333" s="448"/>
      <c r="Z333" s="448"/>
      <c r="AB333" s="448" t="s">
        <v>723</v>
      </c>
    </row>
    <row r="334" spans="21:28">
      <c r="U334" s="449">
        <v>67432</v>
      </c>
      <c r="V334" s="450" t="s">
        <v>2624</v>
      </c>
      <c r="W334" s="450"/>
      <c r="X334" s="450" t="s">
        <v>2419</v>
      </c>
      <c r="Y334" s="450"/>
      <c r="Z334" s="450"/>
      <c r="AB334" s="448" t="s">
        <v>2665</v>
      </c>
    </row>
    <row r="335" spans="21:28">
      <c r="U335" s="447">
        <v>66517</v>
      </c>
      <c r="V335" t="s">
        <v>2625</v>
      </c>
      <c r="W335" s="448"/>
      <c r="X335" t="s">
        <v>2561</v>
      </c>
      <c r="Y335" s="448"/>
      <c r="Z335" s="448"/>
      <c r="AB335" s="448" t="s">
        <v>2666</v>
      </c>
    </row>
    <row r="336" spans="21:28">
      <c r="U336" s="447">
        <v>66518</v>
      </c>
      <c r="V336" t="s">
        <v>2626</v>
      </c>
      <c r="W336" s="448"/>
      <c r="X336" t="s">
        <v>2342</v>
      </c>
      <c r="Y336" s="448"/>
      <c r="Z336" s="448"/>
      <c r="AB336" s="448" t="s">
        <v>2667</v>
      </c>
    </row>
    <row r="337" spans="21:28">
      <c r="U337" s="447">
        <v>66051</v>
      </c>
      <c r="V337" t="s">
        <v>2627</v>
      </c>
      <c r="W337" s="448" t="s">
        <v>1184</v>
      </c>
      <c r="X337" t="s">
        <v>2380</v>
      </c>
      <c r="Y337" s="448" t="s">
        <v>1184</v>
      </c>
      <c r="Z337" s="448"/>
      <c r="AB337" s="448" t="s">
        <v>2668</v>
      </c>
    </row>
    <row r="338" spans="21:28">
      <c r="U338" s="447">
        <v>66061</v>
      </c>
      <c r="V338" t="s">
        <v>2627</v>
      </c>
      <c r="W338" s="448" t="s">
        <v>1184</v>
      </c>
      <c r="X338" t="s">
        <v>2380</v>
      </c>
      <c r="Y338" s="448" t="s">
        <v>1184</v>
      </c>
      <c r="Z338" s="448"/>
      <c r="AB338" s="448" t="s">
        <v>717</v>
      </c>
    </row>
    <row r="339" spans="21:28">
      <c r="U339" s="447">
        <v>66062</v>
      </c>
      <c r="V339" t="s">
        <v>2627</v>
      </c>
      <c r="W339" s="448" t="s">
        <v>1184</v>
      </c>
      <c r="X339" t="s">
        <v>2380</v>
      </c>
      <c r="Y339" s="448" t="s">
        <v>1184</v>
      </c>
      <c r="Z339" s="448"/>
      <c r="AB339" s="448" t="s">
        <v>2669</v>
      </c>
    </row>
    <row r="340" spans="21:28">
      <c r="U340" s="447">
        <v>66063</v>
      </c>
      <c r="V340" t="s">
        <v>2627</v>
      </c>
      <c r="W340" s="448" t="s">
        <v>1184</v>
      </c>
      <c r="X340" t="s">
        <v>2380</v>
      </c>
      <c r="Y340" s="448" t="s">
        <v>1184</v>
      </c>
      <c r="Z340" s="448"/>
      <c r="AB340" s="448" t="s">
        <v>2670</v>
      </c>
    </row>
    <row r="341" spans="21:28">
      <c r="U341" s="449">
        <v>66215</v>
      </c>
      <c r="V341" s="450" t="s">
        <v>2627</v>
      </c>
      <c r="W341" s="450" t="s">
        <v>1184</v>
      </c>
      <c r="X341" s="450" t="s">
        <v>2380</v>
      </c>
      <c r="Y341" s="450" t="s">
        <v>1184</v>
      </c>
      <c r="Z341" s="450"/>
      <c r="AB341" s="448" t="s">
        <v>2671</v>
      </c>
    </row>
    <row r="342" spans="21:28">
      <c r="U342" s="449">
        <v>66856</v>
      </c>
      <c r="V342" s="450" t="s">
        <v>2628</v>
      </c>
      <c r="W342" s="450"/>
      <c r="X342" s="450" t="s">
        <v>2389</v>
      </c>
      <c r="Y342" s="450"/>
      <c r="Z342" s="450"/>
      <c r="AB342" s="448" t="s">
        <v>2672</v>
      </c>
    </row>
    <row r="343" spans="21:28">
      <c r="U343" s="447">
        <v>66865</v>
      </c>
      <c r="V343" t="s">
        <v>2629</v>
      </c>
      <c r="W343" s="448"/>
      <c r="X343" t="s">
        <v>2315</v>
      </c>
      <c r="Y343" s="448"/>
      <c r="Z343" s="448"/>
      <c r="AB343" s="448" t="s">
        <v>724</v>
      </c>
    </row>
    <row r="344" spans="21:28">
      <c r="U344" s="447">
        <v>66520</v>
      </c>
      <c r="V344" t="s">
        <v>2630</v>
      </c>
      <c r="W344" s="448"/>
      <c r="X344" t="s">
        <v>2360</v>
      </c>
      <c r="Y344" s="448"/>
      <c r="Z344" s="448"/>
      <c r="AB344" s="448" t="s">
        <v>2673</v>
      </c>
    </row>
    <row r="345" spans="21:28">
      <c r="U345" s="447">
        <v>66521</v>
      </c>
      <c r="V345" t="s">
        <v>2631</v>
      </c>
      <c r="W345" s="448"/>
      <c r="X345" t="s">
        <v>2360</v>
      </c>
      <c r="Y345" s="448"/>
      <c r="Z345" s="448"/>
      <c r="AB345" s="448" t="s">
        <v>2674</v>
      </c>
    </row>
    <row r="346" spans="21:28">
      <c r="U346" s="447">
        <v>66522</v>
      </c>
      <c r="V346" t="s">
        <v>2632</v>
      </c>
      <c r="W346" s="448"/>
      <c r="X346" t="s">
        <v>2344</v>
      </c>
      <c r="Y346" s="448"/>
      <c r="Z346" s="448"/>
      <c r="AB346" s="448" t="s">
        <v>2675</v>
      </c>
    </row>
    <row r="347" spans="21:28">
      <c r="U347" s="447">
        <v>66760</v>
      </c>
      <c r="V347" t="s">
        <v>2633</v>
      </c>
      <c r="W347" s="448"/>
      <c r="X347" t="s">
        <v>2330</v>
      </c>
      <c r="Y347" s="448"/>
      <c r="Z347" s="448"/>
      <c r="AB347" s="448" t="s">
        <v>2676</v>
      </c>
    </row>
    <row r="348" spans="21:28">
      <c r="U348" s="447">
        <v>66523</v>
      </c>
      <c r="V348" t="s">
        <v>2634</v>
      </c>
      <c r="W348" s="448"/>
      <c r="X348" t="s">
        <v>2387</v>
      </c>
      <c r="Y348" s="448"/>
      <c r="Z348" s="448"/>
      <c r="AB348" s="448" t="s">
        <v>2677</v>
      </c>
    </row>
    <row r="349" spans="21:28">
      <c r="U349" s="447">
        <v>66064</v>
      </c>
      <c r="V349" t="s">
        <v>2635</v>
      </c>
      <c r="W349" s="448"/>
      <c r="X349" t="s">
        <v>2477</v>
      </c>
      <c r="Y349" s="448"/>
      <c r="Z349" s="448"/>
      <c r="AB349" s="448" t="s">
        <v>2678</v>
      </c>
    </row>
    <row r="350" spans="21:28">
      <c r="U350" s="447">
        <v>66066</v>
      </c>
      <c r="V350" t="s">
        <v>2636</v>
      </c>
      <c r="W350" s="448"/>
      <c r="X350" t="s">
        <v>2496</v>
      </c>
      <c r="Y350" s="448"/>
      <c r="Z350" s="448"/>
      <c r="AB350" s="448" t="s">
        <v>2679</v>
      </c>
    </row>
    <row r="351" spans="21:28">
      <c r="U351" s="447">
        <v>67356</v>
      </c>
      <c r="V351" t="s">
        <v>2637</v>
      </c>
      <c r="W351" s="448"/>
      <c r="X351" t="s">
        <v>2319</v>
      </c>
      <c r="Y351" s="448"/>
      <c r="Z351" s="448"/>
      <c r="AB351" s="448" t="s">
        <v>2680</v>
      </c>
    </row>
    <row r="352" spans="21:28">
      <c r="U352" s="447">
        <v>66067</v>
      </c>
      <c r="V352" t="s">
        <v>2638</v>
      </c>
      <c r="W352" s="448" t="s">
        <v>1184</v>
      </c>
      <c r="X352" t="s">
        <v>2409</v>
      </c>
      <c r="Y352" s="448"/>
      <c r="Z352" s="448"/>
      <c r="AB352" s="448" t="s">
        <v>2681</v>
      </c>
    </row>
    <row r="353" spans="21:28">
      <c r="U353" s="447">
        <v>66524</v>
      </c>
      <c r="V353" t="s">
        <v>2639</v>
      </c>
      <c r="W353" s="448"/>
      <c r="X353" t="s">
        <v>2387</v>
      </c>
      <c r="Y353" s="448"/>
      <c r="Z353" s="448"/>
      <c r="AB353" s="448" t="s">
        <v>2682</v>
      </c>
    </row>
    <row r="354" spans="21:28">
      <c r="U354" s="449">
        <v>66013</v>
      </c>
      <c r="V354" s="450" t="s">
        <v>2640</v>
      </c>
      <c r="W354" s="450" t="s">
        <v>1184</v>
      </c>
      <c r="X354" s="450" t="s">
        <v>2380</v>
      </c>
      <c r="Y354" s="450" t="s">
        <v>1184</v>
      </c>
      <c r="Z354" s="450"/>
      <c r="AB354" s="448" t="s">
        <v>2683</v>
      </c>
    </row>
    <row r="355" spans="21:28">
      <c r="U355" s="449">
        <v>66085</v>
      </c>
      <c r="V355" s="450" t="s">
        <v>2640</v>
      </c>
      <c r="W355" s="450" t="s">
        <v>1184</v>
      </c>
      <c r="X355" s="450" t="s">
        <v>2380</v>
      </c>
      <c r="Y355" s="450" t="s">
        <v>1184</v>
      </c>
      <c r="Z355" s="450"/>
      <c r="AB355" s="448" t="s">
        <v>2684</v>
      </c>
    </row>
    <row r="356" spans="21:28">
      <c r="U356" s="449">
        <v>66201</v>
      </c>
      <c r="V356" s="450" t="s">
        <v>2640</v>
      </c>
      <c r="W356" s="450" t="s">
        <v>1184</v>
      </c>
      <c r="X356" s="450" t="s">
        <v>2380</v>
      </c>
      <c r="Y356" s="450" t="s">
        <v>1184</v>
      </c>
      <c r="Z356" s="450"/>
      <c r="AB356" s="448" t="s">
        <v>2685</v>
      </c>
    </row>
    <row r="357" spans="21:28">
      <c r="U357" s="449">
        <v>66202</v>
      </c>
      <c r="V357" s="450" t="s">
        <v>2640</v>
      </c>
      <c r="W357" s="450" t="s">
        <v>1184</v>
      </c>
      <c r="X357" s="450" t="s">
        <v>2380</v>
      </c>
      <c r="Y357" s="450" t="s">
        <v>1184</v>
      </c>
      <c r="Z357" s="450"/>
      <c r="AB357" s="448" t="s">
        <v>2686</v>
      </c>
    </row>
    <row r="358" spans="21:28">
      <c r="U358" s="449">
        <v>66203</v>
      </c>
      <c r="V358" s="450" t="s">
        <v>2640</v>
      </c>
      <c r="W358" s="450" t="s">
        <v>1184</v>
      </c>
      <c r="X358" s="450" t="s">
        <v>2380</v>
      </c>
      <c r="Y358" s="450" t="s">
        <v>1184</v>
      </c>
      <c r="Z358" s="450"/>
      <c r="AB358" s="448" t="s">
        <v>2687</v>
      </c>
    </row>
    <row r="359" spans="21:28">
      <c r="U359" s="447">
        <v>66204</v>
      </c>
      <c r="V359" t="s">
        <v>2640</v>
      </c>
      <c r="W359" s="448" t="s">
        <v>1184</v>
      </c>
      <c r="X359" t="s">
        <v>2380</v>
      </c>
      <c r="Y359" s="448" t="s">
        <v>1184</v>
      </c>
      <c r="Z359" s="448"/>
      <c r="AB359" s="448" t="s">
        <v>2688</v>
      </c>
    </row>
    <row r="360" spans="21:28">
      <c r="U360" s="449">
        <v>66206</v>
      </c>
      <c r="V360" s="450" t="s">
        <v>2640</v>
      </c>
      <c r="W360" s="450" t="s">
        <v>1184</v>
      </c>
      <c r="X360" s="450" t="s">
        <v>2380</v>
      </c>
      <c r="Y360" s="450" t="s">
        <v>1184</v>
      </c>
      <c r="Z360" s="450"/>
      <c r="AB360" s="448" t="s">
        <v>2689</v>
      </c>
    </row>
    <row r="361" spans="21:28">
      <c r="U361" s="447">
        <v>66207</v>
      </c>
      <c r="V361" t="s">
        <v>2640</v>
      </c>
      <c r="W361" s="448" t="s">
        <v>1184</v>
      </c>
      <c r="X361" t="s">
        <v>2380</v>
      </c>
      <c r="Y361" s="448" t="s">
        <v>1184</v>
      </c>
      <c r="Z361" s="448"/>
      <c r="AB361" s="448" t="s">
        <v>2690</v>
      </c>
    </row>
    <row r="362" spans="21:28">
      <c r="U362" s="449">
        <v>66209</v>
      </c>
      <c r="V362" s="450" t="s">
        <v>2640</v>
      </c>
      <c r="W362" s="450" t="s">
        <v>1184</v>
      </c>
      <c r="X362" s="450" t="s">
        <v>2380</v>
      </c>
      <c r="Y362" s="450" t="s">
        <v>1184</v>
      </c>
      <c r="Z362" s="450"/>
      <c r="AB362" s="448" t="s">
        <v>2691</v>
      </c>
    </row>
    <row r="363" spans="21:28">
      <c r="U363" s="447">
        <v>66210</v>
      </c>
      <c r="V363" t="s">
        <v>2640</v>
      </c>
      <c r="W363" s="448" t="s">
        <v>1184</v>
      </c>
      <c r="X363" t="s">
        <v>2380</v>
      </c>
      <c r="Y363" s="448" t="s">
        <v>1184</v>
      </c>
      <c r="Z363" s="448"/>
      <c r="AB363" s="448" t="s">
        <v>2692</v>
      </c>
    </row>
    <row r="364" spans="21:28">
      <c r="U364" s="449">
        <v>66211</v>
      </c>
      <c r="V364" s="450" t="s">
        <v>2640</v>
      </c>
      <c r="W364" s="450" t="s">
        <v>1184</v>
      </c>
      <c r="X364" s="450" t="s">
        <v>2380</v>
      </c>
      <c r="Y364" s="450" t="s">
        <v>1184</v>
      </c>
      <c r="Z364" s="450"/>
      <c r="AB364" s="448" t="s">
        <v>2693</v>
      </c>
    </row>
    <row r="365" spans="21:28">
      <c r="U365" s="447">
        <v>66212</v>
      </c>
      <c r="V365" t="s">
        <v>2640</v>
      </c>
      <c r="W365" s="448" t="s">
        <v>1184</v>
      </c>
      <c r="X365" t="s">
        <v>2380</v>
      </c>
      <c r="Y365" s="448" t="s">
        <v>1184</v>
      </c>
      <c r="Z365" s="448"/>
      <c r="AB365" s="448" t="s">
        <v>2694</v>
      </c>
    </row>
    <row r="366" spans="21:28">
      <c r="U366" s="447">
        <v>66213</v>
      </c>
      <c r="V366" t="s">
        <v>2640</v>
      </c>
      <c r="W366" s="448" t="s">
        <v>1184</v>
      </c>
      <c r="X366" t="s">
        <v>2380</v>
      </c>
      <c r="Y366" s="448" t="s">
        <v>1184</v>
      </c>
      <c r="Z366" s="448"/>
      <c r="AB366" s="448" t="s">
        <v>2695</v>
      </c>
    </row>
    <row r="367" spans="21:28">
      <c r="U367" s="447">
        <v>66214</v>
      </c>
      <c r="V367" t="s">
        <v>2640</v>
      </c>
      <c r="W367" s="448" t="s">
        <v>1184</v>
      </c>
      <c r="X367" t="s">
        <v>2380</v>
      </c>
      <c r="Y367" s="448" t="s">
        <v>1184</v>
      </c>
      <c r="Z367" s="448"/>
      <c r="AB367" s="448" t="s">
        <v>2696</v>
      </c>
    </row>
    <row r="368" spans="21:28">
      <c r="U368" s="449">
        <v>66215</v>
      </c>
      <c r="V368" s="450" t="s">
        <v>2640</v>
      </c>
      <c r="W368" s="450" t="s">
        <v>1184</v>
      </c>
      <c r="X368" s="450" t="s">
        <v>2380</v>
      </c>
      <c r="Y368" s="450" t="s">
        <v>1184</v>
      </c>
      <c r="Z368" s="450"/>
      <c r="AB368" s="448" t="s">
        <v>2697</v>
      </c>
    </row>
    <row r="369" spans="21:28">
      <c r="U369" s="447">
        <v>66221</v>
      </c>
      <c r="V369" t="s">
        <v>2640</v>
      </c>
      <c r="W369" s="448" t="s">
        <v>1184</v>
      </c>
      <c r="X369" t="s">
        <v>2380</v>
      </c>
      <c r="Y369" s="448" t="s">
        <v>1184</v>
      </c>
      <c r="Z369" s="448"/>
      <c r="AB369" s="448" t="s">
        <v>2698</v>
      </c>
    </row>
    <row r="370" spans="21:28">
      <c r="U370" s="447">
        <v>66223</v>
      </c>
      <c r="V370" t="s">
        <v>2640</v>
      </c>
      <c r="W370" s="448" t="s">
        <v>1184</v>
      </c>
      <c r="X370" t="s">
        <v>2380</v>
      </c>
      <c r="Y370" s="448" t="s">
        <v>1184</v>
      </c>
      <c r="Z370" s="448"/>
      <c r="AB370" s="448" t="s">
        <v>2699</v>
      </c>
    </row>
    <row r="371" spans="21:28">
      <c r="U371" s="447">
        <v>66224</v>
      </c>
      <c r="V371" t="s">
        <v>2640</v>
      </c>
      <c r="W371" s="448" t="s">
        <v>1184</v>
      </c>
      <c r="X371" t="s">
        <v>2380</v>
      </c>
      <c r="Y371" s="448" t="s">
        <v>1184</v>
      </c>
      <c r="Z371" s="448"/>
      <c r="AB371" s="448" t="s">
        <v>2700</v>
      </c>
    </row>
    <row r="372" spans="21:28">
      <c r="U372" s="447">
        <v>66225</v>
      </c>
      <c r="V372" t="s">
        <v>2640</v>
      </c>
      <c r="W372" s="448" t="s">
        <v>1184</v>
      </c>
      <c r="X372" t="s">
        <v>2380</v>
      </c>
      <c r="Y372" s="448" t="s">
        <v>1184</v>
      </c>
      <c r="Z372" s="448"/>
      <c r="AB372" s="448" t="s">
        <v>2701</v>
      </c>
    </row>
    <row r="373" spans="21:28">
      <c r="U373" s="447">
        <v>66283</v>
      </c>
      <c r="V373" t="s">
        <v>2640</v>
      </c>
      <c r="W373" s="448" t="s">
        <v>1184</v>
      </c>
      <c r="X373" t="s">
        <v>2380</v>
      </c>
      <c r="Y373" s="448" t="s">
        <v>1184</v>
      </c>
      <c r="Z373" s="448"/>
      <c r="AB373" s="448" t="s">
        <v>2702</v>
      </c>
    </row>
    <row r="374" spans="21:28">
      <c r="U374" s="447">
        <v>67119</v>
      </c>
      <c r="V374" t="s">
        <v>2641</v>
      </c>
      <c r="W374" s="448"/>
      <c r="X374" t="s">
        <v>2356</v>
      </c>
      <c r="Y374" s="448"/>
      <c r="Z374" s="448"/>
      <c r="AB374" s="448" t="s">
        <v>2703</v>
      </c>
    </row>
    <row r="375" spans="21:28">
      <c r="U375" s="447">
        <v>66070</v>
      </c>
      <c r="V375" t="s">
        <v>2642</v>
      </c>
      <c r="W375" s="448"/>
      <c r="X375" t="s">
        <v>2496</v>
      </c>
      <c r="Y375" s="448"/>
      <c r="Z375" s="448"/>
      <c r="AB375" s="448" t="s">
        <v>2704</v>
      </c>
    </row>
    <row r="376" spans="21:28">
      <c r="U376" s="447">
        <v>66071</v>
      </c>
      <c r="V376" t="s">
        <v>2643</v>
      </c>
      <c r="W376" s="448"/>
      <c r="X376" t="s">
        <v>2477</v>
      </c>
      <c r="Y376" s="448"/>
      <c r="Z376" s="448"/>
      <c r="AB376" s="448" t="s">
        <v>2706</v>
      </c>
    </row>
    <row r="377" spans="21:28">
      <c r="U377" s="449">
        <v>67147</v>
      </c>
      <c r="V377" s="450" t="s">
        <v>2644</v>
      </c>
      <c r="W377" s="450"/>
      <c r="X377" s="450" t="s">
        <v>2324</v>
      </c>
      <c r="Y377" s="450"/>
      <c r="Z377" s="450"/>
      <c r="AB377" s="448" t="s">
        <v>2707</v>
      </c>
    </row>
    <row r="378" spans="21:28">
      <c r="U378" s="449">
        <v>67204</v>
      </c>
      <c r="V378" s="450" t="s">
        <v>2644</v>
      </c>
      <c r="W378" s="450"/>
      <c r="X378" s="450" t="s">
        <v>2324</v>
      </c>
      <c r="Y378" s="450"/>
      <c r="Z378" s="450"/>
      <c r="AB378" s="448" t="s">
        <v>2708</v>
      </c>
    </row>
    <row r="379" spans="21:28">
      <c r="U379" s="449">
        <v>67219</v>
      </c>
      <c r="V379" s="450" t="s">
        <v>2644</v>
      </c>
      <c r="W379" s="450"/>
      <c r="X379" s="450" t="s">
        <v>2324</v>
      </c>
      <c r="Y379" s="450"/>
      <c r="Z379" s="450"/>
      <c r="AB379" s="448" t="s">
        <v>2709</v>
      </c>
    </row>
    <row r="380" spans="21:28">
      <c r="U380" s="447">
        <v>66072</v>
      </c>
      <c r="V380" t="s">
        <v>2645</v>
      </c>
      <c r="W380" s="448"/>
      <c r="X380" t="s">
        <v>2372</v>
      </c>
      <c r="Y380" s="448"/>
      <c r="Z380" s="448"/>
      <c r="AB380" s="448" t="s">
        <v>2710</v>
      </c>
    </row>
    <row r="381" spans="21:28">
      <c r="U381" s="449">
        <v>67005</v>
      </c>
      <c r="V381" s="450" t="s">
        <v>2646</v>
      </c>
      <c r="W381" s="450"/>
      <c r="X381" s="450" t="s">
        <v>2333</v>
      </c>
      <c r="Y381" s="450"/>
      <c r="Z381" s="450"/>
      <c r="AB381" s="448" t="s">
        <v>2711</v>
      </c>
    </row>
    <row r="382" spans="21:28">
      <c r="U382" s="447">
        <v>67357</v>
      </c>
      <c r="V382" t="s">
        <v>2647</v>
      </c>
      <c r="W382" s="448"/>
      <c r="X382" t="s">
        <v>2319</v>
      </c>
      <c r="Y382" s="448"/>
      <c r="Z382" s="448"/>
      <c r="AB382" s="448" t="s">
        <v>2712</v>
      </c>
    </row>
    <row r="383" spans="21:28">
      <c r="U383" s="447">
        <v>67566</v>
      </c>
      <c r="V383" t="s">
        <v>2648</v>
      </c>
      <c r="W383" s="448"/>
      <c r="X383" t="s">
        <v>2309</v>
      </c>
      <c r="Y383" s="448"/>
      <c r="Z383" s="448"/>
      <c r="AB383" s="448" t="s">
        <v>2713</v>
      </c>
    </row>
    <row r="384" spans="21:28">
      <c r="U384" s="447">
        <v>66526</v>
      </c>
      <c r="V384" t="s">
        <v>2649</v>
      </c>
      <c r="W384" s="448"/>
      <c r="X384" t="s">
        <v>2317</v>
      </c>
      <c r="Y384" s="448"/>
      <c r="Z384" s="448"/>
      <c r="AB384" s="448" t="s">
        <v>2714</v>
      </c>
    </row>
    <row r="385" spans="21:28">
      <c r="U385" s="447">
        <v>66866</v>
      </c>
      <c r="V385" t="s">
        <v>2650</v>
      </c>
      <c r="W385" s="448"/>
      <c r="X385" t="s">
        <v>2328</v>
      </c>
      <c r="Y385" s="448"/>
      <c r="Z385" s="448"/>
      <c r="AB385" s="448" t="s">
        <v>2715</v>
      </c>
    </row>
    <row r="386" spans="21:28">
      <c r="U386" s="447">
        <v>67120</v>
      </c>
      <c r="V386" t="s">
        <v>2651</v>
      </c>
      <c r="W386" s="448"/>
      <c r="X386" t="s">
        <v>2356</v>
      </c>
      <c r="Y386" s="448"/>
      <c r="Z386" s="448"/>
      <c r="AB386" s="448" t="s">
        <v>2716</v>
      </c>
    </row>
    <row r="387" spans="21:28">
      <c r="U387" s="447">
        <v>66073</v>
      </c>
      <c r="V387" t="s">
        <v>2652</v>
      </c>
      <c r="W387" s="448"/>
      <c r="X387" t="s">
        <v>2496</v>
      </c>
      <c r="Y387" s="448"/>
      <c r="Z387" s="448"/>
      <c r="AB387" s="448" t="s">
        <v>2717</v>
      </c>
    </row>
    <row r="388" spans="21:28">
      <c r="U388" s="449">
        <v>66720</v>
      </c>
      <c r="V388" s="450" t="s">
        <v>2653</v>
      </c>
      <c r="W388" s="450"/>
      <c r="X388" s="450" t="s">
        <v>2411</v>
      </c>
      <c r="Y388" s="450"/>
      <c r="Z388" s="450"/>
      <c r="AB388" s="448" t="s">
        <v>2718</v>
      </c>
    </row>
    <row r="389" spans="21:28">
      <c r="U389" s="447">
        <v>67122</v>
      </c>
      <c r="V389" t="s">
        <v>2654</v>
      </c>
      <c r="W389" s="448"/>
      <c r="X389" t="s">
        <v>2423</v>
      </c>
      <c r="Y389" s="448"/>
      <c r="Z389" s="448"/>
      <c r="AB389" s="448" t="s">
        <v>2719</v>
      </c>
    </row>
    <row r="390" spans="21:28">
      <c r="U390" s="447">
        <v>66761</v>
      </c>
      <c r="V390" t="s">
        <v>2655</v>
      </c>
      <c r="W390" s="448"/>
      <c r="X390" t="s">
        <v>2613</v>
      </c>
      <c r="Y390" s="448"/>
      <c r="Z390" s="448"/>
      <c r="AB390" s="448" t="s">
        <v>2720</v>
      </c>
    </row>
    <row r="391" spans="21:28">
      <c r="U391" s="447">
        <v>66762</v>
      </c>
      <c r="V391" t="s">
        <v>2656</v>
      </c>
      <c r="W391" s="448"/>
      <c r="X391" t="s">
        <v>2330</v>
      </c>
      <c r="Y391" s="448"/>
      <c r="Z391" s="448"/>
      <c r="AB391" s="448" t="s">
        <v>2721</v>
      </c>
    </row>
    <row r="392" spans="21:28">
      <c r="U392" s="449">
        <v>66763</v>
      </c>
      <c r="V392" s="450" t="s">
        <v>2656</v>
      </c>
      <c r="W392" s="450" t="s">
        <v>689</v>
      </c>
      <c r="X392" s="450" t="s">
        <v>2330</v>
      </c>
      <c r="Y392" s="450"/>
      <c r="Z392" s="450"/>
      <c r="AB392" s="448" t="s">
        <v>2722</v>
      </c>
    </row>
    <row r="393" spans="21:28">
      <c r="U393" s="447">
        <v>66075</v>
      </c>
      <c r="V393" t="s">
        <v>2657</v>
      </c>
      <c r="W393" s="448"/>
      <c r="X393" t="s">
        <v>2372</v>
      </c>
      <c r="Y393" s="448"/>
      <c r="Z393" s="448"/>
      <c r="AB393" s="448" t="s">
        <v>2723</v>
      </c>
    </row>
    <row r="394" spans="21:28">
      <c r="U394" s="447">
        <v>66076</v>
      </c>
      <c r="V394" t="s">
        <v>2658</v>
      </c>
      <c r="W394" s="448"/>
      <c r="X394" t="s">
        <v>2409</v>
      </c>
      <c r="Y394" s="448"/>
      <c r="Z394" s="448"/>
      <c r="AB394" s="448" t="s">
        <v>2724</v>
      </c>
    </row>
    <row r="395" spans="21:28">
      <c r="U395" s="449">
        <v>66002</v>
      </c>
      <c r="V395" s="450" t="s">
        <v>2659</v>
      </c>
      <c r="W395" s="450"/>
      <c r="X395" s="450" t="s">
        <v>2338</v>
      </c>
      <c r="Y395" s="450"/>
      <c r="Z395" s="450"/>
      <c r="AB395" s="448" t="s">
        <v>2725</v>
      </c>
    </row>
    <row r="396" spans="21:28">
      <c r="U396" s="447">
        <v>67123</v>
      </c>
      <c r="V396" t="s">
        <v>2660</v>
      </c>
      <c r="W396" s="448"/>
      <c r="X396" t="s">
        <v>2326</v>
      </c>
      <c r="Y396" s="448"/>
      <c r="Z396" s="448"/>
      <c r="AB396" s="448" t="s">
        <v>2726</v>
      </c>
    </row>
    <row r="397" spans="21:28">
      <c r="U397" s="447">
        <v>66527</v>
      </c>
      <c r="V397" t="s">
        <v>2661</v>
      </c>
      <c r="W397" s="448"/>
      <c r="X397" t="s">
        <v>2469</v>
      </c>
      <c r="Y397" s="448"/>
      <c r="Z397" s="448"/>
      <c r="AB397" s="448" t="s">
        <v>2727</v>
      </c>
    </row>
    <row r="398" spans="21:28">
      <c r="U398" s="449">
        <v>66204</v>
      </c>
      <c r="V398" s="450" t="s">
        <v>2662</v>
      </c>
      <c r="W398" s="450" t="s">
        <v>1184</v>
      </c>
      <c r="X398" s="450" t="s">
        <v>2380</v>
      </c>
      <c r="Y398" s="450" t="s">
        <v>1184</v>
      </c>
      <c r="Z398" s="450"/>
      <c r="AB398" s="448" t="s">
        <v>2728</v>
      </c>
    </row>
    <row r="399" spans="21:28">
      <c r="U399" s="449">
        <v>66202</v>
      </c>
      <c r="V399" s="450" t="s">
        <v>2662</v>
      </c>
      <c r="W399" s="450" t="s">
        <v>1184</v>
      </c>
      <c r="X399" s="450" t="s">
        <v>2380</v>
      </c>
      <c r="Y399" s="450" t="s">
        <v>1184</v>
      </c>
      <c r="Z399" s="450"/>
      <c r="AB399" s="448" t="s">
        <v>2729</v>
      </c>
    </row>
    <row r="400" spans="21:28">
      <c r="U400" s="449">
        <v>66206</v>
      </c>
      <c r="V400" s="450" t="s">
        <v>2662</v>
      </c>
      <c r="W400" s="450" t="s">
        <v>1184</v>
      </c>
      <c r="X400" s="450" t="s">
        <v>2380</v>
      </c>
      <c r="Y400" s="450" t="s">
        <v>1184</v>
      </c>
      <c r="Z400" s="450"/>
      <c r="AB400" s="448" t="s">
        <v>2730</v>
      </c>
    </row>
    <row r="401" spans="21:28">
      <c r="U401" s="449">
        <v>66207</v>
      </c>
      <c r="V401" s="450" t="s">
        <v>2662</v>
      </c>
      <c r="W401" s="450" t="s">
        <v>1184</v>
      </c>
      <c r="X401" s="450" t="s">
        <v>2380</v>
      </c>
      <c r="Y401" s="450" t="s">
        <v>1184</v>
      </c>
      <c r="Z401" s="450"/>
      <c r="AB401" s="448" t="s">
        <v>2731</v>
      </c>
    </row>
    <row r="402" spans="21:28">
      <c r="U402" s="447">
        <v>66208</v>
      </c>
      <c r="V402" t="s">
        <v>2662</v>
      </c>
      <c r="W402" s="448" t="s">
        <v>1184</v>
      </c>
      <c r="X402" t="s">
        <v>2380</v>
      </c>
      <c r="Y402" s="448" t="s">
        <v>1184</v>
      </c>
      <c r="Z402" s="448"/>
      <c r="AB402" s="448" t="s">
        <v>2732</v>
      </c>
    </row>
    <row r="403" spans="21:28">
      <c r="U403" s="447">
        <v>66767</v>
      </c>
      <c r="V403" t="s">
        <v>2663</v>
      </c>
      <c r="W403" s="448"/>
      <c r="X403" t="s">
        <v>2372</v>
      </c>
      <c r="Y403" s="448"/>
      <c r="Z403" s="448"/>
      <c r="AB403" s="448" t="s">
        <v>2733</v>
      </c>
    </row>
    <row r="404" spans="21:28">
      <c r="U404" s="447">
        <v>67570</v>
      </c>
      <c r="V404" t="s">
        <v>2664</v>
      </c>
      <c r="W404" s="448"/>
      <c r="X404" t="s">
        <v>2309</v>
      </c>
      <c r="Y404" s="448"/>
      <c r="Z404" s="448"/>
      <c r="AB404" s="448" t="s">
        <v>2734</v>
      </c>
    </row>
    <row r="405" spans="21:28">
      <c r="U405" s="447">
        <v>66078</v>
      </c>
      <c r="V405" t="s">
        <v>723</v>
      </c>
      <c r="W405" s="448"/>
      <c r="X405" t="s">
        <v>2409</v>
      </c>
      <c r="Y405" s="448"/>
      <c r="Z405" s="448"/>
      <c r="AB405" s="448" t="s">
        <v>2735</v>
      </c>
    </row>
    <row r="406" spans="21:28">
      <c r="U406" s="447">
        <v>66528</v>
      </c>
      <c r="V406" t="s">
        <v>2665</v>
      </c>
      <c r="W406" s="448"/>
      <c r="X406" t="s">
        <v>2387</v>
      </c>
      <c r="Y406" s="448"/>
      <c r="Z406" s="448"/>
      <c r="AB406" s="448" t="s">
        <v>725</v>
      </c>
    </row>
    <row r="407" spans="21:28">
      <c r="U407" s="449">
        <v>66762</v>
      </c>
      <c r="V407" s="450" t="s">
        <v>2666</v>
      </c>
      <c r="W407" s="450"/>
      <c r="X407" s="450" t="s">
        <v>2330</v>
      </c>
      <c r="Y407" s="450"/>
      <c r="Z407" s="450"/>
      <c r="AB407" s="448" t="s">
        <v>2736</v>
      </c>
    </row>
    <row r="408" spans="21:28">
      <c r="U408" s="449">
        <v>67142</v>
      </c>
      <c r="V408" s="450" t="s">
        <v>2667</v>
      </c>
      <c r="W408" s="450"/>
      <c r="X408" s="450" t="s">
        <v>2358</v>
      </c>
      <c r="Y408" s="450"/>
      <c r="Z408" s="450"/>
      <c r="AB408" s="448" t="s">
        <v>2737</v>
      </c>
    </row>
    <row r="409" spans="21:28">
      <c r="U409" s="447">
        <v>67475</v>
      </c>
      <c r="V409" t="s">
        <v>2668</v>
      </c>
      <c r="W409" s="448"/>
      <c r="X409" t="s">
        <v>2328</v>
      </c>
      <c r="Y409" s="448"/>
      <c r="Z409" s="448"/>
      <c r="AB409" s="448" t="s">
        <v>726</v>
      </c>
    </row>
    <row r="410" spans="21:28">
      <c r="U410" s="447">
        <v>66554</v>
      </c>
      <c r="V410" t="s">
        <v>717</v>
      </c>
      <c r="W410" s="448"/>
      <c r="X410" t="s">
        <v>2561</v>
      </c>
      <c r="Y410" s="448"/>
      <c r="Z410" s="448"/>
      <c r="AB410" s="448" t="s">
        <v>2738</v>
      </c>
    </row>
    <row r="411" spans="21:28">
      <c r="U411" s="447">
        <v>66079</v>
      </c>
      <c r="V411" t="s">
        <v>2669</v>
      </c>
      <c r="W411" s="448"/>
      <c r="X411" t="s">
        <v>2409</v>
      </c>
      <c r="Y411" s="448"/>
      <c r="Z411" s="448"/>
      <c r="AB411" s="448" t="s">
        <v>2739</v>
      </c>
    </row>
    <row r="412" spans="21:28">
      <c r="U412" s="447">
        <v>66868</v>
      </c>
      <c r="V412" t="s">
        <v>2670</v>
      </c>
      <c r="W412" s="448"/>
      <c r="X412" t="s">
        <v>2315</v>
      </c>
      <c r="Y412" s="448"/>
      <c r="Z412" s="448"/>
      <c r="AB412" s="448" t="s">
        <v>2740</v>
      </c>
    </row>
    <row r="413" spans="21:28">
      <c r="U413" s="447">
        <v>66769</v>
      </c>
      <c r="V413" t="s">
        <v>2671</v>
      </c>
      <c r="W413" s="448"/>
      <c r="X413" t="s">
        <v>2331</v>
      </c>
      <c r="Y413" s="448"/>
      <c r="Z413" s="448"/>
      <c r="AB413" s="448" t="s">
        <v>2741</v>
      </c>
    </row>
    <row r="414" spans="21:28">
      <c r="U414" s="449">
        <v>66434</v>
      </c>
      <c r="V414" s="450" t="s">
        <v>2672</v>
      </c>
      <c r="W414" s="450"/>
      <c r="X414" s="450" t="s">
        <v>2469</v>
      </c>
      <c r="Y414" s="450"/>
      <c r="Z414" s="450"/>
      <c r="AB414" s="448" t="s">
        <v>2742</v>
      </c>
    </row>
    <row r="415" spans="21:28">
      <c r="U415" s="447">
        <v>66080</v>
      </c>
      <c r="V415" t="s">
        <v>724</v>
      </c>
      <c r="W415" s="448"/>
      <c r="X415" t="s">
        <v>2409</v>
      </c>
      <c r="Y415" s="448"/>
      <c r="Z415" s="448"/>
      <c r="AB415" s="448" t="s">
        <v>2743</v>
      </c>
    </row>
    <row r="416" spans="21:28">
      <c r="U416" s="447">
        <v>66531</v>
      </c>
      <c r="V416" t="s">
        <v>2673</v>
      </c>
      <c r="W416" s="448"/>
      <c r="X416" t="s">
        <v>2561</v>
      </c>
      <c r="Y416" s="448"/>
      <c r="Z416" s="448"/>
      <c r="AB416" s="448" t="s">
        <v>2744</v>
      </c>
    </row>
    <row r="417" spans="21:28">
      <c r="U417" s="447">
        <v>66532</v>
      </c>
      <c r="V417" t="s">
        <v>2674</v>
      </c>
      <c r="W417" s="448"/>
      <c r="X417" t="s">
        <v>2469</v>
      </c>
      <c r="Y417" s="448"/>
      <c r="Z417" s="448"/>
      <c r="AB417" s="448" t="s">
        <v>2745</v>
      </c>
    </row>
    <row r="418" spans="21:28">
      <c r="U418" s="447">
        <v>67131</v>
      </c>
      <c r="V418" t="s">
        <v>2675</v>
      </c>
      <c r="W418" s="448"/>
      <c r="X418" t="s">
        <v>2333</v>
      </c>
      <c r="Y418" s="448"/>
      <c r="Z418" s="448"/>
      <c r="AB418" s="448" t="s">
        <v>2746</v>
      </c>
    </row>
    <row r="419" spans="21:28">
      <c r="U419" s="449">
        <v>66202</v>
      </c>
      <c r="V419" s="450" t="s">
        <v>2676</v>
      </c>
      <c r="W419" s="450"/>
      <c r="X419" s="450" t="s">
        <v>2380</v>
      </c>
      <c r="Y419" s="450" t="s">
        <v>1184</v>
      </c>
      <c r="Z419" s="450"/>
      <c r="AB419" s="448" t="s">
        <v>2747</v>
      </c>
    </row>
    <row r="420" spans="21:28">
      <c r="U420" s="449">
        <v>66205</v>
      </c>
      <c r="V420" s="450" t="s">
        <v>2676</v>
      </c>
      <c r="W420" s="450"/>
      <c r="X420" s="450" t="s">
        <v>2380</v>
      </c>
      <c r="Y420" s="450" t="s">
        <v>1184</v>
      </c>
      <c r="Z420" s="450"/>
      <c r="AB420" s="448" t="s">
        <v>2748</v>
      </c>
    </row>
    <row r="421" spans="21:28">
      <c r="U421" s="447">
        <v>67132</v>
      </c>
      <c r="V421" t="s">
        <v>2677</v>
      </c>
      <c r="W421" s="448"/>
      <c r="X421" t="s">
        <v>2326</v>
      </c>
      <c r="Y421" s="448"/>
      <c r="Z421" s="448"/>
      <c r="AB421" s="448" t="s">
        <v>2749</v>
      </c>
    </row>
    <row r="422" spans="21:28">
      <c r="U422" s="447">
        <v>67133</v>
      </c>
      <c r="V422" t="s">
        <v>2678</v>
      </c>
      <c r="W422" s="448"/>
      <c r="X422" t="s">
        <v>2326</v>
      </c>
      <c r="Y422" s="448"/>
      <c r="Z422" s="448"/>
      <c r="AB422" s="448" t="s">
        <v>2750</v>
      </c>
    </row>
    <row r="423" spans="21:28">
      <c r="U423" s="447">
        <v>66533</v>
      </c>
      <c r="V423" t="s">
        <v>2679</v>
      </c>
      <c r="W423" s="448"/>
      <c r="X423" t="s">
        <v>2368</v>
      </c>
      <c r="Y423" s="448"/>
      <c r="Z423" s="448"/>
      <c r="AB423" s="448" t="s">
        <v>2751</v>
      </c>
    </row>
    <row r="424" spans="21:28">
      <c r="U424" s="447">
        <v>67476</v>
      </c>
      <c r="V424" t="s">
        <v>2680</v>
      </c>
      <c r="W424" s="448"/>
      <c r="X424" t="s">
        <v>2398</v>
      </c>
      <c r="Y424" s="448"/>
      <c r="Z424" s="448"/>
      <c r="AB424" s="448" t="s">
        <v>2752</v>
      </c>
    </row>
    <row r="425" spans="21:28">
      <c r="U425" s="447">
        <v>66534</v>
      </c>
      <c r="V425" t="s">
        <v>2681</v>
      </c>
      <c r="W425" s="448"/>
      <c r="X425" t="s">
        <v>2344</v>
      </c>
      <c r="Y425" s="448"/>
      <c r="Z425" s="448"/>
      <c r="AB425" s="448" t="s">
        <v>2753</v>
      </c>
    </row>
    <row r="426" spans="21:28">
      <c r="U426" s="447">
        <v>66535</v>
      </c>
      <c r="V426" t="s">
        <v>2682</v>
      </c>
      <c r="W426" s="448"/>
      <c r="X426" t="s">
        <v>2360</v>
      </c>
      <c r="Y426" s="448"/>
      <c r="Z426" s="448"/>
      <c r="AB426" s="448" t="s">
        <v>2754</v>
      </c>
    </row>
    <row r="427" spans="21:28">
      <c r="U427" s="447">
        <v>66536</v>
      </c>
      <c r="V427" t="s">
        <v>2683</v>
      </c>
      <c r="W427" s="448"/>
      <c r="X427" t="s">
        <v>2360</v>
      </c>
      <c r="Y427" s="448"/>
      <c r="Z427" s="448"/>
      <c r="AB427" s="448" t="s">
        <v>2755</v>
      </c>
    </row>
    <row r="428" spans="21:28">
      <c r="U428" s="447">
        <v>66771</v>
      </c>
      <c r="V428" t="s">
        <v>2684</v>
      </c>
      <c r="W428" s="448"/>
      <c r="X428" t="s">
        <v>2411</v>
      </c>
      <c r="Y428" s="448"/>
      <c r="Z428" s="448"/>
      <c r="AB428" s="448" t="s">
        <v>2756</v>
      </c>
    </row>
    <row r="429" spans="21:28">
      <c r="U429" s="447">
        <v>67401</v>
      </c>
      <c r="V429" t="s">
        <v>2685</v>
      </c>
      <c r="W429" s="448" t="s">
        <v>1184</v>
      </c>
      <c r="X429" t="s">
        <v>2337</v>
      </c>
      <c r="Y429" s="448"/>
      <c r="Z429" s="448"/>
      <c r="AB429" s="448" t="s">
        <v>2757</v>
      </c>
    </row>
    <row r="430" spans="21:28">
      <c r="U430" s="447">
        <v>66772</v>
      </c>
      <c r="V430" t="s">
        <v>2686</v>
      </c>
      <c r="W430" s="448"/>
      <c r="X430" t="s">
        <v>2402</v>
      </c>
      <c r="Y430" s="448"/>
      <c r="Z430" s="448"/>
      <c r="AB430" s="448" t="s">
        <v>2758</v>
      </c>
    </row>
    <row r="431" spans="21:28">
      <c r="U431" s="447">
        <v>66537</v>
      </c>
      <c r="V431" t="s">
        <v>2687</v>
      </c>
      <c r="W431" s="448"/>
      <c r="X431" t="s">
        <v>2387</v>
      </c>
      <c r="Y431" s="448"/>
      <c r="Z431" s="448"/>
      <c r="AB431" s="448" t="s">
        <v>2759</v>
      </c>
    </row>
    <row r="432" spans="21:28">
      <c r="U432" s="447">
        <v>67135</v>
      </c>
      <c r="V432" t="s">
        <v>2688</v>
      </c>
      <c r="W432" s="448"/>
      <c r="X432" t="s">
        <v>2392</v>
      </c>
      <c r="Y432" s="448"/>
      <c r="Z432" s="448"/>
      <c r="AB432" s="448" t="s">
        <v>2760</v>
      </c>
    </row>
    <row r="433" spans="21:26">
      <c r="U433" s="447">
        <v>66538</v>
      </c>
      <c r="V433" t="s">
        <v>2689</v>
      </c>
      <c r="W433" s="448"/>
      <c r="X433" t="s">
        <v>2344</v>
      </c>
      <c r="Y433" s="448"/>
      <c r="Z433" s="448"/>
    </row>
    <row r="434" spans="21:26">
      <c r="U434" s="449">
        <v>66087</v>
      </c>
      <c r="V434" s="450" t="s">
        <v>2690</v>
      </c>
      <c r="W434" s="450"/>
      <c r="X434" s="450" t="s">
        <v>2362</v>
      </c>
      <c r="Y434" s="450"/>
      <c r="Z434" s="450"/>
    </row>
    <row r="435" spans="21:26">
      <c r="U435" s="447">
        <v>67137</v>
      </c>
      <c r="V435" t="s">
        <v>2691</v>
      </c>
      <c r="W435" s="448"/>
      <c r="X435" t="s">
        <v>2423</v>
      </c>
      <c r="Y435" s="448"/>
      <c r="Z435" s="448"/>
    </row>
    <row r="436" spans="21:26">
      <c r="U436" s="447">
        <v>66203</v>
      </c>
      <c r="V436" t="s">
        <v>2692</v>
      </c>
      <c r="W436" s="448" t="s">
        <v>1184</v>
      </c>
      <c r="X436" t="s">
        <v>2380</v>
      </c>
      <c r="Y436" s="448" t="s">
        <v>1184</v>
      </c>
      <c r="Z436" s="448"/>
    </row>
    <row r="437" spans="21:26">
      <c r="U437" s="449">
        <v>66214</v>
      </c>
      <c r="V437" s="450" t="s">
        <v>2692</v>
      </c>
      <c r="W437" s="450" t="s">
        <v>1184</v>
      </c>
      <c r="X437" s="450" t="s">
        <v>2380</v>
      </c>
      <c r="Y437" s="450" t="s">
        <v>1184</v>
      </c>
      <c r="Z437" s="450"/>
    </row>
    <row r="438" spans="21:26">
      <c r="U438" s="447">
        <v>66216</v>
      </c>
      <c r="V438" t="s">
        <v>2692</v>
      </c>
      <c r="W438" s="448" t="s">
        <v>1184</v>
      </c>
      <c r="X438" t="s">
        <v>2380</v>
      </c>
      <c r="Y438" s="448" t="s">
        <v>1184</v>
      </c>
      <c r="Z438" s="448"/>
    </row>
    <row r="439" spans="21:26">
      <c r="U439" s="447">
        <v>66217</v>
      </c>
      <c r="V439" t="s">
        <v>2692</v>
      </c>
      <c r="W439" s="448" t="s">
        <v>1184</v>
      </c>
      <c r="X439" t="s">
        <v>2380</v>
      </c>
      <c r="Y439" s="448" t="s">
        <v>1184</v>
      </c>
      <c r="Z439" s="448"/>
    </row>
    <row r="440" spans="21:26">
      <c r="U440" s="447">
        <v>66218</v>
      </c>
      <c r="V440" t="s">
        <v>2692</v>
      </c>
      <c r="W440" s="448" t="s">
        <v>1184</v>
      </c>
      <c r="X440" t="s">
        <v>2380</v>
      </c>
      <c r="Y440" s="448" t="s">
        <v>1184</v>
      </c>
      <c r="Z440" s="448"/>
    </row>
    <row r="441" spans="21:26">
      <c r="U441" s="449">
        <v>66219</v>
      </c>
      <c r="V441" s="450" t="s">
        <v>2692</v>
      </c>
      <c r="W441" s="450" t="s">
        <v>1184</v>
      </c>
      <c r="X441" s="450" t="s">
        <v>2380</v>
      </c>
      <c r="Y441" s="450" t="s">
        <v>1184</v>
      </c>
      <c r="Z441" s="450"/>
    </row>
    <row r="442" spans="21:26">
      <c r="U442" s="449">
        <v>66220</v>
      </c>
      <c r="V442" s="450" t="s">
        <v>2692</v>
      </c>
      <c r="W442" s="450" t="s">
        <v>1184</v>
      </c>
      <c r="X442" s="450" t="s">
        <v>2380</v>
      </c>
      <c r="Y442" s="450" t="s">
        <v>1184</v>
      </c>
      <c r="Z442" s="450"/>
    </row>
    <row r="443" spans="21:26">
      <c r="U443" s="447">
        <v>66226</v>
      </c>
      <c r="V443" t="s">
        <v>2692</v>
      </c>
      <c r="W443" s="448" t="s">
        <v>1184</v>
      </c>
      <c r="X443" t="s">
        <v>2380</v>
      </c>
      <c r="Y443" s="448" t="s">
        <v>1184</v>
      </c>
      <c r="Z443" s="448"/>
    </row>
    <row r="444" spans="21:26">
      <c r="U444" s="449">
        <v>66227</v>
      </c>
      <c r="V444" s="450" t="s">
        <v>2692</v>
      </c>
      <c r="W444" s="450" t="s">
        <v>1184</v>
      </c>
      <c r="X444" s="450" t="s">
        <v>2380</v>
      </c>
      <c r="Y444" s="450" t="s">
        <v>1184</v>
      </c>
      <c r="Z444" s="450"/>
    </row>
    <row r="445" spans="21:26">
      <c r="U445" s="447">
        <v>66286</v>
      </c>
      <c r="V445" t="s">
        <v>2692</v>
      </c>
      <c r="W445" s="448" t="s">
        <v>1184</v>
      </c>
      <c r="X445" t="s">
        <v>2380</v>
      </c>
      <c r="Y445" s="448" t="s">
        <v>1184</v>
      </c>
      <c r="Z445" s="448"/>
    </row>
    <row r="446" spans="21:26">
      <c r="U446" s="449">
        <v>66201</v>
      </c>
      <c r="V446" s="450" t="s">
        <v>2693</v>
      </c>
      <c r="W446" s="450"/>
      <c r="X446" s="450" t="s">
        <v>2380</v>
      </c>
      <c r="Y446" s="450" t="s">
        <v>1184</v>
      </c>
      <c r="Z446" s="450"/>
    </row>
    <row r="447" spans="21:26">
      <c r="U447" s="449">
        <v>66202</v>
      </c>
      <c r="V447" s="450" t="s">
        <v>2693</v>
      </c>
      <c r="W447" s="450"/>
      <c r="X447" s="450" t="s">
        <v>2380</v>
      </c>
      <c r="Y447" s="450" t="s">
        <v>1184</v>
      </c>
      <c r="Z447" s="450"/>
    </row>
    <row r="448" spans="21:26">
      <c r="U448" s="449">
        <v>66203</v>
      </c>
      <c r="V448" s="450" t="s">
        <v>2693</v>
      </c>
      <c r="W448" s="450"/>
      <c r="X448" s="450" t="s">
        <v>2380</v>
      </c>
      <c r="Y448" s="450" t="s">
        <v>1184</v>
      </c>
      <c r="Z448" s="450"/>
    </row>
    <row r="449" spans="21:26">
      <c r="U449" s="449">
        <v>66204</v>
      </c>
      <c r="V449" s="450" t="s">
        <v>2693</v>
      </c>
      <c r="W449" s="450"/>
      <c r="X449" s="450" t="s">
        <v>2380</v>
      </c>
      <c r="Y449" s="450" t="s">
        <v>1184</v>
      </c>
      <c r="Z449" s="450"/>
    </row>
    <row r="450" spans="21:26">
      <c r="U450" s="449">
        <v>66205</v>
      </c>
      <c r="V450" s="450" t="s">
        <v>2693</v>
      </c>
      <c r="W450" s="450"/>
      <c r="X450" s="450" t="s">
        <v>2380</v>
      </c>
      <c r="Y450" s="450" t="s">
        <v>1184</v>
      </c>
      <c r="Z450" s="450"/>
    </row>
    <row r="451" spans="21:26">
      <c r="U451" s="449">
        <v>66206</v>
      </c>
      <c r="V451" s="450" t="s">
        <v>2693</v>
      </c>
      <c r="W451" s="450"/>
      <c r="X451" s="450" t="s">
        <v>2380</v>
      </c>
      <c r="Y451" s="450" t="s">
        <v>1184</v>
      </c>
      <c r="Z451" s="450"/>
    </row>
    <row r="452" spans="21:26">
      <c r="U452" s="449">
        <v>66207</v>
      </c>
      <c r="V452" s="450" t="s">
        <v>2693</v>
      </c>
      <c r="W452" s="450"/>
      <c r="X452" s="450" t="s">
        <v>2380</v>
      </c>
      <c r="Y452" s="450" t="s">
        <v>1184</v>
      </c>
      <c r="Z452" s="450"/>
    </row>
    <row r="453" spans="21:26">
      <c r="U453" s="449">
        <v>66208</v>
      </c>
      <c r="V453" s="450" t="s">
        <v>2693</v>
      </c>
      <c r="W453" s="450"/>
      <c r="X453" s="450" t="s">
        <v>2380</v>
      </c>
      <c r="Y453" s="450" t="s">
        <v>1184</v>
      </c>
      <c r="Z453" s="450"/>
    </row>
    <row r="454" spans="21:26">
      <c r="U454" s="449">
        <v>66209</v>
      </c>
      <c r="V454" s="450" t="s">
        <v>2693</v>
      </c>
      <c r="W454" s="450"/>
      <c r="X454" s="450" t="s">
        <v>2380</v>
      </c>
      <c r="Y454" s="450" t="s">
        <v>1184</v>
      </c>
      <c r="Z454" s="450"/>
    </row>
    <row r="455" spans="21:26">
      <c r="U455" s="449">
        <v>66210</v>
      </c>
      <c r="V455" s="450" t="s">
        <v>2693</v>
      </c>
      <c r="W455" s="450"/>
      <c r="X455" s="450" t="s">
        <v>2380</v>
      </c>
      <c r="Y455" s="450" t="s">
        <v>1184</v>
      </c>
      <c r="Z455" s="450"/>
    </row>
    <row r="456" spans="21:26">
      <c r="U456" s="449">
        <v>66211</v>
      </c>
      <c r="V456" s="450" t="s">
        <v>2693</v>
      </c>
      <c r="W456" s="450"/>
      <c r="X456" s="450" t="s">
        <v>2380</v>
      </c>
      <c r="Y456" s="450" t="s">
        <v>1184</v>
      </c>
      <c r="Z456" s="450"/>
    </row>
    <row r="457" spans="21:26">
      <c r="U457" s="449">
        <v>66212</v>
      </c>
      <c r="V457" s="450" t="s">
        <v>2693</v>
      </c>
      <c r="W457" s="450"/>
      <c r="X457" s="450" t="s">
        <v>2380</v>
      </c>
      <c r="Y457" s="450" t="s">
        <v>1184</v>
      </c>
      <c r="Z457" s="450"/>
    </row>
    <row r="458" spans="21:26">
      <c r="U458" s="449">
        <v>66213</v>
      </c>
      <c r="V458" s="450" t="s">
        <v>2693</v>
      </c>
      <c r="W458" s="450"/>
      <c r="X458" s="450" t="s">
        <v>2380</v>
      </c>
      <c r="Y458" s="450" t="s">
        <v>1184</v>
      </c>
      <c r="Z458" s="450"/>
    </row>
    <row r="459" spans="21:26">
      <c r="U459" s="449">
        <v>66214</v>
      </c>
      <c r="V459" s="450" t="s">
        <v>2693</v>
      </c>
      <c r="W459" s="450"/>
      <c r="X459" s="450" t="s">
        <v>2380</v>
      </c>
      <c r="Y459" s="450" t="s">
        <v>1184</v>
      </c>
      <c r="Z459" s="450"/>
    </row>
    <row r="460" spans="21:26">
      <c r="U460" s="449">
        <v>66215</v>
      </c>
      <c r="V460" s="450" t="s">
        <v>2693</v>
      </c>
      <c r="W460" s="450"/>
      <c r="X460" s="450" t="s">
        <v>2380</v>
      </c>
      <c r="Y460" s="450" t="s">
        <v>1184</v>
      </c>
      <c r="Z460" s="450"/>
    </row>
    <row r="461" spans="21:26">
      <c r="U461" s="449">
        <v>66216</v>
      </c>
      <c r="V461" s="450" t="s">
        <v>2693</v>
      </c>
      <c r="W461" s="450"/>
      <c r="X461" s="450" t="s">
        <v>2380</v>
      </c>
      <c r="Y461" s="450" t="s">
        <v>1184</v>
      </c>
      <c r="Z461" s="450"/>
    </row>
    <row r="462" spans="21:26">
      <c r="U462" s="449">
        <v>66217</v>
      </c>
      <c r="V462" s="450" t="s">
        <v>2693</v>
      </c>
      <c r="W462" s="450"/>
      <c r="X462" s="450" t="s">
        <v>2380</v>
      </c>
      <c r="Y462" s="450" t="s">
        <v>1184</v>
      </c>
      <c r="Z462" s="450"/>
    </row>
    <row r="463" spans="21:26">
      <c r="U463" s="449">
        <v>66218</v>
      </c>
      <c r="V463" s="450" t="s">
        <v>2693</v>
      </c>
      <c r="W463" s="450"/>
      <c r="X463" s="450" t="s">
        <v>2380</v>
      </c>
      <c r="Y463" s="450" t="s">
        <v>1184</v>
      </c>
      <c r="Z463" s="450"/>
    </row>
    <row r="464" spans="21:26">
      <c r="U464" s="449">
        <v>66219</v>
      </c>
      <c r="V464" s="450" t="s">
        <v>2693</v>
      </c>
      <c r="W464" s="450"/>
      <c r="X464" s="450" t="s">
        <v>2380</v>
      </c>
      <c r="Y464" s="450" t="s">
        <v>1184</v>
      </c>
      <c r="Z464" s="450"/>
    </row>
    <row r="465" spans="21:26">
      <c r="U465" s="449">
        <v>66220</v>
      </c>
      <c r="V465" s="450" t="s">
        <v>2693</v>
      </c>
      <c r="W465" s="450"/>
      <c r="X465" s="450" t="s">
        <v>2380</v>
      </c>
      <c r="Y465" s="450" t="s">
        <v>1184</v>
      </c>
      <c r="Z465" s="450"/>
    </row>
    <row r="466" spans="21:26">
      <c r="U466" s="449">
        <v>66221</v>
      </c>
      <c r="V466" s="450" t="s">
        <v>2693</v>
      </c>
      <c r="W466" s="450"/>
      <c r="X466" s="450" t="s">
        <v>2380</v>
      </c>
      <c r="Y466" s="450" t="s">
        <v>1184</v>
      </c>
      <c r="Z466" s="450"/>
    </row>
    <row r="467" spans="21:26">
      <c r="U467" s="449">
        <v>66222</v>
      </c>
      <c r="V467" s="450" t="s">
        <v>2693</v>
      </c>
      <c r="W467" s="450"/>
      <c r="X467" s="450" t="s">
        <v>2380</v>
      </c>
      <c r="Y467" s="450" t="s">
        <v>1184</v>
      </c>
      <c r="Z467" s="450"/>
    </row>
    <row r="468" spans="21:26">
      <c r="U468" s="449">
        <v>66223</v>
      </c>
      <c r="V468" s="450" t="s">
        <v>2693</v>
      </c>
      <c r="W468" s="450"/>
      <c r="X468" s="450" t="s">
        <v>2380</v>
      </c>
      <c r="Y468" s="450" t="s">
        <v>1184</v>
      </c>
      <c r="Z468" s="450"/>
    </row>
    <row r="469" spans="21:26">
      <c r="U469" s="449">
        <v>66224</v>
      </c>
      <c r="V469" s="450" t="s">
        <v>2693</v>
      </c>
      <c r="W469" s="450"/>
      <c r="X469" s="450" t="s">
        <v>2380</v>
      </c>
      <c r="Y469" s="450" t="s">
        <v>1184</v>
      </c>
      <c r="Z469" s="450"/>
    </row>
    <row r="470" spans="21:26">
      <c r="U470" s="449">
        <v>66225</v>
      </c>
      <c r="V470" s="450" t="s">
        <v>2693</v>
      </c>
      <c r="W470" s="450"/>
      <c r="X470" s="450" t="s">
        <v>2380</v>
      </c>
      <c r="Y470" s="450" t="s">
        <v>1184</v>
      </c>
      <c r="Z470" s="450"/>
    </row>
    <row r="471" spans="21:26">
      <c r="U471" s="449">
        <v>66226</v>
      </c>
      <c r="V471" s="450" t="s">
        <v>2693</v>
      </c>
      <c r="W471" s="450"/>
      <c r="X471" s="450" t="s">
        <v>2380</v>
      </c>
      <c r="Y471" s="450" t="s">
        <v>1184</v>
      </c>
      <c r="Z471" s="450"/>
    </row>
    <row r="472" spans="21:26">
      <c r="U472" s="449">
        <v>66227</v>
      </c>
      <c r="V472" s="450" t="s">
        <v>2693</v>
      </c>
      <c r="W472" s="450"/>
      <c r="X472" s="450" t="s">
        <v>2380</v>
      </c>
      <c r="Y472" s="450" t="s">
        <v>1184</v>
      </c>
      <c r="Z472" s="450"/>
    </row>
    <row r="473" spans="21:26">
      <c r="U473" s="449">
        <v>66283</v>
      </c>
      <c r="V473" s="450" t="s">
        <v>2693</v>
      </c>
      <c r="W473" s="450"/>
      <c r="X473" s="450" t="s">
        <v>2380</v>
      </c>
      <c r="Y473" s="450" t="s">
        <v>1184</v>
      </c>
      <c r="Z473" s="450"/>
    </row>
    <row r="474" spans="21:26">
      <c r="U474" s="449">
        <v>66285</v>
      </c>
      <c r="V474" s="450" t="s">
        <v>2693</v>
      </c>
      <c r="W474" s="450"/>
      <c r="X474" s="450" t="s">
        <v>2380</v>
      </c>
      <c r="Y474" s="450" t="s">
        <v>1184</v>
      </c>
      <c r="Z474" s="450"/>
    </row>
    <row r="475" spans="21:26">
      <c r="U475" s="449">
        <v>66286</v>
      </c>
      <c r="V475" s="450" t="s">
        <v>2693</v>
      </c>
      <c r="W475" s="450"/>
      <c r="X475" s="450" t="s">
        <v>2380</v>
      </c>
      <c r="Y475" s="450" t="s">
        <v>1184</v>
      </c>
      <c r="Z475" s="450"/>
    </row>
    <row r="476" spans="21:26">
      <c r="U476" s="447">
        <v>66539</v>
      </c>
      <c r="V476" t="s">
        <v>2694</v>
      </c>
      <c r="W476" s="448"/>
      <c r="X476" t="s">
        <v>2368</v>
      </c>
      <c r="Y476" s="448"/>
      <c r="Z476" s="448"/>
    </row>
    <row r="477" spans="21:26">
      <c r="U477" s="449">
        <v>67456</v>
      </c>
      <c r="V477" s="450" t="s">
        <v>2695</v>
      </c>
      <c r="W477" s="450"/>
      <c r="X477" s="450" t="s">
        <v>2398</v>
      </c>
      <c r="Y477" s="450"/>
      <c r="Z477" s="450"/>
    </row>
    <row r="478" spans="21:26">
      <c r="U478" s="447">
        <v>66540</v>
      </c>
      <c r="V478" t="s">
        <v>2696</v>
      </c>
      <c r="W478" s="448"/>
      <c r="X478" t="s">
        <v>2417</v>
      </c>
      <c r="Y478" s="448"/>
      <c r="Z478" s="448"/>
    </row>
    <row r="479" spans="21:26">
      <c r="U479" s="447">
        <v>67480</v>
      </c>
      <c r="V479" t="s">
        <v>2697</v>
      </c>
      <c r="W479" s="448"/>
      <c r="X479" t="s">
        <v>2311</v>
      </c>
      <c r="Y479" s="448"/>
      <c r="Z479" s="448"/>
    </row>
    <row r="480" spans="21:26">
      <c r="U480" s="447">
        <v>67505</v>
      </c>
      <c r="V480" t="s">
        <v>2698</v>
      </c>
      <c r="W480" s="448"/>
      <c r="X480" t="s">
        <v>2309</v>
      </c>
      <c r="Y480" s="448"/>
      <c r="Z480" s="448"/>
    </row>
    <row r="481" spans="21:26">
      <c r="U481" s="447">
        <v>67142</v>
      </c>
      <c r="V481" t="s">
        <v>2699</v>
      </c>
      <c r="W481" s="448"/>
      <c r="X481" t="s">
        <v>2358</v>
      </c>
      <c r="Y481" s="448"/>
      <c r="Z481" s="448"/>
    </row>
    <row r="482" spans="21:26">
      <c r="U482" s="447">
        <v>66083</v>
      </c>
      <c r="V482" t="s">
        <v>2700</v>
      </c>
      <c r="W482" s="448"/>
      <c r="X482" t="s">
        <v>2380</v>
      </c>
      <c r="Y482" s="448" t="s">
        <v>1184</v>
      </c>
      <c r="Z482" s="448"/>
    </row>
    <row r="483" spans="21:26">
      <c r="U483" s="449">
        <v>66538</v>
      </c>
      <c r="V483" s="450" t="s">
        <v>2701</v>
      </c>
      <c r="W483" s="450"/>
      <c r="X483" s="450" t="s">
        <v>2344</v>
      </c>
      <c r="Y483" s="450"/>
      <c r="Z483" s="450"/>
    </row>
    <row r="484" spans="21:26">
      <c r="U484" s="449">
        <v>66221</v>
      </c>
      <c r="V484" s="450" t="s">
        <v>2702</v>
      </c>
      <c r="W484" s="450"/>
      <c r="X484" s="450" t="s">
        <v>2380</v>
      </c>
      <c r="Y484" s="450" t="s">
        <v>1184</v>
      </c>
      <c r="Z484" s="450"/>
    </row>
    <row r="485" spans="21:26">
      <c r="U485" s="449">
        <v>66223</v>
      </c>
      <c r="V485" s="450" t="s">
        <v>2702</v>
      </c>
      <c r="W485" s="450"/>
      <c r="X485" s="450" t="s">
        <v>2380</v>
      </c>
      <c r="Y485" s="450" t="s">
        <v>1184</v>
      </c>
      <c r="Z485" s="450"/>
    </row>
    <row r="486" spans="21:26">
      <c r="U486" s="449">
        <v>66224</v>
      </c>
      <c r="V486" s="450" t="s">
        <v>2702</v>
      </c>
      <c r="W486" s="450"/>
      <c r="X486" s="450" t="s">
        <v>2380</v>
      </c>
      <c r="Y486" s="450" t="s">
        <v>1184</v>
      </c>
      <c r="Z486" s="450"/>
    </row>
    <row r="487" spans="21:26">
      <c r="U487" s="447">
        <v>66775</v>
      </c>
      <c r="V487" t="s">
        <v>2703</v>
      </c>
      <c r="W487" s="448"/>
      <c r="X487" t="s">
        <v>2411</v>
      </c>
      <c r="Y487" s="448"/>
      <c r="Z487" s="448"/>
    </row>
    <row r="488" spans="21:26">
      <c r="U488" s="447">
        <v>67579</v>
      </c>
      <c r="V488" t="s">
        <v>2704</v>
      </c>
      <c r="W488" s="448"/>
      <c r="X488" t="s">
        <v>2705</v>
      </c>
      <c r="Y488" s="448"/>
      <c r="Z488" s="448"/>
    </row>
    <row r="489" spans="21:26">
      <c r="U489" s="449">
        <v>66013</v>
      </c>
      <c r="V489" s="450" t="s">
        <v>2706</v>
      </c>
      <c r="W489" s="450"/>
      <c r="X489" s="450" t="s">
        <v>2380</v>
      </c>
      <c r="Y489" s="450" t="s">
        <v>1184</v>
      </c>
      <c r="Z489" s="450"/>
    </row>
    <row r="490" spans="21:26">
      <c r="U490" s="447">
        <v>66085</v>
      </c>
      <c r="V490" t="s">
        <v>2706</v>
      </c>
      <c r="W490" s="448"/>
      <c r="X490" t="s">
        <v>2380</v>
      </c>
      <c r="Y490" s="448" t="s">
        <v>1184</v>
      </c>
      <c r="Z490" s="448"/>
    </row>
    <row r="491" spans="21:26">
      <c r="U491" s="447">
        <v>66869</v>
      </c>
      <c r="V491" t="s">
        <v>2707</v>
      </c>
      <c r="W491" s="448"/>
      <c r="X491" t="s">
        <v>2405</v>
      </c>
      <c r="Y491" s="448"/>
      <c r="Z491" s="448"/>
    </row>
    <row r="492" spans="21:26">
      <c r="U492" s="447">
        <v>66541</v>
      </c>
      <c r="V492" t="s">
        <v>2708</v>
      </c>
      <c r="W492" s="448"/>
      <c r="X492" t="s">
        <v>2342</v>
      </c>
      <c r="Y492" s="448"/>
      <c r="Z492" s="448"/>
    </row>
    <row r="493" spans="21:26">
      <c r="U493" s="447">
        <v>67363</v>
      </c>
      <c r="V493" t="s">
        <v>2709</v>
      </c>
      <c r="W493" s="448"/>
      <c r="X493" t="s">
        <v>2396</v>
      </c>
      <c r="Y493" s="448"/>
      <c r="Z493" s="448"/>
    </row>
    <row r="494" spans="21:26">
      <c r="U494" s="447">
        <v>67482</v>
      </c>
      <c r="V494" t="s">
        <v>2710</v>
      </c>
      <c r="W494" s="448"/>
      <c r="X494" t="s">
        <v>2311</v>
      </c>
      <c r="Y494" s="448"/>
      <c r="Z494" s="448"/>
    </row>
    <row r="495" spans="21:26">
      <c r="U495" s="447">
        <v>67483</v>
      </c>
      <c r="V495" t="s">
        <v>2711</v>
      </c>
      <c r="W495" s="448"/>
      <c r="X495" t="s">
        <v>2328</v>
      </c>
      <c r="Y495" s="448"/>
      <c r="Z495" s="448"/>
    </row>
    <row r="496" spans="21:26">
      <c r="U496" s="447">
        <v>66542</v>
      </c>
      <c r="V496" t="s">
        <v>2712</v>
      </c>
      <c r="W496" s="448"/>
      <c r="X496" t="s">
        <v>2368</v>
      </c>
      <c r="Y496" s="448"/>
      <c r="Z496" s="448"/>
    </row>
    <row r="497" spans="21:26">
      <c r="U497" s="447">
        <v>67484</v>
      </c>
      <c r="V497" t="s">
        <v>2713</v>
      </c>
      <c r="W497" s="448"/>
      <c r="X497" t="s">
        <v>2313</v>
      </c>
      <c r="Y497" s="448"/>
      <c r="Z497" s="448"/>
    </row>
    <row r="498" spans="21:26">
      <c r="U498" s="447">
        <v>66776</v>
      </c>
      <c r="V498" t="s">
        <v>2714</v>
      </c>
      <c r="W498" s="448"/>
      <c r="X498" t="s">
        <v>2411</v>
      </c>
      <c r="Y498" s="448"/>
      <c r="Z498" s="448"/>
    </row>
    <row r="499" spans="21:26">
      <c r="U499" s="447">
        <v>66086</v>
      </c>
      <c r="V499" t="s">
        <v>2715</v>
      </c>
      <c r="W499" s="448"/>
      <c r="X499" t="s">
        <v>2350</v>
      </c>
      <c r="Y499" s="448"/>
      <c r="Z499" s="448"/>
    </row>
    <row r="500" spans="21:26">
      <c r="U500" s="447">
        <v>66601</v>
      </c>
      <c r="V500" t="s">
        <v>2716</v>
      </c>
      <c r="W500" s="448" t="s">
        <v>2176</v>
      </c>
      <c r="X500" t="s">
        <v>2368</v>
      </c>
      <c r="Y500" s="448"/>
      <c r="Z500" s="448"/>
    </row>
    <row r="501" spans="21:26">
      <c r="U501" s="447">
        <v>66603</v>
      </c>
      <c r="V501" t="s">
        <v>2716</v>
      </c>
      <c r="W501" s="448" t="s">
        <v>2176</v>
      </c>
      <c r="X501" t="s">
        <v>2368</v>
      </c>
      <c r="Y501" s="448"/>
      <c r="Z501" s="448"/>
    </row>
    <row r="502" spans="21:26">
      <c r="U502" s="447">
        <v>66604</v>
      </c>
      <c r="V502" t="s">
        <v>2716</v>
      </c>
      <c r="W502" s="448" t="s">
        <v>2176</v>
      </c>
      <c r="X502" t="s">
        <v>2368</v>
      </c>
      <c r="Y502" s="448"/>
      <c r="Z502" s="448"/>
    </row>
    <row r="503" spans="21:26">
      <c r="U503" s="447">
        <v>66605</v>
      </c>
      <c r="V503" t="s">
        <v>2716</v>
      </c>
      <c r="W503" s="448" t="s">
        <v>2176</v>
      </c>
      <c r="X503" t="s">
        <v>2368</v>
      </c>
      <c r="Y503" s="448"/>
      <c r="Z503" s="448"/>
    </row>
    <row r="504" spans="21:26">
      <c r="U504" s="447">
        <v>66606</v>
      </c>
      <c r="V504" t="s">
        <v>2716</v>
      </c>
      <c r="W504" s="448" t="s">
        <v>2176</v>
      </c>
      <c r="X504" t="s">
        <v>2368</v>
      </c>
      <c r="Y504" s="448"/>
      <c r="Z504" s="448"/>
    </row>
    <row r="505" spans="21:26">
      <c r="U505" s="447">
        <v>66607</v>
      </c>
      <c r="V505" t="s">
        <v>2716</v>
      </c>
      <c r="W505" s="448" t="s">
        <v>2176</v>
      </c>
      <c r="X505" t="s">
        <v>2368</v>
      </c>
      <c r="Y505" s="448"/>
      <c r="Z505" s="448"/>
    </row>
    <row r="506" spans="21:26">
      <c r="U506" s="447">
        <v>66608</v>
      </c>
      <c r="V506" t="s">
        <v>2716</v>
      </c>
      <c r="W506" s="448" t="s">
        <v>2176</v>
      </c>
      <c r="X506" t="s">
        <v>2368</v>
      </c>
      <c r="Y506" s="448"/>
      <c r="Z506" s="448"/>
    </row>
    <row r="507" spans="21:26">
      <c r="U507" s="447">
        <v>66609</v>
      </c>
      <c r="V507" t="s">
        <v>2716</v>
      </c>
      <c r="W507" s="448" t="s">
        <v>2176</v>
      </c>
      <c r="X507" t="s">
        <v>2368</v>
      </c>
      <c r="Y507" s="448"/>
      <c r="Z507" s="448"/>
    </row>
    <row r="508" spans="21:26">
      <c r="U508" s="447">
        <v>66610</v>
      </c>
      <c r="V508" t="s">
        <v>2716</v>
      </c>
      <c r="W508" s="448" t="s">
        <v>2176</v>
      </c>
      <c r="X508" t="s">
        <v>2368</v>
      </c>
      <c r="Y508" s="448"/>
      <c r="Z508" s="448"/>
    </row>
    <row r="509" spans="21:26">
      <c r="U509" s="447">
        <v>66611</v>
      </c>
      <c r="V509" t="s">
        <v>2716</v>
      </c>
      <c r="W509" s="448" t="s">
        <v>2176</v>
      </c>
      <c r="X509" t="s">
        <v>2368</v>
      </c>
      <c r="Y509" s="448"/>
      <c r="Z509" s="448"/>
    </row>
    <row r="510" spans="21:26">
      <c r="U510" s="447">
        <v>66612</v>
      </c>
      <c r="V510" t="s">
        <v>2716</v>
      </c>
      <c r="W510" s="448" t="s">
        <v>2176</v>
      </c>
      <c r="X510" t="s">
        <v>2368</v>
      </c>
      <c r="Y510" s="448"/>
      <c r="Z510" s="448"/>
    </row>
    <row r="511" spans="21:26">
      <c r="U511" s="447">
        <v>66614</v>
      </c>
      <c r="V511" t="s">
        <v>2716</v>
      </c>
      <c r="W511" s="448" t="s">
        <v>2176</v>
      </c>
      <c r="X511" t="s">
        <v>2368</v>
      </c>
      <c r="Y511" s="448"/>
      <c r="Z511" s="448"/>
    </row>
    <row r="512" spans="21:26">
      <c r="U512" s="447">
        <v>66615</v>
      </c>
      <c r="V512" t="s">
        <v>2716</v>
      </c>
      <c r="W512" s="448" t="s">
        <v>2176</v>
      </c>
      <c r="X512" t="s">
        <v>2368</v>
      </c>
      <c r="Y512" s="448"/>
      <c r="Z512" s="448"/>
    </row>
    <row r="513" spans="21:26">
      <c r="U513" s="447">
        <v>66616</v>
      </c>
      <c r="V513" t="s">
        <v>2716</v>
      </c>
      <c r="W513" s="448" t="s">
        <v>2176</v>
      </c>
      <c r="X513" t="s">
        <v>2368</v>
      </c>
      <c r="Y513" s="448"/>
      <c r="Z513" s="448"/>
    </row>
    <row r="514" spans="21:26">
      <c r="U514" s="447">
        <v>66617</v>
      </c>
      <c r="V514" t="s">
        <v>2716</v>
      </c>
      <c r="W514" s="448" t="s">
        <v>2176</v>
      </c>
      <c r="X514" t="s">
        <v>2368</v>
      </c>
      <c r="Y514" s="448"/>
      <c r="Z514" s="448"/>
    </row>
    <row r="515" spans="21:26">
      <c r="U515" s="447">
        <v>66618</v>
      </c>
      <c r="V515" t="s">
        <v>2716</v>
      </c>
      <c r="W515" s="448" t="s">
        <v>2176</v>
      </c>
      <c r="X515" t="s">
        <v>2368</v>
      </c>
      <c r="Y515" s="448"/>
      <c r="Z515" s="448"/>
    </row>
    <row r="516" spans="21:26">
      <c r="U516" s="447">
        <v>66619</v>
      </c>
      <c r="V516" t="s">
        <v>2716</v>
      </c>
      <c r="W516" s="448" t="s">
        <v>2176</v>
      </c>
      <c r="X516" t="s">
        <v>2368</v>
      </c>
      <c r="Y516" s="448"/>
      <c r="Z516" s="448"/>
    </row>
    <row r="517" spans="21:26">
      <c r="U517" s="447">
        <v>66620</v>
      </c>
      <c r="V517" t="s">
        <v>2716</v>
      </c>
      <c r="W517" s="448" t="s">
        <v>2176</v>
      </c>
      <c r="X517" t="s">
        <v>2368</v>
      </c>
      <c r="Y517" s="448"/>
      <c r="Z517" s="448"/>
    </row>
    <row r="518" spans="21:26">
      <c r="U518" s="447">
        <v>66777</v>
      </c>
      <c r="V518" t="s">
        <v>2717</v>
      </c>
      <c r="W518" s="448"/>
      <c r="X518" t="s">
        <v>2613</v>
      </c>
      <c r="Y518" s="448"/>
      <c r="Z518" s="448"/>
    </row>
    <row r="519" spans="21:26">
      <c r="U519" s="447">
        <v>67144</v>
      </c>
      <c r="V519" t="s">
        <v>2718</v>
      </c>
      <c r="W519" s="448"/>
      <c r="X519" t="s">
        <v>2326</v>
      </c>
      <c r="Y519" s="448"/>
      <c r="Z519" s="448"/>
    </row>
    <row r="520" spans="21:26">
      <c r="U520" s="447">
        <v>66087</v>
      </c>
      <c r="V520" t="s">
        <v>2719</v>
      </c>
      <c r="W520" s="448"/>
      <c r="X520" t="s">
        <v>2362</v>
      </c>
      <c r="Y520" s="448"/>
      <c r="Z520" s="448"/>
    </row>
    <row r="521" spans="21:26">
      <c r="U521" s="447">
        <v>67364</v>
      </c>
      <c r="V521" t="s">
        <v>2720</v>
      </c>
      <c r="W521" s="448"/>
      <c r="X521" t="s">
        <v>2396</v>
      </c>
      <c r="Y521" s="448"/>
      <c r="Z521" s="448"/>
    </row>
    <row r="522" spans="21:26">
      <c r="U522" s="447">
        <v>67146</v>
      </c>
      <c r="V522" t="s">
        <v>2721</v>
      </c>
      <c r="W522" s="448"/>
      <c r="X522" t="s">
        <v>2333</v>
      </c>
      <c r="Y522" s="448"/>
      <c r="Z522" s="448"/>
    </row>
    <row r="523" spans="21:26">
      <c r="U523" s="447">
        <v>66779</v>
      </c>
      <c r="V523" t="s">
        <v>2722</v>
      </c>
      <c r="W523" s="448"/>
      <c r="X523" t="s">
        <v>2331</v>
      </c>
      <c r="Y523" s="448"/>
      <c r="Z523" s="448"/>
    </row>
    <row r="524" spans="21:26">
      <c r="U524" s="447">
        <v>67147</v>
      </c>
      <c r="V524" t="s">
        <v>2723</v>
      </c>
      <c r="W524" s="448"/>
      <c r="X524" t="s">
        <v>2324</v>
      </c>
      <c r="Y524" s="448"/>
      <c r="Z524" s="448"/>
    </row>
    <row r="525" spans="21:26">
      <c r="U525" s="447">
        <v>66088</v>
      </c>
      <c r="V525" t="s">
        <v>2724</v>
      </c>
      <c r="W525" s="448"/>
      <c r="X525" t="s">
        <v>2496</v>
      </c>
      <c r="Y525" s="448"/>
      <c r="Z525" s="448"/>
    </row>
    <row r="526" spans="21:26">
      <c r="U526" s="447">
        <v>66543</v>
      </c>
      <c r="V526" t="s">
        <v>2725</v>
      </c>
      <c r="W526" s="448"/>
      <c r="X526" t="s">
        <v>2387</v>
      </c>
      <c r="Y526" s="448"/>
      <c r="Z526" s="448"/>
    </row>
    <row r="527" spans="21:26">
      <c r="U527" s="447">
        <v>66544</v>
      </c>
      <c r="V527" t="s">
        <v>2726</v>
      </c>
      <c r="W527" s="448"/>
      <c r="X527" t="s">
        <v>2342</v>
      </c>
      <c r="Y527" s="448"/>
      <c r="Z527" s="448"/>
    </row>
    <row r="528" spans="21:26">
      <c r="U528" s="447">
        <v>66870</v>
      </c>
      <c r="V528" t="s">
        <v>2727</v>
      </c>
      <c r="W528" s="448"/>
      <c r="X528" t="s">
        <v>2423</v>
      </c>
      <c r="Y528" s="448"/>
      <c r="Z528" s="448"/>
    </row>
    <row r="529" spans="21:26">
      <c r="U529" s="449">
        <v>66544</v>
      </c>
      <c r="V529" s="450" t="s">
        <v>2728</v>
      </c>
      <c r="W529" s="450"/>
      <c r="X529" s="450" t="s">
        <v>2342</v>
      </c>
      <c r="Y529" s="450"/>
      <c r="Z529" s="450"/>
    </row>
    <row r="530" spans="21:26">
      <c r="U530" s="447">
        <v>66546</v>
      </c>
      <c r="V530" t="s">
        <v>2729</v>
      </c>
      <c r="W530" s="448"/>
      <c r="X530" t="s">
        <v>2368</v>
      </c>
      <c r="Y530" s="448"/>
      <c r="Z530" s="448"/>
    </row>
    <row r="531" spans="21:26">
      <c r="U531" s="447">
        <v>67487</v>
      </c>
      <c r="V531" t="s">
        <v>2730</v>
      </c>
      <c r="W531" s="448"/>
      <c r="X531" t="s">
        <v>2419</v>
      </c>
      <c r="Y531" s="448"/>
      <c r="Z531" s="448"/>
    </row>
    <row r="532" spans="21:26">
      <c r="U532" s="447">
        <v>66780</v>
      </c>
      <c r="V532" t="s">
        <v>2731</v>
      </c>
      <c r="W532" s="448"/>
      <c r="X532" t="s">
        <v>2330</v>
      </c>
      <c r="Y532" s="448"/>
      <c r="Z532" s="448"/>
    </row>
    <row r="533" spans="21:26">
      <c r="U533" s="447">
        <v>67151</v>
      </c>
      <c r="V533" t="s">
        <v>2732</v>
      </c>
      <c r="W533" s="448"/>
      <c r="X533" t="s">
        <v>2392</v>
      </c>
      <c r="Y533" s="448"/>
      <c r="Z533" s="448"/>
    </row>
    <row r="534" spans="21:26">
      <c r="U534" s="447">
        <v>66547</v>
      </c>
      <c r="V534" t="s">
        <v>2733</v>
      </c>
      <c r="W534" s="448"/>
      <c r="X534" t="s">
        <v>2360</v>
      </c>
      <c r="Y534" s="448"/>
      <c r="Z534" s="448"/>
    </row>
    <row r="535" spans="21:26">
      <c r="U535" s="447">
        <v>66548</v>
      </c>
      <c r="V535" t="s">
        <v>2734</v>
      </c>
      <c r="W535" s="448"/>
      <c r="X535" t="s">
        <v>2342</v>
      </c>
      <c r="Y535" s="448"/>
      <c r="Z535" s="448"/>
    </row>
    <row r="536" spans="21:26">
      <c r="U536" s="447">
        <v>66090</v>
      </c>
      <c r="V536" t="s">
        <v>2735</v>
      </c>
      <c r="W536" s="448"/>
      <c r="X536" t="s">
        <v>2362</v>
      </c>
      <c r="Y536" s="448"/>
      <c r="Z536" s="448"/>
    </row>
    <row r="537" spans="21:26">
      <c r="U537" s="447">
        <v>66871</v>
      </c>
      <c r="V537" t="s">
        <v>725</v>
      </c>
      <c r="W537" s="448"/>
      <c r="X537" t="s">
        <v>2389</v>
      </c>
      <c r="Y537" s="448"/>
      <c r="Z537" s="448"/>
    </row>
    <row r="538" spans="21:26">
      <c r="U538" s="447">
        <v>66781</v>
      </c>
      <c r="V538" t="s">
        <v>2736</v>
      </c>
      <c r="W538" s="448"/>
      <c r="X538" t="s">
        <v>2549</v>
      </c>
      <c r="Y538" s="448"/>
      <c r="Z538" s="448"/>
    </row>
    <row r="539" spans="21:26">
      <c r="U539" s="447">
        <v>66091</v>
      </c>
      <c r="V539" t="s">
        <v>2737</v>
      </c>
      <c r="W539" s="448"/>
      <c r="X539" t="s">
        <v>2426</v>
      </c>
      <c r="Y539" s="448"/>
      <c r="Z539" s="448"/>
    </row>
    <row r="540" spans="21:26">
      <c r="U540" s="447">
        <v>67152</v>
      </c>
      <c r="V540" t="s">
        <v>726</v>
      </c>
      <c r="W540" s="448"/>
      <c r="X540" t="s">
        <v>2356</v>
      </c>
      <c r="Y540" s="448"/>
      <c r="Z540" s="448"/>
    </row>
    <row r="541" spans="21:26">
      <c r="U541" s="449">
        <v>67467</v>
      </c>
      <c r="V541" s="450" t="s">
        <v>2738</v>
      </c>
      <c r="W541" s="450"/>
      <c r="X541" s="450" t="s">
        <v>2313</v>
      </c>
      <c r="Y541" s="450"/>
      <c r="Z541" s="450"/>
    </row>
    <row r="542" spans="21:26">
      <c r="U542" s="447">
        <v>66092</v>
      </c>
      <c r="V542" t="s">
        <v>2739</v>
      </c>
      <c r="W542" s="448"/>
      <c r="X542" t="s">
        <v>2409</v>
      </c>
      <c r="Y542" s="448"/>
      <c r="Z542" s="448"/>
    </row>
    <row r="543" spans="21:26">
      <c r="U543" s="449">
        <v>67455</v>
      </c>
      <c r="V543" s="450" t="s">
        <v>2740</v>
      </c>
      <c r="W543" s="450"/>
      <c r="X543" s="450" t="s">
        <v>2347</v>
      </c>
      <c r="Y543" s="450"/>
      <c r="Z543" s="450"/>
    </row>
    <row r="544" spans="21:26">
      <c r="U544" s="449">
        <v>66426</v>
      </c>
      <c r="V544" s="450" t="s">
        <v>2741</v>
      </c>
      <c r="W544" s="450"/>
      <c r="X544" s="450" t="s">
        <v>2360</v>
      </c>
      <c r="Y544" s="450"/>
      <c r="Z544" s="450"/>
    </row>
    <row r="545" spans="21:26">
      <c r="U545" s="447">
        <v>66549</v>
      </c>
      <c r="V545" t="s">
        <v>2741</v>
      </c>
      <c r="W545" s="448"/>
      <c r="X545" t="s">
        <v>2360</v>
      </c>
      <c r="Y545" s="448"/>
      <c r="Z545" s="448"/>
    </row>
    <row r="546" spans="21:26">
      <c r="U546" s="447">
        <v>66093</v>
      </c>
      <c r="V546" t="s">
        <v>2742</v>
      </c>
      <c r="W546" s="448"/>
      <c r="X546" t="s">
        <v>2426</v>
      </c>
      <c r="Y546" s="448"/>
      <c r="Z546" s="448"/>
    </row>
    <row r="547" spans="21:26">
      <c r="U547" s="449">
        <v>66205</v>
      </c>
      <c r="V547" s="450" t="s">
        <v>2743</v>
      </c>
      <c r="W547" s="450"/>
      <c r="X547" s="450" t="s">
        <v>2380</v>
      </c>
      <c r="Y547" s="450" t="s">
        <v>1184</v>
      </c>
      <c r="Z547" s="450"/>
    </row>
    <row r="548" spans="21:26">
      <c r="U548" s="449">
        <v>66205</v>
      </c>
      <c r="V548" s="450" t="s">
        <v>2744</v>
      </c>
      <c r="W548" s="450"/>
      <c r="X548" s="450" t="s">
        <v>2380</v>
      </c>
      <c r="Y548" s="450" t="s">
        <v>1184</v>
      </c>
      <c r="Z548" s="450"/>
    </row>
    <row r="549" spans="21:26">
      <c r="U549" s="447">
        <v>66550</v>
      </c>
      <c r="V549" t="s">
        <v>2745</v>
      </c>
      <c r="W549" s="448"/>
      <c r="X549" t="s">
        <v>2344</v>
      </c>
      <c r="Y549" s="448"/>
      <c r="Z549" s="448"/>
    </row>
    <row r="550" spans="21:26">
      <c r="U550" s="449">
        <v>66521</v>
      </c>
      <c r="V550" s="450" t="s">
        <v>2746</v>
      </c>
      <c r="W550" s="450"/>
      <c r="X550" s="450" t="s">
        <v>2360</v>
      </c>
      <c r="Y550" s="450"/>
      <c r="Z550" s="450"/>
    </row>
    <row r="551" spans="21:26">
      <c r="U551" s="447">
        <v>66872</v>
      </c>
      <c r="V551" t="s">
        <v>2747</v>
      </c>
      <c r="W551" s="448"/>
      <c r="X551" t="s">
        <v>2385</v>
      </c>
      <c r="Y551" s="448"/>
      <c r="Z551" s="448"/>
    </row>
    <row r="552" spans="21:26">
      <c r="U552" s="447">
        <v>67154</v>
      </c>
      <c r="V552" t="s">
        <v>2748</v>
      </c>
      <c r="W552" s="448"/>
      <c r="X552" t="s">
        <v>2326</v>
      </c>
      <c r="Y552" s="448"/>
      <c r="Z552" s="448"/>
    </row>
    <row r="553" spans="21:26">
      <c r="U553" s="447">
        <v>66552</v>
      </c>
      <c r="V553" t="s">
        <v>2749</v>
      </c>
      <c r="W553" s="448"/>
      <c r="X553" t="s">
        <v>2417</v>
      </c>
      <c r="Y553" s="448"/>
      <c r="Z553" s="448"/>
    </row>
    <row r="554" spans="21:26">
      <c r="U554" s="447">
        <v>67202</v>
      </c>
      <c r="V554" t="s">
        <v>2750</v>
      </c>
      <c r="W554" s="448"/>
      <c r="X554" t="s">
        <v>2324</v>
      </c>
      <c r="Y554" s="448"/>
      <c r="Z554" s="448"/>
    </row>
    <row r="555" spans="21:26">
      <c r="U555" s="447">
        <v>67203</v>
      </c>
      <c r="V555" t="s">
        <v>2750</v>
      </c>
      <c r="W555" s="448"/>
      <c r="X555" t="s">
        <v>2324</v>
      </c>
      <c r="Y555" s="448"/>
      <c r="Z555" s="448"/>
    </row>
    <row r="556" spans="21:26">
      <c r="U556" s="447">
        <v>67204</v>
      </c>
      <c r="V556" t="s">
        <v>2750</v>
      </c>
      <c r="W556" s="448"/>
      <c r="X556" t="s">
        <v>2324</v>
      </c>
      <c r="Y556" s="448"/>
      <c r="Z556" s="448"/>
    </row>
    <row r="557" spans="21:26">
      <c r="U557" s="447">
        <v>67205</v>
      </c>
      <c r="V557" t="s">
        <v>2750</v>
      </c>
      <c r="W557" s="448"/>
      <c r="X557" t="s">
        <v>2324</v>
      </c>
      <c r="Y557" s="448"/>
      <c r="Z557" s="448"/>
    </row>
    <row r="558" spans="21:26">
      <c r="U558" s="447">
        <v>67206</v>
      </c>
      <c r="V558" t="s">
        <v>2750</v>
      </c>
      <c r="W558" s="448"/>
      <c r="X558" t="s">
        <v>2324</v>
      </c>
      <c r="Y558" s="448"/>
      <c r="Z558" s="448"/>
    </row>
    <row r="559" spans="21:26">
      <c r="U559" s="447">
        <v>67207</v>
      </c>
      <c r="V559" t="s">
        <v>2750</v>
      </c>
      <c r="W559" s="448"/>
      <c r="X559" t="s">
        <v>2324</v>
      </c>
      <c r="Y559" s="448"/>
      <c r="Z559" s="448"/>
    </row>
    <row r="560" spans="21:26">
      <c r="U560" s="447">
        <v>67208</v>
      </c>
      <c r="V560" t="s">
        <v>2750</v>
      </c>
      <c r="W560" s="448"/>
      <c r="X560" t="s">
        <v>2324</v>
      </c>
      <c r="Y560" s="448"/>
      <c r="Z560" s="448"/>
    </row>
    <row r="561" spans="21:26">
      <c r="U561" s="447">
        <v>67209</v>
      </c>
      <c r="V561" t="s">
        <v>2750</v>
      </c>
      <c r="W561" s="448"/>
      <c r="X561" t="s">
        <v>2324</v>
      </c>
      <c r="Y561" s="448"/>
      <c r="Z561" s="448"/>
    </row>
    <row r="562" spans="21:26">
      <c r="U562" s="447">
        <v>67210</v>
      </c>
      <c r="V562" t="s">
        <v>2750</v>
      </c>
      <c r="W562" s="448"/>
      <c r="X562" t="s">
        <v>2324</v>
      </c>
      <c r="Y562" s="448"/>
      <c r="Z562" s="448"/>
    </row>
    <row r="563" spans="21:26">
      <c r="U563" s="447">
        <v>67211</v>
      </c>
      <c r="V563" t="s">
        <v>2750</v>
      </c>
      <c r="W563" s="448"/>
      <c r="X563" t="s">
        <v>2324</v>
      </c>
      <c r="Y563" s="448"/>
      <c r="Z563" s="448"/>
    </row>
    <row r="564" spans="21:26">
      <c r="U564" s="447">
        <v>67212</v>
      </c>
      <c r="V564" t="s">
        <v>2750</v>
      </c>
      <c r="W564" s="448"/>
      <c r="X564" t="s">
        <v>2324</v>
      </c>
      <c r="Y564" s="448"/>
      <c r="Z564" s="448"/>
    </row>
    <row r="565" spans="21:26">
      <c r="U565" s="447">
        <v>67213</v>
      </c>
      <c r="V565" t="s">
        <v>2750</v>
      </c>
      <c r="W565" s="448"/>
      <c r="X565" t="s">
        <v>2324</v>
      </c>
      <c r="Y565" s="448"/>
      <c r="Z565" s="448"/>
    </row>
    <row r="566" spans="21:26">
      <c r="U566" s="447">
        <v>67214</v>
      </c>
      <c r="V566" t="s">
        <v>2750</v>
      </c>
      <c r="W566" s="448"/>
      <c r="X566" t="s">
        <v>2324</v>
      </c>
      <c r="Y566" s="448"/>
      <c r="Z566" s="448"/>
    </row>
    <row r="567" spans="21:26">
      <c r="U567" s="447">
        <v>67215</v>
      </c>
      <c r="V567" t="s">
        <v>2750</v>
      </c>
      <c r="W567" s="448"/>
      <c r="X567" t="s">
        <v>2324</v>
      </c>
      <c r="Y567" s="448"/>
      <c r="Z567" s="448"/>
    </row>
    <row r="568" spans="21:26">
      <c r="U568" s="447">
        <v>67216</v>
      </c>
      <c r="V568" t="s">
        <v>2750</v>
      </c>
      <c r="W568" s="448"/>
      <c r="X568" t="s">
        <v>2324</v>
      </c>
      <c r="Y568" s="448"/>
      <c r="Z568" s="448"/>
    </row>
    <row r="569" spans="21:26">
      <c r="U569" s="447">
        <v>67217</v>
      </c>
      <c r="V569" t="s">
        <v>2750</v>
      </c>
      <c r="W569" s="448"/>
      <c r="X569" t="s">
        <v>2324</v>
      </c>
      <c r="Y569" s="448"/>
      <c r="Z569" s="448"/>
    </row>
    <row r="570" spans="21:26">
      <c r="U570" s="447">
        <v>67218</v>
      </c>
      <c r="V570" t="s">
        <v>2750</v>
      </c>
      <c r="W570" s="448"/>
      <c r="X570" t="s">
        <v>2324</v>
      </c>
      <c r="Y570" s="448"/>
      <c r="Z570" s="448"/>
    </row>
    <row r="571" spans="21:26">
      <c r="U571" s="447">
        <v>67219</v>
      </c>
      <c r="V571" t="s">
        <v>2750</v>
      </c>
      <c r="W571" s="448"/>
      <c r="X571" t="s">
        <v>2324</v>
      </c>
      <c r="Y571" s="448"/>
      <c r="Z571" s="448"/>
    </row>
    <row r="572" spans="21:26">
      <c r="U572" s="447">
        <v>67220</v>
      </c>
      <c r="V572" t="s">
        <v>2750</v>
      </c>
      <c r="W572" s="448"/>
      <c r="X572" t="s">
        <v>2324</v>
      </c>
      <c r="Y572" s="448"/>
      <c r="Z572" s="448"/>
    </row>
    <row r="573" spans="21:26">
      <c r="U573" s="447">
        <v>67223</v>
      </c>
      <c r="V573" t="s">
        <v>2750</v>
      </c>
      <c r="W573" s="448"/>
      <c r="X573" t="s">
        <v>2324</v>
      </c>
      <c r="Y573" s="448"/>
      <c r="Z573" s="448"/>
    </row>
    <row r="574" spans="21:26">
      <c r="U574" s="447">
        <v>67226</v>
      </c>
      <c r="V574" t="s">
        <v>2750</v>
      </c>
      <c r="W574" s="448"/>
      <c r="X574" t="s">
        <v>2324</v>
      </c>
      <c r="Y574" s="448"/>
      <c r="Z574" s="448"/>
    </row>
    <row r="575" spans="21:26">
      <c r="U575" s="447">
        <v>67227</v>
      </c>
      <c r="V575" t="s">
        <v>2750</v>
      </c>
      <c r="W575" s="448"/>
      <c r="X575" t="s">
        <v>2324</v>
      </c>
      <c r="Y575" s="448"/>
      <c r="Z575" s="448"/>
    </row>
    <row r="576" spans="21:26">
      <c r="U576" s="447">
        <v>67228</v>
      </c>
      <c r="V576" t="s">
        <v>2750</v>
      </c>
      <c r="W576" s="448"/>
      <c r="X576" t="s">
        <v>2324</v>
      </c>
      <c r="Y576" s="448"/>
      <c r="Z576" s="448"/>
    </row>
    <row r="577" spans="21:26">
      <c r="U577" s="447">
        <v>67230</v>
      </c>
      <c r="V577" t="s">
        <v>2750</v>
      </c>
      <c r="W577" s="448"/>
      <c r="X577" t="s">
        <v>2324</v>
      </c>
      <c r="Y577" s="448"/>
      <c r="Z577" s="448"/>
    </row>
    <row r="578" spans="21:26">
      <c r="U578" s="447">
        <v>67232</v>
      </c>
      <c r="V578" t="s">
        <v>2750</v>
      </c>
      <c r="W578" s="448"/>
      <c r="X578" t="s">
        <v>2324</v>
      </c>
      <c r="Y578" s="448"/>
      <c r="Z578" s="448"/>
    </row>
    <row r="579" spans="21:26">
      <c r="U579" s="447">
        <v>67235</v>
      </c>
      <c r="V579" t="s">
        <v>2750</v>
      </c>
      <c r="W579" s="448"/>
      <c r="X579" t="s">
        <v>2324</v>
      </c>
      <c r="Y579" s="448"/>
      <c r="Z579" s="448"/>
    </row>
    <row r="580" spans="21:26">
      <c r="U580" s="447">
        <v>66095</v>
      </c>
      <c r="V580" t="s">
        <v>2751</v>
      </c>
      <c r="W580" s="448"/>
      <c r="X580" t="s">
        <v>2409</v>
      </c>
      <c r="Y580" s="448"/>
      <c r="Z580" s="448"/>
    </row>
    <row r="581" spans="21:26">
      <c r="U581" s="449">
        <v>66434</v>
      </c>
      <c r="V581" s="450" t="s">
        <v>2752</v>
      </c>
      <c r="W581" s="450"/>
      <c r="X581" s="450" t="s">
        <v>2469</v>
      </c>
      <c r="Y581" s="450"/>
      <c r="Z581" s="450"/>
    </row>
    <row r="582" spans="21:26">
      <c r="U582" s="449">
        <v>67501</v>
      </c>
      <c r="V582" s="450" t="s">
        <v>2753</v>
      </c>
      <c r="W582" s="450"/>
      <c r="X582" s="450" t="s">
        <v>2309</v>
      </c>
      <c r="Y582" s="450"/>
      <c r="Z582" s="450"/>
    </row>
    <row r="583" spans="21:26">
      <c r="U583" s="447">
        <v>66873</v>
      </c>
      <c r="V583" t="s">
        <v>2754</v>
      </c>
      <c r="W583" s="448"/>
      <c r="X583" t="s">
        <v>2385</v>
      </c>
      <c r="Y583" s="448"/>
      <c r="Z583" s="448"/>
    </row>
    <row r="584" spans="21:26">
      <c r="U584" s="447">
        <v>66097</v>
      </c>
      <c r="V584" t="s">
        <v>2755</v>
      </c>
      <c r="W584" s="448"/>
      <c r="X584" t="s">
        <v>2496</v>
      </c>
      <c r="Y584" s="448"/>
      <c r="Z584" s="448"/>
    </row>
    <row r="585" spans="21:26">
      <c r="U585" s="447">
        <v>67491</v>
      </c>
      <c r="V585" t="s">
        <v>2756</v>
      </c>
      <c r="W585" s="448"/>
      <c r="X585" t="s">
        <v>2398</v>
      </c>
      <c r="Y585" s="448"/>
      <c r="Z585" s="448"/>
    </row>
    <row r="586" spans="21:26">
      <c r="U586" s="447">
        <v>67156</v>
      </c>
      <c r="V586" t="s">
        <v>2757</v>
      </c>
      <c r="W586" s="448"/>
      <c r="X586" t="s">
        <v>2333</v>
      </c>
      <c r="Y586" s="448"/>
      <c r="Z586" s="448"/>
    </row>
    <row r="587" spans="21:26">
      <c r="U587" s="447">
        <v>67492</v>
      </c>
      <c r="V587" t="s">
        <v>2758</v>
      </c>
      <c r="W587" s="448"/>
      <c r="X587" t="s">
        <v>2311</v>
      </c>
      <c r="Y587" s="448"/>
      <c r="Z587" s="448"/>
    </row>
    <row r="588" spans="21:26">
      <c r="U588" s="447">
        <v>66783</v>
      </c>
      <c r="V588" t="s">
        <v>2759</v>
      </c>
      <c r="W588" s="448"/>
      <c r="X588" t="s">
        <v>2613</v>
      </c>
      <c r="Y588" s="448"/>
      <c r="Z588" s="448"/>
    </row>
    <row r="589" spans="21:26">
      <c r="U589" s="447">
        <v>67585</v>
      </c>
      <c r="V589" t="s">
        <v>2760</v>
      </c>
      <c r="W589" s="448"/>
      <c r="X589" t="s">
        <v>2309</v>
      </c>
      <c r="Y589" s="448"/>
      <c r="Z589" s="448"/>
    </row>
  </sheetData>
  <sheetProtection algorithmName="SHA-512" hashValue="3etcH4KHE0UvwTGkOW1iLZfOOyO2ua8DMYkQ1hnFl223GzUY4nN2UBtxADXPgyGYtNZU0181ypoWRqE61SBRJg==" saltValue="bUemXiuKnzwitNRVwhIgVQ==" spinCount="100000" sheet="1" objects="1" scenarios="1"/>
  <mergeCells count="10">
    <mergeCell ref="J10:M10"/>
    <mergeCell ref="J14:M14"/>
    <mergeCell ref="J18:M18"/>
    <mergeCell ref="J22:M22"/>
    <mergeCell ref="U10:Z10"/>
    <mergeCell ref="AN11:AV11"/>
    <mergeCell ref="AO12:AR12"/>
    <mergeCell ref="AS12:AV12"/>
    <mergeCell ref="AN40:AP40"/>
    <mergeCell ref="AR40:AT40"/>
  </mergeCells>
  <phoneticPr fontId="146" type="noConversion"/>
  <conditionalFormatting sqref="AD12:AE28 AG12:AJ28">
    <cfRule type="containsBlanks" dxfId="156" priority="7">
      <formula>LEN(TRIM(AD12))=0</formula>
    </cfRule>
  </conditionalFormatting>
  <hyperlinks>
    <hyperlink ref="H14" r:id="rId1" xr:uid="{58700C06-1EFC-4DB7-933E-1770DD401DA9}"/>
    <hyperlink ref="H17" r:id="rId2" xr:uid="{7528B5E4-6A64-4CAC-A515-13F65E028FBF}"/>
    <hyperlink ref="H16" r:id="rId3" xr:uid="{2E2ECE88-2FE4-40EC-A8B2-0201E4B88765}"/>
    <hyperlink ref="H19" r:id="rId4" xr:uid="{D49AA404-E70D-48EB-981C-3AF125A8A524}"/>
  </hyperlinks>
  <pageMargins left="0" right="0" top="0" bottom="0" header="0" footer="0"/>
  <pageSetup orientation="portrait" r:id="rId5"/>
  <legacyDrawing r:id="rId6"/>
  <tableParts count="42">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theme="8" tint="0.59999389629810485"/>
    <pageSetUpPr fitToPage="1"/>
  </sheetPr>
  <dimension ref="A1:CW204"/>
  <sheetViews>
    <sheetView showGridLines="0" showRowColHeaders="0" zoomScale="85" zoomScaleNormal="85" workbookViewId="0">
      <selection activeCell="BJ18" sqref="BJ18:BJ19"/>
    </sheetView>
  </sheetViews>
  <sheetFormatPr defaultColWidth="0" defaultRowHeight="1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4"/>
      <c r="G5" s="374"/>
      <c r="H5" s="374"/>
      <c r="I5" s="374"/>
      <c r="AS5" s="988">
        <f ca="1">PROGRESSSTATUS</f>
        <v>0</v>
      </c>
      <c r="AT5" s="988"/>
      <c r="AU5" s="988"/>
      <c r="AV5" s="988"/>
      <c r="AW5" s="988"/>
      <c r="AX5" s="17"/>
      <c r="AY5" s="108" t="s">
        <v>933</v>
      </c>
      <c r="AZ5" s="108" t="s">
        <v>325</v>
      </c>
      <c r="BA5" s="45"/>
      <c r="BB5" s="45"/>
    </row>
    <row r="6" spans="1:81" ht="15.95" customHeight="1">
      <c r="A6" s="692"/>
      <c r="B6" s="692"/>
      <c r="C6" s="692"/>
      <c r="D6" s="692"/>
      <c r="E6" s="692"/>
      <c r="F6" s="374"/>
      <c r="G6" s="374"/>
      <c r="H6" s="374"/>
      <c r="I6" s="374"/>
      <c r="AS6" s="988"/>
      <c r="AT6" s="988"/>
      <c r="AU6" s="988"/>
      <c r="AV6" s="988"/>
      <c r="AW6" s="988"/>
      <c r="AX6" s="107" t="s">
        <v>938</v>
      </c>
      <c r="AY6" s="106" t="str">
        <f>CBPRESE</f>
        <v>NA</v>
      </c>
      <c r="AZ6" s="165" t="str">
        <f>PAYPRESE</f>
        <v>NA</v>
      </c>
    </row>
    <row r="7" spans="1:81" ht="15.95" customHeight="1">
      <c r="A7" s="662" t="s">
        <v>83</v>
      </c>
      <c r="B7" s="662"/>
      <c r="C7" s="662"/>
      <c r="D7" s="662"/>
      <c r="E7" s="662"/>
      <c r="F7" s="75"/>
      <c r="G7" s="75"/>
      <c r="H7" s="75"/>
      <c r="I7" s="75"/>
      <c r="AS7" s="662" t="s">
        <v>299</v>
      </c>
      <c r="AT7" s="662"/>
      <c r="AU7" s="662"/>
      <c r="AV7" s="662"/>
      <c r="AW7" s="662"/>
      <c r="AX7" s="107" t="s">
        <v>135</v>
      </c>
      <c r="AY7" s="106" t="str">
        <f>CBCUSE</f>
        <v>NA</v>
      </c>
      <c r="AZ7" s="165" t="str">
        <f>PAYCUSE</f>
        <v>NA</v>
      </c>
      <c r="BA7" s="45"/>
      <c r="BB7" s="45"/>
    </row>
    <row r="8" spans="1:81" ht="15.95" customHeight="1" thickBot="1">
      <c r="A8" s="665"/>
      <c r="B8" s="665"/>
      <c r="C8" s="665"/>
      <c r="D8" s="665"/>
      <c r="E8" s="665"/>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61" t="str">
        <f ca="1">PROJSTATUS</f>
        <v>Enter Measures</v>
      </c>
      <c r="AT8" s="661"/>
      <c r="AU8" s="661"/>
      <c r="AV8" s="661"/>
      <c r="AW8" s="661"/>
      <c r="AX8" s="107" t="s">
        <v>596</v>
      </c>
      <c r="AY8" s="106" t="str">
        <f>CBALL</f>
        <v>NA</v>
      </c>
      <c r="AZ8" s="165" t="str">
        <f>PAYALL</f>
        <v>NA</v>
      </c>
      <c r="BA8" s="45"/>
      <c r="BB8" s="45"/>
    </row>
    <row r="9" spans="1:81" s="78" customFormat="1" ht="15.95" customHeight="1">
      <c r="B9" s="79"/>
      <c r="C9" s="79"/>
      <c r="D9" s="79"/>
      <c r="E9" s="79"/>
      <c r="F9" s="79"/>
      <c r="J9" s="829" t="str">
        <f>M3S2</f>
        <v>Lighting</v>
      </c>
      <c r="K9" s="830"/>
      <c r="L9" s="830"/>
      <c r="M9" s="830"/>
      <c r="N9" s="829" t="str">
        <f>M3S3</f>
        <v>Lighting Controls</v>
      </c>
      <c r="O9" s="830"/>
      <c r="P9" s="830"/>
      <c r="Q9" s="830"/>
      <c r="R9" s="842" t="str">
        <f>M3S4</f>
        <v>Refrigeration</v>
      </c>
      <c r="S9" s="842"/>
      <c r="T9" s="842"/>
      <c r="U9" s="842"/>
      <c r="V9" s="829" t="str">
        <f>M3S5</f>
        <v>HVAC</v>
      </c>
      <c r="W9" s="830"/>
      <c r="X9" s="830"/>
      <c r="Y9" s="830"/>
      <c r="Z9" s="829" t="str">
        <f>M4S8</f>
        <v>Motors and Drives</v>
      </c>
      <c r="AA9" s="830"/>
      <c r="AB9" s="830"/>
      <c r="AC9" s="830"/>
      <c r="AD9" s="829" t="str">
        <f>M3S6</f>
        <v>Compressed Air / Process</v>
      </c>
      <c r="AE9" s="830"/>
      <c r="AF9" s="830"/>
      <c r="AG9" s="830"/>
      <c r="AH9" s="829" t="str">
        <f>M3S7</f>
        <v>Water Heating / Food Services</v>
      </c>
      <c r="AI9" s="830"/>
      <c r="AJ9" s="830"/>
      <c r="AK9" s="830"/>
      <c r="AL9" s="829" t="str">
        <f>M4S9</f>
        <v>Miscellaneous</v>
      </c>
      <c r="AM9" s="830"/>
      <c r="AN9" s="830"/>
      <c r="AO9" s="830"/>
      <c r="AP9" s="79"/>
      <c r="AQ9" s="79"/>
      <c r="AR9" s="79"/>
      <c r="AS9"/>
      <c r="AU9" s="79"/>
      <c r="AV9" s="79"/>
    </row>
    <row r="10" spans="1:81" s="78" customFormat="1" ht="15.95" customHeight="1">
      <c r="B10" s="79"/>
      <c r="C10" s="79"/>
      <c r="D10" s="79"/>
      <c r="E10" s="79"/>
      <c r="F10" s="79"/>
      <c r="J10" s="831"/>
      <c r="K10" s="831"/>
      <c r="L10" s="831"/>
      <c r="M10" s="831"/>
      <c r="N10" s="831"/>
      <c r="O10" s="831"/>
      <c r="P10" s="831"/>
      <c r="Q10" s="831"/>
      <c r="R10" s="843"/>
      <c r="S10" s="843"/>
      <c r="T10" s="843"/>
      <c r="U10" s="843"/>
      <c r="V10" s="831"/>
      <c r="W10" s="831"/>
      <c r="X10" s="831"/>
      <c r="Y10" s="831"/>
      <c r="Z10" s="831"/>
      <c r="AA10" s="831"/>
      <c r="AB10" s="831"/>
      <c r="AC10" s="831"/>
      <c r="AD10" s="831"/>
      <c r="AE10" s="831"/>
      <c r="AF10" s="831"/>
      <c r="AG10" s="831"/>
      <c r="AH10" s="831"/>
      <c r="AI10" s="831"/>
      <c r="AJ10" s="831"/>
      <c r="AK10" s="831"/>
      <c r="AL10" s="831"/>
      <c r="AM10" s="831"/>
      <c r="AN10" s="831"/>
      <c r="AO10" s="831"/>
      <c r="AP10" s="79"/>
      <c r="AQ10" s="79"/>
      <c r="AR10" s="79"/>
      <c r="AS10"/>
      <c r="AU10" s="79"/>
      <c r="AV10" s="79"/>
    </row>
    <row r="11" spans="1:81" ht="15.95" customHeight="1">
      <c r="B11" s="96"/>
      <c r="C11" s="96"/>
      <c r="D11" s="96"/>
      <c r="E11" s="96"/>
      <c r="F11" s="96"/>
      <c r="J11" s="831"/>
      <c r="K11" s="831"/>
      <c r="L11" s="831"/>
      <c r="M11" s="831"/>
      <c r="N11" s="831"/>
      <c r="O11" s="831"/>
      <c r="P11" s="831"/>
      <c r="Q11" s="831"/>
      <c r="R11" s="843"/>
      <c r="S11" s="843"/>
      <c r="T11" s="843"/>
      <c r="U11" s="843"/>
      <c r="V11" s="831"/>
      <c r="W11" s="831"/>
      <c r="X11" s="831"/>
      <c r="Y11" s="831"/>
      <c r="Z11" s="831"/>
      <c r="AA11" s="831"/>
      <c r="AB11" s="831"/>
      <c r="AC11" s="831"/>
      <c r="AD11" s="831"/>
      <c r="AE11" s="831"/>
      <c r="AF11" s="831"/>
      <c r="AG11" s="831"/>
      <c r="AH11" s="831"/>
      <c r="AI11" s="831"/>
      <c r="AJ11" s="831"/>
      <c r="AK11" s="831"/>
      <c r="AL11" s="831"/>
      <c r="AM11" s="831"/>
      <c r="AN11" s="831"/>
      <c r="AO11" s="831"/>
      <c r="AP11" s="96"/>
      <c r="AQ11" s="96"/>
      <c r="AR11" s="96"/>
      <c r="AU11" s="96"/>
      <c r="AV11" s="96"/>
    </row>
    <row r="12" spans="1:81" ht="15.95" customHeight="1">
      <c r="A12" s="76"/>
      <c r="B12" s="76"/>
      <c r="C12" s="76"/>
      <c r="D12" s="76"/>
      <c r="E12" s="76"/>
      <c r="F12" s="76"/>
      <c r="G12" s="76"/>
      <c r="T12" s="837">
        <f>SUM(AR18:AU184)</f>
        <v>0</v>
      </c>
      <c r="U12" s="837"/>
      <c r="V12" s="837"/>
      <c r="W12" s="837"/>
      <c r="X12" s="837">
        <f ca="1">SUMIF(AR18:AU184,"&gt;0",AL18:AN184)</f>
        <v>0</v>
      </c>
      <c r="Y12" s="837"/>
      <c r="Z12" s="837"/>
      <c r="AA12" s="837"/>
      <c r="AB12" s="836">
        <f ca="1">SUMIF(AR18:AU184,"&gt;0",AO18:AQ184)</f>
        <v>0</v>
      </c>
      <c r="AC12" s="836"/>
      <c r="AD12" s="836"/>
      <c r="AE12" s="836"/>
      <c r="AT12" s="320"/>
    </row>
    <row r="13" spans="1:81" ht="15.95" customHeight="1">
      <c r="A13" s="76"/>
      <c r="B13" s="76"/>
      <c r="C13" s="76"/>
      <c r="D13" s="76"/>
      <c r="T13" s="837"/>
      <c r="U13" s="837"/>
      <c r="V13" s="837"/>
      <c r="W13" s="837"/>
      <c r="X13" s="837"/>
      <c r="Y13" s="837"/>
      <c r="Z13" s="837"/>
      <c r="AA13" s="837"/>
      <c r="AB13" s="836"/>
      <c r="AC13" s="836"/>
      <c r="AD13" s="836"/>
      <c r="AE13" s="836"/>
      <c r="AM13" s="839" t="str">
        <f>IF(OR(IFERROR(MATCH("75% Total Cost", BM:BM, 0), FALSE), IFERROR(MATCH("100% Incremental Cost", BM:BM,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BD14" s="542" t="s">
        <v>2112</v>
      </c>
      <c r="BE14" s="542" t="s">
        <v>2112</v>
      </c>
      <c r="BL14" s="542" t="s">
        <v>2112</v>
      </c>
      <c r="BO14" s="51" t="s">
        <v>3048</v>
      </c>
      <c r="BX14" s="542" t="s">
        <v>2112</v>
      </c>
    </row>
    <row r="15" spans="1:81" ht="15.95" customHeight="1"/>
    <row r="16" spans="1:81" ht="15.95" customHeight="1">
      <c r="C16" s="832" t="s">
        <v>927</v>
      </c>
      <c r="D16" s="832"/>
      <c r="E16" s="832"/>
      <c r="F16" s="832"/>
      <c r="G16" s="832"/>
      <c r="H16" s="832" t="s">
        <v>859</v>
      </c>
      <c r="I16" s="832"/>
      <c r="J16" s="832"/>
      <c r="K16" s="832"/>
      <c r="L16" s="832"/>
      <c r="M16" s="832"/>
      <c r="N16" s="832" t="s">
        <v>928</v>
      </c>
      <c r="O16" s="832"/>
      <c r="P16" s="832"/>
      <c r="Q16" s="832"/>
      <c r="R16" s="832"/>
      <c r="S16" s="832"/>
      <c r="T16" s="832" t="s">
        <v>1851</v>
      </c>
      <c r="U16" s="832"/>
      <c r="V16" s="832"/>
      <c r="W16" s="832" t="s">
        <v>929</v>
      </c>
      <c r="X16" s="832"/>
      <c r="Y16" s="832"/>
      <c r="Z16" s="832"/>
      <c r="AA16" s="832"/>
      <c r="AB16" s="832"/>
      <c r="AC16" s="832" t="s">
        <v>1852</v>
      </c>
      <c r="AD16" s="832"/>
      <c r="AE16" s="832"/>
      <c r="AF16" s="832" t="s">
        <v>930</v>
      </c>
      <c r="AG16" s="832"/>
      <c r="AH16" s="860" t="s">
        <v>876</v>
      </c>
      <c r="AI16" s="860"/>
      <c r="AJ16" s="860"/>
      <c r="AK16" s="860"/>
      <c r="AL16" s="832" t="s">
        <v>923</v>
      </c>
      <c r="AM16" s="832"/>
      <c r="AN16" s="832"/>
      <c r="AO16" s="832" t="s">
        <v>735</v>
      </c>
      <c r="AP16" s="832"/>
      <c r="AQ16" s="832"/>
      <c r="AR16" s="832" t="s">
        <v>83</v>
      </c>
      <c r="AS16" s="832"/>
      <c r="AT16" s="832"/>
      <c r="AU16" s="832"/>
      <c r="AV16" s="59"/>
      <c r="AW16" s="59"/>
      <c r="AX16" s="779" t="s">
        <v>743</v>
      </c>
      <c r="AY16" s="779" t="s">
        <v>1985</v>
      </c>
      <c r="AZ16" s="779" t="s">
        <v>942</v>
      </c>
      <c r="BA16" s="779" t="s">
        <v>635</v>
      </c>
      <c r="BB16" s="779" t="s">
        <v>875</v>
      </c>
      <c r="BC16" s="779" t="s">
        <v>924</v>
      </c>
      <c r="BD16" s="781" t="s">
        <v>1701</v>
      </c>
      <c r="BE16" s="783" t="s">
        <v>874</v>
      </c>
      <c r="BF16" s="783"/>
      <c r="BG16" s="779" t="s">
        <v>926</v>
      </c>
      <c r="BH16" s="600"/>
      <c r="BI16" s="600"/>
      <c r="BJ16" s="779" t="s">
        <v>88</v>
      </c>
      <c r="BK16" s="781" t="s">
        <v>1619</v>
      </c>
      <c r="BL16" s="783" t="s">
        <v>876</v>
      </c>
      <c r="BM16" s="783"/>
      <c r="BN16" s="779" t="s">
        <v>132</v>
      </c>
      <c r="BO16" s="779" t="s">
        <v>325</v>
      </c>
      <c r="BP16" s="781" t="s">
        <v>1833</v>
      </c>
      <c r="BQ16" s="600"/>
      <c r="BR16" s="781" t="s">
        <v>1614</v>
      </c>
      <c r="BS16" s="783"/>
      <c r="BT16" s="779"/>
      <c r="BU16" s="779" t="s">
        <v>925</v>
      </c>
      <c r="BV16" s="781" t="s">
        <v>691</v>
      </c>
      <c r="BW16" s="779" t="s">
        <v>85</v>
      </c>
      <c r="BX16" s="783" t="s">
        <v>840</v>
      </c>
      <c r="BY16" s="779" t="s">
        <v>309</v>
      </c>
      <c r="BZ16" s="755"/>
      <c r="CA16" s="755"/>
      <c r="CB16" s="755"/>
      <c r="CC16" s="755"/>
    </row>
    <row r="17" spans="1:81" ht="15.95" customHeight="1" thickBot="1">
      <c r="B17" s="17"/>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t="s">
        <v>862</v>
      </c>
      <c r="AI17" s="833"/>
      <c r="AJ17" s="833" t="s">
        <v>863</v>
      </c>
      <c r="AK17" s="833"/>
      <c r="AL17" s="833"/>
      <c r="AM17" s="833"/>
      <c r="AN17" s="833"/>
      <c r="AO17" s="833"/>
      <c r="AP17" s="833"/>
      <c r="AQ17" s="833"/>
      <c r="AR17" s="833"/>
      <c r="AS17" s="833"/>
      <c r="AT17" s="833"/>
      <c r="AU17" s="833"/>
      <c r="AV17" s="37"/>
      <c r="AW17" s="37"/>
      <c r="AX17" s="780"/>
      <c r="AY17" s="780"/>
      <c r="AZ17" s="780"/>
      <c r="BA17" s="780"/>
      <c r="BB17" s="780"/>
      <c r="BC17" s="780"/>
      <c r="BD17" s="782"/>
      <c r="BE17" s="540" t="s">
        <v>871</v>
      </c>
      <c r="BF17" s="541" t="s">
        <v>872</v>
      </c>
      <c r="BG17" s="780"/>
      <c r="BH17" s="1097"/>
      <c r="BI17" s="1097"/>
      <c r="BJ17" s="780"/>
      <c r="BK17" s="782"/>
      <c r="BL17" s="784"/>
      <c r="BM17" s="784"/>
      <c r="BN17" s="780"/>
      <c r="BO17" s="780"/>
      <c r="BP17" s="782"/>
      <c r="BQ17" s="1097"/>
      <c r="BR17" s="782"/>
      <c r="BS17" s="784"/>
      <c r="BT17" s="780"/>
      <c r="BU17" s="780"/>
      <c r="BV17" s="782"/>
      <c r="BW17" s="780"/>
      <c r="BX17" s="784"/>
      <c r="BY17" s="780"/>
      <c r="BZ17" s="756"/>
      <c r="CA17" s="756"/>
      <c r="CB17" s="756"/>
      <c r="CC17" s="756"/>
    </row>
    <row r="18" spans="1:81" ht="15.95" customHeight="1">
      <c r="B18" s="785">
        <v>1</v>
      </c>
      <c r="C18" s="1012"/>
      <c r="D18" s="1013"/>
      <c r="E18" s="1013"/>
      <c r="F18" s="1013"/>
      <c r="G18" s="1014"/>
      <c r="H18" s="1014"/>
      <c r="I18" s="1050"/>
      <c r="J18" s="1050"/>
      <c r="K18" s="1050"/>
      <c r="L18" s="1050"/>
      <c r="M18" s="1012"/>
      <c r="N18" s="1131"/>
      <c r="O18" s="1132"/>
      <c r="P18" s="1132"/>
      <c r="Q18" s="1132"/>
      <c r="R18" s="1132"/>
      <c r="S18" s="1132"/>
      <c r="T18" s="1118"/>
      <c r="U18" s="1118"/>
      <c r="V18" s="1119"/>
      <c r="W18" s="1124"/>
      <c r="X18" s="877"/>
      <c r="Y18" s="877"/>
      <c r="Z18" s="877"/>
      <c r="AA18" s="877"/>
      <c r="AB18" s="1058"/>
      <c r="AC18" s="1120"/>
      <c r="AD18" s="1121"/>
      <c r="AE18" s="1122"/>
      <c r="AF18" s="1125" t="str">
        <f>IFERROR(IF($C18="", "", IF(OR($C18 = "Retrofit existing", $C18 = "Replace in-life equip."), "Total", "Incremental")), "")</f>
        <v/>
      </c>
      <c r="AG18" s="1126"/>
      <c r="AH18" s="1038"/>
      <c r="AI18" s="1038"/>
      <c r="AJ18" s="1127" t="str">
        <f>IF(AF18="Incremental",0,"")</f>
        <v/>
      </c>
      <c r="AK18" s="1128"/>
      <c r="AL18" s="1030" t="str">
        <f>IF(OR(C18="",H18="",N18="",T18="",W18="",AC18="",AF18="",AH18="",AJ18=""),"",ROUND(AH18+AJ18,2))</f>
        <v/>
      </c>
      <c r="AM18" s="1031"/>
      <c r="AN18" s="1031"/>
      <c r="AO18" s="1036" t="str">
        <f>IF(OR(C18="",H18="",N18="",T18="",W18="",AC18="",AF18="",AH18="",AJ18=""),"",IF(BA18-BB18&lt;=0,0,ROUND(BA18-BB18,4)))</f>
        <v/>
      </c>
      <c r="AP18" s="1036"/>
      <c r="AQ18" s="1036"/>
      <c r="AR18" s="1000" t="str">
        <f>IF(OR(C18="",H18="",N18="",T18="",W18="",AC18="",AF18="",AH18="",AJ18=""),"",
IF(BY18&lt;&gt;"",BY18,IF(BP18&gt;0,BP18,
IF(AF18="Incremental",
IF(ACTIVEBLOCK="Yes",ROUND(MIN(AL18*INCCOSTCAP,AO18*BLOCKBIDRATE),2),
ROUND(MIN(AL18*INCCOSTCAP,BR18),2)),
IF(ACTIVEBLOCK="Yes",ROUND(MIN(AL18*TOTCOSTCAP,AO18*BLOCKBIDRATE),2),
ROUND(MIN(AL18*TOTCOSTCAP,BR18),2))))))</f>
        <v/>
      </c>
      <c r="AS18" s="1000"/>
      <c r="AT18" s="1000"/>
      <c r="AU18" s="1000"/>
      <c r="AV18" s="37"/>
      <c r="AW18" s="37"/>
      <c r="AX18" s="773" t="str">
        <f>IF(OR(C18="",H18=""),"",INDEX(CMEREFRI[Unit of Measure],MATCH(H18,CMEREFRI[Proj Desc 1],0)))</f>
        <v/>
      </c>
      <c r="AY18" s="759" t="str">
        <f>IF(AO18&lt;&gt;"","Missing!","")</f>
        <v/>
      </c>
      <c r="AZ18" s="759" t="str">
        <f>IF(AO18&lt;&gt;"","Missing!","")</f>
        <v/>
      </c>
      <c r="BA18" s="771" t="str">
        <f>IF(OR(C18="",H18="",N18="",T18="",W18="",AC18="",AF18="",AH18="",AJ18=""),"",ROUND(T18,4))</f>
        <v/>
      </c>
      <c r="BB18" s="771" t="str">
        <f>IF(OR(C18="",H18="",N18="",T18="",W18="",AC18="",AF18="",AH18="",AJ18=""),"",ROUND(AC18,4))</f>
        <v/>
      </c>
      <c r="BC18" s="773" t="str">
        <f>IF(OR(C18="",H18=""),"",IF(INDEX(CMEREFRI[End Use Category],MATCH(H18,CMEREFRI[Proj Desc 1],0))="","",INDEX(CMEREFRI[End Use Category],MATCH(H18,CMEREFRI[Proj Desc 1],0))))</f>
        <v/>
      </c>
      <c r="BD18" s="757" t="str">
        <f>IF(BE18&lt;&gt;"", "Calculated", "")</f>
        <v/>
      </c>
      <c r="BE18" s="775" t="str">
        <f>IF(AND(BA18&lt;&gt;"", BB18&lt;&gt;""), ROUND(BA18-BB18,4), "")</f>
        <v/>
      </c>
      <c r="BF18" s="1098"/>
      <c r="BG18" s="775" t="str">
        <f>IFERROR(IF(OR(C18="",H18="",N18="",T18="",W18="",AC18="",AF18="",AH18="",AJ18=""),"",ROUND(AO18*INDEX(ENDUSEALL[Factor],MATCH(BC18,ENDUSEALL[End Use to Coincident Peak Demand Factors],0)),4)),"")</f>
        <v/>
      </c>
      <c r="BH18" s="761"/>
      <c r="BI18" s="761"/>
      <c r="BJ18" s="777" t="str">
        <f>IF(OR(C18="",H18=""),"",IF(INDEX(CMEREFRI[EUL],MATCH(H18,CMEREFRI[Proj Desc 1],0))="","",INDEX(CMEREFRI[EUL],MATCH(H18,CMEREFRI[Proj Desc 1],0))))</f>
        <v/>
      </c>
      <c r="BK18" s="767" t="str">
        <f>IFERROR(IF(OR(C18="",H18="",N18="",T18="",W18="",AC18="",AF18="",AH18="",AJ18=""),"",
ROUND(((1+ELOSS)*((AO18*INDEX(ELECCB[NPV AEC $/kWh],MATCH(BJ18,ELECCB[Year Number],1)))+(BG18*INDEX(ELECCB[NPV ACC $/kW],MATCH(BJ18,ELECCB[Year Number],1))))),2)),0)</f>
        <v/>
      </c>
      <c r="BL18" s="767" t="str">
        <f t="shared" ref="BL18:BL36" si="0">IF(OR(AH18="", AJ18=""), "", AH18+AJ18)</f>
        <v/>
      </c>
      <c r="BM18" s="765"/>
      <c r="BN18" s="763" t="str">
        <f t="shared" ref="BN18:BN36" si="1">IFERROR( BK18 / IF(BM18 &lt;&gt; "", BM18, BL18), "")</f>
        <v/>
      </c>
      <c r="BO18" s="763" t="str">
        <f>IFERROR(IF(BM18 &lt;&gt; "", BM18, BL18) / M02S04F06 / AO18, "")</f>
        <v/>
      </c>
      <c r="BP18" s="769"/>
      <c r="BQ18" s="765"/>
      <c r="BR18" s="767" t="str">
        <f>IFERROR(ROUND(AO18*BV18,2),"")</f>
        <v/>
      </c>
      <c r="BS18" s="765"/>
      <c r="BT18" s="765"/>
      <c r="BU18" s="757"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67"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57" t="str">
        <f>IF(OR(C18="",H18="",N18="",T18="",W18="",AC18="",AF18="",AH18="",AJ18=""),"",IF(BY18&lt;&gt;"",SPILLOVERNUMBER,INDEX(CMEREFRI[Measure Number],MATCH(H18,CMEREFRI[Proj Desc 1],0))))</f>
        <v/>
      </c>
      <c r="BX18" s="757" t="str" cm="1">
        <f t="array" ref="BX18">IFERROR(INDEX(_xlfn.SWITCH(Program_Banner,"Business Energy Savings",ENDUSEALL[Primary Key WBE],"Small Business / Non-Profit",ENDUSEALL[Primary Key HTRB],0),MATCH(BC18,ENDUSEALL[End Use to Coincident Peak Demand Factors],0)),"")</f>
        <v/>
      </c>
      <c r="BY18" s="757"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53"/>
      <c r="CA18" s="753"/>
      <c r="CB18" s="753"/>
      <c r="CC18" s="753"/>
    </row>
    <row r="19" spans="1:81" ht="15.95" customHeight="1">
      <c r="B19" s="785"/>
      <c r="C19" s="1003"/>
      <c r="D19" s="1123"/>
      <c r="E19" s="1123"/>
      <c r="F19" s="1123"/>
      <c r="G19" s="1017"/>
      <c r="H19" s="1017"/>
      <c r="I19" s="1002"/>
      <c r="J19" s="1002"/>
      <c r="K19" s="1002"/>
      <c r="L19" s="1002"/>
      <c r="M19" s="1003"/>
      <c r="N19" s="1055"/>
      <c r="O19" s="1050"/>
      <c r="P19" s="1050"/>
      <c r="Q19" s="1050"/>
      <c r="R19" s="1050"/>
      <c r="S19" s="1050"/>
      <c r="T19" s="1110"/>
      <c r="U19" s="1110"/>
      <c r="V19" s="1111"/>
      <c r="W19" s="1041"/>
      <c r="X19" s="1013"/>
      <c r="Y19" s="1013"/>
      <c r="Z19" s="1013"/>
      <c r="AA19" s="1013"/>
      <c r="AB19" s="1014"/>
      <c r="AC19" s="1115"/>
      <c r="AD19" s="1116"/>
      <c r="AE19" s="1117"/>
      <c r="AF19" s="1106"/>
      <c r="AG19" s="1107"/>
      <c r="AH19" s="993"/>
      <c r="AI19" s="993"/>
      <c r="AJ19" s="1083"/>
      <c r="AK19" s="1084"/>
      <c r="AL19" s="1006"/>
      <c r="AM19" s="1007"/>
      <c r="AN19" s="1007"/>
      <c r="AO19" s="1037"/>
      <c r="AP19" s="1037"/>
      <c r="AQ19" s="1037"/>
      <c r="AR19" s="1001"/>
      <c r="AS19" s="1001"/>
      <c r="AT19" s="1001"/>
      <c r="AU19" s="1001"/>
      <c r="AV19" s="37"/>
      <c r="AW19" s="37"/>
      <c r="AX19" s="774"/>
      <c r="AY19" s="760"/>
      <c r="AZ19" s="760"/>
      <c r="BA19" s="772"/>
      <c r="BB19" s="772"/>
      <c r="BC19" s="774"/>
      <c r="BD19" s="758"/>
      <c r="BE19" s="776"/>
      <c r="BF19" s="1099"/>
      <c r="BG19" s="776"/>
      <c r="BH19" s="762"/>
      <c r="BI19" s="762"/>
      <c r="BJ19" s="778"/>
      <c r="BK19" s="768"/>
      <c r="BL19" s="768"/>
      <c r="BM19" s="766"/>
      <c r="BN19" s="764"/>
      <c r="BO19" s="764"/>
      <c r="BP19" s="770"/>
      <c r="BQ19" s="766"/>
      <c r="BR19" s="768"/>
      <c r="BS19" s="766"/>
      <c r="BT19" s="766"/>
      <c r="BU19" s="758"/>
      <c r="BV19" s="768"/>
      <c r="BW19" s="758"/>
      <c r="BX19" s="758"/>
      <c r="BY19" s="758"/>
      <c r="BZ19" s="754"/>
      <c r="CA19" s="754"/>
      <c r="CB19" s="754"/>
      <c r="CC19" s="754"/>
    </row>
    <row r="20" spans="1:81" ht="15.95" customHeight="1">
      <c r="A20" s="75"/>
      <c r="B20" s="785">
        <v>2</v>
      </c>
      <c r="C20" s="1003"/>
      <c r="D20" s="1123"/>
      <c r="E20" s="1123"/>
      <c r="F20" s="1123"/>
      <c r="G20" s="1017"/>
      <c r="H20" s="1017"/>
      <c r="I20" s="1002"/>
      <c r="J20" s="1002"/>
      <c r="K20" s="1002"/>
      <c r="L20" s="1002"/>
      <c r="M20" s="1003"/>
      <c r="N20" s="1133"/>
      <c r="O20" s="1134"/>
      <c r="P20" s="1134"/>
      <c r="Q20" s="1134"/>
      <c r="R20" s="1134"/>
      <c r="S20" s="1134"/>
      <c r="T20" s="1108"/>
      <c r="U20" s="1108"/>
      <c r="V20" s="1109"/>
      <c r="W20" s="1040"/>
      <c r="X20" s="1010"/>
      <c r="Y20" s="1010"/>
      <c r="Z20" s="1010"/>
      <c r="AA20" s="1010"/>
      <c r="AB20" s="1011"/>
      <c r="AC20" s="1112"/>
      <c r="AD20" s="1113"/>
      <c r="AE20" s="1114"/>
      <c r="AF20" s="1104" t="str">
        <f>IFERROR(IF($C20="", "", IF(OR($C20 = "Retrofit existing", $C20 = "Replace in-life equip."), "Total", "Incremental")), "")</f>
        <v/>
      </c>
      <c r="AG20" s="1105"/>
      <c r="AH20" s="993"/>
      <c r="AI20" s="993"/>
      <c r="AJ20" s="1100" t="str">
        <f t="shared" ref="AJ20" si="2">IF(AF20="Incremental",0,"")</f>
        <v/>
      </c>
      <c r="AK20" s="1101"/>
      <c r="AL20" s="1030" t="str">
        <f>IF(OR(C20="",H20="",N20="",T20="",W20="",AC20="",AF20="",AH20="",AJ20=""),"",ROUND(AH20+AJ20,2))</f>
        <v/>
      </c>
      <c r="AM20" s="1031"/>
      <c r="AN20" s="1031"/>
      <c r="AO20" s="1036" t="str">
        <f>IF(OR(C20="",H20="",N20="",T20="",W20="",AC20="",AF20="",AH20="",AJ20=""),"",IF(BA20-BB20&lt;=0,0,ROUND(BA20-BB20,4)))</f>
        <v/>
      </c>
      <c r="AP20" s="1036"/>
      <c r="AQ20" s="1036"/>
      <c r="AR20" s="1072" t="str">
        <f>IF(OR(C20="",H20="",N20="",T20="",W20="",AC20="",AF20="",AH20="",AJ20=""),"",
IF(BY20&lt;&gt;"",BY20,IF(BP20&gt;0,BP20,
IF(AF20="Incremental",
IF(ACTIVEBLOCK="Yes",ROUND(MIN(AL20*INCCOSTCAP,AO20*BLOCKBIDRATE),2),
ROUND(MIN(AL20*INCCOSTCAP,BR20),2)),
IF(ACTIVEBLOCK="Yes",ROUND(MIN(AL20*TOTCOSTCAP,AO20*BLOCKBIDRATE),2),
ROUND(MIN(AL20*TOTCOSTCAP,BR20),2))))))</f>
        <v/>
      </c>
      <c r="AS20" s="1073"/>
      <c r="AT20" s="1073"/>
      <c r="AU20" s="1074"/>
      <c r="AV20" s="37"/>
      <c r="AW20" s="37"/>
      <c r="AX20" s="773" t="str">
        <f>IF(OR(C20="",H20=""),"",INDEX(CMEREFRI[Unit of Measure],MATCH(H20,CMEREFRI[Proj Desc 1],0)))</f>
        <v/>
      </c>
      <c r="AY20" s="759" t="str">
        <f t="shared" ref="AY20" si="3">IF(AO20&lt;&gt;"","Missing!","")</f>
        <v/>
      </c>
      <c r="AZ20" s="759" t="str">
        <f t="shared" ref="AZ20" si="4">IF(AO20&lt;&gt;"","Missing!","")</f>
        <v/>
      </c>
      <c r="BA20" s="771" t="str">
        <f t="shared" ref="BA20" si="5">IF(OR(C20="",H20="",N20="",T20="",W20="",AC20="",AF20="",AH20="",AJ20=""),"",ROUND(T20,4))</f>
        <v/>
      </c>
      <c r="BB20" s="771" t="str">
        <f t="shared" ref="BB20" si="6">IF(OR(C20="",H20="",N20="",T20="",W20="",AC20="",AF20="",AH20="",AJ20=""),"",ROUND(AC20,4))</f>
        <v/>
      </c>
      <c r="BC20" s="773" t="str">
        <f>IF(OR(C20="",H20=""),"",IF(INDEX(CMEREFRI[End Use Category],MATCH(H20,CMEREFRI[Proj Desc 1],0))="","",INDEX(CMEREFRI[End Use Category],MATCH(H20,CMEREFRI[Proj Desc 1],0))))</f>
        <v/>
      </c>
      <c r="BD20" s="757" t="str">
        <f t="shared" ref="BD20" si="7">IF(BE20&lt;&gt;"", "Calculated", "")</f>
        <v/>
      </c>
      <c r="BE20" s="775" t="str">
        <f t="shared" ref="BE20" si="8">IF(AND(BA20&lt;&gt;"", BB20&lt;&gt;""), ROUND(BA20-BB20,4), "")</f>
        <v/>
      </c>
      <c r="BF20" s="1098"/>
      <c r="BG20" s="775" t="str">
        <f>IFERROR(IF(OR(C20="",H20="",N20="",T20="",W20="",AC20="",AF20="",AH20="",AJ20=""),"",ROUND(AO20*INDEX(ENDUSEALL[Factor],MATCH(BC20,ENDUSEALL[End Use to Coincident Peak Demand Factors],0)),4)),"")</f>
        <v/>
      </c>
      <c r="BH20" s="761"/>
      <c r="BI20" s="761"/>
      <c r="BJ20" s="777" t="str">
        <f>IF(OR(C20="",H20=""),"",IF(INDEX(CMEREFRI[EUL],MATCH(H20,CMEREFRI[Proj Desc 1],0))="","",INDEX(CMEREFRI[EUL],MATCH(H20,CMEREFRI[Proj Desc 1],0))))</f>
        <v/>
      </c>
      <c r="BK20" s="767" t="str">
        <f>IFERROR(IF(OR(C20="",H20="",N20="",T20="",W20="",AC20="",AF20="",AH20="",AJ20=""),"",
ROUND(((1+ELOSS)*((AO20*INDEX(ELECCB[NPV AEC $/kWh],MATCH(BJ20,ELECCB[Year Number],1)))+(BG20*INDEX(ELECCB[NPV ACC $/kW],MATCH(BJ20,ELECCB[Year Number],1))))),2)),0)</f>
        <v/>
      </c>
      <c r="BL20" s="767" t="str">
        <f t="shared" si="0"/>
        <v/>
      </c>
      <c r="BM20" s="765"/>
      <c r="BN20" s="763" t="str">
        <f t="shared" si="1"/>
        <v/>
      </c>
      <c r="BO20" s="763" t="str">
        <f>IFERROR(IF(BM20 &lt;&gt; "", BM20, BL20) / M02S04F06 / AO20, "")</f>
        <v/>
      </c>
      <c r="BP20" s="769"/>
      <c r="BQ20" s="765"/>
      <c r="BR20" s="767" t="str">
        <f t="shared" ref="BR20" si="9">IFERROR(ROUND(AO20*BV20,2),"")</f>
        <v/>
      </c>
      <c r="BS20" s="765"/>
      <c r="BT20" s="765"/>
      <c r="BU20" s="757"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67"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57" t="str">
        <f>IF(OR(C20="",H20="",N20="",T20="",W20="",AC20="",AF20="",AH20="",AJ20=""),"",IF(BY20&lt;&gt;"",SPILLOVERNUMBER,INDEX(CMEREFRI[Measure Number],MATCH(H20,CMEREFRI[Proj Desc 1],0))))</f>
        <v/>
      </c>
      <c r="BX20" s="757" t="str" cm="1">
        <f t="array" ref="BX20">IFERROR(INDEX(_xlfn.SWITCH(Program_Banner,"Business Energy Savings",ENDUSEALL[Primary Key WBE],"Small Business / Non-Profit",ENDUSEALL[Primary Key HTRB],0),MATCH(BC20,ENDUSEALL[End Use to Coincident Peak Demand Factors],0)),"")</f>
        <v/>
      </c>
      <c r="BY20" s="757"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53"/>
      <c r="CA20" s="753"/>
      <c r="CB20" s="753"/>
      <c r="CC20" s="753"/>
    </row>
    <row r="21" spans="1:81" ht="15.95" customHeight="1">
      <c r="B21" s="785"/>
      <c r="C21" s="1003"/>
      <c r="D21" s="1123"/>
      <c r="E21" s="1123"/>
      <c r="F21" s="1123"/>
      <c r="G21" s="1017"/>
      <c r="H21" s="1017"/>
      <c r="I21" s="1002"/>
      <c r="J21" s="1002"/>
      <c r="K21" s="1002"/>
      <c r="L21" s="1002"/>
      <c r="M21" s="1003"/>
      <c r="N21" s="1055"/>
      <c r="O21" s="1050"/>
      <c r="P21" s="1050"/>
      <c r="Q21" s="1050"/>
      <c r="R21" s="1050"/>
      <c r="S21" s="1050"/>
      <c r="T21" s="1110"/>
      <c r="U21" s="1110"/>
      <c r="V21" s="1111"/>
      <c r="W21" s="1041"/>
      <c r="X21" s="1013"/>
      <c r="Y21" s="1013"/>
      <c r="Z21" s="1013"/>
      <c r="AA21" s="1013"/>
      <c r="AB21" s="1014"/>
      <c r="AC21" s="1115"/>
      <c r="AD21" s="1116"/>
      <c r="AE21" s="1117"/>
      <c r="AF21" s="1106"/>
      <c r="AG21" s="1107"/>
      <c r="AH21" s="993"/>
      <c r="AI21" s="993"/>
      <c r="AJ21" s="1102"/>
      <c r="AK21" s="1103"/>
      <c r="AL21" s="1006"/>
      <c r="AM21" s="1007"/>
      <c r="AN21" s="1007"/>
      <c r="AO21" s="1037"/>
      <c r="AP21" s="1037"/>
      <c r="AQ21" s="1037"/>
      <c r="AR21" s="1075"/>
      <c r="AS21" s="1076"/>
      <c r="AT21" s="1076"/>
      <c r="AU21" s="1077"/>
      <c r="AV21" s="37"/>
      <c r="AW21" s="37"/>
      <c r="AX21" s="774"/>
      <c r="AY21" s="760"/>
      <c r="AZ21" s="760"/>
      <c r="BA21" s="772"/>
      <c r="BB21" s="772"/>
      <c r="BC21" s="774"/>
      <c r="BD21" s="758"/>
      <c r="BE21" s="776"/>
      <c r="BF21" s="1099"/>
      <c r="BG21" s="776"/>
      <c r="BH21" s="762"/>
      <c r="BI21" s="762"/>
      <c r="BJ21" s="778"/>
      <c r="BK21" s="768"/>
      <c r="BL21" s="768"/>
      <c r="BM21" s="766"/>
      <c r="BN21" s="764"/>
      <c r="BO21" s="764"/>
      <c r="BP21" s="770"/>
      <c r="BQ21" s="766"/>
      <c r="BR21" s="768"/>
      <c r="BS21" s="766"/>
      <c r="BT21" s="766"/>
      <c r="BU21" s="758"/>
      <c r="BV21" s="768"/>
      <c r="BW21" s="758"/>
      <c r="BX21" s="758"/>
      <c r="BY21" s="758"/>
      <c r="BZ21" s="754"/>
      <c r="CA21" s="754"/>
      <c r="CB21" s="754"/>
      <c r="CC21" s="754"/>
    </row>
    <row r="22" spans="1:81" s="17" customFormat="1" ht="15.95" customHeight="1">
      <c r="A22" s="109"/>
      <c r="B22" s="785">
        <v>3</v>
      </c>
      <c r="C22" s="1003"/>
      <c r="D22" s="1123"/>
      <c r="E22" s="1123"/>
      <c r="F22" s="1123"/>
      <c r="G22" s="1017"/>
      <c r="H22" s="1017"/>
      <c r="I22" s="1002"/>
      <c r="J22" s="1002"/>
      <c r="K22" s="1002"/>
      <c r="L22" s="1002"/>
      <c r="M22" s="1003"/>
      <c r="N22" s="1133"/>
      <c r="O22" s="1134"/>
      <c r="P22" s="1134"/>
      <c r="Q22" s="1134"/>
      <c r="R22" s="1134"/>
      <c r="S22" s="1134"/>
      <c r="T22" s="1108"/>
      <c r="U22" s="1108"/>
      <c r="V22" s="1109"/>
      <c r="W22" s="1040"/>
      <c r="X22" s="1010"/>
      <c r="Y22" s="1010"/>
      <c r="Z22" s="1010"/>
      <c r="AA22" s="1010"/>
      <c r="AB22" s="1011"/>
      <c r="AC22" s="1112"/>
      <c r="AD22" s="1113"/>
      <c r="AE22" s="1114"/>
      <c r="AF22" s="1104" t="str">
        <f>IFERROR(IF($C22="", "", IF(OR($C22 = "Retrofit existing", $C22 = "Replace in-life equip."), "Total", "Incremental")), "")</f>
        <v/>
      </c>
      <c r="AG22" s="1105"/>
      <c r="AH22" s="993"/>
      <c r="AI22" s="993"/>
      <c r="AJ22" s="1100" t="str">
        <f t="shared" ref="AJ22" si="10">IF(AF22="Incremental",0,"")</f>
        <v/>
      </c>
      <c r="AK22" s="1101"/>
      <c r="AL22" s="1030" t="str">
        <f>IF(OR(C22="",H22="",N22="",T22="",W22="",AC22="",AF22="",AH22="",AJ22=""),"",ROUND(AH22+AJ22,2))</f>
        <v/>
      </c>
      <c r="AM22" s="1031"/>
      <c r="AN22" s="1031"/>
      <c r="AO22" s="1036" t="str">
        <f>IF(OR(C22="",H22="",N22="",T22="",W22="",AC22="",AF22="",AH22="",AJ22=""),"",IF(BA22-BB22&lt;=0,0,ROUND(BA22-BB22,4)))</f>
        <v/>
      </c>
      <c r="AP22" s="1036"/>
      <c r="AQ22" s="1036"/>
      <c r="AR22" s="1072" t="str">
        <f>IF(OR(C22="",H22="",N22="",T22="",W22="",AC22="",AF22="",AH22="",AJ22=""),"",
IF(BY22&lt;&gt;"",BY22,IF(BP22&gt;0,BP22,
IF(AF22="Incremental",
IF(ACTIVEBLOCK="Yes",ROUND(MIN(AL22*INCCOSTCAP,AO22*BLOCKBIDRATE),2),
ROUND(MIN(AL22*INCCOSTCAP,BR22),2)),
IF(ACTIVEBLOCK="Yes",ROUND(MIN(AL22*TOTCOSTCAP,AO22*BLOCKBIDRATE),2),
ROUND(MIN(AL22*TOTCOSTCAP,BR22),2))))))</f>
        <v/>
      </c>
      <c r="AS22" s="1073"/>
      <c r="AT22" s="1073"/>
      <c r="AU22" s="1074"/>
      <c r="AV22" s="59"/>
      <c r="AW22" s="59"/>
      <c r="AX22" s="773" t="str">
        <f>IF(OR(C22="",H22=""),"",INDEX(CMEREFRI[Unit of Measure],MATCH(H22,CMEREFRI[Proj Desc 1],0)))</f>
        <v/>
      </c>
      <c r="AY22" s="759" t="str">
        <f t="shared" ref="AY22" si="11">IF(AO22&lt;&gt;"","Missing!","")</f>
        <v/>
      </c>
      <c r="AZ22" s="759" t="str">
        <f t="shared" ref="AZ22" si="12">IF(AO22&lt;&gt;"","Missing!","")</f>
        <v/>
      </c>
      <c r="BA22" s="771" t="str">
        <f t="shared" ref="BA22" si="13">IF(OR(C22="",H22="",N22="",T22="",W22="",AC22="",AF22="",AH22="",AJ22=""),"",ROUND(T22,4))</f>
        <v/>
      </c>
      <c r="BB22" s="771" t="str">
        <f t="shared" ref="BB22" si="14">IF(OR(C22="",H22="",N22="",T22="",W22="",AC22="",AF22="",AH22="",AJ22=""),"",ROUND(AC22,4))</f>
        <v/>
      </c>
      <c r="BC22" s="773" t="str">
        <f>IF(OR(C22="",H22=""),"",IF(INDEX(CMEREFRI[End Use Category],MATCH(H22,CMEREFRI[Proj Desc 1],0))="","",INDEX(CMEREFRI[End Use Category],MATCH(H22,CMEREFRI[Proj Desc 1],0))))</f>
        <v/>
      </c>
      <c r="BD22" s="757" t="str">
        <f t="shared" ref="BD22" si="15">IF(BE22&lt;&gt;"", "Calculated", "")</f>
        <v/>
      </c>
      <c r="BE22" s="775" t="str">
        <f t="shared" ref="BE22" si="16">IF(AND(BA22&lt;&gt;"", BB22&lt;&gt;""), ROUND(BA22-BB22,4), "")</f>
        <v/>
      </c>
      <c r="BF22" s="1098"/>
      <c r="BG22" s="775" t="str">
        <f>IFERROR(IF(OR(C22="",H22="",N22="",T22="",W22="",AC22="",AF22="",AH22="",AJ22=""),"",ROUND(AO22*INDEX(ENDUSEALL[Factor],MATCH(BC22,ENDUSEALL[End Use to Coincident Peak Demand Factors],0)),4)),"")</f>
        <v/>
      </c>
      <c r="BH22" s="761"/>
      <c r="BI22" s="761"/>
      <c r="BJ22" s="777" t="str">
        <f>IF(OR(C22="",H22=""),"",IF(INDEX(CMEREFRI[EUL],MATCH(H22,CMEREFRI[Proj Desc 1],0))="","",INDEX(CMEREFRI[EUL],MATCH(H22,CMEREFRI[Proj Desc 1],0))))</f>
        <v/>
      </c>
      <c r="BK22" s="767" t="str">
        <f>IFERROR(IF(OR(C22="",H22="",N22="",T22="",W22="",AC22="",AF22="",AH22="",AJ22=""),"",
ROUND(((1+ELOSS)*((AO22*INDEX(ELECCB[NPV AEC $/kWh],MATCH(BJ22,ELECCB[Year Number],1)))+(BG22*INDEX(ELECCB[NPV ACC $/kW],MATCH(BJ22,ELECCB[Year Number],1))))),2)),0)</f>
        <v/>
      </c>
      <c r="BL22" s="767" t="str">
        <f t="shared" si="0"/>
        <v/>
      </c>
      <c r="BM22" s="765"/>
      <c r="BN22" s="763" t="str">
        <f t="shared" si="1"/>
        <v/>
      </c>
      <c r="BO22" s="763" t="str">
        <f>IFERROR(IF(BM22 &lt;&gt; "", BM22, BL22) / M02S04F06 / AO22, "")</f>
        <v/>
      </c>
      <c r="BP22" s="769"/>
      <c r="BQ22" s="765"/>
      <c r="BR22" s="767" t="str">
        <f t="shared" ref="BR22" si="17">IFERROR(ROUND(AO22*BV22,2),"")</f>
        <v/>
      </c>
      <c r="BS22" s="765"/>
      <c r="BT22" s="765"/>
      <c r="BU22" s="757"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67"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57" t="str">
        <f>IF(OR(C22="",H22="",N22="",T22="",W22="",AC22="",AF22="",AH22="",AJ22=""),"",IF(BY22&lt;&gt;"",SPILLOVERNUMBER,INDEX(CMEREFRI[Measure Number],MATCH(H22,CMEREFRI[Proj Desc 1],0))))</f>
        <v/>
      </c>
      <c r="BX22" s="757" t="str" cm="1">
        <f t="array" ref="BX22">IFERROR(INDEX(_xlfn.SWITCH(Program_Banner,"Business Energy Savings",ENDUSEALL[Primary Key WBE],"Small Business / Non-Profit",ENDUSEALL[Primary Key HTRB],0),MATCH(BC22,ENDUSEALL[End Use to Coincident Peak Demand Factors],0)),"")</f>
        <v/>
      </c>
      <c r="BY22" s="757"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53"/>
      <c r="CA22" s="753"/>
      <c r="CB22" s="753"/>
      <c r="CC22" s="753"/>
    </row>
    <row r="23" spans="1:81" s="17" customFormat="1" ht="15.95" customHeight="1">
      <c r="A23" s="109"/>
      <c r="B23" s="785"/>
      <c r="C23" s="1003"/>
      <c r="D23" s="1123"/>
      <c r="E23" s="1123"/>
      <c r="F23" s="1123"/>
      <c r="G23" s="1017"/>
      <c r="H23" s="1017"/>
      <c r="I23" s="1002"/>
      <c r="J23" s="1002"/>
      <c r="K23" s="1002"/>
      <c r="L23" s="1002"/>
      <c r="M23" s="1003"/>
      <c r="N23" s="1055"/>
      <c r="O23" s="1050"/>
      <c r="P23" s="1050"/>
      <c r="Q23" s="1050"/>
      <c r="R23" s="1050"/>
      <c r="S23" s="1050"/>
      <c r="T23" s="1110"/>
      <c r="U23" s="1110"/>
      <c r="V23" s="1111"/>
      <c r="W23" s="1041"/>
      <c r="X23" s="1013"/>
      <c r="Y23" s="1013"/>
      <c r="Z23" s="1013"/>
      <c r="AA23" s="1013"/>
      <c r="AB23" s="1014"/>
      <c r="AC23" s="1115"/>
      <c r="AD23" s="1116"/>
      <c r="AE23" s="1117"/>
      <c r="AF23" s="1106"/>
      <c r="AG23" s="1107"/>
      <c r="AH23" s="993"/>
      <c r="AI23" s="993"/>
      <c r="AJ23" s="1102"/>
      <c r="AK23" s="1103"/>
      <c r="AL23" s="1006"/>
      <c r="AM23" s="1007"/>
      <c r="AN23" s="1007"/>
      <c r="AO23" s="1037"/>
      <c r="AP23" s="1037"/>
      <c r="AQ23" s="1037"/>
      <c r="AR23" s="1075"/>
      <c r="AS23" s="1076"/>
      <c r="AT23" s="1076"/>
      <c r="AU23" s="1077"/>
      <c r="AV23" s="59"/>
      <c r="AW23" s="59"/>
      <c r="AX23" s="774"/>
      <c r="AY23" s="760"/>
      <c r="AZ23" s="760"/>
      <c r="BA23" s="772"/>
      <c r="BB23" s="772"/>
      <c r="BC23" s="774"/>
      <c r="BD23" s="758"/>
      <c r="BE23" s="776"/>
      <c r="BF23" s="1099"/>
      <c r="BG23" s="776"/>
      <c r="BH23" s="762"/>
      <c r="BI23" s="762"/>
      <c r="BJ23" s="778"/>
      <c r="BK23" s="768"/>
      <c r="BL23" s="768"/>
      <c r="BM23" s="766"/>
      <c r="BN23" s="764"/>
      <c r="BO23" s="764"/>
      <c r="BP23" s="770"/>
      <c r="BQ23" s="766"/>
      <c r="BR23" s="768"/>
      <c r="BS23" s="766"/>
      <c r="BT23" s="766"/>
      <c r="BU23" s="758"/>
      <c r="BV23" s="768"/>
      <c r="BW23" s="758"/>
      <c r="BX23" s="758"/>
      <c r="BY23" s="758"/>
      <c r="BZ23" s="754"/>
      <c r="CA23" s="754"/>
      <c r="CB23" s="754"/>
      <c r="CC23" s="754"/>
    </row>
    <row r="24" spans="1:81" ht="15.95" customHeight="1">
      <c r="B24" s="785">
        <v>4</v>
      </c>
      <c r="C24" s="1003"/>
      <c r="D24" s="1123"/>
      <c r="E24" s="1123"/>
      <c r="F24" s="1123"/>
      <c r="G24" s="1017"/>
      <c r="H24" s="1017"/>
      <c r="I24" s="1002"/>
      <c r="J24" s="1002"/>
      <c r="K24" s="1002"/>
      <c r="L24" s="1002"/>
      <c r="M24" s="1003"/>
      <c r="N24" s="1133"/>
      <c r="O24" s="1134"/>
      <c r="P24" s="1134"/>
      <c r="Q24" s="1134"/>
      <c r="R24" s="1134"/>
      <c r="S24" s="1134"/>
      <c r="T24" s="1108"/>
      <c r="U24" s="1108"/>
      <c r="V24" s="1109"/>
      <c r="W24" s="1040"/>
      <c r="X24" s="1010"/>
      <c r="Y24" s="1010"/>
      <c r="Z24" s="1010"/>
      <c r="AA24" s="1010"/>
      <c r="AB24" s="1011"/>
      <c r="AC24" s="1112"/>
      <c r="AD24" s="1113"/>
      <c r="AE24" s="1114"/>
      <c r="AF24" s="1104" t="str">
        <f>IFERROR(IF($C24="", "", IF(OR($C24 = "Retrofit existing", $C24 = "Replace in-life equip."), "Total", "Incremental")), "")</f>
        <v/>
      </c>
      <c r="AG24" s="1105"/>
      <c r="AH24" s="993"/>
      <c r="AI24" s="993"/>
      <c r="AJ24" s="1100" t="str">
        <f t="shared" ref="AJ24" si="18">IF(AF24="Incremental",0,"")</f>
        <v/>
      </c>
      <c r="AK24" s="1101"/>
      <c r="AL24" s="1030" t="str">
        <f>IF(OR(C24="",H24="",N24="",T24="",W24="",AC24="",AF24="",AH24="",AJ24=""),"",ROUND(AH24+AJ24,2))</f>
        <v/>
      </c>
      <c r="AM24" s="1031"/>
      <c r="AN24" s="1031"/>
      <c r="AO24" s="1036" t="str">
        <f>IF(OR(C24="",H24="",N24="",T24="",W24="",AC24="",AF24="",AH24="",AJ24=""),"",IF(BA24-BB24&lt;=0,0,ROUND(BA24-BB24,4)))</f>
        <v/>
      </c>
      <c r="AP24" s="1036"/>
      <c r="AQ24" s="1036"/>
      <c r="AR24" s="1072" t="str">
        <f>IF(OR(C24="",H24="",N24="",T24="",W24="",AC24="",AF24="",AH24="",AJ24=""),"",
IF(BY24&lt;&gt;"",BY24,IF(BP24&gt;0,BP24,
IF(AF24="Incremental",
IF(ACTIVEBLOCK="Yes",ROUND(MIN(AL24*INCCOSTCAP,AO24*BLOCKBIDRATE),2),
ROUND(MIN(AL24*INCCOSTCAP,BR24),2)),
IF(ACTIVEBLOCK="Yes",ROUND(MIN(AL24*TOTCOSTCAP,AO24*BLOCKBIDRATE),2),
ROUND(MIN(AL24*TOTCOSTCAP,BR24),2))))))</f>
        <v/>
      </c>
      <c r="AS24" s="1073"/>
      <c r="AT24" s="1073"/>
      <c r="AU24" s="1074"/>
      <c r="AV24" s="37"/>
      <c r="AW24" s="37"/>
      <c r="AX24" s="773" t="str">
        <f>IF(OR(C24="",H24=""),"",INDEX(CMEREFRI[Unit of Measure],MATCH(H24,CMEREFRI[Proj Desc 1],0)))</f>
        <v/>
      </c>
      <c r="AY24" s="759" t="str">
        <f t="shared" ref="AY24" si="19">IF(AO24&lt;&gt;"","Missing!","")</f>
        <v/>
      </c>
      <c r="AZ24" s="759" t="str">
        <f t="shared" ref="AZ24" si="20">IF(AO24&lt;&gt;"","Missing!","")</f>
        <v/>
      </c>
      <c r="BA24" s="771" t="str">
        <f t="shared" ref="BA24" si="21">IF(OR(C24="",H24="",N24="",T24="",W24="",AC24="",AF24="",AH24="",AJ24=""),"",ROUND(T24,4))</f>
        <v/>
      </c>
      <c r="BB24" s="771" t="str">
        <f t="shared" ref="BB24" si="22">IF(OR(C24="",H24="",N24="",T24="",W24="",AC24="",AF24="",AH24="",AJ24=""),"",ROUND(AC24,4))</f>
        <v/>
      </c>
      <c r="BC24" s="773" t="str">
        <f>IF(OR(C24="",H24=""),"",IF(INDEX(CMEREFRI[End Use Category],MATCH(H24,CMEREFRI[Proj Desc 1],0))="","",INDEX(CMEREFRI[End Use Category],MATCH(H24,CMEREFRI[Proj Desc 1],0))))</f>
        <v/>
      </c>
      <c r="BD24" s="757" t="str">
        <f t="shared" ref="BD24" si="23">IF(BE24&lt;&gt;"", "Calculated", "")</f>
        <v/>
      </c>
      <c r="BE24" s="775" t="str">
        <f t="shared" ref="BE24" si="24">IF(AND(BA24&lt;&gt;"", BB24&lt;&gt;""), ROUND(BA24-BB24,4), "")</f>
        <v/>
      </c>
      <c r="BF24" s="1098"/>
      <c r="BG24" s="775" t="str">
        <f>IFERROR(IF(OR(C24="",H24="",N24="",T24="",W24="",AC24="",AF24="",AH24="",AJ24=""),"",ROUND(AO24*INDEX(ENDUSEALL[Factor],MATCH(BC24,ENDUSEALL[End Use to Coincident Peak Demand Factors],0)),4)),"")</f>
        <v/>
      </c>
      <c r="BH24" s="761"/>
      <c r="BI24" s="761"/>
      <c r="BJ24" s="777" t="str">
        <f>IF(OR(C24="",H24=""),"",IF(INDEX(CMEREFRI[EUL],MATCH(H24,CMEREFRI[Proj Desc 1],0))="","",INDEX(CMEREFRI[EUL],MATCH(H24,CMEREFRI[Proj Desc 1],0))))</f>
        <v/>
      </c>
      <c r="BK24" s="767" t="str">
        <f>IFERROR(IF(OR(C24="",H24="",N24="",T24="",W24="",AC24="",AF24="",AH24="",AJ24=""),"",
ROUND(((1+ELOSS)*((AO24*INDEX(ELECCB[NPV AEC $/kWh],MATCH(BJ24,ELECCB[Year Number],1)))+(BG24*INDEX(ELECCB[NPV ACC $/kW],MATCH(BJ24,ELECCB[Year Number],1))))),2)),0)</f>
        <v/>
      </c>
      <c r="BL24" s="767" t="str">
        <f t="shared" si="0"/>
        <v/>
      </c>
      <c r="BM24" s="765"/>
      <c r="BN24" s="763" t="str">
        <f t="shared" si="1"/>
        <v/>
      </c>
      <c r="BO24" s="763" t="str">
        <f>IFERROR(IF(BM24 &lt;&gt; "", BM24, BL24) / M02S04F06 / AO24, "")</f>
        <v/>
      </c>
      <c r="BP24" s="769"/>
      <c r="BQ24" s="765"/>
      <c r="BR24" s="767" t="str">
        <f t="shared" ref="BR24" si="25">IFERROR(ROUND(AO24*BV24,2),"")</f>
        <v/>
      </c>
      <c r="BS24" s="765"/>
      <c r="BT24" s="765"/>
      <c r="BU24" s="757"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67"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57" t="str">
        <f>IF(OR(C24="",H24="",N24="",T24="",W24="",AC24="",AF24="",AH24="",AJ24=""),"",IF(BY24&lt;&gt;"",SPILLOVERNUMBER,INDEX(CMEREFRI[Measure Number],MATCH(H24,CMEREFRI[Proj Desc 1],0))))</f>
        <v/>
      </c>
      <c r="BX24" s="757" t="str" cm="1">
        <f t="array" ref="BX24">IFERROR(INDEX(_xlfn.SWITCH(Program_Banner,"Business Energy Savings",ENDUSEALL[Primary Key WBE],"Small Business / Non-Profit",ENDUSEALL[Primary Key HTRB],0),MATCH(BC24,ENDUSEALL[End Use to Coincident Peak Demand Factors],0)),"")</f>
        <v/>
      </c>
      <c r="BY24" s="757"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53"/>
      <c r="CA24" s="753"/>
      <c r="CB24" s="753"/>
      <c r="CC24" s="753"/>
    </row>
    <row r="25" spans="1:81" ht="15.95" customHeight="1">
      <c r="A25" s="75"/>
      <c r="B25" s="785"/>
      <c r="C25" s="1003"/>
      <c r="D25" s="1123"/>
      <c r="E25" s="1123"/>
      <c r="F25" s="1123"/>
      <c r="G25" s="1017"/>
      <c r="H25" s="1017"/>
      <c r="I25" s="1002"/>
      <c r="J25" s="1002"/>
      <c r="K25" s="1002"/>
      <c r="L25" s="1002"/>
      <c r="M25" s="1003"/>
      <c r="N25" s="1055"/>
      <c r="O25" s="1050"/>
      <c r="P25" s="1050"/>
      <c r="Q25" s="1050"/>
      <c r="R25" s="1050"/>
      <c r="S25" s="1050"/>
      <c r="T25" s="1110"/>
      <c r="U25" s="1110"/>
      <c r="V25" s="1111"/>
      <c r="W25" s="1041"/>
      <c r="X25" s="1013"/>
      <c r="Y25" s="1013"/>
      <c r="Z25" s="1013"/>
      <c r="AA25" s="1013"/>
      <c r="AB25" s="1014"/>
      <c r="AC25" s="1115"/>
      <c r="AD25" s="1116"/>
      <c r="AE25" s="1117"/>
      <c r="AF25" s="1106"/>
      <c r="AG25" s="1107"/>
      <c r="AH25" s="993"/>
      <c r="AI25" s="993"/>
      <c r="AJ25" s="1102"/>
      <c r="AK25" s="1103"/>
      <c r="AL25" s="1006"/>
      <c r="AM25" s="1007"/>
      <c r="AN25" s="1007"/>
      <c r="AO25" s="1037"/>
      <c r="AP25" s="1037"/>
      <c r="AQ25" s="1037"/>
      <c r="AR25" s="1075"/>
      <c r="AS25" s="1076"/>
      <c r="AT25" s="1076"/>
      <c r="AU25" s="1077"/>
      <c r="AV25" s="37"/>
      <c r="AW25" s="37"/>
      <c r="AX25" s="774"/>
      <c r="AY25" s="760"/>
      <c r="AZ25" s="760"/>
      <c r="BA25" s="772"/>
      <c r="BB25" s="772"/>
      <c r="BC25" s="774"/>
      <c r="BD25" s="758"/>
      <c r="BE25" s="776"/>
      <c r="BF25" s="1099"/>
      <c r="BG25" s="776"/>
      <c r="BH25" s="762"/>
      <c r="BI25" s="762"/>
      <c r="BJ25" s="778"/>
      <c r="BK25" s="768"/>
      <c r="BL25" s="768"/>
      <c r="BM25" s="766"/>
      <c r="BN25" s="764"/>
      <c r="BO25" s="764"/>
      <c r="BP25" s="770"/>
      <c r="BQ25" s="766"/>
      <c r="BR25" s="768"/>
      <c r="BS25" s="766"/>
      <c r="BT25" s="766"/>
      <c r="BU25" s="758"/>
      <c r="BV25" s="768"/>
      <c r="BW25" s="758"/>
      <c r="BX25" s="758"/>
      <c r="BY25" s="758"/>
      <c r="BZ25" s="754"/>
      <c r="CA25" s="754"/>
      <c r="CB25" s="754"/>
      <c r="CC25" s="754"/>
    </row>
    <row r="26" spans="1:81" ht="15.95" customHeight="1">
      <c r="B26" s="785">
        <v>5</v>
      </c>
      <c r="C26" s="1003"/>
      <c r="D26" s="1123"/>
      <c r="E26" s="1123"/>
      <c r="F26" s="1123"/>
      <c r="G26" s="1017"/>
      <c r="H26" s="1017"/>
      <c r="I26" s="1002"/>
      <c r="J26" s="1002"/>
      <c r="K26" s="1002"/>
      <c r="L26" s="1002"/>
      <c r="M26" s="1003"/>
      <c r="N26" s="1133"/>
      <c r="O26" s="1134"/>
      <c r="P26" s="1134"/>
      <c r="Q26" s="1134"/>
      <c r="R26" s="1134"/>
      <c r="S26" s="1134"/>
      <c r="T26" s="1108"/>
      <c r="U26" s="1108"/>
      <c r="V26" s="1109"/>
      <c r="W26" s="1040"/>
      <c r="X26" s="1010"/>
      <c r="Y26" s="1010"/>
      <c r="Z26" s="1010"/>
      <c r="AA26" s="1010"/>
      <c r="AB26" s="1011"/>
      <c r="AC26" s="1112"/>
      <c r="AD26" s="1113"/>
      <c r="AE26" s="1114"/>
      <c r="AF26" s="1104" t="str">
        <f>IFERROR(IF($C26="", "", IF(OR($C26 = "Retrofit existing", $C26 = "Replace in-life equip."), "Total", "Incremental")), "")</f>
        <v/>
      </c>
      <c r="AG26" s="1105"/>
      <c r="AH26" s="993"/>
      <c r="AI26" s="993"/>
      <c r="AJ26" s="1100" t="str">
        <f t="shared" ref="AJ26" si="26">IF(AF26="Incremental",0,"")</f>
        <v/>
      </c>
      <c r="AK26" s="1101"/>
      <c r="AL26" s="1030" t="str">
        <f>IF(OR(C26="",H26="",N26="",T26="",W26="",AC26="",AF26="",AH26="",AJ26=""),"",ROUND(AH26+AJ26,2))</f>
        <v/>
      </c>
      <c r="AM26" s="1031"/>
      <c r="AN26" s="1031"/>
      <c r="AO26" s="1036" t="str">
        <f>IF(OR(C26="",H26="",N26="",T26="",W26="",AC26="",AF26="",AH26="",AJ26=""),"",IF(BA26-BB26&lt;=0,0,ROUND(BA26-BB26,4)))</f>
        <v/>
      </c>
      <c r="AP26" s="1036"/>
      <c r="AQ26" s="1036"/>
      <c r="AR26" s="1072" t="str">
        <f>IF(OR(C26="",H26="",N26="",T26="",W26="",AC26="",AF26="",AH26="",AJ26=""),"",
IF(BY26&lt;&gt;"",BY26,IF(BP26&gt;0,BP26,
IF(AF26="Incremental",
IF(ACTIVEBLOCK="Yes",ROUND(MIN(AL26*INCCOSTCAP,AO26*BLOCKBIDRATE),2),
ROUND(MIN(AL26*INCCOSTCAP,BR26),2)),
IF(ACTIVEBLOCK="Yes",ROUND(MIN(AL26*TOTCOSTCAP,AO26*BLOCKBIDRATE),2),
ROUND(MIN(AL26*TOTCOSTCAP,BR26),2))))))</f>
        <v/>
      </c>
      <c r="AS26" s="1073"/>
      <c r="AT26" s="1073"/>
      <c r="AU26" s="1074"/>
      <c r="AV26" s="37"/>
      <c r="AW26" s="37"/>
      <c r="AX26" s="773" t="str">
        <f>IF(OR(C26="",H26=""),"",INDEX(CMEREFRI[Unit of Measure],MATCH(H26,CMEREFRI[Proj Desc 1],0)))</f>
        <v/>
      </c>
      <c r="AY26" s="759" t="str">
        <f t="shared" ref="AY26" si="27">IF(AO26&lt;&gt;"","Missing!","")</f>
        <v/>
      </c>
      <c r="AZ26" s="759" t="str">
        <f t="shared" ref="AZ26" si="28">IF(AO26&lt;&gt;"","Missing!","")</f>
        <v/>
      </c>
      <c r="BA26" s="771" t="str">
        <f t="shared" ref="BA26" si="29">IF(OR(C26="",H26="",N26="",T26="",W26="",AC26="",AF26="",AH26="",AJ26=""),"",ROUND(T26,4))</f>
        <v/>
      </c>
      <c r="BB26" s="771" t="str">
        <f t="shared" ref="BB26" si="30">IF(OR(C26="",H26="",N26="",T26="",W26="",AC26="",AF26="",AH26="",AJ26=""),"",ROUND(AC26,4))</f>
        <v/>
      </c>
      <c r="BC26" s="773" t="str">
        <f>IF(OR(C26="",H26=""),"",IF(INDEX(CMEREFRI[End Use Category],MATCH(H26,CMEREFRI[Proj Desc 1],0))="","",INDEX(CMEREFRI[End Use Category],MATCH(H26,CMEREFRI[Proj Desc 1],0))))</f>
        <v/>
      </c>
      <c r="BD26" s="757" t="str">
        <f t="shared" ref="BD26" si="31">IF(BE26&lt;&gt;"", "Calculated", "")</f>
        <v/>
      </c>
      <c r="BE26" s="775" t="str">
        <f t="shared" ref="BE26" si="32">IF(AND(BA26&lt;&gt;"", BB26&lt;&gt;""), ROUND(BA26-BB26,4), "")</f>
        <v/>
      </c>
      <c r="BF26" s="1098"/>
      <c r="BG26" s="775" t="str">
        <f>IFERROR(IF(OR(C26="",H26="",N26="",T26="",W26="",AC26="",AF26="",AH26="",AJ26=""),"",ROUND(AO26*INDEX(ENDUSEALL[Factor],MATCH(BC26,ENDUSEALL[End Use to Coincident Peak Demand Factors],0)),4)),"")</f>
        <v/>
      </c>
      <c r="BH26" s="761"/>
      <c r="BI26" s="761"/>
      <c r="BJ26" s="777" t="str">
        <f>IF(OR(C26="",H26=""),"",IF(INDEX(CMEREFRI[EUL],MATCH(H26,CMEREFRI[Proj Desc 1],0))="","",INDEX(CMEREFRI[EUL],MATCH(H26,CMEREFRI[Proj Desc 1],0))))</f>
        <v/>
      </c>
      <c r="BK26" s="767" t="str">
        <f>IFERROR(IF(OR(C26="",H26="",N26="",T26="",W26="",AC26="",AF26="",AH26="",AJ26=""),"",
ROUND(((1+ELOSS)*((AO26*INDEX(ELECCB[NPV AEC $/kWh],MATCH(BJ26,ELECCB[Year Number],1)))+(BG26*INDEX(ELECCB[NPV ACC $/kW],MATCH(BJ26,ELECCB[Year Number],1))))),2)),0)</f>
        <v/>
      </c>
      <c r="BL26" s="767" t="str">
        <f t="shared" si="0"/>
        <v/>
      </c>
      <c r="BM26" s="765"/>
      <c r="BN26" s="763" t="str">
        <f t="shared" si="1"/>
        <v/>
      </c>
      <c r="BO26" s="763" t="str">
        <f>IFERROR(IF(BM26 &lt;&gt; "", BM26, BL26) / M02S04F06 / AO26, "")</f>
        <v/>
      </c>
      <c r="BP26" s="769"/>
      <c r="BQ26" s="765"/>
      <c r="BR26" s="767" t="str">
        <f t="shared" ref="BR26" si="33">IFERROR(ROUND(AO26*BV26,2),"")</f>
        <v/>
      </c>
      <c r="BS26" s="765"/>
      <c r="BT26" s="765"/>
      <c r="BU26" s="757"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67"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57" t="str">
        <f>IF(OR(C26="",H26="",N26="",T26="",W26="",AC26="",AF26="",AH26="",AJ26=""),"",IF(BY26&lt;&gt;"",SPILLOVERNUMBER,INDEX(CMEREFRI[Measure Number],MATCH(H26,CMEREFRI[Proj Desc 1],0))))</f>
        <v/>
      </c>
      <c r="BX26" s="757" t="str" cm="1">
        <f t="array" ref="BX26">IFERROR(INDEX(_xlfn.SWITCH(Program_Banner,"Business Energy Savings",ENDUSEALL[Primary Key WBE],"Small Business / Non-Profit",ENDUSEALL[Primary Key HTRB],0),MATCH(BC26,ENDUSEALL[End Use to Coincident Peak Demand Factors],0)),"")</f>
        <v/>
      </c>
      <c r="BY26" s="757"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53"/>
      <c r="CA26" s="753"/>
      <c r="CB26" s="753"/>
      <c r="CC26" s="753"/>
    </row>
    <row r="27" spans="1:81" ht="15.95" customHeight="1">
      <c r="B27" s="785"/>
      <c r="C27" s="1003"/>
      <c r="D27" s="1123"/>
      <c r="E27" s="1123"/>
      <c r="F27" s="1123"/>
      <c r="G27" s="1017"/>
      <c r="H27" s="1017"/>
      <c r="I27" s="1002"/>
      <c r="J27" s="1002"/>
      <c r="K27" s="1002"/>
      <c r="L27" s="1002"/>
      <c r="M27" s="1003"/>
      <c r="N27" s="1055"/>
      <c r="O27" s="1050"/>
      <c r="P27" s="1050"/>
      <c r="Q27" s="1050"/>
      <c r="R27" s="1050"/>
      <c r="S27" s="1050"/>
      <c r="T27" s="1110"/>
      <c r="U27" s="1110"/>
      <c r="V27" s="1111"/>
      <c r="W27" s="1041"/>
      <c r="X27" s="1013"/>
      <c r="Y27" s="1013"/>
      <c r="Z27" s="1013"/>
      <c r="AA27" s="1013"/>
      <c r="AB27" s="1014"/>
      <c r="AC27" s="1115"/>
      <c r="AD27" s="1116"/>
      <c r="AE27" s="1117"/>
      <c r="AF27" s="1106"/>
      <c r="AG27" s="1107"/>
      <c r="AH27" s="993"/>
      <c r="AI27" s="993"/>
      <c r="AJ27" s="1102"/>
      <c r="AK27" s="1103"/>
      <c r="AL27" s="1006"/>
      <c r="AM27" s="1007"/>
      <c r="AN27" s="1007"/>
      <c r="AO27" s="1037"/>
      <c r="AP27" s="1037"/>
      <c r="AQ27" s="1037"/>
      <c r="AR27" s="1075"/>
      <c r="AS27" s="1076"/>
      <c r="AT27" s="1076"/>
      <c r="AU27" s="1077"/>
      <c r="AV27" s="37"/>
      <c r="AW27" s="37"/>
      <c r="AX27" s="774"/>
      <c r="AY27" s="760"/>
      <c r="AZ27" s="760"/>
      <c r="BA27" s="772"/>
      <c r="BB27" s="772"/>
      <c r="BC27" s="774"/>
      <c r="BD27" s="758"/>
      <c r="BE27" s="776"/>
      <c r="BF27" s="1099"/>
      <c r="BG27" s="776"/>
      <c r="BH27" s="762"/>
      <c r="BI27" s="762"/>
      <c r="BJ27" s="778"/>
      <c r="BK27" s="768"/>
      <c r="BL27" s="768"/>
      <c r="BM27" s="766"/>
      <c r="BN27" s="764"/>
      <c r="BO27" s="764"/>
      <c r="BP27" s="770"/>
      <c r="BQ27" s="766"/>
      <c r="BR27" s="768"/>
      <c r="BS27" s="766"/>
      <c r="BT27" s="766"/>
      <c r="BU27" s="758"/>
      <c r="BV27" s="768"/>
      <c r="BW27" s="758"/>
      <c r="BX27" s="758"/>
      <c r="BY27" s="758"/>
      <c r="BZ27" s="754"/>
      <c r="CA27" s="754"/>
      <c r="CB27" s="754"/>
      <c r="CC27" s="754"/>
    </row>
    <row r="28" spans="1:81" ht="15.95" customHeight="1">
      <c r="B28" s="785">
        <v>6</v>
      </c>
      <c r="C28" s="1003"/>
      <c r="D28" s="1123"/>
      <c r="E28" s="1123"/>
      <c r="F28" s="1123"/>
      <c r="G28" s="1017"/>
      <c r="H28" s="1017"/>
      <c r="I28" s="1002"/>
      <c r="J28" s="1002"/>
      <c r="K28" s="1002"/>
      <c r="L28" s="1002"/>
      <c r="M28" s="1003"/>
      <c r="N28" s="1133"/>
      <c r="O28" s="1134"/>
      <c r="P28" s="1134"/>
      <c r="Q28" s="1134"/>
      <c r="R28" s="1134"/>
      <c r="S28" s="1134"/>
      <c r="T28" s="1108"/>
      <c r="U28" s="1108"/>
      <c r="V28" s="1109"/>
      <c r="W28" s="1040"/>
      <c r="X28" s="1010"/>
      <c r="Y28" s="1010"/>
      <c r="Z28" s="1010"/>
      <c r="AA28" s="1010"/>
      <c r="AB28" s="1011"/>
      <c r="AC28" s="1112"/>
      <c r="AD28" s="1113"/>
      <c r="AE28" s="1114"/>
      <c r="AF28" s="1104" t="str">
        <f>IFERROR(IF($C28="", "", IF(OR($C28 = "Retrofit existing", $C28 = "Replace in-life equip."), "Total", "Incremental")), "")</f>
        <v/>
      </c>
      <c r="AG28" s="1105"/>
      <c r="AH28" s="993"/>
      <c r="AI28" s="993"/>
      <c r="AJ28" s="1100" t="str">
        <f t="shared" ref="AJ28" si="34">IF(AF28="Incremental",0,"")</f>
        <v/>
      </c>
      <c r="AK28" s="1101"/>
      <c r="AL28" s="1030" t="str">
        <f>IF(OR(C28="",H28="",N28="",T28="",W28="",AC28="",AF28="",AH28="",AJ28=""),"",ROUND(AH28+AJ28,2))</f>
        <v/>
      </c>
      <c r="AM28" s="1031"/>
      <c r="AN28" s="1031"/>
      <c r="AO28" s="1036" t="str">
        <f>IF(OR(C28="",H28="",N28="",T28="",W28="",AC28="",AF28="",AH28="",AJ28=""),"",IF(BA28-BB28&lt;=0,0,ROUND(BA28-BB28,4)))</f>
        <v/>
      </c>
      <c r="AP28" s="1036"/>
      <c r="AQ28" s="1036"/>
      <c r="AR28" s="1072" t="str">
        <f>IF(OR(C28="",H28="",N28="",T28="",W28="",AC28="",AF28="",AH28="",AJ28=""),"",
IF(BY28&lt;&gt;"",BY28,IF(BP28&gt;0,BP28,
IF(AF28="Incremental",
IF(ACTIVEBLOCK="Yes",ROUND(MIN(AL28*INCCOSTCAP,AO28*BLOCKBIDRATE),2),
ROUND(MIN(AL28*INCCOSTCAP,BR28),2)),
IF(ACTIVEBLOCK="Yes",ROUND(MIN(AL28*TOTCOSTCAP,AO28*BLOCKBIDRATE),2),
ROUND(MIN(AL28*TOTCOSTCAP,BR28),2))))))</f>
        <v/>
      </c>
      <c r="AS28" s="1073"/>
      <c r="AT28" s="1073"/>
      <c r="AU28" s="1074"/>
      <c r="AV28" s="37"/>
      <c r="AW28" s="37"/>
      <c r="AX28" s="773" t="str">
        <f>IF(OR(C28="",H28=""),"",INDEX(CMEREFRI[Unit of Measure],MATCH(H28,CMEREFRI[Proj Desc 1],0)))</f>
        <v/>
      </c>
      <c r="AY28" s="759" t="str">
        <f t="shared" ref="AY28" si="35">IF(AO28&lt;&gt;"","Missing!","")</f>
        <v/>
      </c>
      <c r="AZ28" s="759" t="str">
        <f t="shared" ref="AZ28" si="36">IF(AO28&lt;&gt;"","Missing!","")</f>
        <v/>
      </c>
      <c r="BA28" s="771" t="str">
        <f t="shared" ref="BA28" si="37">IF(OR(C28="",H28="",N28="",T28="",W28="",AC28="",AF28="",AH28="",AJ28=""),"",ROUND(T28,4))</f>
        <v/>
      </c>
      <c r="BB28" s="771" t="str">
        <f t="shared" ref="BB28" si="38">IF(OR(C28="",H28="",N28="",T28="",W28="",AC28="",AF28="",AH28="",AJ28=""),"",ROUND(AC28,4))</f>
        <v/>
      </c>
      <c r="BC28" s="773" t="str">
        <f>IF(OR(C28="",H28=""),"",IF(INDEX(CMEREFRI[End Use Category],MATCH(H28,CMEREFRI[Proj Desc 1],0))="","",INDEX(CMEREFRI[End Use Category],MATCH(H28,CMEREFRI[Proj Desc 1],0))))</f>
        <v/>
      </c>
      <c r="BD28" s="757" t="str">
        <f t="shared" ref="BD28" si="39">IF(BE28&lt;&gt;"", "Calculated", "")</f>
        <v/>
      </c>
      <c r="BE28" s="775" t="str">
        <f t="shared" ref="BE28" si="40">IF(AND(BA28&lt;&gt;"", BB28&lt;&gt;""), ROUND(BA28-BB28,4), "")</f>
        <v/>
      </c>
      <c r="BF28" s="1098"/>
      <c r="BG28" s="775" t="str">
        <f>IFERROR(IF(OR(C28="",H28="",N28="",T28="",W28="",AC28="",AF28="",AH28="",AJ28=""),"",ROUND(AO28*INDEX(ENDUSEALL[Factor],MATCH(BC28,ENDUSEALL[End Use to Coincident Peak Demand Factors],0)),4)),"")</f>
        <v/>
      </c>
      <c r="BH28" s="761"/>
      <c r="BI28" s="761"/>
      <c r="BJ28" s="777" t="str">
        <f>IF(OR(C28="",H28=""),"",IF(INDEX(CMEREFRI[EUL],MATCH(H28,CMEREFRI[Proj Desc 1],0))="","",INDEX(CMEREFRI[EUL],MATCH(H28,CMEREFRI[Proj Desc 1],0))))</f>
        <v/>
      </c>
      <c r="BK28" s="767" t="str">
        <f>IFERROR(IF(OR(C28="",H28="",N28="",T28="",W28="",AC28="",AF28="",AH28="",AJ28=""),"",
ROUND(((1+ELOSS)*((AO28*INDEX(ELECCB[NPV AEC $/kWh],MATCH(BJ28,ELECCB[Year Number],1)))+(BG28*INDEX(ELECCB[NPV ACC $/kW],MATCH(BJ28,ELECCB[Year Number],1))))),2)),0)</f>
        <v/>
      </c>
      <c r="BL28" s="767" t="str">
        <f t="shared" si="0"/>
        <v/>
      </c>
      <c r="BM28" s="765"/>
      <c r="BN28" s="763" t="str">
        <f t="shared" si="1"/>
        <v/>
      </c>
      <c r="BO28" s="763" t="str">
        <f>IFERROR(IF(BM28 &lt;&gt; "", BM28, BL28) / M02S04F06 / AO28, "")</f>
        <v/>
      </c>
      <c r="BP28" s="769"/>
      <c r="BQ28" s="765"/>
      <c r="BR28" s="767" t="str">
        <f t="shared" ref="BR28" si="41">IFERROR(ROUND(AO28*BV28,2),"")</f>
        <v/>
      </c>
      <c r="BS28" s="765"/>
      <c r="BT28" s="765"/>
      <c r="BU28" s="757"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67"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57" t="str">
        <f>IF(OR(C28="",H28="",N28="",T28="",W28="",AC28="",AF28="",AH28="",AJ28=""),"",IF(BY28&lt;&gt;"",SPILLOVERNUMBER,INDEX(CMEREFRI[Measure Number],MATCH(H28,CMEREFRI[Proj Desc 1],0))))</f>
        <v/>
      </c>
      <c r="BX28" s="757" t="str" cm="1">
        <f t="array" ref="BX28">IFERROR(INDEX(_xlfn.SWITCH(Program_Banner,"Business Energy Savings",ENDUSEALL[Primary Key WBE],"Small Business / Non-Profit",ENDUSEALL[Primary Key HTRB],0),MATCH(BC28,ENDUSEALL[End Use to Coincident Peak Demand Factors],0)),"")</f>
        <v/>
      </c>
      <c r="BY28" s="757"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53"/>
      <c r="CA28" s="753"/>
      <c r="CB28" s="753"/>
      <c r="CC28" s="753"/>
    </row>
    <row r="29" spans="1:81" ht="15.95" customHeight="1">
      <c r="B29" s="785"/>
      <c r="C29" s="1003"/>
      <c r="D29" s="1123"/>
      <c r="E29" s="1123"/>
      <c r="F29" s="1123"/>
      <c r="G29" s="1017"/>
      <c r="H29" s="1017"/>
      <c r="I29" s="1002"/>
      <c r="J29" s="1002"/>
      <c r="K29" s="1002"/>
      <c r="L29" s="1002"/>
      <c r="M29" s="1003"/>
      <c r="N29" s="1055"/>
      <c r="O29" s="1050"/>
      <c r="P29" s="1050"/>
      <c r="Q29" s="1050"/>
      <c r="R29" s="1050"/>
      <c r="S29" s="1050"/>
      <c r="T29" s="1110"/>
      <c r="U29" s="1110"/>
      <c r="V29" s="1111"/>
      <c r="W29" s="1041"/>
      <c r="X29" s="1013"/>
      <c r="Y29" s="1013"/>
      <c r="Z29" s="1013"/>
      <c r="AA29" s="1013"/>
      <c r="AB29" s="1014"/>
      <c r="AC29" s="1115"/>
      <c r="AD29" s="1116"/>
      <c r="AE29" s="1117"/>
      <c r="AF29" s="1106"/>
      <c r="AG29" s="1107"/>
      <c r="AH29" s="993"/>
      <c r="AI29" s="993"/>
      <c r="AJ29" s="1102"/>
      <c r="AK29" s="1103"/>
      <c r="AL29" s="1006"/>
      <c r="AM29" s="1007"/>
      <c r="AN29" s="1007"/>
      <c r="AO29" s="1037"/>
      <c r="AP29" s="1037"/>
      <c r="AQ29" s="1037"/>
      <c r="AR29" s="1075"/>
      <c r="AS29" s="1076"/>
      <c r="AT29" s="1076"/>
      <c r="AU29" s="1077"/>
      <c r="AV29" s="37"/>
      <c r="AW29" s="37"/>
      <c r="AX29" s="774"/>
      <c r="AY29" s="760"/>
      <c r="AZ29" s="760"/>
      <c r="BA29" s="772"/>
      <c r="BB29" s="772"/>
      <c r="BC29" s="774"/>
      <c r="BD29" s="758"/>
      <c r="BE29" s="776"/>
      <c r="BF29" s="1099"/>
      <c r="BG29" s="776"/>
      <c r="BH29" s="762"/>
      <c r="BI29" s="762"/>
      <c r="BJ29" s="778"/>
      <c r="BK29" s="768"/>
      <c r="BL29" s="768"/>
      <c r="BM29" s="766"/>
      <c r="BN29" s="764"/>
      <c r="BO29" s="764"/>
      <c r="BP29" s="770"/>
      <c r="BQ29" s="766"/>
      <c r="BR29" s="768"/>
      <c r="BS29" s="766"/>
      <c r="BT29" s="766"/>
      <c r="BU29" s="758"/>
      <c r="BV29" s="768"/>
      <c r="BW29" s="758"/>
      <c r="BX29" s="758"/>
      <c r="BY29" s="758"/>
      <c r="BZ29" s="754"/>
      <c r="CA29" s="754"/>
      <c r="CB29" s="754"/>
      <c r="CC29" s="754"/>
    </row>
    <row r="30" spans="1:81" ht="15.95" customHeight="1">
      <c r="B30" s="785">
        <v>7</v>
      </c>
      <c r="C30" s="1003"/>
      <c r="D30" s="1123"/>
      <c r="E30" s="1123"/>
      <c r="F30" s="1123"/>
      <c r="G30" s="1017"/>
      <c r="H30" s="1017"/>
      <c r="I30" s="1002"/>
      <c r="J30" s="1002"/>
      <c r="K30" s="1002"/>
      <c r="L30" s="1002"/>
      <c r="M30" s="1003"/>
      <c r="N30" s="1133"/>
      <c r="O30" s="1134"/>
      <c r="P30" s="1134"/>
      <c r="Q30" s="1134"/>
      <c r="R30" s="1134"/>
      <c r="S30" s="1134"/>
      <c r="T30" s="1108"/>
      <c r="U30" s="1108"/>
      <c r="V30" s="1109"/>
      <c r="W30" s="1040"/>
      <c r="X30" s="1010"/>
      <c r="Y30" s="1010"/>
      <c r="Z30" s="1010"/>
      <c r="AA30" s="1010"/>
      <c r="AB30" s="1011"/>
      <c r="AC30" s="1112"/>
      <c r="AD30" s="1113"/>
      <c r="AE30" s="1114"/>
      <c r="AF30" s="1104" t="str">
        <f>IFERROR(IF($C30="", "", IF(OR($C30 = "Retrofit existing", $C30 = "Replace in-life equip."), "Total", "Incremental")), "")</f>
        <v/>
      </c>
      <c r="AG30" s="1105"/>
      <c r="AH30" s="993"/>
      <c r="AI30" s="993"/>
      <c r="AJ30" s="1100" t="str">
        <f t="shared" ref="AJ30" si="42">IF(AF30="Incremental",0,"")</f>
        <v/>
      </c>
      <c r="AK30" s="1101"/>
      <c r="AL30" s="1030" t="str">
        <f>IF(OR(C30="",H30="",N30="",T30="",W30="",AC30="",AF30="",AH30="",AJ30=""),"",ROUND(AH30+AJ30,2))</f>
        <v/>
      </c>
      <c r="AM30" s="1031"/>
      <c r="AN30" s="1031"/>
      <c r="AO30" s="1036" t="str">
        <f>IF(OR(C30="",H30="",N30="",T30="",W30="",AC30="",AF30="",AH30="",AJ30=""),"",IF(BA30-BB30&lt;=0,0,ROUND(BA30-BB30,4)))</f>
        <v/>
      </c>
      <c r="AP30" s="1036"/>
      <c r="AQ30" s="1036"/>
      <c r="AR30" s="1072" t="str">
        <f>IF(OR(C30="",H30="",N30="",T30="",W30="",AC30="",AF30="",AH30="",AJ30=""),"",
IF(BY30&lt;&gt;"",BY30,IF(BP30&gt;0,BP30,
IF(AF30="Incremental",
IF(ACTIVEBLOCK="Yes",ROUND(MIN(AL30*INCCOSTCAP,AO30*BLOCKBIDRATE),2),
ROUND(MIN(AL30*INCCOSTCAP,BR30),2)),
IF(ACTIVEBLOCK="Yes",ROUND(MIN(AL30*TOTCOSTCAP,AO30*BLOCKBIDRATE),2),
ROUND(MIN(AL30*TOTCOSTCAP,BR30),2))))))</f>
        <v/>
      </c>
      <c r="AS30" s="1073"/>
      <c r="AT30" s="1073"/>
      <c r="AU30" s="1074"/>
      <c r="AV30" s="37"/>
      <c r="AW30" s="37"/>
      <c r="AX30" s="773" t="str">
        <f>IF(OR(C30="",H30=""),"",INDEX(CMEREFRI[Unit of Measure],MATCH(H30,CMEREFRI[Proj Desc 1],0)))</f>
        <v/>
      </c>
      <c r="AY30" s="759" t="str">
        <f t="shared" ref="AY30" si="43">IF(AO30&lt;&gt;"","Missing!","")</f>
        <v/>
      </c>
      <c r="AZ30" s="759" t="str">
        <f t="shared" ref="AZ30" si="44">IF(AO30&lt;&gt;"","Missing!","")</f>
        <v/>
      </c>
      <c r="BA30" s="771" t="str">
        <f t="shared" ref="BA30" si="45">IF(OR(C30="",H30="",N30="",T30="",W30="",AC30="",AF30="",AH30="",AJ30=""),"",ROUND(T30,4))</f>
        <v/>
      </c>
      <c r="BB30" s="771" t="str">
        <f t="shared" ref="BB30" si="46">IF(OR(C30="",H30="",N30="",T30="",W30="",AC30="",AF30="",AH30="",AJ30=""),"",ROUND(AC30,4))</f>
        <v/>
      </c>
      <c r="BC30" s="773" t="str">
        <f>IF(OR(C30="",H30=""),"",IF(INDEX(CMEREFRI[End Use Category],MATCH(H30,CMEREFRI[Proj Desc 1],0))="","",INDEX(CMEREFRI[End Use Category],MATCH(H30,CMEREFRI[Proj Desc 1],0))))</f>
        <v/>
      </c>
      <c r="BD30" s="757" t="str">
        <f t="shared" ref="BD30" si="47">IF(BE30&lt;&gt;"", "Calculated", "")</f>
        <v/>
      </c>
      <c r="BE30" s="775" t="str">
        <f t="shared" ref="BE30" si="48">IF(AND(BA30&lt;&gt;"", BB30&lt;&gt;""), ROUND(BA30-BB30,4), "")</f>
        <v/>
      </c>
      <c r="BF30" s="1098"/>
      <c r="BG30" s="775" t="str">
        <f>IFERROR(IF(OR(C30="",H30="",N30="",T30="",W30="",AC30="",AF30="",AH30="",AJ30=""),"",ROUND(AO30*INDEX(ENDUSEALL[Factor],MATCH(BC30,ENDUSEALL[End Use to Coincident Peak Demand Factors],0)),4)),"")</f>
        <v/>
      </c>
      <c r="BH30" s="761"/>
      <c r="BI30" s="761"/>
      <c r="BJ30" s="777" t="str">
        <f>IF(OR(C30="",H30=""),"",IF(INDEX(CMEREFRI[EUL],MATCH(H30,CMEREFRI[Proj Desc 1],0))="","",INDEX(CMEREFRI[EUL],MATCH(H30,CMEREFRI[Proj Desc 1],0))))</f>
        <v/>
      </c>
      <c r="BK30" s="767" t="str">
        <f>IFERROR(IF(OR(C30="",H30="",N30="",T30="",W30="",AC30="",AF30="",AH30="",AJ30=""),"",
ROUND(((1+ELOSS)*((AO30*INDEX(ELECCB[NPV AEC $/kWh],MATCH(BJ30,ELECCB[Year Number],1)))+(BG30*INDEX(ELECCB[NPV ACC $/kW],MATCH(BJ30,ELECCB[Year Number],1))))),2)),0)</f>
        <v/>
      </c>
      <c r="BL30" s="767" t="str">
        <f t="shared" si="0"/>
        <v/>
      </c>
      <c r="BM30" s="765"/>
      <c r="BN30" s="763" t="str">
        <f t="shared" si="1"/>
        <v/>
      </c>
      <c r="BO30" s="763" t="str">
        <f>IFERROR(IF(BM30 &lt;&gt; "", BM30, BL30) / M02S04F06 / AO30, "")</f>
        <v/>
      </c>
      <c r="BP30" s="769"/>
      <c r="BQ30" s="765"/>
      <c r="BR30" s="767" t="str">
        <f t="shared" ref="BR30" si="49">IFERROR(ROUND(AO30*BV30,2),"")</f>
        <v/>
      </c>
      <c r="BS30" s="765"/>
      <c r="BT30" s="765"/>
      <c r="BU30" s="757"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67"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57" t="str">
        <f>IF(OR(C30="",H30="",N30="",T30="",W30="",AC30="",AF30="",AH30="",AJ30=""),"",IF(BY30&lt;&gt;"",SPILLOVERNUMBER,INDEX(CMEREFRI[Measure Number],MATCH(H30,CMEREFRI[Proj Desc 1],0))))</f>
        <v/>
      </c>
      <c r="BX30" s="757" t="str" cm="1">
        <f t="array" ref="BX30">IFERROR(INDEX(_xlfn.SWITCH(Program_Banner,"Business Energy Savings",ENDUSEALL[Primary Key WBE],"Small Business / Non-Profit",ENDUSEALL[Primary Key HTRB],0),MATCH(BC30,ENDUSEALL[End Use to Coincident Peak Demand Factors],0)),"")</f>
        <v/>
      </c>
      <c r="BY30" s="757"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53"/>
      <c r="CA30" s="753"/>
      <c r="CB30" s="753"/>
      <c r="CC30" s="753"/>
    </row>
    <row r="31" spans="1:81" ht="15.95" customHeight="1">
      <c r="B31" s="785"/>
      <c r="C31" s="1003"/>
      <c r="D31" s="1123"/>
      <c r="E31" s="1123"/>
      <c r="F31" s="1123"/>
      <c r="G31" s="1017"/>
      <c r="H31" s="1017"/>
      <c r="I31" s="1002"/>
      <c r="J31" s="1002"/>
      <c r="K31" s="1002"/>
      <c r="L31" s="1002"/>
      <c r="M31" s="1003"/>
      <c r="N31" s="1055"/>
      <c r="O31" s="1050"/>
      <c r="P31" s="1050"/>
      <c r="Q31" s="1050"/>
      <c r="R31" s="1050"/>
      <c r="S31" s="1050"/>
      <c r="T31" s="1110"/>
      <c r="U31" s="1110"/>
      <c r="V31" s="1111"/>
      <c r="W31" s="1041"/>
      <c r="X31" s="1013"/>
      <c r="Y31" s="1013"/>
      <c r="Z31" s="1013"/>
      <c r="AA31" s="1013"/>
      <c r="AB31" s="1014"/>
      <c r="AC31" s="1115"/>
      <c r="AD31" s="1116"/>
      <c r="AE31" s="1117"/>
      <c r="AF31" s="1106"/>
      <c r="AG31" s="1107"/>
      <c r="AH31" s="993"/>
      <c r="AI31" s="993"/>
      <c r="AJ31" s="1102"/>
      <c r="AK31" s="1103"/>
      <c r="AL31" s="1006"/>
      <c r="AM31" s="1007"/>
      <c r="AN31" s="1007"/>
      <c r="AO31" s="1037"/>
      <c r="AP31" s="1037"/>
      <c r="AQ31" s="1037"/>
      <c r="AR31" s="1075"/>
      <c r="AS31" s="1076"/>
      <c r="AT31" s="1076"/>
      <c r="AU31" s="1077"/>
      <c r="AV31" s="37"/>
      <c r="AW31" s="37"/>
      <c r="AX31" s="774"/>
      <c r="AY31" s="760"/>
      <c r="AZ31" s="760"/>
      <c r="BA31" s="772"/>
      <c r="BB31" s="772"/>
      <c r="BC31" s="774"/>
      <c r="BD31" s="758"/>
      <c r="BE31" s="776"/>
      <c r="BF31" s="1099"/>
      <c r="BG31" s="776"/>
      <c r="BH31" s="762"/>
      <c r="BI31" s="762"/>
      <c r="BJ31" s="778"/>
      <c r="BK31" s="768"/>
      <c r="BL31" s="768"/>
      <c r="BM31" s="766"/>
      <c r="BN31" s="764"/>
      <c r="BO31" s="764"/>
      <c r="BP31" s="770"/>
      <c r="BQ31" s="766"/>
      <c r="BR31" s="768"/>
      <c r="BS31" s="766"/>
      <c r="BT31" s="766"/>
      <c r="BU31" s="758"/>
      <c r="BV31" s="768"/>
      <c r="BW31" s="758"/>
      <c r="BX31" s="758"/>
      <c r="BY31" s="758"/>
      <c r="BZ31" s="754"/>
      <c r="CA31" s="754"/>
      <c r="CB31" s="754"/>
      <c r="CC31" s="754"/>
    </row>
    <row r="32" spans="1:81" ht="15.95" customHeight="1">
      <c r="B32" s="785">
        <v>8</v>
      </c>
      <c r="C32" s="1003"/>
      <c r="D32" s="1123"/>
      <c r="E32" s="1123"/>
      <c r="F32" s="1123"/>
      <c r="G32" s="1017"/>
      <c r="H32" s="1017"/>
      <c r="I32" s="1002"/>
      <c r="J32" s="1002"/>
      <c r="K32" s="1002"/>
      <c r="L32" s="1002"/>
      <c r="M32" s="1003"/>
      <c r="N32" s="1133"/>
      <c r="O32" s="1134"/>
      <c r="P32" s="1134"/>
      <c r="Q32" s="1134"/>
      <c r="R32" s="1134"/>
      <c r="S32" s="1134"/>
      <c r="T32" s="1108"/>
      <c r="U32" s="1108"/>
      <c r="V32" s="1109"/>
      <c r="W32" s="1040"/>
      <c r="X32" s="1010"/>
      <c r="Y32" s="1010"/>
      <c r="Z32" s="1010"/>
      <c r="AA32" s="1010"/>
      <c r="AB32" s="1011"/>
      <c r="AC32" s="1112"/>
      <c r="AD32" s="1113"/>
      <c r="AE32" s="1114"/>
      <c r="AF32" s="1104" t="str">
        <f>IFERROR(IF($C32="", "", IF(OR($C32 = "Retrofit existing", $C32 = "Replace in-life equip."), "Total", "Incremental")), "")</f>
        <v/>
      </c>
      <c r="AG32" s="1105"/>
      <c r="AH32" s="993"/>
      <c r="AI32" s="993"/>
      <c r="AJ32" s="1100" t="str">
        <f t="shared" ref="AJ32" si="50">IF(AF32="Incremental",0,"")</f>
        <v/>
      </c>
      <c r="AK32" s="1101"/>
      <c r="AL32" s="1030" t="str">
        <f>IF(OR(C32="",H32="",N32="",T32="",W32="",AC32="",AF32="",AH32="",AJ32=""),"",ROUND(AH32+AJ32,2))</f>
        <v/>
      </c>
      <c r="AM32" s="1031"/>
      <c r="AN32" s="1031"/>
      <c r="AO32" s="1036" t="str">
        <f>IF(OR(C32="",H32="",N32="",T32="",W32="",AC32="",AF32="",AH32="",AJ32=""),"",IF(BA32-BB32&lt;=0,0,ROUND(BA32-BB32,4)))</f>
        <v/>
      </c>
      <c r="AP32" s="1036"/>
      <c r="AQ32" s="1036"/>
      <c r="AR32" s="1072" t="str">
        <f>IF(OR(C32="",H32="",N32="",T32="",W32="",AC32="",AF32="",AH32="",AJ32=""),"",
IF(BY32&lt;&gt;"",BY32,IF(BP32&gt;0,BP32,
IF(AF32="Incremental",
IF(ACTIVEBLOCK="Yes",ROUND(MIN(AL32*INCCOSTCAP,AO32*BLOCKBIDRATE),2),
ROUND(MIN(AL32*INCCOSTCAP,BR32),2)),
IF(ACTIVEBLOCK="Yes",ROUND(MIN(AL32*TOTCOSTCAP,AO32*BLOCKBIDRATE),2),
ROUND(MIN(AL32*TOTCOSTCAP,BR32),2))))))</f>
        <v/>
      </c>
      <c r="AS32" s="1073"/>
      <c r="AT32" s="1073"/>
      <c r="AU32" s="1074"/>
      <c r="AV32" s="37"/>
      <c r="AW32" s="37"/>
      <c r="AX32" s="773" t="str">
        <f>IF(OR(C32="",H32=""),"",INDEX(CMEREFRI[Unit of Measure],MATCH(H32,CMEREFRI[Proj Desc 1],0)))</f>
        <v/>
      </c>
      <c r="AY32" s="759" t="str">
        <f t="shared" ref="AY32" si="51">IF(AO32&lt;&gt;"","Missing!","")</f>
        <v/>
      </c>
      <c r="AZ32" s="759" t="str">
        <f t="shared" ref="AZ32" si="52">IF(AO32&lt;&gt;"","Missing!","")</f>
        <v/>
      </c>
      <c r="BA32" s="771" t="str">
        <f t="shared" ref="BA32" si="53">IF(OR(C32="",H32="",N32="",T32="",W32="",AC32="",AF32="",AH32="",AJ32=""),"",ROUND(T32,4))</f>
        <v/>
      </c>
      <c r="BB32" s="771" t="str">
        <f t="shared" ref="BB32" si="54">IF(OR(C32="",H32="",N32="",T32="",W32="",AC32="",AF32="",AH32="",AJ32=""),"",ROUND(AC32,4))</f>
        <v/>
      </c>
      <c r="BC32" s="773" t="str">
        <f>IF(OR(C32="",H32=""),"",IF(INDEX(CMEREFRI[End Use Category],MATCH(H32,CMEREFRI[Proj Desc 1],0))="","",INDEX(CMEREFRI[End Use Category],MATCH(H32,CMEREFRI[Proj Desc 1],0))))</f>
        <v/>
      </c>
      <c r="BD32" s="757" t="str">
        <f t="shared" ref="BD32" si="55">IF(BE32&lt;&gt;"", "Calculated", "")</f>
        <v/>
      </c>
      <c r="BE32" s="775" t="str">
        <f t="shared" ref="BE32" si="56">IF(AND(BA32&lt;&gt;"", BB32&lt;&gt;""), ROUND(BA32-BB32,4), "")</f>
        <v/>
      </c>
      <c r="BF32" s="1098"/>
      <c r="BG32" s="775" t="str">
        <f>IFERROR(IF(OR(C32="",H32="",N32="",T32="",W32="",AC32="",AF32="",AH32="",AJ32=""),"",ROUND(AO32*INDEX(ENDUSEALL[Factor],MATCH(BC32,ENDUSEALL[End Use to Coincident Peak Demand Factors],0)),4)),"")</f>
        <v/>
      </c>
      <c r="BH32" s="761"/>
      <c r="BI32" s="761"/>
      <c r="BJ32" s="777" t="str">
        <f>IF(OR(C32="",H32=""),"",IF(INDEX(CMEREFRI[EUL],MATCH(H32,CMEREFRI[Proj Desc 1],0))="","",INDEX(CMEREFRI[EUL],MATCH(H32,CMEREFRI[Proj Desc 1],0))))</f>
        <v/>
      </c>
      <c r="BK32" s="767" t="str">
        <f>IFERROR(IF(OR(C32="",H32="",N32="",T32="",W32="",AC32="",AF32="",AH32="",AJ32=""),"",
ROUND(((1+ELOSS)*((AO32*INDEX(ELECCB[NPV AEC $/kWh],MATCH(BJ32,ELECCB[Year Number],1)))+(BG32*INDEX(ELECCB[NPV ACC $/kW],MATCH(BJ32,ELECCB[Year Number],1))))),2)),0)</f>
        <v/>
      </c>
      <c r="BL32" s="767" t="str">
        <f t="shared" si="0"/>
        <v/>
      </c>
      <c r="BM32" s="765"/>
      <c r="BN32" s="763" t="str">
        <f t="shared" si="1"/>
        <v/>
      </c>
      <c r="BO32" s="763" t="str">
        <f>IFERROR(IF(BM32 &lt;&gt; "", BM32, BL32) / M02S04F06 / AO32, "")</f>
        <v/>
      </c>
      <c r="BP32" s="769"/>
      <c r="BQ32" s="765"/>
      <c r="BR32" s="767" t="str">
        <f t="shared" ref="BR32" si="57">IFERROR(ROUND(AO32*BV32,2),"")</f>
        <v/>
      </c>
      <c r="BS32" s="765"/>
      <c r="BT32" s="765"/>
      <c r="BU32" s="757"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67"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57" t="str">
        <f>IF(OR(C32="",H32="",N32="",T32="",W32="",AC32="",AF32="",AH32="",AJ32=""),"",IF(BY32&lt;&gt;"",SPILLOVERNUMBER,INDEX(CMEREFRI[Measure Number],MATCH(H32,CMEREFRI[Proj Desc 1],0))))</f>
        <v/>
      </c>
      <c r="BX32" s="757" t="str" cm="1">
        <f t="array" ref="BX32">IFERROR(INDEX(_xlfn.SWITCH(Program_Banner,"Business Energy Savings",ENDUSEALL[Primary Key WBE],"Small Business / Non-Profit",ENDUSEALL[Primary Key HTRB],0),MATCH(BC32,ENDUSEALL[End Use to Coincident Peak Demand Factors],0)),"")</f>
        <v/>
      </c>
      <c r="BY32" s="757"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53"/>
      <c r="CA32" s="753"/>
      <c r="CB32" s="753"/>
      <c r="CC32" s="753"/>
    </row>
    <row r="33" spans="2:81" ht="15.95" customHeight="1">
      <c r="B33" s="785"/>
      <c r="C33" s="1003"/>
      <c r="D33" s="1123"/>
      <c r="E33" s="1123"/>
      <c r="F33" s="1123"/>
      <c r="G33" s="1017"/>
      <c r="H33" s="1017"/>
      <c r="I33" s="1002"/>
      <c r="J33" s="1002"/>
      <c r="K33" s="1002"/>
      <c r="L33" s="1002"/>
      <c r="M33" s="1003"/>
      <c r="N33" s="1055"/>
      <c r="O33" s="1050"/>
      <c r="P33" s="1050"/>
      <c r="Q33" s="1050"/>
      <c r="R33" s="1050"/>
      <c r="S33" s="1050"/>
      <c r="T33" s="1110"/>
      <c r="U33" s="1110"/>
      <c r="V33" s="1111"/>
      <c r="W33" s="1041"/>
      <c r="X33" s="1013"/>
      <c r="Y33" s="1013"/>
      <c r="Z33" s="1013"/>
      <c r="AA33" s="1013"/>
      <c r="AB33" s="1014"/>
      <c r="AC33" s="1115"/>
      <c r="AD33" s="1116"/>
      <c r="AE33" s="1117"/>
      <c r="AF33" s="1106"/>
      <c r="AG33" s="1107"/>
      <c r="AH33" s="993"/>
      <c r="AI33" s="993"/>
      <c r="AJ33" s="1102"/>
      <c r="AK33" s="1103"/>
      <c r="AL33" s="1006"/>
      <c r="AM33" s="1007"/>
      <c r="AN33" s="1007"/>
      <c r="AO33" s="1037"/>
      <c r="AP33" s="1037"/>
      <c r="AQ33" s="1037"/>
      <c r="AR33" s="1075"/>
      <c r="AS33" s="1076"/>
      <c r="AT33" s="1076"/>
      <c r="AU33" s="1077"/>
      <c r="AV33" s="37"/>
      <c r="AW33" s="37"/>
      <c r="AX33" s="774"/>
      <c r="AY33" s="760"/>
      <c r="AZ33" s="760"/>
      <c r="BA33" s="772"/>
      <c r="BB33" s="772"/>
      <c r="BC33" s="774"/>
      <c r="BD33" s="758"/>
      <c r="BE33" s="776"/>
      <c r="BF33" s="1099"/>
      <c r="BG33" s="776"/>
      <c r="BH33" s="762"/>
      <c r="BI33" s="762"/>
      <c r="BJ33" s="778"/>
      <c r="BK33" s="768"/>
      <c r="BL33" s="768"/>
      <c r="BM33" s="766"/>
      <c r="BN33" s="764"/>
      <c r="BO33" s="764"/>
      <c r="BP33" s="770"/>
      <c r="BQ33" s="766"/>
      <c r="BR33" s="768"/>
      <c r="BS33" s="766"/>
      <c r="BT33" s="766"/>
      <c r="BU33" s="758"/>
      <c r="BV33" s="768"/>
      <c r="BW33" s="758"/>
      <c r="BX33" s="758"/>
      <c r="BY33" s="758"/>
      <c r="BZ33" s="754"/>
      <c r="CA33" s="754"/>
      <c r="CB33" s="754"/>
      <c r="CC33" s="754"/>
    </row>
    <row r="34" spans="2:81" ht="15.95" customHeight="1">
      <c r="B34" s="785">
        <v>9</v>
      </c>
      <c r="C34" s="1003"/>
      <c r="D34" s="1123"/>
      <c r="E34" s="1123"/>
      <c r="F34" s="1123"/>
      <c r="G34" s="1017"/>
      <c r="H34" s="1017"/>
      <c r="I34" s="1002"/>
      <c r="J34" s="1002"/>
      <c r="K34" s="1002"/>
      <c r="L34" s="1002"/>
      <c r="M34" s="1003"/>
      <c r="N34" s="1133"/>
      <c r="O34" s="1134"/>
      <c r="P34" s="1134"/>
      <c r="Q34" s="1134"/>
      <c r="R34" s="1134"/>
      <c r="S34" s="1134"/>
      <c r="T34" s="1108"/>
      <c r="U34" s="1108"/>
      <c r="V34" s="1109"/>
      <c r="W34" s="1040"/>
      <c r="X34" s="1010"/>
      <c r="Y34" s="1010"/>
      <c r="Z34" s="1010"/>
      <c r="AA34" s="1010"/>
      <c r="AB34" s="1011"/>
      <c r="AC34" s="1112"/>
      <c r="AD34" s="1113"/>
      <c r="AE34" s="1114"/>
      <c r="AF34" s="1104" t="str">
        <f>IFERROR(IF($C34="", "", IF(OR($C34 = "Retrofit existing", $C34 = "Replace in-life equip."), "Total", "Incremental")), "")</f>
        <v/>
      </c>
      <c r="AG34" s="1105"/>
      <c r="AH34" s="993"/>
      <c r="AI34" s="993"/>
      <c r="AJ34" s="1100" t="str">
        <f t="shared" ref="AJ34" si="58">IF(AF34="Incremental",0,"")</f>
        <v/>
      </c>
      <c r="AK34" s="1101"/>
      <c r="AL34" s="1030" t="str">
        <f>IF(OR(C34="",H34="",N34="",T34="",W34="",AC34="",AF34="",AH34="",AJ34=""),"",ROUND(AH34+AJ34,2))</f>
        <v/>
      </c>
      <c r="AM34" s="1031"/>
      <c r="AN34" s="1031"/>
      <c r="AO34" s="1036" t="str">
        <f>IF(OR(C34="",H34="",N34="",T34="",W34="",AC34="",AF34="",AH34="",AJ34=""),"",IF(BA34-BB34&lt;=0,0,ROUND(BA34-BB34,4)))</f>
        <v/>
      </c>
      <c r="AP34" s="1036"/>
      <c r="AQ34" s="1036"/>
      <c r="AR34" s="1072" t="str">
        <f>IF(OR(C34="",H34="",N34="",T34="",W34="",AC34="",AF34="",AH34="",AJ34=""),"",
IF(BY34&lt;&gt;"",BY34,IF(BP34&gt;0,BP34,
IF(AF34="Incremental",
IF(ACTIVEBLOCK="Yes",ROUND(MIN(AL34*INCCOSTCAP,AO34*BLOCKBIDRATE),2),
ROUND(MIN(AL34*INCCOSTCAP,BR34),2)),
IF(ACTIVEBLOCK="Yes",ROUND(MIN(AL34*TOTCOSTCAP,AO34*BLOCKBIDRATE),2),
ROUND(MIN(AL34*TOTCOSTCAP,BR34),2))))))</f>
        <v/>
      </c>
      <c r="AS34" s="1073"/>
      <c r="AT34" s="1073"/>
      <c r="AU34" s="1074"/>
      <c r="AV34" s="37"/>
      <c r="AW34" s="37"/>
      <c r="AX34" s="773" t="str">
        <f>IF(OR(C34="",H34=""),"",INDEX(CMEREFRI[Unit of Measure],MATCH(H34,CMEREFRI[Proj Desc 1],0)))</f>
        <v/>
      </c>
      <c r="AY34" s="759" t="str">
        <f t="shared" ref="AY34" si="59">IF(AO34&lt;&gt;"","Missing!","")</f>
        <v/>
      </c>
      <c r="AZ34" s="759" t="str">
        <f t="shared" ref="AZ34" si="60">IF(AO34&lt;&gt;"","Missing!","")</f>
        <v/>
      </c>
      <c r="BA34" s="771" t="str">
        <f t="shared" ref="BA34" si="61">IF(OR(C34="",H34="",N34="",T34="",W34="",AC34="",AF34="",AH34="",AJ34=""),"",ROUND(T34,4))</f>
        <v/>
      </c>
      <c r="BB34" s="771" t="str">
        <f t="shared" ref="BB34" si="62">IF(OR(C34="",H34="",N34="",T34="",W34="",AC34="",AF34="",AH34="",AJ34=""),"",ROUND(AC34,4))</f>
        <v/>
      </c>
      <c r="BC34" s="773" t="str">
        <f>IF(OR(C34="",H34=""),"",IF(INDEX(CMEREFRI[End Use Category],MATCH(H34,CMEREFRI[Proj Desc 1],0))="","",INDEX(CMEREFRI[End Use Category],MATCH(H34,CMEREFRI[Proj Desc 1],0))))</f>
        <v/>
      </c>
      <c r="BD34" s="757" t="str">
        <f t="shared" ref="BD34" si="63">IF(BE34&lt;&gt;"", "Calculated", "")</f>
        <v/>
      </c>
      <c r="BE34" s="775" t="str">
        <f t="shared" ref="BE34" si="64">IF(AND(BA34&lt;&gt;"", BB34&lt;&gt;""), ROUND(BA34-BB34,4), "")</f>
        <v/>
      </c>
      <c r="BF34" s="1098"/>
      <c r="BG34" s="775" t="str">
        <f>IFERROR(IF(OR(C34="",H34="",N34="",T34="",W34="",AC34="",AF34="",AH34="",AJ34=""),"",ROUND(AO34*INDEX(ENDUSEALL[Factor],MATCH(BC34,ENDUSEALL[End Use to Coincident Peak Demand Factors],0)),4)),"")</f>
        <v/>
      </c>
      <c r="BH34" s="761"/>
      <c r="BI34" s="761"/>
      <c r="BJ34" s="777" t="str">
        <f>IF(OR(C34="",H34=""),"",IF(INDEX(CMEREFRI[EUL],MATCH(H34,CMEREFRI[Proj Desc 1],0))="","",INDEX(CMEREFRI[EUL],MATCH(H34,CMEREFRI[Proj Desc 1],0))))</f>
        <v/>
      </c>
      <c r="BK34" s="767" t="str">
        <f>IFERROR(IF(OR(C34="",H34="",N34="",T34="",W34="",AC34="",AF34="",AH34="",AJ34=""),"",
ROUND(((1+ELOSS)*((AO34*INDEX(ELECCB[NPV AEC $/kWh],MATCH(BJ34,ELECCB[Year Number],1)))+(BG34*INDEX(ELECCB[NPV ACC $/kW],MATCH(BJ34,ELECCB[Year Number],1))))),2)),0)</f>
        <v/>
      </c>
      <c r="BL34" s="767" t="str">
        <f t="shared" si="0"/>
        <v/>
      </c>
      <c r="BM34" s="765"/>
      <c r="BN34" s="763" t="str">
        <f t="shared" si="1"/>
        <v/>
      </c>
      <c r="BO34" s="763" t="str">
        <f>IFERROR(IF(BM34 &lt;&gt; "", BM34, BL34) / M02S04F06 / AO34, "")</f>
        <v/>
      </c>
      <c r="BP34" s="769"/>
      <c r="BQ34" s="765"/>
      <c r="BR34" s="767" t="str">
        <f t="shared" ref="BR34" si="65">IFERROR(ROUND(AO34*BV34,2),"")</f>
        <v/>
      </c>
      <c r="BS34" s="765"/>
      <c r="BT34" s="765"/>
      <c r="BU34" s="757"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67"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57" t="str">
        <f>IF(OR(C34="",H34="",N34="",T34="",W34="",AC34="",AF34="",AH34="",AJ34=""),"",IF(BY34&lt;&gt;"",SPILLOVERNUMBER,INDEX(CMEREFRI[Measure Number],MATCH(H34,CMEREFRI[Proj Desc 1],0))))</f>
        <v/>
      </c>
      <c r="BX34" s="757" t="str" cm="1">
        <f t="array" ref="BX34">IFERROR(INDEX(_xlfn.SWITCH(Program_Banner,"Business Energy Savings",ENDUSEALL[Primary Key WBE],"Small Business / Non-Profit",ENDUSEALL[Primary Key HTRB],0),MATCH(BC34,ENDUSEALL[End Use to Coincident Peak Demand Factors],0)),"")</f>
        <v/>
      </c>
      <c r="BY34" s="757"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53"/>
      <c r="CA34" s="753"/>
      <c r="CB34" s="753"/>
      <c r="CC34" s="753"/>
    </row>
    <row r="35" spans="2:81" ht="15.95" customHeight="1">
      <c r="B35" s="785"/>
      <c r="C35" s="1003"/>
      <c r="D35" s="1123"/>
      <c r="E35" s="1123"/>
      <c r="F35" s="1123"/>
      <c r="G35" s="1017"/>
      <c r="H35" s="1017"/>
      <c r="I35" s="1002"/>
      <c r="J35" s="1002"/>
      <c r="K35" s="1002"/>
      <c r="L35" s="1002"/>
      <c r="M35" s="1003"/>
      <c r="N35" s="1055"/>
      <c r="O35" s="1050"/>
      <c r="P35" s="1050"/>
      <c r="Q35" s="1050"/>
      <c r="R35" s="1050"/>
      <c r="S35" s="1050"/>
      <c r="T35" s="1110"/>
      <c r="U35" s="1110"/>
      <c r="V35" s="1111"/>
      <c r="W35" s="1041"/>
      <c r="X35" s="1013"/>
      <c r="Y35" s="1013"/>
      <c r="Z35" s="1013"/>
      <c r="AA35" s="1013"/>
      <c r="AB35" s="1014"/>
      <c r="AC35" s="1115"/>
      <c r="AD35" s="1116"/>
      <c r="AE35" s="1117"/>
      <c r="AF35" s="1106"/>
      <c r="AG35" s="1107"/>
      <c r="AH35" s="993"/>
      <c r="AI35" s="993"/>
      <c r="AJ35" s="1102"/>
      <c r="AK35" s="1103"/>
      <c r="AL35" s="1006"/>
      <c r="AM35" s="1007"/>
      <c r="AN35" s="1007"/>
      <c r="AO35" s="1037"/>
      <c r="AP35" s="1037"/>
      <c r="AQ35" s="1037"/>
      <c r="AR35" s="1075"/>
      <c r="AS35" s="1076"/>
      <c r="AT35" s="1076"/>
      <c r="AU35" s="1077"/>
      <c r="AV35" s="37"/>
      <c r="AW35" s="37"/>
      <c r="AX35" s="774"/>
      <c r="AY35" s="760"/>
      <c r="AZ35" s="760"/>
      <c r="BA35" s="772"/>
      <c r="BB35" s="772"/>
      <c r="BC35" s="774"/>
      <c r="BD35" s="758"/>
      <c r="BE35" s="776"/>
      <c r="BF35" s="1099"/>
      <c r="BG35" s="776"/>
      <c r="BH35" s="762"/>
      <c r="BI35" s="762"/>
      <c r="BJ35" s="778"/>
      <c r="BK35" s="768"/>
      <c r="BL35" s="768"/>
      <c r="BM35" s="766"/>
      <c r="BN35" s="764"/>
      <c r="BO35" s="764"/>
      <c r="BP35" s="770"/>
      <c r="BQ35" s="766"/>
      <c r="BR35" s="768"/>
      <c r="BS35" s="766"/>
      <c r="BT35" s="766"/>
      <c r="BU35" s="758"/>
      <c r="BV35" s="768"/>
      <c r="BW35" s="758"/>
      <c r="BX35" s="758"/>
      <c r="BY35" s="758"/>
      <c r="BZ35" s="754"/>
      <c r="CA35" s="754"/>
      <c r="CB35" s="754"/>
      <c r="CC35" s="754"/>
    </row>
    <row r="36" spans="2:81" ht="15.95" customHeight="1">
      <c r="B36" s="785">
        <v>10</v>
      </c>
      <c r="C36" s="1003"/>
      <c r="D36" s="1123"/>
      <c r="E36" s="1123"/>
      <c r="F36" s="1123"/>
      <c r="G36" s="1017"/>
      <c r="H36" s="1017"/>
      <c r="I36" s="1002"/>
      <c r="J36" s="1002"/>
      <c r="K36" s="1002"/>
      <c r="L36" s="1002"/>
      <c r="M36" s="1003"/>
      <c r="N36" s="1133"/>
      <c r="O36" s="1134"/>
      <c r="P36" s="1134"/>
      <c r="Q36" s="1134"/>
      <c r="R36" s="1134"/>
      <c r="S36" s="1134"/>
      <c r="T36" s="1108"/>
      <c r="U36" s="1108"/>
      <c r="V36" s="1109"/>
      <c r="W36" s="1040"/>
      <c r="X36" s="1010"/>
      <c r="Y36" s="1010"/>
      <c r="Z36" s="1010"/>
      <c r="AA36" s="1010"/>
      <c r="AB36" s="1011"/>
      <c r="AC36" s="1112"/>
      <c r="AD36" s="1113"/>
      <c r="AE36" s="1114"/>
      <c r="AF36" s="1104" t="str">
        <f>IFERROR(IF($C36="", "", IF(OR($C36 = "Retrofit existing", $C36 = "Replace in-life equip."), "Total", "Incremental")), "")</f>
        <v/>
      </c>
      <c r="AG36" s="1105"/>
      <c r="AH36" s="993"/>
      <c r="AI36" s="993"/>
      <c r="AJ36" s="1100" t="str">
        <f t="shared" ref="AJ36" si="66">IF(AF36="Incremental",0,"")</f>
        <v/>
      </c>
      <c r="AK36" s="1101"/>
      <c r="AL36" s="1030" t="str">
        <f>IF(OR(C36="",H36="",N36="",T36="",W36="",AC36="",AF36="",AH36="",AJ36=""),"",ROUND(AH36+AJ36,2))</f>
        <v/>
      </c>
      <c r="AM36" s="1031"/>
      <c r="AN36" s="1031"/>
      <c r="AO36" s="1036" t="str">
        <f>IF(OR(C36="",H36="",N36="",T36="",W36="",AC36="",AF36="",AH36="",AJ36=""),"",IF(BA36-BB36&lt;=0,0,ROUND(BA36-BB36,4)))</f>
        <v/>
      </c>
      <c r="AP36" s="1036"/>
      <c r="AQ36" s="1036"/>
      <c r="AR36" s="1072" t="str">
        <f>IF(OR(C36="",H36="",N36="",T36="",W36="",AC36="",AF36="",AH36="",AJ36=""),"",
IF(BY36&lt;&gt;"",BY36,IF(BP36&gt;0,BP36,
IF(AF36="Incremental",
IF(ACTIVEBLOCK="Yes",ROUND(MIN(AL36*INCCOSTCAP,AO36*BLOCKBIDRATE),2),
ROUND(MIN(AL36*INCCOSTCAP,BR36),2)),
IF(ACTIVEBLOCK="Yes",ROUND(MIN(AL36*TOTCOSTCAP,AO36*BLOCKBIDRATE),2),
ROUND(MIN(AL36*TOTCOSTCAP,BR36),2))))))</f>
        <v/>
      </c>
      <c r="AS36" s="1073"/>
      <c r="AT36" s="1073"/>
      <c r="AU36" s="1074"/>
      <c r="AV36" s="37"/>
      <c r="AW36" s="37"/>
      <c r="AX36" s="773" t="str">
        <f>IF(OR(C36="",H36=""),"",INDEX(CMEREFRI[Unit of Measure],MATCH(H36,CMEREFRI[Proj Desc 1],0)))</f>
        <v/>
      </c>
      <c r="AY36" s="759" t="str">
        <f t="shared" ref="AY36" si="67">IF(AO36&lt;&gt;"","Missing!","")</f>
        <v/>
      </c>
      <c r="AZ36" s="759" t="str">
        <f t="shared" ref="AZ36" si="68">IF(AO36&lt;&gt;"","Missing!","")</f>
        <v/>
      </c>
      <c r="BA36" s="771" t="str">
        <f t="shared" ref="BA36" si="69">IF(OR(C36="",H36="",N36="",T36="",W36="",AC36="",AF36="",AH36="",AJ36=""),"",ROUND(T36,4))</f>
        <v/>
      </c>
      <c r="BB36" s="771" t="str">
        <f t="shared" ref="BB36" si="70">IF(OR(C36="",H36="",N36="",T36="",W36="",AC36="",AF36="",AH36="",AJ36=""),"",ROUND(AC36,4))</f>
        <v/>
      </c>
      <c r="BC36" s="773" t="str">
        <f>IF(OR(C36="",H36=""),"",IF(INDEX(CMEREFRI[End Use Category],MATCH(H36,CMEREFRI[Proj Desc 1],0))="","",INDEX(CMEREFRI[End Use Category],MATCH(H36,CMEREFRI[Proj Desc 1],0))))</f>
        <v/>
      </c>
      <c r="BD36" s="757" t="str">
        <f t="shared" ref="BD36" si="71">IF(BE36&lt;&gt;"", "Calculated", "")</f>
        <v/>
      </c>
      <c r="BE36" s="775" t="str">
        <f t="shared" ref="BE36" si="72">IF(AND(BA36&lt;&gt;"", BB36&lt;&gt;""), ROUND(BA36-BB36,4), "")</f>
        <v/>
      </c>
      <c r="BF36" s="1098"/>
      <c r="BG36" s="775" t="str">
        <f>IFERROR(IF(OR(C36="",H36="",N36="",T36="",W36="",AC36="",AF36="",AH36="",AJ36=""),"",ROUND(AO36*INDEX(ENDUSEALL[Factor],MATCH(BC36,ENDUSEALL[End Use to Coincident Peak Demand Factors],0)),4)),"")</f>
        <v/>
      </c>
      <c r="BH36" s="761"/>
      <c r="BI36" s="761"/>
      <c r="BJ36" s="777" t="str">
        <f>IF(OR(C36="",H36=""),"",IF(INDEX(CMEREFRI[EUL],MATCH(H36,CMEREFRI[Proj Desc 1],0))="","",INDEX(CMEREFRI[EUL],MATCH(H36,CMEREFRI[Proj Desc 1],0))))</f>
        <v/>
      </c>
      <c r="BK36" s="767" t="str">
        <f>IFERROR(IF(OR(C36="",H36="",N36="",T36="",W36="",AC36="",AF36="",AH36="",AJ36=""),"",
ROUND(((1+ELOSS)*((AO36*INDEX(ELECCB[NPV AEC $/kWh],MATCH(BJ36,ELECCB[Year Number],1)))+(BG36*INDEX(ELECCB[NPV ACC $/kW],MATCH(BJ36,ELECCB[Year Number],1))))),2)),0)</f>
        <v/>
      </c>
      <c r="BL36" s="767" t="str">
        <f t="shared" si="0"/>
        <v/>
      </c>
      <c r="BM36" s="765"/>
      <c r="BN36" s="763" t="str">
        <f t="shared" si="1"/>
        <v/>
      </c>
      <c r="BO36" s="763" t="str">
        <f>IFERROR(IF(BM36 &lt;&gt; "", BM36, BL36) / M02S04F06 / AO36, "")</f>
        <v/>
      </c>
      <c r="BP36" s="769"/>
      <c r="BQ36" s="765"/>
      <c r="BR36" s="767" t="str">
        <f t="shared" ref="BR36" si="73">IFERROR(ROUND(AO36*BV36,2),"")</f>
        <v/>
      </c>
      <c r="BS36" s="765"/>
      <c r="BT36" s="765"/>
      <c r="BU36" s="757"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67"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57" t="str">
        <f>IF(OR(C36="",H36="",N36="",T36="",W36="",AC36="",AF36="",AH36="",AJ36=""),"",IF(BY36&lt;&gt;"",SPILLOVERNUMBER,INDEX(CMEREFRI[Measure Number],MATCH(H36,CMEREFRI[Proj Desc 1],0))))</f>
        <v/>
      </c>
      <c r="BX36" s="757" t="str" cm="1">
        <f t="array" ref="BX36">IFERROR(INDEX(_xlfn.SWITCH(Program_Banner,"Business Energy Savings",ENDUSEALL[Primary Key WBE],"Small Business / Non-Profit",ENDUSEALL[Primary Key HTRB],0),MATCH(BC36,ENDUSEALL[End Use to Coincident Peak Demand Factors],0)),"")</f>
        <v/>
      </c>
      <c r="BY36" s="757"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53"/>
      <c r="CA36" s="753"/>
      <c r="CB36" s="753"/>
      <c r="CC36" s="753"/>
    </row>
    <row r="37" spans="2:81" ht="15.95" customHeight="1">
      <c r="B37" s="785"/>
      <c r="C37" s="1003"/>
      <c r="D37" s="1123"/>
      <c r="E37" s="1123"/>
      <c r="F37" s="1123"/>
      <c r="G37" s="1017"/>
      <c r="H37" s="1017"/>
      <c r="I37" s="1002"/>
      <c r="J37" s="1002"/>
      <c r="K37" s="1002"/>
      <c r="L37" s="1002"/>
      <c r="M37" s="1003"/>
      <c r="N37" s="1055"/>
      <c r="O37" s="1050"/>
      <c r="P37" s="1050"/>
      <c r="Q37" s="1050"/>
      <c r="R37" s="1050"/>
      <c r="S37" s="1050"/>
      <c r="T37" s="1110"/>
      <c r="U37" s="1110"/>
      <c r="V37" s="1111"/>
      <c r="W37" s="1041"/>
      <c r="X37" s="1013"/>
      <c r="Y37" s="1013"/>
      <c r="Z37" s="1013"/>
      <c r="AA37" s="1013"/>
      <c r="AB37" s="1014"/>
      <c r="AC37" s="1115"/>
      <c r="AD37" s="1116"/>
      <c r="AE37" s="1117"/>
      <c r="AF37" s="1106"/>
      <c r="AG37" s="1107"/>
      <c r="AH37" s="993"/>
      <c r="AI37" s="993"/>
      <c r="AJ37" s="1102"/>
      <c r="AK37" s="1103"/>
      <c r="AL37" s="1006"/>
      <c r="AM37" s="1007"/>
      <c r="AN37" s="1007"/>
      <c r="AO37" s="1037"/>
      <c r="AP37" s="1037"/>
      <c r="AQ37" s="1037"/>
      <c r="AR37" s="1075"/>
      <c r="AS37" s="1076"/>
      <c r="AT37" s="1076"/>
      <c r="AU37" s="1077"/>
      <c r="AV37" s="37"/>
      <c r="AW37" s="37"/>
      <c r="AX37" s="774"/>
      <c r="AY37" s="760"/>
      <c r="AZ37" s="760"/>
      <c r="BA37" s="772"/>
      <c r="BB37" s="772"/>
      <c r="BC37" s="774"/>
      <c r="BD37" s="758"/>
      <c r="BE37" s="776"/>
      <c r="BF37" s="1099"/>
      <c r="BG37" s="776"/>
      <c r="BH37" s="762"/>
      <c r="BI37" s="762"/>
      <c r="BJ37" s="778"/>
      <c r="BK37" s="768"/>
      <c r="BL37" s="768"/>
      <c r="BM37" s="766"/>
      <c r="BN37" s="764"/>
      <c r="BO37" s="764"/>
      <c r="BP37" s="770"/>
      <c r="BQ37" s="766"/>
      <c r="BR37" s="768"/>
      <c r="BS37" s="766"/>
      <c r="BT37" s="766"/>
      <c r="BU37" s="758"/>
      <c r="BV37" s="768"/>
      <c r="BW37" s="758"/>
      <c r="BX37" s="758"/>
      <c r="BY37" s="758"/>
      <c r="BZ37" s="754"/>
      <c r="CA37" s="754"/>
      <c r="CB37" s="754"/>
      <c r="CC37" s="754"/>
    </row>
    <row r="38" spans="2:81" ht="15.95" customHeight="1">
      <c r="B38" s="785"/>
      <c r="C38" s="291"/>
      <c r="D38" s="291"/>
      <c r="E38" s="291"/>
      <c r="F38" s="291"/>
    </row>
    <row r="39" spans="2:81" ht="15.95" hidden="1" customHeight="1">
      <c r="B39" s="785"/>
      <c r="C39" s="291"/>
      <c r="D39" s="291"/>
      <c r="E39" s="291"/>
      <c r="F39" s="291"/>
    </row>
    <row r="40" spans="2:81" ht="15.95" hidden="1" customHeight="1">
      <c r="B40" s="785"/>
      <c r="C40" s="291"/>
      <c r="D40" s="291"/>
      <c r="E40" s="291"/>
      <c r="F40" s="291"/>
    </row>
    <row r="41" spans="2:81" ht="15.95" hidden="1" customHeight="1">
      <c r="B41" s="785"/>
      <c r="C41" s="291"/>
      <c r="D41" s="291"/>
      <c r="E41" s="291"/>
      <c r="F41" s="291"/>
    </row>
    <row r="42" spans="2:81" ht="15.95" hidden="1" customHeight="1">
      <c r="B42" s="785"/>
      <c r="C42" s="291"/>
      <c r="D42" s="291"/>
      <c r="E42" s="291"/>
      <c r="F42" s="291"/>
    </row>
    <row r="43" spans="2:81" ht="15.95" hidden="1" customHeight="1">
      <c r="B43" s="785"/>
      <c r="C43" s="291"/>
      <c r="D43" s="291"/>
      <c r="E43" s="291"/>
      <c r="F43" s="291"/>
    </row>
    <row r="44" spans="2:81" ht="15.95" hidden="1" customHeight="1">
      <c r="B44" s="785"/>
      <c r="C44" s="291"/>
      <c r="D44" s="291"/>
      <c r="E44" s="291"/>
      <c r="F44" s="291"/>
    </row>
    <row r="45" spans="2:81" ht="15.95" hidden="1" customHeight="1">
      <c r="B45" s="785"/>
      <c r="C45" s="291"/>
      <c r="D45" s="291"/>
      <c r="E45" s="291"/>
      <c r="F45" s="291"/>
    </row>
    <row r="46" spans="2:81" ht="15.95" hidden="1" customHeight="1">
      <c r="B46" s="785"/>
      <c r="C46" s="291"/>
      <c r="D46" s="291"/>
      <c r="E46" s="291"/>
      <c r="F46" s="291"/>
    </row>
    <row r="47" spans="2:81" ht="15.95" hidden="1" customHeight="1">
      <c r="B47" s="785"/>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AY200" s="1129">
        <f>IF(OR(COUNTIF(AY18:AZ37,"Missing!")&gt;0,COUNTIF(AY18:AZ37,0)&gt;0,COUNTIFS(AY18:AY37,"",AZ18:AZ37,"",AO18:AO37,"&gt;0")&gt;0),"Missing Units on Custom Refrigeration. ",SUM(AY18:AZ37))</f>
        <v>0</v>
      </c>
      <c r="BA200" s="1061">
        <f>SUM(BA18:BA37)</f>
        <v>0</v>
      </c>
      <c r="BB200" s="1061">
        <f>SUM(BB18:BB37)</f>
        <v>0</v>
      </c>
      <c r="BF200" s="1062">
        <f>SUM(BF18:BF37)</f>
        <v>0</v>
      </c>
      <c r="BG200" s="1062">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AY201" s="1130"/>
      <c r="BA201" s="1061"/>
      <c r="BB201" s="1061"/>
      <c r="BF201" s="1063"/>
      <c r="BG201" s="1063"/>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5rLrs8CVxiIi35f0GbQghSEnbXw1GL/hIrjgT7KOVm/W5E7V+7b3NW4cOnFX3lgtYHDLcsNGQQXQB1lnb3QuHg==" saltValue="KoHAQ3eMy8H28FKEfXwQ8A==" spinCount="100000" sheet="1" objects="1" scenarios="1" selectLockedCells="1"/>
  <mergeCells count="532">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2:M33"/>
    <mergeCell ref="H36:M37"/>
    <mergeCell ref="H34:M35"/>
    <mergeCell ref="A4:E6"/>
    <mergeCell ref="A7:E8"/>
    <mergeCell ref="F1:I3"/>
    <mergeCell ref="J1:M3"/>
    <mergeCell ref="AL1:AO3"/>
    <mergeCell ref="AP1:AS3"/>
    <mergeCell ref="AT1:AW3"/>
    <mergeCell ref="C16:G17"/>
    <mergeCell ref="W16:AB17"/>
    <mergeCell ref="N9:Q11"/>
    <mergeCell ref="R9:U11"/>
    <mergeCell ref="V9:Y11"/>
    <mergeCell ref="Z9:AC11"/>
    <mergeCell ref="AD9:AG11"/>
    <mergeCell ref="AS5:AW6"/>
    <mergeCell ref="AS7:AW7"/>
    <mergeCell ref="AS8:AW8"/>
    <mergeCell ref="T14:W14"/>
    <mergeCell ref="X14:AA14"/>
    <mergeCell ref="AB14:AE14"/>
    <mergeCell ref="AH9:AK11"/>
    <mergeCell ref="AL9:AO11"/>
    <mergeCell ref="T12:W13"/>
    <mergeCell ref="X12:AA13"/>
    <mergeCell ref="BG200:BG201"/>
    <mergeCell ref="BJ28:BJ29"/>
    <mergeCell ref="BA28:BA29"/>
    <mergeCell ref="BB28:BB29"/>
    <mergeCell ref="BC28:BC29"/>
    <mergeCell ref="BF28:BF29"/>
    <mergeCell ref="BC26:BC27"/>
    <mergeCell ref="BC34:BC35"/>
    <mergeCell ref="BJ32:BJ33"/>
    <mergeCell ref="BF200:BF201"/>
    <mergeCell ref="AY200:AY201"/>
    <mergeCell ref="AY22:AY23"/>
    <mergeCell ref="AY24:AY25"/>
    <mergeCell ref="AY26:AY27"/>
    <mergeCell ref="AY28:AY29"/>
    <mergeCell ref="AY30:AY31"/>
    <mergeCell ref="AX22:AX23"/>
    <mergeCell ref="BF24:BF25"/>
    <mergeCell ref="BA200:BA201"/>
    <mergeCell ref="BB200:BB201"/>
    <mergeCell ref="AX32:AX33"/>
    <mergeCell ref="AZ36:AZ37"/>
    <mergeCell ref="BA22:BA23"/>
    <mergeCell ref="BB22:BB23"/>
    <mergeCell ref="O200:AI201"/>
    <mergeCell ref="BO16:BO17"/>
    <mergeCell ref="AX16:AX17"/>
    <mergeCell ref="AO16:AQ17"/>
    <mergeCell ref="AR16:AU17"/>
    <mergeCell ref="BN16:BN17"/>
    <mergeCell ref="AO18:AQ19"/>
    <mergeCell ref="AR18:AU19"/>
    <mergeCell ref="BN18:BN19"/>
    <mergeCell ref="BO18:BO19"/>
    <mergeCell ref="AX18:AX19"/>
    <mergeCell ref="AO26:AQ27"/>
    <mergeCell ref="AX28:AX29"/>
    <mergeCell ref="AL16:AN17"/>
    <mergeCell ref="T16:V17"/>
    <mergeCell ref="AC36:AE37"/>
    <mergeCell ref="AC28:AE29"/>
    <mergeCell ref="AC30:AE31"/>
    <mergeCell ref="AJ22:AK23"/>
    <mergeCell ref="AF20:AG21"/>
    <mergeCell ref="AH20:AI21"/>
    <mergeCell ref="AJ20:AK21"/>
    <mergeCell ref="AL20:AN21"/>
    <mergeCell ref="AO20:AQ21"/>
    <mergeCell ref="B28:B29"/>
    <mergeCell ref="B26:B27"/>
    <mergeCell ref="B24:B25"/>
    <mergeCell ref="B22:B23"/>
    <mergeCell ref="B20:B21"/>
    <mergeCell ref="T28:V29"/>
    <mergeCell ref="H30:M31"/>
    <mergeCell ref="T30:V31"/>
    <mergeCell ref="H20:M21"/>
    <mergeCell ref="C20:G21"/>
    <mergeCell ref="C22:G23"/>
    <mergeCell ref="C24:G25"/>
    <mergeCell ref="C26:G27"/>
    <mergeCell ref="C28:G29"/>
    <mergeCell ref="C30:G31"/>
    <mergeCell ref="H28:M29"/>
    <mergeCell ref="H26:M27"/>
    <mergeCell ref="H24:M25"/>
    <mergeCell ref="H22:M23"/>
    <mergeCell ref="B46:B47"/>
    <mergeCell ref="B44:B45"/>
    <mergeCell ref="B42:B43"/>
    <mergeCell ref="B40:B41"/>
    <mergeCell ref="B38:B39"/>
    <mergeCell ref="B36:B37"/>
    <mergeCell ref="B34:B35"/>
    <mergeCell ref="B32:B33"/>
    <mergeCell ref="B30:B31"/>
    <mergeCell ref="AF24:AG25"/>
    <mergeCell ref="AR20:AU21"/>
    <mergeCell ref="BN20:BN21"/>
    <mergeCell ref="T20:V21"/>
    <mergeCell ref="T22:V23"/>
    <mergeCell ref="AL22:AN23"/>
    <mergeCell ref="AO22:AQ23"/>
    <mergeCell ref="AC20:AE21"/>
    <mergeCell ref="AC22:AE23"/>
    <mergeCell ref="W20:AB21"/>
    <mergeCell ref="W22:AB23"/>
    <mergeCell ref="AH24:AI25"/>
    <mergeCell ref="AF22:AG23"/>
    <mergeCell ref="AH22:AI23"/>
    <mergeCell ref="T24:V25"/>
    <mergeCell ref="AC24:AE25"/>
    <mergeCell ref="W24:AB25"/>
    <mergeCell ref="AJ24:AK25"/>
    <mergeCell ref="AL24:AN25"/>
    <mergeCell ref="AO24:AQ25"/>
    <mergeCell ref="AR24:AU25"/>
    <mergeCell ref="BN24:BN25"/>
    <mergeCell ref="BD20:BD21"/>
    <mergeCell ref="BE20:BE21"/>
    <mergeCell ref="B18:B19"/>
    <mergeCell ref="T18:V19"/>
    <mergeCell ref="AC16:AE17"/>
    <mergeCell ref="AC18:AE19"/>
    <mergeCell ref="AH17:AI17"/>
    <mergeCell ref="C18:G19"/>
    <mergeCell ref="W18:AB19"/>
    <mergeCell ref="H16:M17"/>
    <mergeCell ref="AF16:AG17"/>
    <mergeCell ref="AH16:AK16"/>
    <mergeCell ref="AJ17:AK17"/>
    <mergeCell ref="H18:M19"/>
    <mergeCell ref="AF18:AG19"/>
    <mergeCell ref="AH18:AI19"/>
    <mergeCell ref="AJ18:AK19"/>
    <mergeCell ref="J9:M11"/>
    <mergeCell ref="BY20:BY21"/>
    <mergeCell ref="BA18:BA19"/>
    <mergeCell ref="BT16:BT17"/>
    <mergeCell ref="BT18:BT19"/>
    <mergeCell ref="BF20:BF21"/>
    <mergeCell ref="BR20:BR21"/>
    <mergeCell ref="BV20:BV21"/>
    <mergeCell ref="BJ18:BJ19"/>
    <mergeCell ref="BC18:BC19"/>
    <mergeCell ref="BG18:BG19"/>
    <mergeCell ref="BF18:BF19"/>
    <mergeCell ref="BR18:BR19"/>
    <mergeCell ref="BR16:BR17"/>
    <mergeCell ref="BJ16:BJ17"/>
    <mergeCell ref="BC16:BC17"/>
    <mergeCell ref="BG16:BG17"/>
    <mergeCell ref="BV18:BV19"/>
    <mergeCell ref="BU16:BU17"/>
    <mergeCell ref="AY18:AY19"/>
    <mergeCell ref="BO20:BO21"/>
    <mergeCell ref="AX20:AX21"/>
    <mergeCell ref="AY16:AY17"/>
    <mergeCell ref="AL18:AN19"/>
    <mergeCell ref="AB12:AE13"/>
    <mergeCell ref="AM13:AU14"/>
    <mergeCell ref="BJ20:BJ21"/>
    <mergeCell ref="BA20:BA21"/>
    <mergeCell ref="AZ20:AZ21"/>
    <mergeCell ref="BY16:BY17"/>
    <mergeCell ref="BY18:BY19"/>
    <mergeCell ref="BU18:BU19"/>
    <mergeCell ref="BT20:BT21"/>
    <mergeCell ref="BW16:BW17"/>
    <mergeCell ref="BV16:BV17"/>
    <mergeCell ref="BA16:BA17"/>
    <mergeCell ref="BB16:BB17"/>
    <mergeCell ref="BW20:BW21"/>
    <mergeCell ref="BW18:BW19"/>
    <mergeCell ref="BB18:BB19"/>
    <mergeCell ref="AZ18:AZ19"/>
    <mergeCell ref="AZ16:AZ17"/>
    <mergeCell ref="BB20:BB21"/>
    <mergeCell ref="AY20:AY21"/>
    <mergeCell ref="BU20:BU21"/>
    <mergeCell ref="BC20:BC21"/>
    <mergeCell ref="BG20:BG21"/>
    <mergeCell ref="AR22:AU23"/>
    <mergeCell ref="BN22:BN23"/>
    <mergeCell ref="BU24:BU25"/>
    <mergeCell ref="BT22:BT23"/>
    <mergeCell ref="AZ22:AZ23"/>
    <mergeCell ref="BO22:BO23"/>
    <mergeCell ref="BC22:BC23"/>
    <mergeCell ref="BG22:BG23"/>
    <mergeCell ref="BF22:BF23"/>
    <mergeCell ref="BR22:BR23"/>
    <mergeCell ref="BO24:BO25"/>
    <mergeCell ref="AX24:AX25"/>
    <mergeCell ref="BJ24:BJ25"/>
    <mergeCell ref="BB24:BB25"/>
    <mergeCell ref="BA24:BA25"/>
    <mergeCell ref="AZ24:AZ25"/>
    <mergeCell ref="BC24:BC25"/>
    <mergeCell ref="BJ22:BJ23"/>
    <mergeCell ref="AJ28:AK29"/>
    <mergeCell ref="AL28:AN29"/>
    <mergeCell ref="AO28:AQ29"/>
    <mergeCell ref="AR28:AU29"/>
    <mergeCell ref="BN28:BN29"/>
    <mergeCell ref="BO28:BO29"/>
    <mergeCell ref="AR26:AU27"/>
    <mergeCell ref="AF26:AG27"/>
    <mergeCell ref="AH26:AI27"/>
    <mergeCell ref="AJ26:AK27"/>
    <mergeCell ref="AZ26:AZ27"/>
    <mergeCell ref="AZ28:AZ29"/>
    <mergeCell ref="AL26:AN27"/>
    <mergeCell ref="BN26:BN27"/>
    <mergeCell ref="BO26:BO27"/>
    <mergeCell ref="AX26:AX27"/>
    <mergeCell ref="BG28:BG29"/>
    <mergeCell ref="BB26:BB27"/>
    <mergeCell ref="BG26:BG27"/>
    <mergeCell ref="BF26:BF27"/>
    <mergeCell ref="BI28:BI29"/>
    <mergeCell ref="BL28:BL29"/>
    <mergeCell ref="BM28:BM29"/>
    <mergeCell ref="T32:V33"/>
    <mergeCell ref="T34:V35"/>
    <mergeCell ref="AC32:AE33"/>
    <mergeCell ref="AC34:AE35"/>
    <mergeCell ref="BO34:BO35"/>
    <mergeCell ref="AX34:AX35"/>
    <mergeCell ref="AF28:AG29"/>
    <mergeCell ref="AH28:AI29"/>
    <mergeCell ref="BA26:BA27"/>
    <mergeCell ref="T26:V27"/>
    <mergeCell ref="AC26:AE27"/>
    <mergeCell ref="W26:AB27"/>
    <mergeCell ref="W28:AB29"/>
    <mergeCell ref="W30:AB31"/>
    <mergeCell ref="W32:AB33"/>
    <mergeCell ref="W34:AB35"/>
    <mergeCell ref="AF30:AG31"/>
    <mergeCell ref="AX30:AX31"/>
    <mergeCell ref="AH30:AI31"/>
    <mergeCell ref="AJ30:AK31"/>
    <mergeCell ref="AL30:AN31"/>
    <mergeCell ref="AO30:AQ31"/>
    <mergeCell ref="AJ34:AK35"/>
    <mergeCell ref="AL34:AN35"/>
    <mergeCell ref="AJ32:AK33"/>
    <mergeCell ref="AL32:AN33"/>
    <mergeCell ref="AO32:AQ33"/>
    <mergeCell ref="AH32:AI33"/>
    <mergeCell ref="AR30:AU31"/>
    <mergeCell ref="BN30:BN31"/>
    <mergeCell ref="BO30:BO31"/>
    <mergeCell ref="AF32:AG33"/>
    <mergeCell ref="AF34:AG35"/>
    <mergeCell ref="AH34:AI35"/>
    <mergeCell ref="BJ34:BJ35"/>
    <mergeCell ref="BC32:BC33"/>
    <mergeCell ref="AR32:AU33"/>
    <mergeCell ref="BN32:BN33"/>
    <mergeCell ref="BO32:BO33"/>
    <mergeCell ref="BA32:BA33"/>
    <mergeCell ref="BB32:BB33"/>
    <mergeCell ref="BB30:BB31"/>
    <mergeCell ref="BA30:BA31"/>
    <mergeCell ref="BF30:BF31"/>
    <mergeCell ref="BG32:BG33"/>
    <mergeCell ref="BL32:BL33"/>
    <mergeCell ref="BM32:BM33"/>
    <mergeCell ref="AJ36:AK37"/>
    <mergeCell ref="AL36:AN37"/>
    <mergeCell ref="AO36:AQ37"/>
    <mergeCell ref="AR36:AU37"/>
    <mergeCell ref="BN36:BN37"/>
    <mergeCell ref="AF36:AG37"/>
    <mergeCell ref="AH36:AI37"/>
    <mergeCell ref="T36:V37"/>
    <mergeCell ref="AR34:AU35"/>
    <mergeCell ref="BN34:BN35"/>
    <mergeCell ref="W36:AB37"/>
    <mergeCell ref="AO34:AQ35"/>
    <mergeCell ref="BC36:BC37"/>
    <mergeCell ref="BA34:BA35"/>
    <mergeCell ref="BB34:BB35"/>
    <mergeCell ref="AZ34:AZ35"/>
    <mergeCell ref="BY32:BY33"/>
    <mergeCell ref="BT30:BT31"/>
    <mergeCell ref="BV28:BV29"/>
    <mergeCell ref="BF32:BF33"/>
    <mergeCell ref="BR32:BR33"/>
    <mergeCell ref="BW32:BW33"/>
    <mergeCell ref="BO36:BO37"/>
    <mergeCell ref="AX36:AX37"/>
    <mergeCell ref="AY36:AY37"/>
    <mergeCell ref="AZ32:AZ33"/>
    <mergeCell ref="BB36:BB37"/>
    <mergeCell ref="AY32:AY33"/>
    <mergeCell ref="AY34:AY35"/>
    <mergeCell ref="BA36:BA37"/>
    <mergeCell ref="BD32:BD33"/>
    <mergeCell ref="BE32:BE33"/>
    <mergeCell ref="BD36:BD37"/>
    <mergeCell ref="BE36:BE37"/>
    <mergeCell ref="BG36:BG37"/>
    <mergeCell ref="BG34:BG35"/>
    <mergeCell ref="BF34:BF35"/>
    <mergeCell ref="BU32:BU33"/>
    <mergeCell ref="BX32:BX33"/>
    <mergeCell ref="BW34:BW35"/>
    <mergeCell ref="BT34:BT35"/>
    <mergeCell ref="BW28:BW29"/>
    <mergeCell ref="BY28:BY29"/>
    <mergeCell ref="BY30:BY31"/>
    <mergeCell ref="BY36:BY37"/>
    <mergeCell ref="BF36:BF37"/>
    <mergeCell ref="BR36:BR37"/>
    <mergeCell ref="BV36:BV37"/>
    <mergeCell ref="BW36:BW37"/>
    <mergeCell ref="BT36:BT37"/>
    <mergeCell ref="BU34:BU35"/>
    <mergeCell ref="BU36:BU37"/>
    <mergeCell ref="BV34:BV35"/>
    <mergeCell ref="BR34:BR35"/>
    <mergeCell ref="BH36:BH37"/>
    <mergeCell ref="BI36:BI37"/>
    <mergeCell ref="BL36:BL37"/>
    <mergeCell ref="BM36:BM37"/>
    <mergeCell ref="BQ36:BQ37"/>
    <mergeCell ref="BS36:BS37"/>
    <mergeCell ref="BX36:BX37"/>
    <mergeCell ref="BJ36:BJ37"/>
    <mergeCell ref="BH32:BH33"/>
    <mergeCell ref="BI32:BI33"/>
    <mergeCell ref="BQ32:BQ33"/>
    <mergeCell ref="BS32:BS33"/>
    <mergeCell ref="BW22:BW23"/>
    <mergeCell ref="BU22:BU23"/>
    <mergeCell ref="BV26:BV27"/>
    <mergeCell ref="BR28:BR29"/>
    <mergeCell ref="BR26:BR27"/>
    <mergeCell ref="BT32:BT33"/>
    <mergeCell ref="BR30:BR31"/>
    <mergeCell ref="BV32:BV33"/>
    <mergeCell ref="BV22:BV23"/>
    <mergeCell ref="BV24:BV25"/>
    <mergeCell ref="BY22:BY23"/>
    <mergeCell ref="BW30:BW31"/>
    <mergeCell ref="BJ26:BJ27"/>
    <mergeCell ref="BC30:BC31"/>
    <mergeCell ref="BJ30:BJ31"/>
    <mergeCell ref="BG24:BG25"/>
    <mergeCell ref="BT24:BT25"/>
    <mergeCell ref="BU26:BU27"/>
    <mergeCell ref="BW26:BW27"/>
    <mergeCell ref="BR24:BR25"/>
    <mergeCell ref="BD24:BD25"/>
    <mergeCell ref="BE24:BE25"/>
    <mergeCell ref="BH24:BH25"/>
    <mergeCell ref="BI24:BI25"/>
    <mergeCell ref="BL24:BL25"/>
    <mergeCell ref="BM24:BM25"/>
    <mergeCell ref="BQ24:BQ25"/>
    <mergeCell ref="BS24:BS25"/>
    <mergeCell ref="BX24:BX25"/>
    <mergeCell ref="BD28:BD29"/>
    <mergeCell ref="BE28:BE29"/>
    <mergeCell ref="BH28:BH29"/>
    <mergeCell ref="BQ28:BQ29"/>
    <mergeCell ref="BS28:BS29"/>
    <mergeCell ref="CA16:CA17"/>
    <mergeCell ref="CB16:CB17"/>
    <mergeCell ref="N1:T3"/>
    <mergeCell ref="U1:AK3"/>
    <mergeCell ref="BP34:BP35"/>
    <mergeCell ref="BP36:BP37"/>
    <mergeCell ref="BP16:BP17"/>
    <mergeCell ref="BP18:BP19"/>
    <mergeCell ref="BP20:BP21"/>
    <mergeCell ref="BP22:BP23"/>
    <mergeCell ref="BP24:BP25"/>
    <mergeCell ref="BP26:BP27"/>
    <mergeCell ref="BP28:BP29"/>
    <mergeCell ref="BP30:BP31"/>
    <mergeCell ref="BP32:BP33"/>
    <mergeCell ref="AZ30:AZ31"/>
    <mergeCell ref="BK36:BK37"/>
    <mergeCell ref="BK16:BK17"/>
    <mergeCell ref="BK18:BK19"/>
    <mergeCell ref="BK20:BK21"/>
    <mergeCell ref="BK22:BK23"/>
    <mergeCell ref="BK24:BK25"/>
    <mergeCell ref="BK26:BK27"/>
    <mergeCell ref="BK28:BK29"/>
    <mergeCell ref="CC16:CC17"/>
    <mergeCell ref="BZ18:BZ19"/>
    <mergeCell ref="CA18:CA19"/>
    <mergeCell ref="CB18:CB19"/>
    <mergeCell ref="CC18:CC19"/>
    <mergeCell ref="BH16:BH17"/>
    <mergeCell ref="BI16:BI17"/>
    <mergeCell ref="BQ16:BQ17"/>
    <mergeCell ref="BD18:BD19"/>
    <mergeCell ref="BE18:BE19"/>
    <mergeCell ref="BH18:BH19"/>
    <mergeCell ref="BI18:BI19"/>
    <mergeCell ref="BL18:BL19"/>
    <mergeCell ref="BM18:BM19"/>
    <mergeCell ref="BQ18:BQ19"/>
    <mergeCell ref="BS18:BS19"/>
    <mergeCell ref="BX18:BX19"/>
    <mergeCell ref="BD16:BD17"/>
    <mergeCell ref="BE16:BF16"/>
    <mergeCell ref="BL16:BL17"/>
    <mergeCell ref="BM16:BM17"/>
    <mergeCell ref="BS16:BS17"/>
    <mergeCell ref="BX16:BX17"/>
    <mergeCell ref="BZ16:BZ17"/>
    <mergeCell ref="CB20:CB21"/>
    <mergeCell ref="CC20:CC21"/>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BH20:BH21"/>
    <mergeCell ref="BI20:BI21"/>
    <mergeCell ref="BL20:BL21"/>
    <mergeCell ref="BM20:BM21"/>
    <mergeCell ref="BQ20:BQ21"/>
    <mergeCell ref="BS20:BS21"/>
    <mergeCell ref="BX20:BX21"/>
    <mergeCell ref="BZ20:BZ21"/>
    <mergeCell ref="CA20:CA21"/>
    <mergeCell ref="BZ24:BZ25"/>
    <mergeCell ref="CA24:CA25"/>
    <mergeCell ref="CB24:CB25"/>
    <mergeCell ref="CC24:CC25"/>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Y24:BY25"/>
    <mergeCell ref="BY26:BY27"/>
    <mergeCell ref="BT26:BT27"/>
    <mergeCell ref="BW24:BW25"/>
    <mergeCell ref="BZ28:BZ29"/>
    <mergeCell ref="CA28:CA29"/>
    <mergeCell ref="CB28:CB29"/>
    <mergeCell ref="CC28:CC29"/>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K30:BK31"/>
    <mergeCell ref="BX28:BX29"/>
    <mergeCell ref="BU28:BU29"/>
    <mergeCell ref="BU30:BU31"/>
    <mergeCell ref="BV30:BV31"/>
    <mergeCell ref="BG30:BG31"/>
    <mergeCell ref="BT28:BT29"/>
    <mergeCell ref="BZ36:BZ37"/>
    <mergeCell ref="CA36:CA37"/>
    <mergeCell ref="CB36:CB37"/>
    <mergeCell ref="CC36:CC37"/>
    <mergeCell ref="BZ32:BZ33"/>
    <mergeCell ref="CA32:CA33"/>
    <mergeCell ref="CB32:CB33"/>
    <mergeCell ref="CC32:CC33"/>
    <mergeCell ref="BD34:BD35"/>
    <mergeCell ref="BE34:BE35"/>
    <mergeCell ref="BH34:BH35"/>
    <mergeCell ref="BI34:BI35"/>
    <mergeCell ref="BL34:BL35"/>
    <mergeCell ref="BM34:BM35"/>
    <mergeCell ref="BQ34:BQ35"/>
    <mergeCell ref="BS34:BS35"/>
    <mergeCell ref="BX34:BX35"/>
    <mergeCell ref="BZ34:BZ35"/>
    <mergeCell ref="CA34:CA35"/>
    <mergeCell ref="CB34:CB35"/>
    <mergeCell ref="CC34:CC35"/>
    <mergeCell ref="BK32:BK33"/>
    <mergeCell ref="BK34:BK35"/>
    <mergeCell ref="BY34:BY35"/>
  </mergeCells>
  <conditionalFormatting sqref="H18:N18 W18 T18:V37 AC18:AK37 H19:M19 H20:N20 W20 H21:M37 N22 W22 N24 W24 N26 W26 N28 W28 N30 W30 N32 W32 N34 W34 N36 W36">
    <cfRule type="expression" dxfId="85" priority="1394">
      <formula>AND(ISBLANK($C18)=FALSE,OR(ISBLANK(H18)=TRUE,H18=""))</formula>
    </cfRule>
  </conditionalFormatting>
  <conditionalFormatting sqref="AR18:AU37">
    <cfRule type="expression" dxfId="84" priority="1920" stopIfTrue="1">
      <formula>ISNUMBER($AR18)=FALSE</formula>
    </cfRule>
    <cfRule type="expression" dxfId="83" priority="1921">
      <formula>$AR18 &lt;&gt; $BR18</formula>
    </cfRule>
  </conditionalFormatting>
  <conditionalFormatting sqref="AS8:AW8">
    <cfRule type="expression" dxfId="82" priority="10">
      <formula>IF($AS$8=PROJSTATMEASURE,FALSE,TRUE)</formula>
    </cfRule>
  </conditionalFormatting>
  <dataValidations xWindow="806" yWindow="625" count="7">
    <dataValidation type="list" allowBlank="1" showInputMessage="1" showErrorMessage="1" sqref="BC18:BC37" xr:uid="{93961EB2-F72C-48F2-B25A-8978593151CA}">
      <formula1>ENDUSECAT</formula1>
    </dataValidation>
    <dataValidation type="decimal" allowBlank="1" showInputMessage="1" showErrorMessage="1" promptTitle="Incremental Cost" prompt="This is the difference between actual cost of installed Equipment and the cost of the hypothetical baseline." sqref="AH18:AI37" xr:uid="{C5F343EC-69C9-4726-9718-B6CEC55B9278}">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3B5B8294-39CA-4422-A36C-6FA703997D68}">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68BAB468-F31B-41FD-B4BE-54715E27A02E}">
      <formula1>IF($H18="",CUSTOMPROJECTTYPE,"")</formula1>
    </dataValidation>
    <dataValidation type="list" allowBlank="1" showInputMessage="1" showErrorMessage="1" sqref="H18:M37" xr:uid="{F2DD47F0-C23D-4703-A46D-7FE99AE8510A}">
      <formula1>CMEREFRIDESC</formula1>
    </dataValidation>
    <dataValidation type="whole" operator="greaterThanOrEqual" allowBlank="1" showInputMessage="1" showErrorMessage="1" errorTitle="Invalid Entry" error="Value must be a whole number." sqref="T18:V37 AC18:AE37" xr:uid="{BEF75939-DA4B-4265-9A86-C6B805F58A81}">
      <formula1>0</formula1>
    </dataValidation>
  </dataValidations>
  <hyperlinks>
    <hyperlink ref="B202" r:id="rId1" display="businessrebates@evergy.com" xr:uid="{1FD07E7E-C3AF-44EB-90FB-87C7B1EDF63D}"/>
    <hyperlink ref="J1:M3" location="'M01-S02'!J1" tooltip="Instructions" display="'M01-S02'!J1" xr:uid="{66CB6F37-BCE6-4CAC-AB4C-E90E4FA685E1}"/>
    <hyperlink ref="AP1:AS3" location="'M05-S05'!AL1" tooltip=" " display="'M05-S05'!AL1" xr:uid="{75468C6F-F409-4562-A6D2-853ED83D1F49}"/>
    <hyperlink ref="AL1:AO3" location="'M05-S04'!AH1" tooltip=" " display="'M05-S04'!AH1" xr:uid="{EB89FA54-9373-4AAE-896E-A9B1FE1463EC}"/>
    <hyperlink ref="AT1:AW3" location="'M01-S03'!AP1" tooltip="Contact" display="'M01-S03'!AP1" xr:uid="{1BFEF3E7-20E5-4EDF-AF5C-935E5D9521B6}"/>
    <hyperlink ref="N9:Q11" location="'M04-S03'!A1" tooltip="Lighting Controls" display="'M04-S03'!A1" xr:uid="{61195BE6-A245-4D99-A118-D2371F7A1E7B}"/>
    <hyperlink ref="R9:U11" location="'M04-S04'!A1" tooltip="Refrigeration" display="'M04-S04'!A1" xr:uid="{E52B295E-8F3A-42F5-84CC-A75B3CD84834}"/>
    <hyperlink ref="V9:Y11" location="'M04-S05'!A1" tooltip="HVAC" display="'M04-S05'!A1" xr:uid="{19D547E3-C305-45DA-92FC-3B1BC9C433A4}"/>
    <hyperlink ref="AD9:AG11" location="'M04-S06'!A1" tooltip="Compressed Air / Process" display="'M04-S06'!A1" xr:uid="{8CC667AA-2F73-4D49-A081-5166319BA2AD}"/>
    <hyperlink ref="AH9:AK11" location="'M04-S07'!A1" tooltip="Water Heating / Cooking" display="'M04-S07'!A1" xr:uid="{986995A2-D9B7-471A-8235-8250C7012989}"/>
    <hyperlink ref="Z9:AC11" location="'M04-S08'!A1" tooltip="Motors and Drives" display="'M04-S08'!A1" xr:uid="{70471AC5-9A9A-4BB4-9008-1A65554058CC}"/>
    <hyperlink ref="AL9:AO11" location="'M04-S09'!A1" tooltip="Miscellaneous" display="'M04-S09'!A1" xr:uid="{0C8E7E44-2ED0-48DC-A8D9-95E54E6E2DE9}"/>
    <hyperlink ref="J9:M11" location="'M04-S02'!A1" tooltip="Lighting" display="'M04-S02'!A1" xr:uid="{DA1ADC34-7904-45A4-BEC3-CC8CA35D73EC}"/>
  </hyperlinks>
  <printOptions horizontalCentered="1"/>
  <pageMargins left="0" right="0" top="0" bottom="0" header="0" footer="0"/>
  <pageSetup scale="43"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theme="8" tint="0.59999389629810485"/>
    <pageSetUpPr fitToPage="1"/>
  </sheetPr>
  <dimension ref="A1:CW204"/>
  <sheetViews>
    <sheetView showGridLines="0" showRowColHeaders="0" zoomScale="85" zoomScaleNormal="85" workbookViewId="0">
      <selection activeCell="C18" sqref="C18:G19"/>
    </sheetView>
  </sheetViews>
  <sheetFormatPr defaultColWidth="0" defaultRowHeight="1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4"/>
      <c r="G5" s="374"/>
      <c r="H5" s="374"/>
      <c r="I5" s="374"/>
      <c r="AS5" s="988">
        <f ca="1">PROGRESSSTATUS</f>
        <v>0</v>
      </c>
      <c r="AT5" s="988"/>
      <c r="AU5" s="988"/>
      <c r="AV5" s="988"/>
      <c r="AW5" s="988"/>
      <c r="AX5" s="17"/>
      <c r="AY5" s="108" t="s">
        <v>933</v>
      </c>
      <c r="AZ5" s="108" t="s">
        <v>325</v>
      </c>
      <c r="BA5" s="45"/>
      <c r="BB5" s="45"/>
    </row>
    <row r="6" spans="1:81" ht="15.95" customHeight="1">
      <c r="A6" s="692"/>
      <c r="B6" s="692"/>
      <c r="C6" s="692"/>
      <c r="D6" s="692"/>
      <c r="E6" s="692"/>
      <c r="F6" s="374"/>
      <c r="G6" s="374"/>
      <c r="H6" s="374"/>
      <c r="I6" s="374"/>
      <c r="AS6" s="988"/>
      <c r="AT6" s="988"/>
      <c r="AU6" s="988"/>
      <c r="AV6" s="988"/>
      <c r="AW6" s="988"/>
      <c r="AX6" s="107" t="s">
        <v>938</v>
      </c>
      <c r="AY6" s="106" t="str">
        <f>CBPRESE</f>
        <v>NA</v>
      </c>
      <c r="AZ6" s="165" t="str">
        <f>PAYPRESE</f>
        <v>NA</v>
      </c>
      <c r="BA6" s="45"/>
      <c r="BB6" s="45"/>
    </row>
    <row r="7" spans="1:81" ht="15.95" customHeight="1">
      <c r="A7" s="662" t="s">
        <v>83</v>
      </c>
      <c r="B7" s="662"/>
      <c r="C7" s="662"/>
      <c r="D7" s="662"/>
      <c r="E7" s="662"/>
      <c r="F7" s="75"/>
      <c r="G7" s="75"/>
      <c r="H7" s="75"/>
      <c r="I7" s="75"/>
      <c r="AS7" s="662" t="s">
        <v>299</v>
      </c>
      <c r="AT7" s="662"/>
      <c r="AU7" s="662"/>
      <c r="AV7" s="662"/>
      <c r="AW7" s="662"/>
      <c r="AX7" s="107" t="s">
        <v>135</v>
      </c>
      <c r="AY7" s="106" t="str">
        <f>CBCUSE</f>
        <v>NA</v>
      </c>
      <c r="AZ7" s="165" t="str">
        <f>PAYCUSE</f>
        <v>NA</v>
      </c>
      <c r="BA7" s="45"/>
      <c r="BB7" s="45"/>
    </row>
    <row r="8" spans="1:81" ht="15.95" customHeight="1" thickBot="1">
      <c r="A8" s="665"/>
      <c r="B8" s="665"/>
      <c r="C8" s="665"/>
      <c r="D8" s="665"/>
      <c r="E8" s="665"/>
      <c r="F8" s="373"/>
      <c r="G8" s="373"/>
      <c r="H8" s="373"/>
      <c r="I8" s="75"/>
      <c r="AS8" s="661" t="str">
        <f ca="1">PROJSTATUS</f>
        <v>Enter Measures</v>
      </c>
      <c r="AT8" s="661"/>
      <c r="AU8" s="661"/>
      <c r="AV8" s="661"/>
      <c r="AW8" s="661"/>
      <c r="AX8" s="107" t="s">
        <v>596</v>
      </c>
      <c r="AY8" s="106" t="str">
        <f>CBALL</f>
        <v>NA</v>
      </c>
      <c r="AZ8" s="165" t="str">
        <f>PAYALL</f>
        <v>NA</v>
      </c>
      <c r="BA8" s="45"/>
      <c r="BB8" s="45"/>
    </row>
    <row r="9" spans="1:81" s="78" customFormat="1" ht="15.95" customHeight="1">
      <c r="B9" s="99"/>
      <c r="C9" s="99"/>
      <c r="D9" s="99"/>
      <c r="E9" s="99"/>
      <c r="F9" s="99"/>
      <c r="G9" s="101"/>
      <c r="H9" s="100"/>
      <c r="I9" s="100"/>
      <c r="J9" s="829" t="str">
        <f>M3S2</f>
        <v>Lighting</v>
      </c>
      <c r="K9" s="830"/>
      <c r="L9" s="830"/>
      <c r="M9" s="830"/>
      <c r="N9" s="829" t="str">
        <f>M3S3</f>
        <v>Lighting Controls</v>
      </c>
      <c r="O9" s="830"/>
      <c r="P9" s="830"/>
      <c r="Q9" s="830"/>
      <c r="R9" s="829" t="str">
        <f>M3S4</f>
        <v>Refrigeration</v>
      </c>
      <c r="S9" s="830"/>
      <c r="T9" s="830"/>
      <c r="U9" s="830"/>
      <c r="V9" s="842" t="str">
        <f>M3S5</f>
        <v>HVAC</v>
      </c>
      <c r="W9" s="842"/>
      <c r="X9" s="842"/>
      <c r="Y9" s="842"/>
      <c r="Z9" s="829" t="str">
        <f>M4S8</f>
        <v>Motors and Drives</v>
      </c>
      <c r="AA9" s="830"/>
      <c r="AB9" s="830"/>
      <c r="AC9" s="830"/>
      <c r="AD9" s="829" t="str">
        <f>M3S6</f>
        <v>Compressed Air / Process</v>
      </c>
      <c r="AE9" s="830"/>
      <c r="AF9" s="830"/>
      <c r="AG9" s="830"/>
      <c r="AH9" s="829" t="str">
        <f>M3S7</f>
        <v>Water Heating / Food Services</v>
      </c>
      <c r="AI9" s="830"/>
      <c r="AJ9" s="830"/>
      <c r="AK9" s="830"/>
      <c r="AL9" s="829" t="str">
        <f>M4S9</f>
        <v>Miscellaneous</v>
      </c>
      <c r="AM9" s="830"/>
      <c r="AN9" s="830"/>
      <c r="AO9" s="830"/>
      <c r="AP9" s="99"/>
      <c r="AQ9" s="99"/>
      <c r="AR9" s="99"/>
      <c r="AS9" s="101"/>
      <c r="AU9" s="99"/>
      <c r="AV9" s="99"/>
    </row>
    <row r="10" spans="1:81" s="78" customFormat="1" ht="15.95" customHeight="1">
      <c r="B10" s="79"/>
      <c r="C10" s="79"/>
      <c r="D10" s="79"/>
      <c r="E10" s="79"/>
      <c r="F10" s="79"/>
      <c r="G10"/>
      <c r="J10" s="831"/>
      <c r="K10" s="831"/>
      <c r="L10" s="831"/>
      <c r="M10" s="831"/>
      <c r="N10" s="831"/>
      <c r="O10" s="831"/>
      <c r="P10" s="831"/>
      <c r="Q10" s="831"/>
      <c r="R10" s="831"/>
      <c r="S10" s="831"/>
      <c r="T10" s="831"/>
      <c r="U10" s="831"/>
      <c r="V10" s="843"/>
      <c r="W10" s="843"/>
      <c r="X10" s="843"/>
      <c r="Y10" s="843"/>
      <c r="Z10" s="831"/>
      <c r="AA10" s="831"/>
      <c r="AB10" s="831"/>
      <c r="AC10" s="831"/>
      <c r="AD10" s="831"/>
      <c r="AE10" s="831"/>
      <c r="AF10" s="831"/>
      <c r="AG10" s="831"/>
      <c r="AH10" s="831"/>
      <c r="AI10" s="831"/>
      <c r="AJ10" s="831"/>
      <c r="AK10" s="831"/>
      <c r="AL10" s="831"/>
      <c r="AM10" s="831"/>
      <c r="AN10" s="831"/>
      <c r="AO10" s="831"/>
      <c r="AP10" s="79"/>
      <c r="AQ10" s="79"/>
      <c r="AR10" s="79"/>
      <c r="AS10"/>
      <c r="AU10" s="79"/>
      <c r="AV10" s="79"/>
    </row>
    <row r="11" spans="1:81" ht="15.95" customHeight="1">
      <c r="B11" s="96"/>
      <c r="C11" s="96"/>
      <c r="D11" s="96"/>
      <c r="E11" s="96"/>
      <c r="F11" s="96"/>
      <c r="J11" s="831"/>
      <c r="K11" s="831"/>
      <c r="L11" s="831"/>
      <c r="M11" s="831"/>
      <c r="N11" s="831"/>
      <c r="O11" s="831"/>
      <c r="P11" s="831"/>
      <c r="Q11" s="831"/>
      <c r="R11" s="831"/>
      <c r="S11" s="831"/>
      <c r="T11" s="831"/>
      <c r="U11" s="831"/>
      <c r="V11" s="843"/>
      <c r="W11" s="843"/>
      <c r="X11" s="843"/>
      <c r="Y11" s="843"/>
      <c r="Z11" s="831"/>
      <c r="AA11" s="831"/>
      <c r="AB11" s="831"/>
      <c r="AC11" s="831"/>
      <c r="AD11" s="831"/>
      <c r="AE11" s="831"/>
      <c r="AF11" s="831"/>
      <c r="AG11" s="831"/>
      <c r="AH11" s="831"/>
      <c r="AI11" s="831"/>
      <c r="AJ11" s="831"/>
      <c r="AK11" s="831"/>
      <c r="AL11" s="831"/>
      <c r="AM11" s="831"/>
      <c r="AN11" s="831"/>
      <c r="AO11" s="831"/>
      <c r="AP11" s="96"/>
      <c r="AQ11" s="96"/>
      <c r="AR11" s="96"/>
      <c r="AU11" s="96"/>
      <c r="AV11" s="96"/>
    </row>
    <row r="12" spans="1:81" ht="15.95" customHeight="1">
      <c r="A12" s="76"/>
      <c r="B12" s="76"/>
      <c r="C12" s="76"/>
      <c r="D12" s="76"/>
      <c r="E12" s="76"/>
      <c r="F12" s="76"/>
      <c r="G12" s="76"/>
      <c r="T12" s="837">
        <f>SUM(AR18:AU184)</f>
        <v>0</v>
      </c>
      <c r="U12" s="837"/>
      <c r="V12" s="837"/>
      <c r="W12" s="837"/>
      <c r="X12" s="837">
        <f ca="1">SUMIF(AR18:AU184,"&gt;0",AL18:AN184)</f>
        <v>0</v>
      </c>
      <c r="Y12" s="837"/>
      <c r="Z12" s="837"/>
      <c r="AA12" s="837"/>
      <c r="AB12" s="836">
        <f ca="1">SUMIF(AR18:AU184,"&gt;0",AO18:AQ184)</f>
        <v>0</v>
      </c>
      <c r="AC12" s="836"/>
      <c r="AD12" s="836"/>
      <c r="AE12" s="836"/>
      <c r="AT12" s="320"/>
    </row>
    <row r="13" spans="1:81" ht="15.95" customHeight="1">
      <c r="A13" s="76"/>
      <c r="B13" s="76"/>
      <c r="C13" s="76"/>
      <c r="D13" s="76"/>
      <c r="T13" s="837"/>
      <c r="U13" s="837"/>
      <c r="V13" s="837"/>
      <c r="W13" s="837"/>
      <c r="X13" s="837"/>
      <c r="Y13" s="837"/>
      <c r="Z13" s="837"/>
      <c r="AA13" s="837"/>
      <c r="AB13" s="836"/>
      <c r="AC13" s="836"/>
      <c r="AD13" s="836"/>
      <c r="AE13" s="836"/>
      <c r="AM13" s="839" t="str">
        <f>IF(OR(IFERROR(MATCH("75% Total Cost", BM:BM, 0), FALSE), IFERROR(MATCH("100% Incremental Cost", BM:BM,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BD14" s="542" t="s">
        <v>2112</v>
      </c>
      <c r="BE14" s="542" t="s">
        <v>2112</v>
      </c>
      <c r="BL14" s="542" t="s">
        <v>2112</v>
      </c>
      <c r="BO14" s="51" t="s">
        <v>3048</v>
      </c>
      <c r="BX14" s="542" t="s">
        <v>2112</v>
      </c>
    </row>
    <row r="15" spans="1:81" ht="15.95" customHeight="1"/>
    <row r="16" spans="1:81" ht="15.95" customHeight="1">
      <c r="C16" s="832" t="s">
        <v>927</v>
      </c>
      <c r="D16" s="832"/>
      <c r="E16" s="832"/>
      <c r="F16" s="832"/>
      <c r="G16" s="832"/>
      <c r="H16" s="832" t="s">
        <v>859</v>
      </c>
      <c r="I16" s="832"/>
      <c r="J16" s="832"/>
      <c r="K16" s="832"/>
      <c r="L16" s="832"/>
      <c r="M16" s="832"/>
      <c r="N16" s="832" t="s">
        <v>928</v>
      </c>
      <c r="O16" s="832"/>
      <c r="P16" s="832"/>
      <c r="Q16" s="832"/>
      <c r="R16" s="832"/>
      <c r="S16" s="832"/>
      <c r="T16" s="832" t="s">
        <v>1851</v>
      </c>
      <c r="U16" s="832"/>
      <c r="V16" s="832"/>
      <c r="W16" s="832" t="s">
        <v>929</v>
      </c>
      <c r="X16" s="832"/>
      <c r="Y16" s="832"/>
      <c r="Z16" s="832"/>
      <c r="AA16" s="832"/>
      <c r="AB16" s="832"/>
      <c r="AC16" s="832" t="s">
        <v>1852</v>
      </c>
      <c r="AD16" s="832"/>
      <c r="AE16" s="832"/>
      <c r="AF16" s="832" t="s">
        <v>930</v>
      </c>
      <c r="AG16" s="832"/>
      <c r="AH16" s="860" t="s">
        <v>876</v>
      </c>
      <c r="AI16" s="860"/>
      <c r="AJ16" s="860"/>
      <c r="AK16" s="860"/>
      <c r="AL16" s="832" t="s">
        <v>923</v>
      </c>
      <c r="AM16" s="832"/>
      <c r="AN16" s="832"/>
      <c r="AO16" s="832" t="s">
        <v>735</v>
      </c>
      <c r="AP16" s="832"/>
      <c r="AQ16" s="832"/>
      <c r="AR16" s="832" t="s">
        <v>83</v>
      </c>
      <c r="AS16" s="832"/>
      <c r="AT16" s="832"/>
      <c r="AU16" s="832"/>
      <c r="AV16" s="59"/>
      <c r="AW16" s="59"/>
      <c r="AX16" s="779" t="s">
        <v>743</v>
      </c>
      <c r="AY16" s="779" t="s">
        <v>1985</v>
      </c>
      <c r="AZ16" s="779" t="s">
        <v>942</v>
      </c>
      <c r="BA16" s="779" t="s">
        <v>635</v>
      </c>
      <c r="BB16" s="779" t="s">
        <v>875</v>
      </c>
      <c r="BC16" s="779" t="s">
        <v>924</v>
      </c>
      <c r="BD16" s="781" t="s">
        <v>1701</v>
      </c>
      <c r="BE16" s="783" t="s">
        <v>874</v>
      </c>
      <c r="BF16" s="783"/>
      <c r="BG16" s="779" t="s">
        <v>926</v>
      </c>
      <c r="BH16" s="600"/>
      <c r="BI16" s="600"/>
      <c r="BJ16" s="779" t="s">
        <v>88</v>
      </c>
      <c r="BK16" s="781" t="s">
        <v>1619</v>
      </c>
      <c r="BL16" s="783" t="s">
        <v>876</v>
      </c>
      <c r="BM16" s="783"/>
      <c r="BN16" s="779" t="s">
        <v>132</v>
      </c>
      <c r="BO16" s="779" t="s">
        <v>325</v>
      </c>
      <c r="BP16" s="781" t="s">
        <v>1833</v>
      </c>
      <c r="BQ16" s="600"/>
      <c r="BR16" s="781" t="s">
        <v>1614</v>
      </c>
      <c r="BS16" s="783"/>
      <c r="BT16" s="779"/>
      <c r="BU16" s="779" t="s">
        <v>925</v>
      </c>
      <c r="BV16" s="781" t="s">
        <v>691</v>
      </c>
      <c r="BW16" s="779" t="s">
        <v>85</v>
      </c>
      <c r="BX16" s="783" t="s">
        <v>840</v>
      </c>
      <c r="BY16" s="779" t="s">
        <v>309</v>
      </c>
      <c r="BZ16" s="755"/>
      <c r="CA16" s="755"/>
      <c r="CB16" s="755"/>
      <c r="CC16" s="755"/>
    </row>
    <row r="17" spans="1:81" ht="15.95" customHeight="1" thickBot="1">
      <c r="B17" s="17"/>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t="s">
        <v>862</v>
      </c>
      <c r="AI17" s="833"/>
      <c r="AJ17" s="833" t="s">
        <v>863</v>
      </c>
      <c r="AK17" s="833"/>
      <c r="AL17" s="833"/>
      <c r="AM17" s="833"/>
      <c r="AN17" s="833"/>
      <c r="AO17" s="833"/>
      <c r="AP17" s="833"/>
      <c r="AQ17" s="833"/>
      <c r="AR17" s="833"/>
      <c r="AS17" s="833"/>
      <c r="AT17" s="833"/>
      <c r="AU17" s="833"/>
      <c r="AV17" s="37"/>
      <c r="AW17" s="37"/>
      <c r="AX17" s="780"/>
      <c r="AY17" s="780"/>
      <c r="AZ17" s="780"/>
      <c r="BA17" s="780"/>
      <c r="BB17" s="780"/>
      <c r="BC17" s="780"/>
      <c r="BD17" s="782"/>
      <c r="BE17" s="540" t="s">
        <v>871</v>
      </c>
      <c r="BF17" s="541" t="s">
        <v>872</v>
      </c>
      <c r="BG17" s="780"/>
      <c r="BH17" s="1097"/>
      <c r="BI17" s="1097"/>
      <c r="BJ17" s="780"/>
      <c r="BK17" s="782"/>
      <c r="BL17" s="784"/>
      <c r="BM17" s="784"/>
      <c r="BN17" s="780"/>
      <c r="BO17" s="780"/>
      <c r="BP17" s="782"/>
      <c r="BQ17" s="1097"/>
      <c r="BR17" s="782"/>
      <c r="BS17" s="784"/>
      <c r="BT17" s="780"/>
      <c r="BU17" s="780"/>
      <c r="BV17" s="782"/>
      <c r="BW17" s="780"/>
      <c r="BX17" s="784"/>
      <c r="BY17" s="780"/>
      <c r="BZ17" s="756"/>
      <c r="CA17" s="756"/>
      <c r="CB17" s="756"/>
      <c r="CC17" s="756"/>
    </row>
    <row r="18" spans="1:81" ht="15.95" customHeight="1">
      <c r="B18" s="785">
        <v>1</v>
      </c>
      <c r="C18" s="1056"/>
      <c r="D18" s="877"/>
      <c r="E18" s="877"/>
      <c r="F18" s="877"/>
      <c r="G18" s="1058"/>
      <c r="H18" s="1050"/>
      <c r="I18" s="1050"/>
      <c r="J18" s="1050"/>
      <c r="K18" s="1050"/>
      <c r="L18" s="1050"/>
      <c r="M18" s="1012"/>
      <c r="N18" s="1124"/>
      <c r="O18" s="877"/>
      <c r="P18" s="877"/>
      <c r="Q18" s="877"/>
      <c r="R18" s="877"/>
      <c r="S18" s="1058"/>
      <c r="T18" s="1141"/>
      <c r="U18" s="1142"/>
      <c r="V18" s="1143"/>
      <c r="W18" s="1124"/>
      <c r="X18" s="877"/>
      <c r="Y18" s="877"/>
      <c r="Z18" s="877"/>
      <c r="AA18" s="877"/>
      <c r="AB18" s="1058"/>
      <c r="AC18" s="1141"/>
      <c r="AD18" s="1142"/>
      <c r="AE18" s="1143"/>
      <c r="AF18" s="1135" t="str">
        <f>IFERROR(IF($C18="", "", IF(OR($C18 = "Retrofit existing", $C18 = "Replace in-life equip."), "Total", "Incremental")), "")</f>
        <v/>
      </c>
      <c r="AG18" s="1136"/>
      <c r="AH18" s="993"/>
      <c r="AI18" s="993"/>
      <c r="AJ18" s="1100" t="str">
        <f t="shared" ref="AJ18:AJ21" si="0">IF(AF18="Incremental",0,"")</f>
        <v/>
      </c>
      <c r="AK18" s="1101"/>
      <c r="AL18" s="1030" t="str">
        <f>IF(OR(C18="",H18="",N18="",T18="",W18="",AC18="",AF18="",AH18="",AJ18=""),"",ROUND(AH18+AJ18,2))</f>
        <v/>
      </c>
      <c r="AM18" s="1031"/>
      <c r="AN18" s="1031"/>
      <c r="AO18" s="1036" t="str">
        <f>IF(OR(C18="",H18="",N18="",T18="",W18="",AC18="",AF18="",AH18="",AJ18=""),"",IF(BA18-BB18&lt;=0,0,ROUND(BA18-BB18,4)))</f>
        <v/>
      </c>
      <c r="AP18" s="1036"/>
      <c r="AQ18" s="1036"/>
      <c r="AR18" s="1000" t="str">
        <f>IF(OR(C18="",H18="",N18="",T18="",W18="",AC18="",AF18="",AH18="",AJ18=""),"",
IF(BY18&lt;&gt;"",BY18,IF(BP18&gt;0,BP18,
IF(AF18="Incremental",
IF(ACTIVEBLOCK="Yes",ROUND(MIN(AL18*INCCOSTCAP,AO18*BLOCKBIDRATE),2),
ROUND(MIN(AL18*INCCOSTCAP,BR18),2)),
IF(ACTIVEBLOCK="Yes",ROUND(MIN(AL18*TOTCOSTCAP,AO18*BLOCKBIDRATE),2),
ROUND(MIN(AL18*TOTCOSTCAP,BR18),2))))))</f>
        <v/>
      </c>
      <c r="AS18" s="1000"/>
      <c r="AT18" s="1000"/>
      <c r="AU18" s="1000"/>
      <c r="AV18" s="37"/>
      <c r="AW18" s="37"/>
      <c r="AX18" s="773" t="str">
        <f>IF(OR(C18="",H18=""),"",INDEX(CMEHVAC[Unit of Measure],MATCH(H18,CMEHVAC[Proj Desc 1],0)))</f>
        <v/>
      </c>
      <c r="AY18" s="759" t="str">
        <f>IF(AO18&lt;&gt;"","Missing!","")</f>
        <v/>
      </c>
      <c r="AZ18" s="759" t="str">
        <f>IF(AO18&lt;&gt;"","Missing!","")</f>
        <v/>
      </c>
      <c r="BA18" s="771" t="str">
        <f>IF(OR(C18="",H18="",N18="",T18="",W18="",AC18="",AF18="",AH18="",AJ18=""),"",ROUND(T18,4))</f>
        <v/>
      </c>
      <c r="BB18" s="771" t="str">
        <f>IF(OR(C18="",H18="",N18="",T18="",W18="",AC18="",AF18="",AH18="",AJ18=""),"",ROUND(AC18,4))</f>
        <v/>
      </c>
      <c r="BC18" s="773" t="str">
        <f>IF(OR(C18="",H18=""),"",IF(INDEX(CMEHVAC[End Use Category],MATCH(H18,CMEHVAC[Proj Desc 1],0))="","",INDEX(CMEHVAC[End Use Category],MATCH(H18,CMEHVAC[Proj Desc 1],0))))</f>
        <v/>
      </c>
      <c r="BD18" s="757" t="str">
        <f>IF(BE18&lt;&gt;"", "Calculated", "")</f>
        <v/>
      </c>
      <c r="BE18" s="775" t="str">
        <f>IF(AND(BA18&lt;&gt;"", BB18&lt;&gt;""), ROUND(BA18-BB18,4), "")</f>
        <v/>
      </c>
      <c r="BF18" s="1098"/>
      <c r="BG18" s="775" t="str">
        <f>IFERROR(IF(OR(C18="",H18="",N18="",T18="",W18="",AC18="",AF18="",AH18="",AJ18=""),"",ROUND(AO18*INDEX(ENDUSEALL[Factor],MATCH(BC18,ENDUSEALL[End Use to Coincident Peak Demand Factors],0)),4)),"")</f>
        <v/>
      </c>
      <c r="BH18" s="761"/>
      <c r="BI18" s="761"/>
      <c r="BJ18" s="777" t="str">
        <f>IF(OR(C18="",H18=""),"",IF(INDEX(CMEHVAC[EUL],MATCH(H18,CMEHVAC[Proj Desc 1],0))="","",INDEX(CMEHVAC[EUL],MATCH(H18,CMEHVAC[Proj Desc 1],0))))</f>
        <v/>
      </c>
      <c r="BK18" s="767" t="str">
        <f>IFERROR(IF(OR(C18="",H18="",N18="",T18="",W18="",AC18="",AF18="",AH18="",AJ18=""),"",
ROUND(((1+ELOSS)*((AO18*INDEX(ELECCB[NPV AEC $/kWh],MATCH(BJ18,ELECCB[Year Number],1)))+(BG18*INDEX(ELECCB[NPV ACC $/kW],MATCH(BJ18,ELECCB[Year Number],1))))),2)),0)</f>
        <v/>
      </c>
      <c r="BL18" s="767" t="str">
        <f t="shared" ref="BL18:BL36" si="1">IF(OR(AH18="", AJ18=""), "", AH18+AJ18)</f>
        <v/>
      </c>
      <c r="BM18" s="765"/>
      <c r="BN18" s="763" t="str">
        <f t="shared" ref="BN18:BN36" si="2">IFERROR( BK18 / IF(BM18 &lt;&gt; "", BM18, BL18), "")</f>
        <v/>
      </c>
      <c r="BO18" s="763" t="str">
        <f>IFERROR(IF(BM18 &lt;&gt; "", BM18, BL18) / M02S04F06 / AO18, "")</f>
        <v/>
      </c>
      <c r="BP18" s="769"/>
      <c r="BQ18" s="765"/>
      <c r="BR18" s="767" t="str">
        <f>IFERROR(ROUND(AO18*BV18,2),"")</f>
        <v/>
      </c>
      <c r="BS18" s="765"/>
      <c r="BT18" s="765"/>
      <c r="BU18" s="757"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67"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57" t="str">
        <f>IF(OR(C18="",H18="",N18="",T18="",W18="",AC18="",AF18="",AH18="",AJ18=""),"",IF(BY18&lt;&gt;"",SPILLOVERNUMBER,INDEX(CMEHVAC[Measure Number],MATCH(H18,CMEHVAC[Proj Desc 1],0))))</f>
        <v/>
      </c>
      <c r="BX18" s="757" t="str" cm="1">
        <f t="array" ref="BX18">IFERROR(INDEX(_xlfn.SWITCH(Program_Banner,"Business Energy Savings",ENDUSEALL[Primary Key WBE],"Small Business / Non-Profit",ENDUSEALL[Primary Key HTRB],0),MATCH(BC18,ENDUSEALL[End Use to Coincident Peak Demand Factors],0)),"")</f>
        <v/>
      </c>
      <c r="BY18" s="757"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53"/>
      <c r="CA18" s="753"/>
      <c r="CB18" s="753"/>
      <c r="CC18" s="753"/>
    </row>
    <row r="19" spans="1:81" ht="15.95" customHeight="1">
      <c r="B19" s="785"/>
      <c r="C19" s="1012"/>
      <c r="D19" s="1013"/>
      <c r="E19" s="1013"/>
      <c r="F19" s="1013"/>
      <c r="G19" s="1014"/>
      <c r="H19" s="1002"/>
      <c r="I19" s="1002"/>
      <c r="J19" s="1002"/>
      <c r="K19" s="1002"/>
      <c r="L19" s="1002"/>
      <c r="M19" s="1003"/>
      <c r="N19" s="1041"/>
      <c r="O19" s="1013"/>
      <c r="P19" s="1013"/>
      <c r="Q19" s="1013"/>
      <c r="R19" s="1013"/>
      <c r="S19" s="1014"/>
      <c r="T19" s="1034"/>
      <c r="U19" s="1139"/>
      <c r="V19" s="1140"/>
      <c r="W19" s="1041"/>
      <c r="X19" s="1013"/>
      <c r="Y19" s="1013"/>
      <c r="Z19" s="1013"/>
      <c r="AA19" s="1013"/>
      <c r="AB19" s="1014"/>
      <c r="AC19" s="1034"/>
      <c r="AD19" s="1139"/>
      <c r="AE19" s="1140"/>
      <c r="AF19" s="1135"/>
      <c r="AG19" s="1136"/>
      <c r="AH19" s="993"/>
      <c r="AI19" s="993"/>
      <c r="AJ19" s="1102"/>
      <c r="AK19" s="1103"/>
      <c r="AL19" s="1006"/>
      <c r="AM19" s="1007"/>
      <c r="AN19" s="1007"/>
      <c r="AO19" s="1037"/>
      <c r="AP19" s="1037"/>
      <c r="AQ19" s="1037"/>
      <c r="AR19" s="1001"/>
      <c r="AS19" s="1001"/>
      <c r="AT19" s="1001"/>
      <c r="AU19" s="1001"/>
      <c r="AV19" s="37"/>
      <c r="AW19" s="37"/>
      <c r="AX19" s="774"/>
      <c r="AY19" s="760"/>
      <c r="AZ19" s="760"/>
      <c r="BA19" s="772"/>
      <c r="BB19" s="772"/>
      <c r="BC19" s="774"/>
      <c r="BD19" s="758"/>
      <c r="BE19" s="776"/>
      <c r="BF19" s="1099"/>
      <c r="BG19" s="776"/>
      <c r="BH19" s="762"/>
      <c r="BI19" s="762"/>
      <c r="BJ19" s="778"/>
      <c r="BK19" s="768"/>
      <c r="BL19" s="768"/>
      <c r="BM19" s="766"/>
      <c r="BN19" s="764"/>
      <c r="BO19" s="764"/>
      <c r="BP19" s="770"/>
      <c r="BQ19" s="766"/>
      <c r="BR19" s="768"/>
      <c r="BS19" s="766"/>
      <c r="BT19" s="766"/>
      <c r="BU19" s="758"/>
      <c r="BV19" s="768"/>
      <c r="BW19" s="758"/>
      <c r="BX19" s="758"/>
      <c r="BY19" s="758"/>
      <c r="BZ19" s="754"/>
      <c r="CA19" s="754"/>
      <c r="CB19" s="754"/>
      <c r="CC19" s="754"/>
    </row>
    <row r="20" spans="1:81" ht="15.95" customHeight="1">
      <c r="A20" s="75"/>
      <c r="B20" s="785">
        <v>2</v>
      </c>
      <c r="C20" s="1009"/>
      <c r="D20" s="1010"/>
      <c r="E20" s="1010"/>
      <c r="F20" s="1010"/>
      <c r="G20" s="1011"/>
      <c r="H20" s="1050"/>
      <c r="I20" s="1050"/>
      <c r="J20" s="1050"/>
      <c r="K20" s="1050"/>
      <c r="L20" s="1050"/>
      <c r="M20" s="1012"/>
      <c r="N20" s="1040"/>
      <c r="O20" s="1010"/>
      <c r="P20" s="1010"/>
      <c r="Q20" s="1010"/>
      <c r="R20" s="1010"/>
      <c r="S20" s="1011"/>
      <c r="T20" s="1032"/>
      <c r="U20" s="1137"/>
      <c r="V20" s="1138"/>
      <c r="W20" s="1040"/>
      <c r="X20" s="1010"/>
      <c r="Y20" s="1010"/>
      <c r="Z20" s="1010"/>
      <c r="AA20" s="1010"/>
      <c r="AB20" s="1011"/>
      <c r="AC20" s="1032"/>
      <c r="AD20" s="1137"/>
      <c r="AE20" s="1138"/>
      <c r="AF20" s="1135" t="str">
        <f>IFERROR(IF($C20="", "", IF(OR($C20 = "Retrofit existing", $C20 = "Replace in-life equip."), "Total", "Incremental")), "")</f>
        <v/>
      </c>
      <c r="AG20" s="1136"/>
      <c r="AH20" s="993"/>
      <c r="AI20" s="993"/>
      <c r="AJ20" s="1100" t="str">
        <f t="shared" ref="AJ20:AJ21" si="3">IF(AF20="Incremental",0,"")</f>
        <v/>
      </c>
      <c r="AK20" s="1101"/>
      <c r="AL20" s="1030" t="str">
        <f>IF(OR(C20="",H20="",N20="",T20="",W20="",AC20="",AF20="",AH20="",AJ20=""),"",ROUND(AH20+AJ20,2))</f>
        <v/>
      </c>
      <c r="AM20" s="1031"/>
      <c r="AN20" s="1031"/>
      <c r="AO20" s="1036" t="str">
        <f>IF(OR(C20="",H20="",N20="",T20="",W20="",AC20="",AF20="",AH20="",AJ20=""),"",IF(BA20-BB20&lt;=0,0,ROUND(BA20-BB20,4)))</f>
        <v/>
      </c>
      <c r="AP20" s="1036"/>
      <c r="AQ20" s="1036"/>
      <c r="AR20" s="1072" t="str">
        <f>IF(OR(C20="",H20="",N20="",T20="",W20="",AC20="",AF20="",AH20="",AJ20=""),"",
IF(BY20&lt;&gt;"",BY20,IF(BP20&gt;0,BP20,
IF(AF20="Incremental",
IF(ACTIVEBLOCK="Yes",ROUND(MIN(AL20*INCCOSTCAP,AO20*BLOCKBIDRATE),2),
ROUND(MIN(AL20*INCCOSTCAP,BR20),2)),
IF(ACTIVEBLOCK="Yes",ROUND(MIN(AL20*TOTCOSTCAP,AO20*BLOCKBIDRATE),2),
ROUND(MIN(AL20*TOTCOSTCAP,BR20),2))))))</f>
        <v/>
      </c>
      <c r="AS20" s="1073"/>
      <c r="AT20" s="1073"/>
      <c r="AU20" s="1074"/>
      <c r="AV20" s="37"/>
      <c r="AW20" s="37"/>
      <c r="AX20" s="773" t="str">
        <f>IF(OR(C20="",H20=""),"",INDEX(CMEHVAC[Unit of Measure],MATCH(H20,CMEHVAC[Proj Desc 1],0)))</f>
        <v/>
      </c>
      <c r="AY20" s="759" t="str">
        <f t="shared" ref="AY20" si="4">IF(AO20&lt;&gt;"","Missing!","")</f>
        <v/>
      </c>
      <c r="AZ20" s="759" t="str">
        <f t="shared" ref="AZ20" si="5">IF(AO20&lt;&gt;"","Missing!","")</f>
        <v/>
      </c>
      <c r="BA20" s="771" t="str">
        <f t="shared" ref="BA20" si="6">IF(OR(C20="",H20="",N20="",T20="",W20="",AC20="",AF20="",AH20="",AJ20=""),"",ROUND(T20,4))</f>
        <v/>
      </c>
      <c r="BB20" s="771" t="str">
        <f t="shared" ref="BB20" si="7">IF(OR(C20="",H20="",N20="",T20="",W20="",AC20="",AF20="",AH20="",AJ20=""),"",ROUND(AC20,4))</f>
        <v/>
      </c>
      <c r="BC20" s="773" t="str">
        <f>IF(OR(C20="",H20=""),"",IF(INDEX(CMEHVAC[End Use Category],MATCH(H20,CMEHVAC[Proj Desc 1],0))="","",INDEX(CMEHVAC[End Use Category],MATCH(H20,CMEHVAC[Proj Desc 1],0))))</f>
        <v/>
      </c>
      <c r="BD20" s="757" t="str">
        <f t="shared" ref="BD20" si="8">IF(BE20&lt;&gt;"", "Calculated", "")</f>
        <v/>
      </c>
      <c r="BE20" s="775" t="str">
        <f t="shared" ref="BE20" si="9">IF(AND(BA20&lt;&gt;"", BB20&lt;&gt;""), ROUND(BA20-BB20,4), "")</f>
        <v/>
      </c>
      <c r="BF20" s="1098"/>
      <c r="BG20" s="775" t="str">
        <f>IFERROR(IF(OR(C20="",H20="",N20="",T20="",W20="",AC20="",AF20="",AH20="",AJ20=""),"",ROUND(AO20*INDEX(ENDUSEALL[Factor],MATCH(BC20,ENDUSEALL[End Use to Coincident Peak Demand Factors],0)),4)),"")</f>
        <v/>
      </c>
      <c r="BH20" s="761"/>
      <c r="BI20" s="761"/>
      <c r="BJ20" s="777" t="str">
        <f>IF(OR(C20="",H20=""),"",IF(INDEX(CMEHVAC[EUL],MATCH(H20,CMEHVAC[Proj Desc 1],0))="","",INDEX(CMEHVAC[EUL],MATCH(H20,CMEHVAC[Proj Desc 1],0))))</f>
        <v/>
      </c>
      <c r="BK20" s="767" t="str">
        <f>IFERROR(IF(OR(C20="",H20="",N20="",T20="",W20="",AC20="",AF20="",AH20="",AJ20=""),"",
ROUND(((1+ELOSS)*((AO20*INDEX(ELECCB[NPV AEC $/kWh],MATCH(BJ20,ELECCB[Year Number],1)))+(BG20*INDEX(ELECCB[NPV ACC $/kW],MATCH(BJ20,ELECCB[Year Number],1))))),2)),0)</f>
        <v/>
      </c>
      <c r="BL20" s="767" t="str">
        <f t="shared" si="1"/>
        <v/>
      </c>
      <c r="BM20" s="765"/>
      <c r="BN20" s="763" t="str">
        <f t="shared" si="2"/>
        <v/>
      </c>
      <c r="BO20" s="763" t="str">
        <f>IFERROR(IF(BM20 &lt;&gt; "", BM20, BL20) / M02S04F06 / AO20, "")</f>
        <v/>
      </c>
      <c r="BP20" s="769"/>
      <c r="BQ20" s="765"/>
      <c r="BR20" s="767" t="str">
        <f t="shared" ref="BR20" si="10">IFERROR(ROUND(AO20*BV20,2),"")</f>
        <v/>
      </c>
      <c r="BS20" s="765"/>
      <c r="BT20" s="765"/>
      <c r="BU20" s="757"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67"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57" t="str">
        <f>IF(OR(C20="",H20="",N20="",T20="",W20="",AC20="",AF20="",AH20="",AJ20=""),"",IF(BY20&lt;&gt;"",SPILLOVERNUMBER,INDEX(CMEHVAC[Measure Number],MATCH(H20,CMEHVAC[Proj Desc 1],0))))</f>
        <v/>
      </c>
      <c r="BX20" s="757" t="str" cm="1">
        <f t="array" ref="BX20">IFERROR(INDEX(_xlfn.SWITCH(Program_Banner,"Business Energy Savings",ENDUSEALL[Primary Key WBE],"Small Business / Non-Profit",ENDUSEALL[Primary Key HTRB],0),MATCH(BC20,ENDUSEALL[End Use to Coincident Peak Demand Factors],0)),"")</f>
        <v/>
      </c>
      <c r="BY20" s="757"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53"/>
      <c r="CA20" s="753"/>
      <c r="CB20" s="753"/>
      <c r="CC20" s="753"/>
    </row>
    <row r="21" spans="1:81" ht="15.95" customHeight="1">
      <c r="B21" s="785"/>
      <c r="C21" s="1012"/>
      <c r="D21" s="1013"/>
      <c r="E21" s="1013"/>
      <c r="F21" s="1013"/>
      <c r="G21" s="1014"/>
      <c r="H21" s="1002"/>
      <c r="I21" s="1002"/>
      <c r="J21" s="1002"/>
      <c r="K21" s="1002"/>
      <c r="L21" s="1002"/>
      <c r="M21" s="1003"/>
      <c r="N21" s="1041"/>
      <c r="O21" s="1013"/>
      <c r="P21" s="1013"/>
      <c r="Q21" s="1013"/>
      <c r="R21" s="1013"/>
      <c r="S21" s="1014"/>
      <c r="T21" s="1034"/>
      <c r="U21" s="1139"/>
      <c r="V21" s="1140"/>
      <c r="W21" s="1041"/>
      <c r="X21" s="1013"/>
      <c r="Y21" s="1013"/>
      <c r="Z21" s="1013"/>
      <c r="AA21" s="1013"/>
      <c r="AB21" s="1014"/>
      <c r="AC21" s="1034"/>
      <c r="AD21" s="1139"/>
      <c r="AE21" s="1140"/>
      <c r="AF21" s="1135"/>
      <c r="AG21" s="1136"/>
      <c r="AH21" s="993"/>
      <c r="AI21" s="993"/>
      <c r="AJ21" s="1102"/>
      <c r="AK21" s="1103"/>
      <c r="AL21" s="1006"/>
      <c r="AM21" s="1007"/>
      <c r="AN21" s="1007"/>
      <c r="AO21" s="1037"/>
      <c r="AP21" s="1037"/>
      <c r="AQ21" s="1037"/>
      <c r="AR21" s="1075"/>
      <c r="AS21" s="1076"/>
      <c r="AT21" s="1076"/>
      <c r="AU21" s="1077"/>
      <c r="AV21" s="37"/>
      <c r="AW21" s="37"/>
      <c r="AX21" s="774"/>
      <c r="AY21" s="760"/>
      <c r="AZ21" s="760"/>
      <c r="BA21" s="772"/>
      <c r="BB21" s="772"/>
      <c r="BC21" s="774"/>
      <c r="BD21" s="758"/>
      <c r="BE21" s="776"/>
      <c r="BF21" s="1099"/>
      <c r="BG21" s="776"/>
      <c r="BH21" s="762"/>
      <c r="BI21" s="762"/>
      <c r="BJ21" s="778"/>
      <c r="BK21" s="768"/>
      <c r="BL21" s="768"/>
      <c r="BM21" s="766"/>
      <c r="BN21" s="764"/>
      <c r="BO21" s="764"/>
      <c r="BP21" s="770"/>
      <c r="BQ21" s="766"/>
      <c r="BR21" s="768"/>
      <c r="BS21" s="766"/>
      <c r="BT21" s="766"/>
      <c r="BU21" s="758"/>
      <c r="BV21" s="768"/>
      <c r="BW21" s="758"/>
      <c r="BX21" s="758"/>
      <c r="BY21" s="758"/>
      <c r="BZ21" s="754"/>
      <c r="CA21" s="754"/>
      <c r="CB21" s="754"/>
      <c r="CC21" s="754"/>
    </row>
    <row r="22" spans="1:81" s="17" customFormat="1" ht="15.95" customHeight="1">
      <c r="A22" s="109"/>
      <c r="B22" s="785">
        <v>3</v>
      </c>
      <c r="C22" s="1009"/>
      <c r="D22" s="1010"/>
      <c r="E22" s="1010"/>
      <c r="F22" s="1010"/>
      <c r="G22" s="1011"/>
      <c r="H22" s="1009"/>
      <c r="I22" s="1010"/>
      <c r="J22" s="1010"/>
      <c r="K22" s="1010"/>
      <c r="L22" s="1010"/>
      <c r="M22" s="1053"/>
      <c r="N22" s="1040"/>
      <c r="O22" s="1010"/>
      <c r="P22" s="1010"/>
      <c r="Q22" s="1010"/>
      <c r="R22" s="1010"/>
      <c r="S22" s="1011"/>
      <c r="T22" s="1032"/>
      <c r="U22" s="1137"/>
      <c r="V22" s="1138"/>
      <c r="W22" s="1040"/>
      <c r="X22" s="1010"/>
      <c r="Y22" s="1010"/>
      <c r="Z22" s="1010"/>
      <c r="AA22" s="1010"/>
      <c r="AB22" s="1011"/>
      <c r="AC22" s="1032"/>
      <c r="AD22" s="1137"/>
      <c r="AE22" s="1138"/>
      <c r="AF22" s="1135" t="str">
        <f>IFERROR(IF($C22="", "", IF(OR($C22 = "Retrofit existing", $C22 = "Replace in-life equip."), "Total", "Incremental")), "")</f>
        <v/>
      </c>
      <c r="AG22" s="1136"/>
      <c r="AH22" s="993"/>
      <c r="AI22" s="993"/>
      <c r="AJ22" s="1100" t="str">
        <f t="shared" ref="AJ22" si="11">IF(AF22="Incremental",0,"")</f>
        <v/>
      </c>
      <c r="AK22" s="1101"/>
      <c r="AL22" s="1030" t="str">
        <f>IF(OR(C22="",H22="",N22="",T22="",W22="",AC22="",AF22="",AH22="",AJ22=""),"",ROUND(AH22+AJ22,2))</f>
        <v/>
      </c>
      <c r="AM22" s="1031"/>
      <c r="AN22" s="1031"/>
      <c r="AO22" s="1036" t="str">
        <f>IF(OR(C22="",H22="",N22="",T22="",W22="",AC22="",AF22="",AH22="",AJ22=""),"",IF(BA22-BB22&lt;=0,0,ROUND(BA22-BB22,4)))</f>
        <v/>
      </c>
      <c r="AP22" s="1036"/>
      <c r="AQ22" s="1036"/>
      <c r="AR22" s="1072" t="str">
        <f>IF(OR(C22="",H22="",N22="",T22="",W22="",AC22="",AF22="",AH22="",AJ22=""),"",
IF(BY22&lt;&gt;"",BY22,IF(BP22&gt;0,BP22,
IF(AF22="Incremental",
IF(ACTIVEBLOCK="Yes",ROUND(MIN(AL22*INCCOSTCAP,AO22*BLOCKBIDRATE),2),
ROUND(MIN(AL22*INCCOSTCAP,BR22),2)),
IF(ACTIVEBLOCK="Yes",ROUND(MIN(AL22*TOTCOSTCAP,AO22*BLOCKBIDRATE),2),
ROUND(MIN(AL22*TOTCOSTCAP,BR22),2))))))</f>
        <v/>
      </c>
      <c r="AS22" s="1073"/>
      <c r="AT22" s="1073"/>
      <c r="AU22" s="1074"/>
      <c r="AV22" s="59"/>
      <c r="AW22" s="59"/>
      <c r="AX22" s="773" t="str">
        <f>IF(OR(C22="",H22=""),"",INDEX(CMEHVAC[Unit of Measure],MATCH(H22,CMEHVAC[Proj Desc 1],0)))</f>
        <v/>
      </c>
      <c r="AY22" s="759" t="str">
        <f t="shared" ref="AY22" si="12">IF(AO22&lt;&gt;"","Missing!","")</f>
        <v/>
      </c>
      <c r="AZ22" s="759" t="str">
        <f t="shared" ref="AZ22" si="13">IF(AO22&lt;&gt;"","Missing!","")</f>
        <v/>
      </c>
      <c r="BA22" s="771" t="str">
        <f t="shared" ref="BA22" si="14">IF(OR(C22="",H22="",N22="",T22="",W22="",AC22="",AF22="",AH22="",AJ22=""),"",ROUND(T22,4))</f>
        <v/>
      </c>
      <c r="BB22" s="771" t="str">
        <f t="shared" ref="BB22" si="15">IF(OR(C22="",H22="",N22="",T22="",W22="",AC22="",AF22="",AH22="",AJ22=""),"",ROUND(AC22,4))</f>
        <v/>
      </c>
      <c r="BC22" s="773" t="str">
        <f>IF(OR(C22="",H22=""),"",IF(INDEX(CMEHVAC[End Use Category],MATCH(H22,CMEHVAC[Proj Desc 1],0))="","",INDEX(CMEHVAC[End Use Category],MATCH(H22,CMEHVAC[Proj Desc 1],0))))</f>
        <v/>
      </c>
      <c r="BD22" s="757" t="str">
        <f t="shared" ref="BD22" si="16">IF(BE22&lt;&gt;"", "Calculated", "")</f>
        <v/>
      </c>
      <c r="BE22" s="775" t="str">
        <f t="shared" ref="BE22" si="17">IF(AND(BA22&lt;&gt;"", BB22&lt;&gt;""), ROUND(BA22-BB22,4), "")</f>
        <v/>
      </c>
      <c r="BF22" s="1098"/>
      <c r="BG22" s="775" t="str">
        <f>IFERROR(IF(OR(C22="",H22="",N22="",T22="",W22="",AC22="",AF22="",AH22="",AJ22=""),"",ROUND(AO22*INDEX(ENDUSEALL[Factor],MATCH(BC22,ENDUSEALL[End Use to Coincident Peak Demand Factors],0)),4)),"")</f>
        <v/>
      </c>
      <c r="BH22" s="761"/>
      <c r="BI22" s="761"/>
      <c r="BJ22" s="777" t="str">
        <f>IF(OR(C22="",H22=""),"",IF(INDEX(CMEHVAC[EUL],MATCH(H22,CMEHVAC[Proj Desc 1],0))="","",INDEX(CMEHVAC[EUL],MATCH(H22,CMEHVAC[Proj Desc 1],0))))</f>
        <v/>
      </c>
      <c r="BK22" s="767" t="str">
        <f>IFERROR(IF(OR(C22="",H22="",N22="",T22="",W22="",AC22="",AF22="",AH22="",AJ22=""),"",
ROUND(((1+ELOSS)*((AO22*INDEX(ELECCB[NPV AEC $/kWh],MATCH(BJ22,ELECCB[Year Number],1)))+(BG22*INDEX(ELECCB[NPV ACC $/kW],MATCH(BJ22,ELECCB[Year Number],1))))),2)),0)</f>
        <v/>
      </c>
      <c r="BL22" s="767" t="str">
        <f t="shared" si="1"/>
        <v/>
      </c>
      <c r="BM22" s="765"/>
      <c r="BN22" s="763" t="str">
        <f t="shared" si="2"/>
        <v/>
      </c>
      <c r="BO22" s="763" t="str">
        <f>IFERROR(IF(BM22 &lt;&gt; "", BM22, BL22) / M02S04F06 / AO22, "")</f>
        <v/>
      </c>
      <c r="BP22" s="769"/>
      <c r="BQ22" s="765"/>
      <c r="BR22" s="767" t="str">
        <f t="shared" ref="BR22" si="18">IFERROR(ROUND(AO22*BV22,2),"")</f>
        <v/>
      </c>
      <c r="BS22" s="765"/>
      <c r="BT22" s="765"/>
      <c r="BU22" s="757"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67"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57" t="str">
        <f>IF(OR(C22="",H22="",N22="",T22="",W22="",AC22="",AF22="",AH22="",AJ22=""),"",IF(BY22&lt;&gt;"",SPILLOVERNUMBER,INDEX(CMEHVAC[Measure Number],MATCH(H22,CMEHVAC[Proj Desc 1],0))))</f>
        <v/>
      </c>
      <c r="BX22" s="757" t="str" cm="1">
        <f t="array" ref="BX22">IFERROR(INDEX(_xlfn.SWITCH(Program_Banner,"Business Energy Savings",ENDUSEALL[Primary Key WBE],"Small Business / Non-Profit",ENDUSEALL[Primary Key HTRB],0),MATCH(BC22,ENDUSEALL[End Use to Coincident Peak Demand Factors],0)),"")</f>
        <v/>
      </c>
      <c r="BY22" s="757"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53"/>
      <c r="CA22" s="753"/>
      <c r="CB22" s="753"/>
      <c r="CC22" s="753"/>
    </row>
    <row r="23" spans="1:81" s="17" customFormat="1" ht="15.95" customHeight="1">
      <c r="A23" s="109"/>
      <c r="B23" s="785"/>
      <c r="C23" s="1012"/>
      <c r="D23" s="1013"/>
      <c r="E23" s="1013"/>
      <c r="F23" s="1013"/>
      <c r="G23" s="1014"/>
      <c r="H23" s="1012"/>
      <c r="I23" s="1013"/>
      <c r="J23" s="1013"/>
      <c r="K23" s="1013"/>
      <c r="L23" s="1013"/>
      <c r="M23" s="1054"/>
      <c r="N23" s="1041"/>
      <c r="O23" s="1013"/>
      <c r="P23" s="1013"/>
      <c r="Q23" s="1013"/>
      <c r="R23" s="1013"/>
      <c r="S23" s="1014"/>
      <c r="T23" s="1034"/>
      <c r="U23" s="1139"/>
      <c r="V23" s="1140"/>
      <c r="W23" s="1041"/>
      <c r="X23" s="1013"/>
      <c r="Y23" s="1013"/>
      <c r="Z23" s="1013"/>
      <c r="AA23" s="1013"/>
      <c r="AB23" s="1014"/>
      <c r="AC23" s="1034"/>
      <c r="AD23" s="1139"/>
      <c r="AE23" s="1140"/>
      <c r="AF23" s="1135"/>
      <c r="AG23" s="1136"/>
      <c r="AH23" s="993"/>
      <c r="AI23" s="993"/>
      <c r="AJ23" s="1102"/>
      <c r="AK23" s="1103"/>
      <c r="AL23" s="1006"/>
      <c r="AM23" s="1007"/>
      <c r="AN23" s="1007"/>
      <c r="AO23" s="1037"/>
      <c r="AP23" s="1037"/>
      <c r="AQ23" s="1037"/>
      <c r="AR23" s="1075"/>
      <c r="AS23" s="1076"/>
      <c r="AT23" s="1076"/>
      <c r="AU23" s="1077"/>
      <c r="AV23" s="59"/>
      <c r="AW23" s="59"/>
      <c r="AX23" s="774"/>
      <c r="AY23" s="760"/>
      <c r="AZ23" s="760"/>
      <c r="BA23" s="772"/>
      <c r="BB23" s="772"/>
      <c r="BC23" s="774"/>
      <c r="BD23" s="758"/>
      <c r="BE23" s="776"/>
      <c r="BF23" s="1099"/>
      <c r="BG23" s="776"/>
      <c r="BH23" s="762"/>
      <c r="BI23" s="762"/>
      <c r="BJ23" s="778"/>
      <c r="BK23" s="768"/>
      <c r="BL23" s="768"/>
      <c r="BM23" s="766"/>
      <c r="BN23" s="764"/>
      <c r="BO23" s="764"/>
      <c r="BP23" s="770"/>
      <c r="BQ23" s="766"/>
      <c r="BR23" s="768"/>
      <c r="BS23" s="766"/>
      <c r="BT23" s="766"/>
      <c r="BU23" s="758"/>
      <c r="BV23" s="768"/>
      <c r="BW23" s="758"/>
      <c r="BX23" s="758"/>
      <c r="BY23" s="758"/>
      <c r="BZ23" s="754"/>
      <c r="CA23" s="754"/>
      <c r="CB23" s="754"/>
      <c r="CC23" s="754"/>
    </row>
    <row r="24" spans="1:81" ht="15.95" customHeight="1">
      <c r="B24" s="785">
        <v>4</v>
      </c>
      <c r="C24" s="1009"/>
      <c r="D24" s="1010"/>
      <c r="E24" s="1010"/>
      <c r="F24" s="1010"/>
      <c r="G24" s="1011"/>
      <c r="H24" s="1002"/>
      <c r="I24" s="1002"/>
      <c r="J24" s="1002"/>
      <c r="K24" s="1002"/>
      <c r="L24" s="1002"/>
      <c r="M24" s="1003"/>
      <c r="N24" s="1040"/>
      <c r="O24" s="1010"/>
      <c r="P24" s="1010"/>
      <c r="Q24" s="1010"/>
      <c r="R24" s="1010"/>
      <c r="S24" s="1011"/>
      <c r="T24" s="1032"/>
      <c r="U24" s="1137"/>
      <c r="V24" s="1138"/>
      <c r="W24" s="1040"/>
      <c r="X24" s="1010"/>
      <c r="Y24" s="1010"/>
      <c r="Z24" s="1010"/>
      <c r="AA24" s="1010"/>
      <c r="AB24" s="1011"/>
      <c r="AC24" s="1032"/>
      <c r="AD24" s="1137"/>
      <c r="AE24" s="1138"/>
      <c r="AF24" s="1135" t="str">
        <f>IFERROR(IF($C24="", "", IF(OR($C24 = "Retrofit existing", $C24 = "Replace in-life equip."), "Total", "Incremental")), "")</f>
        <v/>
      </c>
      <c r="AG24" s="1136"/>
      <c r="AH24" s="993"/>
      <c r="AI24" s="993"/>
      <c r="AJ24" s="1100" t="str">
        <f t="shared" ref="AJ24" si="19">IF(AF24="Incremental",0,"")</f>
        <v/>
      </c>
      <c r="AK24" s="1101"/>
      <c r="AL24" s="1030" t="str">
        <f>IF(OR(C24="",H24="",N24="",T24="",W24="",AC24="",AF24="",AH24="",AJ24=""),"",ROUND(AH24+AJ24,2))</f>
        <v/>
      </c>
      <c r="AM24" s="1031"/>
      <c r="AN24" s="1031"/>
      <c r="AO24" s="1036" t="str">
        <f>IF(OR(C24="",H24="",N24="",T24="",W24="",AC24="",AF24="",AH24="",AJ24=""),"",IF(BA24-BB24&lt;=0,0,ROUND(BA24-BB24,4)))</f>
        <v/>
      </c>
      <c r="AP24" s="1036"/>
      <c r="AQ24" s="1036"/>
      <c r="AR24" s="1072" t="str">
        <f>IF(OR(C24="",H24="",N24="",T24="",W24="",AC24="",AF24="",AH24="",AJ24=""),"",
IF(BY24&lt;&gt;"",BY24,IF(BP24&gt;0,BP24,
IF(AF24="Incremental",
IF(ACTIVEBLOCK="Yes",ROUND(MIN(AL24*INCCOSTCAP,AO24*BLOCKBIDRATE),2),
ROUND(MIN(AL24*INCCOSTCAP,BR24),2)),
IF(ACTIVEBLOCK="Yes",ROUND(MIN(AL24*TOTCOSTCAP,AO24*BLOCKBIDRATE),2),
ROUND(MIN(AL24*TOTCOSTCAP,BR24),2))))))</f>
        <v/>
      </c>
      <c r="AS24" s="1073"/>
      <c r="AT24" s="1073"/>
      <c r="AU24" s="1074"/>
      <c r="AV24" s="37"/>
      <c r="AW24" s="37"/>
      <c r="AX24" s="773" t="str">
        <f>IF(OR(C24="",H24=""),"",INDEX(CMEHVAC[Unit of Measure],MATCH(H24,CMEHVAC[Proj Desc 1],0)))</f>
        <v/>
      </c>
      <c r="AY24" s="759" t="str">
        <f t="shared" ref="AY24" si="20">IF(AO24&lt;&gt;"","Missing!","")</f>
        <v/>
      </c>
      <c r="AZ24" s="759" t="str">
        <f t="shared" ref="AZ24" si="21">IF(AO24&lt;&gt;"","Missing!","")</f>
        <v/>
      </c>
      <c r="BA24" s="771" t="str">
        <f t="shared" ref="BA24" si="22">IF(OR(C24="",H24="",N24="",T24="",W24="",AC24="",AF24="",AH24="",AJ24=""),"",ROUND(T24,4))</f>
        <v/>
      </c>
      <c r="BB24" s="771" t="str">
        <f t="shared" ref="BB24" si="23">IF(OR(C24="",H24="",N24="",T24="",W24="",AC24="",AF24="",AH24="",AJ24=""),"",ROUND(AC24,4))</f>
        <v/>
      </c>
      <c r="BC24" s="773" t="str">
        <f>IF(OR(C24="",H24=""),"",IF(INDEX(CMEHVAC[End Use Category],MATCH(H24,CMEHVAC[Proj Desc 1],0))="","",INDEX(CMEHVAC[End Use Category],MATCH(H24,CMEHVAC[Proj Desc 1],0))))</f>
        <v/>
      </c>
      <c r="BD24" s="757" t="str">
        <f t="shared" ref="BD24" si="24">IF(BE24&lt;&gt;"", "Calculated", "")</f>
        <v/>
      </c>
      <c r="BE24" s="775" t="str">
        <f t="shared" ref="BE24" si="25">IF(AND(BA24&lt;&gt;"", BB24&lt;&gt;""), ROUND(BA24-BB24,4), "")</f>
        <v/>
      </c>
      <c r="BF24" s="1098"/>
      <c r="BG24" s="775" t="str">
        <f>IFERROR(IF(OR(C24="",H24="",N24="",T24="",W24="",AC24="",AF24="",AH24="",AJ24=""),"",ROUND(AO24*INDEX(ENDUSEALL[Factor],MATCH(BC24,ENDUSEALL[End Use to Coincident Peak Demand Factors],0)),4)),"")</f>
        <v/>
      </c>
      <c r="BH24" s="761"/>
      <c r="BI24" s="761"/>
      <c r="BJ24" s="777" t="str">
        <f>IF(OR(C24="",H24=""),"",IF(INDEX(CMEHVAC[EUL],MATCH(H24,CMEHVAC[Proj Desc 1],0))="","",INDEX(CMEHVAC[EUL],MATCH(H24,CMEHVAC[Proj Desc 1],0))))</f>
        <v/>
      </c>
      <c r="BK24" s="767" t="str">
        <f>IFERROR(IF(OR(C24="",H24="",N24="",T24="",W24="",AC24="",AF24="",AH24="",AJ24=""),"",
ROUND(((1+ELOSS)*((AO24*INDEX(ELECCB[NPV AEC $/kWh],MATCH(BJ24,ELECCB[Year Number],1)))+(BG24*INDEX(ELECCB[NPV ACC $/kW],MATCH(BJ24,ELECCB[Year Number],1))))),2)),0)</f>
        <v/>
      </c>
      <c r="BL24" s="767" t="str">
        <f t="shared" si="1"/>
        <v/>
      </c>
      <c r="BM24" s="765"/>
      <c r="BN24" s="763" t="str">
        <f t="shared" si="2"/>
        <v/>
      </c>
      <c r="BO24" s="763" t="str">
        <f>IFERROR(IF(BM24 &lt;&gt; "", BM24, BL24) / M02S04F06 / AO24, "")</f>
        <v/>
      </c>
      <c r="BP24" s="769"/>
      <c r="BQ24" s="765"/>
      <c r="BR24" s="767" t="str">
        <f t="shared" ref="BR24" si="26">IFERROR(ROUND(AO24*BV24,2),"")</f>
        <v/>
      </c>
      <c r="BS24" s="765"/>
      <c r="BT24" s="765"/>
      <c r="BU24" s="757"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67"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57" t="str">
        <f>IF(OR(C24="",H24="",N24="",T24="",W24="",AC24="",AF24="",AH24="",AJ24=""),"",IF(BY24&lt;&gt;"",SPILLOVERNUMBER,INDEX(CMEHVAC[Measure Number],MATCH(H24,CMEHVAC[Proj Desc 1],0))))</f>
        <v/>
      </c>
      <c r="BX24" s="757" t="str" cm="1">
        <f t="array" ref="BX24">IFERROR(INDEX(_xlfn.SWITCH(Program_Banner,"Business Energy Savings",ENDUSEALL[Primary Key WBE],"Small Business / Non-Profit",ENDUSEALL[Primary Key HTRB],0),MATCH(BC24,ENDUSEALL[End Use to Coincident Peak Demand Factors],0)),"")</f>
        <v/>
      </c>
      <c r="BY24" s="757"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53"/>
      <c r="CA24" s="753"/>
      <c r="CB24" s="753"/>
      <c r="CC24" s="753"/>
    </row>
    <row r="25" spans="1:81" ht="15.95" customHeight="1">
      <c r="A25" s="75"/>
      <c r="B25" s="785"/>
      <c r="C25" s="1012"/>
      <c r="D25" s="1013"/>
      <c r="E25" s="1013"/>
      <c r="F25" s="1013"/>
      <c r="G25" s="1014"/>
      <c r="H25" s="1002"/>
      <c r="I25" s="1002"/>
      <c r="J25" s="1002"/>
      <c r="K25" s="1002"/>
      <c r="L25" s="1002"/>
      <c r="M25" s="1003"/>
      <c r="N25" s="1041"/>
      <c r="O25" s="1013"/>
      <c r="P25" s="1013"/>
      <c r="Q25" s="1013"/>
      <c r="R25" s="1013"/>
      <c r="S25" s="1014"/>
      <c r="T25" s="1034"/>
      <c r="U25" s="1139"/>
      <c r="V25" s="1140"/>
      <c r="W25" s="1041"/>
      <c r="X25" s="1013"/>
      <c r="Y25" s="1013"/>
      <c r="Z25" s="1013"/>
      <c r="AA25" s="1013"/>
      <c r="AB25" s="1014"/>
      <c r="AC25" s="1034"/>
      <c r="AD25" s="1139"/>
      <c r="AE25" s="1140"/>
      <c r="AF25" s="1135"/>
      <c r="AG25" s="1136"/>
      <c r="AH25" s="993"/>
      <c r="AI25" s="993"/>
      <c r="AJ25" s="1102"/>
      <c r="AK25" s="1103"/>
      <c r="AL25" s="1006"/>
      <c r="AM25" s="1007"/>
      <c r="AN25" s="1007"/>
      <c r="AO25" s="1037"/>
      <c r="AP25" s="1037"/>
      <c r="AQ25" s="1037"/>
      <c r="AR25" s="1075"/>
      <c r="AS25" s="1076"/>
      <c r="AT25" s="1076"/>
      <c r="AU25" s="1077"/>
      <c r="AV25" s="37"/>
      <c r="AW25" s="37"/>
      <c r="AX25" s="774"/>
      <c r="AY25" s="760"/>
      <c r="AZ25" s="760"/>
      <c r="BA25" s="772"/>
      <c r="BB25" s="772"/>
      <c r="BC25" s="774"/>
      <c r="BD25" s="758"/>
      <c r="BE25" s="776"/>
      <c r="BF25" s="1099"/>
      <c r="BG25" s="776"/>
      <c r="BH25" s="762"/>
      <c r="BI25" s="762"/>
      <c r="BJ25" s="778"/>
      <c r="BK25" s="768"/>
      <c r="BL25" s="768"/>
      <c r="BM25" s="766"/>
      <c r="BN25" s="764"/>
      <c r="BO25" s="764"/>
      <c r="BP25" s="770"/>
      <c r="BQ25" s="766"/>
      <c r="BR25" s="768"/>
      <c r="BS25" s="766"/>
      <c r="BT25" s="766"/>
      <c r="BU25" s="758"/>
      <c r="BV25" s="768"/>
      <c r="BW25" s="758"/>
      <c r="BX25" s="758"/>
      <c r="BY25" s="758"/>
      <c r="BZ25" s="754"/>
      <c r="CA25" s="754"/>
      <c r="CB25" s="754"/>
      <c r="CC25" s="754"/>
    </row>
    <row r="26" spans="1:81" ht="15.95" customHeight="1">
      <c r="B26" s="785">
        <v>5</v>
      </c>
      <c r="C26" s="1009"/>
      <c r="D26" s="1010"/>
      <c r="E26" s="1010"/>
      <c r="F26" s="1010"/>
      <c r="G26" s="1011"/>
      <c r="H26" s="1002"/>
      <c r="I26" s="1002"/>
      <c r="J26" s="1002"/>
      <c r="K26" s="1002"/>
      <c r="L26" s="1002"/>
      <c r="M26" s="1003"/>
      <c r="N26" s="1040"/>
      <c r="O26" s="1010"/>
      <c r="P26" s="1010"/>
      <c r="Q26" s="1010"/>
      <c r="R26" s="1010"/>
      <c r="S26" s="1011"/>
      <c r="T26" s="1032"/>
      <c r="U26" s="1137"/>
      <c r="V26" s="1138"/>
      <c r="W26" s="1040"/>
      <c r="X26" s="1010"/>
      <c r="Y26" s="1010"/>
      <c r="Z26" s="1010"/>
      <c r="AA26" s="1010"/>
      <c r="AB26" s="1011"/>
      <c r="AC26" s="1032"/>
      <c r="AD26" s="1137"/>
      <c r="AE26" s="1138"/>
      <c r="AF26" s="1135" t="str">
        <f>IFERROR(IF($C26="", "", IF(OR($C26 = "Retrofit existing", $C26 = "Replace in-life equip."), "Total", "Incremental")), "")</f>
        <v/>
      </c>
      <c r="AG26" s="1136"/>
      <c r="AH26" s="993"/>
      <c r="AI26" s="993"/>
      <c r="AJ26" s="1100" t="str">
        <f t="shared" ref="AJ26" si="27">IF(AF26="Incremental",0,"")</f>
        <v/>
      </c>
      <c r="AK26" s="1101"/>
      <c r="AL26" s="1030" t="str">
        <f>IF(OR(C26="",H26="",N26="",T26="",W26="",AC26="",AF26="",AH26="",AJ26=""),"",ROUND(AH26+AJ26,2))</f>
        <v/>
      </c>
      <c r="AM26" s="1031"/>
      <c r="AN26" s="1031"/>
      <c r="AO26" s="1036" t="str">
        <f>IF(OR(C26="",H26="",N26="",T26="",W26="",AC26="",AF26="",AH26="",AJ26=""),"",IF(BA26-BB26&lt;=0,0,ROUND(BA26-BB26,4)))</f>
        <v/>
      </c>
      <c r="AP26" s="1036"/>
      <c r="AQ26" s="1036"/>
      <c r="AR26" s="1072" t="str">
        <f>IF(OR(C26="",H26="",N26="",T26="",W26="",AC26="",AF26="",AH26="",AJ26=""),"",
IF(BY26&lt;&gt;"",BY26,IF(BP26&gt;0,BP26,
IF(AF26="Incremental",
IF(ACTIVEBLOCK="Yes",ROUND(MIN(AL26*INCCOSTCAP,AO26*BLOCKBIDRATE),2),
ROUND(MIN(AL26*INCCOSTCAP,BR26),2)),
IF(ACTIVEBLOCK="Yes",ROUND(MIN(AL26*TOTCOSTCAP,AO26*BLOCKBIDRATE),2),
ROUND(MIN(AL26*TOTCOSTCAP,BR26),2))))))</f>
        <v/>
      </c>
      <c r="AS26" s="1073"/>
      <c r="AT26" s="1073"/>
      <c r="AU26" s="1074"/>
      <c r="AV26" s="37"/>
      <c r="AW26" s="37"/>
      <c r="AX26" s="773" t="str">
        <f>IF(OR(C26="",H26=""),"",INDEX(CMEHVAC[Unit of Measure],MATCH(H26,CMEHVAC[Proj Desc 1],0)))</f>
        <v/>
      </c>
      <c r="AY26" s="759" t="str">
        <f t="shared" ref="AY26" si="28">IF(AO26&lt;&gt;"","Missing!","")</f>
        <v/>
      </c>
      <c r="AZ26" s="759" t="str">
        <f t="shared" ref="AZ26" si="29">IF(AO26&lt;&gt;"","Missing!","")</f>
        <v/>
      </c>
      <c r="BA26" s="771" t="str">
        <f t="shared" ref="BA26" si="30">IF(OR(C26="",H26="",N26="",T26="",W26="",AC26="",AF26="",AH26="",AJ26=""),"",ROUND(T26,4))</f>
        <v/>
      </c>
      <c r="BB26" s="771" t="str">
        <f t="shared" ref="BB26" si="31">IF(OR(C26="",H26="",N26="",T26="",W26="",AC26="",AF26="",AH26="",AJ26=""),"",ROUND(AC26,4))</f>
        <v/>
      </c>
      <c r="BC26" s="773" t="str">
        <f>IF(OR(C26="",H26=""),"",IF(INDEX(CMEHVAC[End Use Category],MATCH(H26,CMEHVAC[Proj Desc 1],0))="","",INDEX(CMEHVAC[End Use Category],MATCH(H26,CMEHVAC[Proj Desc 1],0))))</f>
        <v/>
      </c>
      <c r="BD26" s="757" t="str">
        <f t="shared" ref="BD26" si="32">IF(BE26&lt;&gt;"", "Calculated", "")</f>
        <v/>
      </c>
      <c r="BE26" s="775" t="str">
        <f t="shared" ref="BE26" si="33">IF(AND(BA26&lt;&gt;"", BB26&lt;&gt;""), ROUND(BA26-BB26,4), "")</f>
        <v/>
      </c>
      <c r="BF26" s="1098"/>
      <c r="BG26" s="775" t="str">
        <f>IFERROR(IF(OR(C26="",H26="",N26="",T26="",W26="",AC26="",AF26="",AH26="",AJ26=""),"",ROUND(AO26*INDEX(ENDUSEALL[Factor],MATCH(BC26,ENDUSEALL[End Use to Coincident Peak Demand Factors],0)),4)),"")</f>
        <v/>
      </c>
      <c r="BH26" s="761"/>
      <c r="BI26" s="761"/>
      <c r="BJ26" s="777" t="str">
        <f>IF(OR(C26="",H26=""),"",IF(INDEX(CMEHVAC[EUL],MATCH(H26,CMEHVAC[Proj Desc 1],0))="","",INDEX(CMEHVAC[EUL],MATCH(H26,CMEHVAC[Proj Desc 1],0))))</f>
        <v/>
      </c>
      <c r="BK26" s="767" t="str">
        <f>IFERROR(IF(OR(C26="",H26="",N26="",T26="",W26="",AC26="",AF26="",AH26="",AJ26=""),"",
ROUND(((1+ELOSS)*((AO26*INDEX(ELECCB[NPV AEC $/kWh],MATCH(BJ26,ELECCB[Year Number],1)))+(BG26*INDEX(ELECCB[NPV ACC $/kW],MATCH(BJ26,ELECCB[Year Number],1))))),2)),0)</f>
        <v/>
      </c>
      <c r="BL26" s="767" t="str">
        <f t="shared" si="1"/>
        <v/>
      </c>
      <c r="BM26" s="765"/>
      <c r="BN26" s="763" t="str">
        <f t="shared" si="2"/>
        <v/>
      </c>
      <c r="BO26" s="763" t="str">
        <f>IFERROR(IF(BM26 &lt;&gt; "", BM26, BL26) / M02S04F06 / AO26, "")</f>
        <v/>
      </c>
      <c r="BP26" s="769"/>
      <c r="BQ26" s="765"/>
      <c r="BR26" s="767" t="str">
        <f t="shared" ref="BR26" si="34">IFERROR(ROUND(AO26*BV26,2),"")</f>
        <v/>
      </c>
      <c r="BS26" s="765"/>
      <c r="BT26" s="765"/>
      <c r="BU26" s="757"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67"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57" t="str">
        <f>IF(OR(C26="",H26="",N26="",T26="",W26="",AC26="",AF26="",AH26="",AJ26=""),"",IF(BY26&lt;&gt;"",SPILLOVERNUMBER,INDEX(CMEHVAC[Measure Number],MATCH(H26,CMEHVAC[Proj Desc 1],0))))</f>
        <v/>
      </c>
      <c r="BX26" s="757" t="str" cm="1">
        <f t="array" ref="BX26">IFERROR(INDEX(_xlfn.SWITCH(Program_Banner,"Business Energy Savings",ENDUSEALL[Primary Key WBE],"Small Business / Non-Profit",ENDUSEALL[Primary Key HTRB],0),MATCH(BC26,ENDUSEALL[End Use to Coincident Peak Demand Factors],0)),"")</f>
        <v/>
      </c>
      <c r="BY26" s="757"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53"/>
      <c r="CA26" s="753"/>
      <c r="CB26" s="753"/>
      <c r="CC26" s="753"/>
    </row>
    <row r="27" spans="1:81" ht="15.95" customHeight="1">
      <c r="B27" s="785"/>
      <c r="C27" s="1012"/>
      <c r="D27" s="1013"/>
      <c r="E27" s="1013"/>
      <c r="F27" s="1013"/>
      <c r="G27" s="1014"/>
      <c r="H27" s="1002"/>
      <c r="I27" s="1002"/>
      <c r="J27" s="1002"/>
      <c r="K27" s="1002"/>
      <c r="L27" s="1002"/>
      <c r="M27" s="1003"/>
      <c r="N27" s="1041"/>
      <c r="O27" s="1013"/>
      <c r="P27" s="1013"/>
      <c r="Q27" s="1013"/>
      <c r="R27" s="1013"/>
      <c r="S27" s="1014"/>
      <c r="T27" s="1034"/>
      <c r="U27" s="1139"/>
      <c r="V27" s="1140"/>
      <c r="W27" s="1041"/>
      <c r="X27" s="1013"/>
      <c r="Y27" s="1013"/>
      <c r="Z27" s="1013"/>
      <c r="AA27" s="1013"/>
      <c r="AB27" s="1014"/>
      <c r="AC27" s="1034"/>
      <c r="AD27" s="1139"/>
      <c r="AE27" s="1140"/>
      <c r="AF27" s="1135"/>
      <c r="AG27" s="1136"/>
      <c r="AH27" s="993"/>
      <c r="AI27" s="993"/>
      <c r="AJ27" s="1102"/>
      <c r="AK27" s="1103"/>
      <c r="AL27" s="1006"/>
      <c r="AM27" s="1007"/>
      <c r="AN27" s="1007"/>
      <c r="AO27" s="1037"/>
      <c r="AP27" s="1037"/>
      <c r="AQ27" s="1037"/>
      <c r="AR27" s="1075"/>
      <c r="AS27" s="1076"/>
      <c r="AT27" s="1076"/>
      <c r="AU27" s="1077"/>
      <c r="AV27" s="37"/>
      <c r="AW27" s="37"/>
      <c r="AX27" s="774"/>
      <c r="AY27" s="760"/>
      <c r="AZ27" s="760"/>
      <c r="BA27" s="772"/>
      <c r="BB27" s="772"/>
      <c r="BC27" s="774"/>
      <c r="BD27" s="758"/>
      <c r="BE27" s="776"/>
      <c r="BF27" s="1099"/>
      <c r="BG27" s="776"/>
      <c r="BH27" s="762"/>
      <c r="BI27" s="762"/>
      <c r="BJ27" s="778"/>
      <c r="BK27" s="768"/>
      <c r="BL27" s="768"/>
      <c r="BM27" s="766"/>
      <c r="BN27" s="764"/>
      <c r="BO27" s="764"/>
      <c r="BP27" s="770"/>
      <c r="BQ27" s="766"/>
      <c r="BR27" s="768"/>
      <c r="BS27" s="766"/>
      <c r="BT27" s="766"/>
      <c r="BU27" s="758"/>
      <c r="BV27" s="768"/>
      <c r="BW27" s="758"/>
      <c r="BX27" s="758"/>
      <c r="BY27" s="758"/>
      <c r="BZ27" s="754"/>
      <c r="CA27" s="754"/>
      <c r="CB27" s="754"/>
      <c r="CC27" s="754"/>
    </row>
    <row r="28" spans="1:81" ht="15.95" customHeight="1">
      <c r="B28" s="785">
        <v>6</v>
      </c>
      <c r="C28" s="1009"/>
      <c r="D28" s="1010"/>
      <c r="E28" s="1010"/>
      <c r="F28" s="1010"/>
      <c r="G28" s="1011"/>
      <c r="H28" s="1002"/>
      <c r="I28" s="1002"/>
      <c r="J28" s="1002"/>
      <c r="K28" s="1002"/>
      <c r="L28" s="1002"/>
      <c r="M28" s="1003"/>
      <c r="N28" s="1040"/>
      <c r="O28" s="1010"/>
      <c r="P28" s="1010"/>
      <c r="Q28" s="1010"/>
      <c r="R28" s="1010"/>
      <c r="S28" s="1011"/>
      <c r="T28" s="1032"/>
      <c r="U28" s="1137"/>
      <c r="V28" s="1138"/>
      <c r="W28" s="1040"/>
      <c r="X28" s="1010"/>
      <c r="Y28" s="1010"/>
      <c r="Z28" s="1010"/>
      <c r="AA28" s="1010"/>
      <c r="AB28" s="1011"/>
      <c r="AC28" s="1032"/>
      <c r="AD28" s="1137"/>
      <c r="AE28" s="1138"/>
      <c r="AF28" s="1135" t="str">
        <f>IFERROR(IF($C28="", "", IF(OR($C28 = "Retrofit existing", $C28 = "Replace in-life equip."), "Total", "Incremental")), "")</f>
        <v/>
      </c>
      <c r="AG28" s="1136"/>
      <c r="AH28" s="993"/>
      <c r="AI28" s="993"/>
      <c r="AJ28" s="1100" t="str">
        <f t="shared" ref="AJ28" si="35">IF(AF28="Incremental",0,"")</f>
        <v/>
      </c>
      <c r="AK28" s="1101"/>
      <c r="AL28" s="1030" t="str">
        <f>IF(OR(C28="",H28="",N28="",T28="",W28="",AC28="",AF28="",AH28="",AJ28=""),"",ROUND(AH28+AJ28,2))</f>
        <v/>
      </c>
      <c r="AM28" s="1031"/>
      <c r="AN28" s="1031"/>
      <c r="AO28" s="1036" t="str">
        <f>IF(OR(C28="",H28="",N28="",T28="",W28="",AC28="",AF28="",AH28="",AJ28=""),"",IF(BA28-BB28&lt;=0,0,ROUND(BA28-BB28,4)))</f>
        <v/>
      </c>
      <c r="AP28" s="1036"/>
      <c r="AQ28" s="1036"/>
      <c r="AR28" s="1072" t="str">
        <f>IF(OR(C28="",H28="",N28="",T28="",W28="",AC28="",AF28="",AH28="",AJ28=""),"",
IF(BY28&lt;&gt;"",BY28,IF(BP28&gt;0,BP28,
IF(AF28="Incremental",
IF(ACTIVEBLOCK="Yes",ROUND(MIN(AL28*INCCOSTCAP,AO28*BLOCKBIDRATE),2),
ROUND(MIN(AL28*INCCOSTCAP,BR28),2)),
IF(ACTIVEBLOCK="Yes",ROUND(MIN(AL28*TOTCOSTCAP,AO28*BLOCKBIDRATE),2),
ROUND(MIN(AL28*TOTCOSTCAP,BR28),2))))))</f>
        <v/>
      </c>
      <c r="AS28" s="1073"/>
      <c r="AT28" s="1073"/>
      <c r="AU28" s="1074"/>
      <c r="AV28" s="37"/>
      <c r="AW28" s="37"/>
      <c r="AX28" s="773" t="str">
        <f>IF(OR(C28="",H28=""),"",INDEX(CMEHVAC[Unit of Measure],MATCH(H28,CMEHVAC[Proj Desc 1],0)))</f>
        <v/>
      </c>
      <c r="AY28" s="759" t="str">
        <f t="shared" ref="AY28" si="36">IF(AO28&lt;&gt;"","Missing!","")</f>
        <v/>
      </c>
      <c r="AZ28" s="759" t="str">
        <f t="shared" ref="AZ28" si="37">IF(AO28&lt;&gt;"","Missing!","")</f>
        <v/>
      </c>
      <c r="BA28" s="771" t="str">
        <f t="shared" ref="BA28" si="38">IF(OR(C28="",H28="",N28="",T28="",W28="",AC28="",AF28="",AH28="",AJ28=""),"",ROUND(T28,4))</f>
        <v/>
      </c>
      <c r="BB28" s="771" t="str">
        <f t="shared" ref="BB28" si="39">IF(OR(C28="",H28="",N28="",T28="",W28="",AC28="",AF28="",AH28="",AJ28=""),"",ROUND(AC28,4))</f>
        <v/>
      </c>
      <c r="BC28" s="773" t="str">
        <f>IF(OR(C28="",H28=""),"",IF(INDEX(CMEHVAC[End Use Category],MATCH(H28,CMEHVAC[Proj Desc 1],0))="","",INDEX(CMEHVAC[End Use Category],MATCH(H28,CMEHVAC[Proj Desc 1],0))))</f>
        <v/>
      </c>
      <c r="BD28" s="757" t="str">
        <f t="shared" ref="BD28" si="40">IF(BE28&lt;&gt;"", "Calculated", "")</f>
        <v/>
      </c>
      <c r="BE28" s="775" t="str">
        <f t="shared" ref="BE28" si="41">IF(AND(BA28&lt;&gt;"", BB28&lt;&gt;""), ROUND(BA28-BB28,4), "")</f>
        <v/>
      </c>
      <c r="BF28" s="1098"/>
      <c r="BG28" s="775" t="str">
        <f>IFERROR(IF(OR(C28="",H28="",N28="",T28="",W28="",AC28="",AF28="",AH28="",AJ28=""),"",ROUND(AO28*INDEX(ENDUSEALL[Factor],MATCH(BC28,ENDUSEALL[End Use to Coincident Peak Demand Factors],0)),4)),"")</f>
        <v/>
      </c>
      <c r="BH28" s="761"/>
      <c r="BI28" s="761"/>
      <c r="BJ28" s="777" t="str">
        <f>IF(OR(C28="",H28=""),"",IF(INDEX(CMEHVAC[EUL],MATCH(H28,CMEHVAC[Proj Desc 1],0))="","",INDEX(CMEHVAC[EUL],MATCH(H28,CMEHVAC[Proj Desc 1],0))))</f>
        <v/>
      </c>
      <c r="BK28" s="767" t="str">
        <f>IFERROR(IF(OR(C28="",H28="",N28="",T28="",W28="",AC28="",AF28="",AH28="",AJ28=""),"",
ROUND(((1+ELOSS)*((AO28*INDEX(ELECCB[NPV AEC $/kWh],MATCH(BJ28,ELECCB[Year Number],1)))+(BG28*INDEX(ELECCB[NPV ACC $/kW],MATCH(BJ28,ELECCB[Year Number],1))))),2)),0)</f>
        <v/>
      </c>
      <c r="BL28" s="767" t="str">
        <f t="shared" si="1"/>
        <v/>
      </c>
      <c r="BM28" s="765"/>
      <c r="BN28" s="763" t="str">
        <f t="shared" si="2"/>
        <v/>
      </c>
      <c r="BO28" s="763" t="str">
        <f>IFERROR(IF(BM28 &lt;&gt; "", BM28, BL28) / M02S04F06 / AO28, "")</f>
        <v/>
      </c>
      <c r="BP28" s="769"/>
      <c r="BQ28" s="765"/>
      <c r="BR28" s="767" t="str">
        <f t="shared" ref="BR28" si="42">IFERROR(ROUND(AO28*BV28,2),"")</f>
        <v/>
      </c>
      <c r="BS28" s="765"/>
      <c r="BT28" s="765"/>
      <c r="BU28" s="757"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67"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57" t="str">
        <f>IF(OR(C28="",H28="",N28="",T28="",W28="",AC28="",AF28="",AH28="",AJ28=""),"",IF(BY28&lt;&gt;"",SPILLOVERNUMBER,INDEX(CMEHVAC[Measure Number],MATCH(H28,CMEHVAC[Proj Desc 1],0))))</f>
        <v/>
      </c>
      <c r="BX28" s="757" t="str" cm="1">
        <f t="array" ref="BX28">IFERROR(INDEX(_xlfn.SWITCH(Program_Banner,"Business Energy Savings",ENDUSEALL[Primary Key WBE],"Small Business / Non-Profit",ENDUSEALL[Primary Key HTRB],0),MATCH(BC28,ENDUSEALL[End Use to Coincident Peak Demand Factors],0)),"")</f>
        <v/>
      </c>
      <c r="BY28" s="757"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53"/>
      <c r="CA28" s="753"/>
      <c r="CB28" s="753"/>
      <c r="CC28" s="753"/>
    </row>
    <row r="29" spans="1:81" ht="15.95" customHeight="1">
      <c r="B29" s="785"/>
      <c r="C29" s="1012"/>
      <c r="D29" s="1013"/>
      <c r="E29" s="1013"/>
      <c r="F29" s="1013"/>
      <c r="G29" s="1014"/>
      <c r="H29" s="1002"/>
      <c r="I29" s="1002"/>
      <c r="J29" s="1002"/>
      <c r="K29" s="1002"/>
      <c r="L29" s="1002"/>
      <c r="M29" s="1003"/>
      <c r="N29" s="1041"/>
      <c r="O29" s="1013"/>
      <c r="P29" s="1013"/>
      <c r="Q29" s="1013"/>
      <c r="R29" s="1013"/>
      <c r="S29" s="1014"/>
      <c r="T29" s="1034"/>
      <c r="U29" s="1139"/>
      <c r="V29" s="1140"/>
      <c r="W29" s="1041"/>
      <c r="X29" s="1013"/>
      <c r="Y29" s="1013"/>
      <c r="Z29" s="1013"/>
      <c r="AA29" s="1013"/>
      <c r="AB29" s="1014"/>
      <c r="AC29" s="1034"/>
      <c r="AD29" s="1139"/>
      <c r="AE29" s="1140"/>
      <c r="AF29" s="1135"/>
      <c r="AG29" s="1136"/>
      <c r="AH29" s="993"/>
      <c r="AI29" s="993"/>
      <c r="AJ29" s="1102"/>
      <c r="AK29" s="1103"/>
      <c r="AL29" s="1006"/>
      <c r="AM29" s="1007"/>
      <c r="AN29" s="1007"/>
      <c r="AO29" s="1037"/>
      <c r="AP29" s="1037"/>
      <c r="AQ29" s="1037"/>
      <c r="AR29" s="1075"/>
      <c r="AS29" s="1076"/>
      <c r="AT29" s="1076"/>
      <c r="AU29" s="1077"/>
      <c r="AV29" s="37"/>
      <c r="AW29" s="37"/>
      <c r="AX29" s="774"/>
      <c r="AY29" s="760"/>
      <c r="AZ29" s="760"/>
      <c r="BA29" s="772"/>
      <c r="BB29" s="772"/>
      <c r="BC29" s="774"/>
      <c r="BD29" s="758"/>
      <c r="BE29" s="776"/>
      <c r="BF29" s="1099"/>
      <c r="BG29" s="776"/>
      <c r="BH29" s="762"/>
      <c r="BI29" s="762"/>
      <c r="BJ29" s="778"/>
      <c r="BK29" s="768"/>
      <c r="BL29" s="768"/>
      <c r="BM29" s="766"/>
      <c r="BN29" s="764"/>
      <c r="BO29" s="764"/>
      <c r="BP29" s="770"/>
      <c r="BQ29" s="766"/>
      <c r="BR29" s="768"/>
      <c r="BS29" s="766"/>
      <c r="BT29" s="766"/>
      <c r="BU29" s="758"/>
      <c r="BV29" s="768"/>
      <c r="BW29" s="758"/>
      <c r="BX29" s="758"/>
      <c r="BY29" s="758"/>
      <c r="BZ29" s="754"/>
      <c r="CA29" s="754"/>
      <c r="CB29" s="754"/>
      <c r="CC29" s="754"/>
    </row>
    <row r="30" spans="1:81" ht="15.95" customHeight="1">
      <c r="B30" s="785">
        <v>7</v>
      </c>
      <c r="C30" s="1009"/>
      <c r="D30" s="1010"/>
      <c r="E30" s="1010"/>
      <c r="F30" s="1010"/>
      <c r="G30" s="1011"/>
      <c r="H30" s="1002"/>
      <c r="I30" s="1002"/>
      <c r="J30" s="1002"/>
      <c r="K30" s="1002"/>
      <c r="L30" s="1002"/>
      <c r="M30" s="1003"/>
      <c r="N30" s="1040"/>
      <c r="O30" s="1010"/>
      <c r="P30" s="1010"/>
      <c r="Q30" s="1010"/>
      <c r="R30" s="1010"/>
      <c r="S30" s="1011"/>
      <c r="T30" s="1032"/>
      <c r="U30" s="1137"/>
      <c r="V30" s="1138"/>
      <c r="W30" s="1040"/>
      <c r="X30" s="1010"/>
      <c r="Y30" s="1010"/>
      <c r="Z30" s="1010"/>
      <c r="AA30" s="1010"/>
      <c r="AB30" s="1011"/>
      <c r="AC30" s="1032"/>
      <c r="AD30" s="1137"/>
      <c r="AE30" s="1138"/>
      <c r="AF30" s="1135" t="str">
        <f>IFERROR(IF($C30="", "", IF(OR($C30 = "Retrofit existing", $C30 = "Replace in-life equip."), "Total", "Incremental")), "")</f>
        <v/>
      </c>
      <c r="AG30" s="1136"/>
      <c r="AH30" s="993"/>
      <c r="AI30" s="993"/>
      <c r="AJ30" s="1100" t="str">
        <f t="shared" ref="AJ30" si="43">IF(AF30="Incremental",0,"")</f>
        <v/>
      </c>
      <c r="AK30" s="1101"/>
      <c r="AL30" s="1030" t="str">
        <f>IF(OR(C30="",H30="",N30="",T30="",W30="",AC30="",AF30="",AH30="",AJ30=""),"",ROUND(AH30+AJ30,2))</f>
        <v/>
      </c>
      <c r="AM30" s="1031"/>
      <c r="AN30" s="1031"/>
      <c r="AO30" s="1036" t="str">
        <f>IF(OR(C30="",H30="",N30="",T30="",W30="",AC30="",AF30="",AH30="",AJ30=""),"",IF(BA30-BB30&lt;=0,0,ROUND(BA30-BB30,4)))</f>
        <v/>
      </c>
      <c r="AP30" s="1036"/>
      <c r="AQ30" s="1036"/>
      <c r="AR30" s="1072" t="str">
        <f>IF(OR(C30="",H30="",N30="",T30="",W30="",AC30="",AF30="",AH30="",AJ30=""),"",
IF(BY30&lt;&gt;"",BY30,IF(BP30&gt;0,BP30,
IF(AF30="Incremental",
IF(ACTIVEBLOCK="Yes",ROUND(MIN(AL30*INCCOSTCAP,AO30*BLOCKBIDRATE),2),
ROUND(MIN(AL30*INCCOSTCAP,BR30),2)),
IF(ACTIVEBLOCK="Yes",ROUND(MIN(AL30*TOTCOSTCAP,AO30*BLOCKBIDRATE),2),
ROUND(MIN(AL30*TOTCOSTCAP,BR30),2))))))</f>
        <v/>
      </c>
      <c r="AS30" s="1073"/>
      <c r="AT30" s="1073"/>
      <c r="AU30" s="1074"/>
      <c r="AV30" s="37"/>
      <c r="AW30" s="37"/>
      <c r="AX30" s="773" t="str">
        <f>IF(OR(C30="",H30=""),"",INDEX(CMEHVAC[Unit of Measure],MATCH(H30,CMEHVAC[Proj Desc 1],0)))</f>
        <v/>
      </c>
      <c r="AY30" s="759" t="str">
        <f t="shared" ref="AY30" si="44">IF(AO30&lt;&gt;"","Missing!","")</f>
        <v/>
      </c>
      <c r="AZ30" s="759" t="str">
        <f t="shared" ref="AZ30" si="45">IF(AO30&lt;&gt;"","Missing!","")</f>
        <v/>
      </c>
      <c r="BA30" s="771" t="str">
        <f t="shared" ref="BA30" si="46">IF(OR(C30="",H30="",N30="",T30="",W30="",AC30="",AF30="",AH30="",AJ30=""),"",ROUND(T30,4))</f>
        <v/>
      </c>
      <c r="BB30" s="771" t="str">
        <f t="shared" ref="BB30" si="47">IF(OR(C30="",H30="",N30="",T30="",W30="",AC30="",AF30="",AH30="",AJ30=""),"",ROUND(AC30,4))</f>
        <v/>
      </c>
      <c r="BC30" s="773" t="str">
        <f>IF(OR(C30="",H30=""),"",IF(INDEX(CMEHVAC[End Use Category],MATCH(H30,CMEHVAC[Proj Desc 1],0))="","",INDEX(CMEHVAC[End Use Category],MATCH(H30,CMEHVAC[Proj Desc 1],0))))</f>
        <v/>
      </c>
      <c r="BD30" s="757" t="str">
        <f t="shared" ref="BD30" si="48">IF(BE30&lt;&gt;"", "Calculated", "")</f>
        <v/>
      </c>
      <c r="BE30" s="775" t="str">
        <f t="shared" ref="BE30" si="49">IF(AND(BA30&lt;&gt;"", BB30&lt;&gt;""), ROUND(BA30-BB30,4), "")</f>
        <v/>
      </c>
      <c r="BF30" s="1098"/>
      <c r="BG30" s="775" t="str">
        <f>IFERROR(IF(OR(C30="",H30="",N30="",T30="",W30="",AC30="",AF30="",AH30="",AJ30=""),"",ROUND(AO30*INDEX(ENDUSEALL[Factor],MATCH(BC30,ENDUSEALL[End Use to Coincident Peak Demand Factors],0)),4)),"")</f>
        <v/>
      </c>
      <c r="BH30" s="761"/>
      <c r="BI30" s="761"/>
      <c r="BJ30" s="777" t="str">
        <f>IF(OR(C30="",H30=""),"",IF(INDEX(CMEHVAC[EUL],MATCH(H30,CMEHVAC[Proj Desc 1],0))="","",INDEX(CMEHVAC[EUL],MATCH(H30,CMEHVAC[Proj Desc 1],0))))</f>
        <v/>
      </c>
      <c r="BK30" s="767" t="str">
        <f>IFERROR(IF(OR(C30="",H30="",N30="",T30="",W30="",AC30="",AF30="",AH30="",AJ30=""),"",
ROUND(((1+ELOSS)*((AO30*INDEX(ELECCB[NPV AEC $/kWh],MATCH(BJ30,ELECCB[Year Number],1)))+(BG30*INDEX(ELECCB[NPV ACC $/kW],MATCH(BJ30,ELECCB[Year Number],1))))),2)),0)</f>
        <v/>
      </c>
      <c r="BL30" s="767" t="str">
        <f t="shared" si="1"/>
        <v/>
      </c>
      <c r="BM30" s="765"/>
      <c r="BN30" s="763" t="str">
        <f t="shared" si="2"/>
        <v/>
      </c>
      <c r="BO30" s="763" t="str">
        <f>IFERROR(IF(BM30 &lt;&gt; "", BM30, BL30) / M02S04F06 / AO30, "")</f>
        <v/>
      </c>
      <c r="BP30" s="769"/>
      <c r="BQ30" s="765"/>
      <c r="BR30" s="767" t="str">
        <f t="shared" ref="BR30" si="50">IFERROR(ROUND(AO30*BV30,2),"")</f>
        <v/>
      </c>
      <c r="BS30" s="765"/>
      <c r="BT30" s="765"/>
      <c r="BU30" s="757"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67"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57" t="str">
        <f>IF(OR(C30="",H30="",N30="",T30="",W30="",AC30="",AF30="",AH30="",AJ30=""),"",IF(BY30&lt;&gt;"",SPILLOVERNUMBER,INDEX(CMEHVAC[Measure Number],MATCH(H30,CMEHVAC[Proj Desc 1],0))))</f>
        <v/>
      </c>
      <c r="BX30" s="757" t="str" cm="1">
        <f t="array" ref="BX30">IFERROR(INDEX(_xlfn.SWITCH(Program_Banner,"Business Energy Savings",ENDUSEALL[Primary Key WBE],"Small Business / Non-Profit",ENDUSEALL[Primary Key HTRB],0),MATCH(BC30,ENDUSEALL[End Use to Coincident Peak Demand Factors],0)),"")</f>
        <v/>
      </c>
      <c r="BY30" s="757"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53"/>
      <c r="CA30" s="753"/>
      <c r="CB30" s="753"/>
      <c r="CC30" s="753"/>
    </row>
    <row r="31" spans="1:81" ht="15.95" customHeight="1">
      <c r="B31" s="785"/>
      <c r="C31" s="1012"/>
      <c r="D31" s="1013"/>
      <c r="E31" s="1013"/>
      <c r="F31" s="1013"/>
      <c r="G31" s="1014"/>
      <c r="H31" s="1002"/>
      <c r="I31" s="1002"/>
      <c r="J31" s="1002"/>
      <c r="K31" s="1002"/>
      <c r="L31" s="1002"/>
      <c r="M31" s="1003"/>
      <c r="N31" s="1041"/>
      <c r="O31" s="1013"/>
      <c r="P31" s="1013"/>
      <c r="Q31" s="1013"/>
      <c r="R31" s="1013"/>
      <c r="S31" s="1014"/>
      <c r="T31" s="1034"/>
      <c r="U31" s="1139"/>
      <c r="V31" s="1140"/>
      <c r="W31" s="1041"/>
      <c r="X31" s="1013"/>
      <c r="Y31" s="1013"/>
      <c r="Z31" s="1013"/>
      <c r="AA31" s="1013"/>
      <c r="AB31" s="1014"/>
      <c r="AC31" s="1034"/>
      <c r="AD31" s="1139"/>
      <c r="AE31" s="1140"/>
      <c r="AF31" s="1135"/>
      <c r="AG31" s="1136"/>
      <c r="AH31" s="993"/>
      <c r="AI31" s="993"/>
      <c r="AJ31" s="1102"/>
      <c r="AK31" s="1103"/>
      <c r="AL31" s="1006"/>
      <c r="AM31" s="1007"/>
      <c r="AN31" s="1007"/>
      <c r="AO31" s="1037"/>
      <c r="AP31" s="1037"/>
      <c r="AQ31" s="1037"/>
      <c r="AR31" s="1075"/>
      <c r="AS31" s="1076"/>
      <c r="AT31" s="1076"/>
      <c r="AU31" s="1077"/>
      <c r="AV31" s="37"/>
      <c r="AW31" s="37"/>
      <c r="AX31" s="774"/>
      <c r="AY31" s="760"/>
      <c r="AZ31" s="760"/>
      <c r="BA31" s="772"/>
      <c r="BB31" s="772"/>
      <c r="BC31" s="774"/>
      <c r="BD31" s="758"/>
      <c r="BE31" s="776"/>
      <c r="BF31" s="1099"/>
      <c r="BG31" s="776"/>
      <c r="BH31" s="762"/>
      <c r="BI31" s="762"/>
      <c r="BJ31" s="778"/>
      <c r="BK31" s="768"/>
      <c r="BL31" s="768"/>
      <c r="BM31" s="766"/>
      <c r="BN31" s="764"/>
      <c r="BO31" s="764"/>
      <c r="BP31" s="770"/>
      <c r="BQ31" s="766"/>
      <c r="BR31" s="768"/>
      <c r="BS31" s="766"/>
      <c r="BT31" s="766"/>
      <c r="BU31" s="758"/>
      <c r="BV31" s="768"/>
      <c r="BW31" s="758"/>
      <c r="BX31" s="758"/>
      <c r="BY31" s="758"/>
      <c r="BZ31" s="754"/>
      <c r="CA31" s="754"/>
      <c r="CB31" s="754"/>
      <c r="CC31" s="754"/>
    </row>
    <row r="32" spans="1:81" ht="15.95" customHeight="1">
      <c r="B32" s="785">
        <v>8</v>
      </c>
      <c r="C32" s="1009"/>
      <c r="D32" s="1010"/>
      <c r="E32" s="1010"/>
      <c r="F32" s="1010"/>
      <c r="G32" s="1011"/>
      <c r="H32" s="1002"/>
      <c r="I32" s="1002"/>
      <c r="J32" s="1002"/>
      <c r="K32" s="1002"/>
      <c r="L32" s="1002"/>
      <c r="M32" s="1003"/>
      <c r="N32" s="1040"/>
      <c r="O32" s="1010"/>
      <c r="P32" s="1010"/>
      <c r="Q32" s="1010"/>
      <c r="R32" s="1010"/>
      <c r="S32" s="1011"/>
      <c r="T32" s="1032"/>
      <c r="U32" s="1137"/>
      <c r="V32" s="1138"/>
      <c r="W32" s="1040"/>
      <c r="X32" s="1010"/>
      <c r="Y32" s="1010"/>
      <c r="Z32" s="1010"/>
      <c r="AA32" s="1010"/>
      <c r="AB32" s="1011"/>
      <c r="AC32" s="1032"/>
      <c r="AD32" s="1137"/>
      <c r="AE32" s="1138"/>
      <c r="AF32" s="1135" t="str">
        <f>IFERROR(IF($C32="", "", IF(OR($C32 = "Retrofit existing", $C32 = "Replace in-life equip."), "Total", "Incremental")), "")</f>
        <v/>
      </c>
      <c r="AG32" s="1136"/>
      <c r="AH32" s="993"/>
      <c r="AI32" s="993"/>
      <c r="AJ32" s="1100" t="str">
        <f t="shared" ref="AJ32" si="51">IF(AF32="Incremental",0,"")</f>
        <v/>
      </c>
      <c r="AK32" s="1101"/>
      <c r="AL32" s="1030" t="str">
        <f>IF(OR(C32="",H32="",N32="",T32="",W32="",AC32="",AF32="",AH32="",AJ32=""),"",ROUND(AH32+AJ32,2))</f>
        <v/>
      </c>
      <c r="AM32" s="1031"/>
      <c r="AN32" s="1031"/>
      <c r="AO32" s="1036" t="str">
        <f>IF(OR(C32="",H32="",N32="",T32="",W32="",AC32="",AF32="",AH32="",AJ32=""),"",IF(BA32-BB32&lt;=0,0,ROUND(BA32-BB32,4)))</f>
        <v/>
      </c>
      <c r="AP32" s="1036"/>
      <c r="AQ32" s="1036"/>
      <c r="AR32" s="1072" t="str">
        <f>IF(OR(C32="",H32="",N32="",T32="",W32="",AC32="",AF32="",AH32="",AJ32=""),"",
IF(BY32&lt;&gt;"",BY32,IF(BP32&gt;0,BP32,
IF(AF32="Incremental",
IF(ACTIVEBLOCK="Yes",ROUND(MIN(AL32*INCCOSTCAP,AO32*BLOCKBIDRATE),2),
ROUND(MIN(AL32*INCCOSTCAP,BR32),2)),
IF(ACTIVEBLOCK="Yes",ROUND(MIN(AL32*TOTCOSTCAP,AO32*BLOCKBIDRATE),2),
ROUND(MIN(AL32*TOTCOSTCAP,BR32),2))))))</f>
        <v/>
      </c>
      <c r="AS32" s="1073"/>
      <c r="AT32" s="1073"/>
      <c r="AU32" s="1074"/>
      <c r="AV32" s="37"/>
      <c r="AW32" s="37"/>
      <c r="AX32" s="773" t="str">
        <f>IF(OR(C32="",H32=""),"",INDEX(CMEHVAC[Unit of Measure],MATCH(H32,CMEHVAC[Proj Desc 1],0)))</f>
        <v/>
      </c>
      <c r="AY32" s="759" t="str">
        <f t="shared" ref="AY32" si="52">IF(AO32&lt;&gt;"","Missing!","")</f>
        <v/>
      </c>
      <c r="AZ32" s="759" t="str">
        <f t="shared" ref="AZ32" si="53">IF(AO32&lt;&gt;"","Missing!","")</f>
        <v/>
      </c>
      <c r="BA32" s="771" t="str">
        <f t="shared" ref="BA32" si="54">IF(OR(C32="",H32="",N32="",T32="",W32="",AC32="",AF32="",AH32="",AJ32=""),"",ROUND(T32,4))</f>
        <v/>
      </c>
      <c r="BB32" s="771" t="str">
        <f t="shared" ref="BB32" si="55">IF(OR(C32="",H32="",N32="",T32="",W32="",AC32="",AF32="",AH32="",AJ32=""),"",ROUND(AC32,4))</f>
        <v/>
      </c>
      <c r="BC32" s="773" t="str">
        <f>IF(OR(C32="",H32=""),"",IF(INDEX(CMEHVAC[End Use Category],MATCH(H32,CMEHVAC[Proj Desc 1],0))="","",INDEX(CMEHVAC[End Use Category],MATCH(H32,CMEHVAC[Proj Desc 1],0))))</f>
        <v/>
      </c>
      <c r="BD32" s="757" t="str">
        <f t="shared" ref="BD32" si="56">IF(BE32&lt;&gt;"", "Calculated", "")</f>
        <v/>
      </c>
      <c r="BE32" s="775" t="str">
        <f t="shared" ref="BE32" si="57">IF(AND(BA32&lt;&gt;"", BB32&lt;&gt;""), ROUND(BA32-BB32,4), "")</f>
        <v/>
      </c>
      <c r="BF32" s="1098"/>
      <c r="BG32" s="775" t="str">
        <f>IFERROR(IF(OR(C32="",H32="",N32="",T32="",W32="",AC32="",AF32="",AH32="",AJ32=""),"",ROUND(AO32*INDEX(ENDUSEALL[Factor],MATCH(BC32,ENDUSEALL[End Use to Coincident Peak Demand Factors],0)),4)),"")</f>
        <v/>
      </c>
      <c r="BH32" s="761"/>
      <c r="BI32" s="761"/>
      <c r="BJ32" s="777" t="str">
        <f>IF(OR(C32="",H32=""),"",IF(INDEX(CMEHVAC[EUL],MATCH(H32,CMEHVAC[Proj Desc 1],0))="","",INDEX(CMEHVAC[EUL],MATCH(H32,CMEHVAC[Proj Desc 1],0))))</f>
        <v/>
      </c>
      <c r="BK32" s="767" t="str">
        <f>IFERROR(IF(OR(C32="",H32="",N32="",T32="",W32="",AC32="",AF32="",AH32="",AJ32=""),"",
ROUND(((1+ELOSS)*((AO32*INDEX(ELECCB[NPV AEC $/kWh],MATCH(BJ32,ELECCB[Year Number],1)))+(BG32*INDEX(ELECCB[NPV ACC $/kW],MATCH(BJ32,ELECCB[Year Number],1))))),2)),0)</f>
        <v/>
      </c>
      <c r="BL32" s="767" t="str">
        <f t="shared" si="1"/>
        <v/>
      </c>
      <c r="BM32" s="765"/>
      <c r="BN32" s="763" t="str">
        <f t="shared" si="2"/>
        <v/>
      </c>
      <c r="BO32" s="763" t="str">
        <f>IFERROR(IF(BM32 &lt;&gt; "", BM32, BL32) / M02S04F06 / AO32, "")</f>
        <v/>
      </c>
      <c r="BP32" s="769"/>
      <c r="BQ32" s="765"/>
      <c r="BR32" s="767" t="str">
        <f t="shared" ref="BR32" si="58">IFERROR(ROUND(AO32*BV32,2),"")</f>
        <v/>
      </c>
      <c r="BS32" s="765"/>
      <c r="BT32" s="765"/>
      <c r="BU32" s="757"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67"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57" t="str">
        <f>IF(OR(C32="",H32="",N32="",T32="",W32="",AC32="",AF32="",AH32="",AJ32=""),"",IF(BY32&lt;&gt;"",SPILLOVERNUMBER,INDEX(CMEHVAC[Measure Number],MATCH(H32,CMEHVAC[Proj Desc 1],0))))</f>
        <v/>
      </c>
      <c r="BX32" s="757" t="str" cm="1">
        <f t="array" ref="BX32">IFERROR(INDEX(_xlfn.SWITCH(Program_Banner,"Business Energy Savings",ENDUSEALL[Primary Key WBE],"Small Business / Non-Profit",ENDUSEALL[Primary Key HTRB],0),MATCH(BC32,ENDUSEALL[End Use to Coincident Peak Demand Factors],0)),"")</f>
        <v/>
      </c>
      <c r="BY32" s="757"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53"/>
      <c r="CA32" s="753"/>
      <c r="CB32" s="753"/>
      <c r="CC32" s="753"/>
    </row>
    <row r="33" spans="2:81" ht="15.95" customHeight="1">
      <c r="B33" s="785"/>
      <c r="C33" s="1012"/>
      <c r="D33" s="1013"/>
      <c r="E33" s="1013"/>
      <c r="F33" s="1013"/>
      <c r="G33" s="1014"/>
      <c r="H33" s="1002"/>
      <c r="I33" s="1002"/>
      <c r="J33" s="1002"/>
      <c r="K33" s="1002"/>
      <c r="L33" s="1002"/>
      <c r="M33" s="1003"/>
      <c r="N33" s="1041"/>
      <c r="O33" s="1013"/>
      <c r="P33" s="1013"/>
      <c r="Q33" s="1013"/>
      <c r="R33" s="1013"/>
      <c r="S33" s="1014"/>
      <c r="T33" s="1034"/>
      <c r="U33" s="1139"/>
      <c r="V33" s="1140"/>
      <c r="W33" s="1041"/>
      <c r="X33" s="1013"/>
      <c r="Y33" s="1013"/>
      <c r="Z33" s="1013"/>
      <c r="AA33" s="1013"/>
      <c r="AB33" s="1014"/>
      <c r="AC33" s="1034"/>
      <c r="AD33" s="1139"/>
      <c r="AE33" s="1140"/>
      <c r="AF33" s="1135"/>
      <c r="AG33" s="1136"/>
      <c r="AH33" s="993"/>
      <c r="AI33" s="993"/>
      <c r="AJ33" s="1102"/>
      <c r="AK33" s="1103"/>
      <c r="AL33" s="1006"/>
      <c r="AM33" s="1007"/>
      <c r="AN33" s="1007"/>
      <c r="AO33" s="1037"/>
      <c r="AP33" s="1037"/>
      <c r="AQ33" s="1037"/>
      <c r="AR33" s="1075"/>
      <c r="AS33" s="1076"/>
      <c r="AT33" s="1076"/>
      <c r="AU33" s="1077"/>
      <c r="AV33" s="37"/>
      <c r="AW33" s="37"/>
      <c r="AX33" s="774"/>
      <c r="AY33" s="760"/>
      <c r="AZ33" s="760"/>
      <c r="BA33" s="772"/>
      <c r="BB33" s="772"/>
      <c r="BC33" s="774"/>
      <c r="BD33" s="758"/>
      <c r="BE33" s="776"/>
      <c r="BF33" s="1099"/>
      <c r="BG33" s="776"/>
      <c r="BH33" s="762"/>
      <c r="BI33" s="762"/>
      <c r="BJ33" s="778"/>
      <c r="BK33" s="768"/>
      <c r="BL33" s="768"/>
      <c r="BM33" s="766"/>
      <c r="BN33" s="764"/>
      <c r="BO33" s="764"/>
      <c r="BP33" s="770"/>
      <c r="BQ33" s="766"/>
      <c r="BR33" s="768"/>
      <c r="BS33" s="766"/>
      <c r="BT33" s="766"/>
      <c r="BU33" s="758"/>
      <c r="BV33" s="768"/>
      <c r="BW33" s="758"/>
      <c r="BX33" s="758"/>
      <c r="BY33" s="758"/>
      <c r="BZ33" s="754"/>
      <c r="CA33" s="754"/>
      <c r="CB33" s="754"/>
      <c r="CC33" s="754"/>
    </row>
    <row r="34" spans="2:81" ht="15.95" customHeight="1">
      <c r="B34" s="785">
        <v>9</v>
      </c>
      <c r="C34" s="1009"/>
      <c r="D34" s="1010"/>
      <c r="E34" s="1010"/>
      <c r="F34" s="1010"/>
      <c r="G34" s="1011"/>
      <c r="H34" s="1002"/>
      <c r="I34" s="1002"/>
      <c r="J34" s="1002"/>
      <c r="K34" s="1002"/>
      <c r="L34" s="1002"/>
      <c r="M34" s="1003"/>
      <c r="N34" s="1040"/>
      <c r="O34" s="1010"/>
      <c r="P34" s="1010"/>
      <c r="Q34" s="1010"/>
      <c r="R34" s="1010"/>
      <c r="S34" s="1011"/>
      <c r="T34" s="1032"/>
      <c r="U34" s="1137"/>
      <c r="V34" s="1138"/>
      <c r="W34" s="1040"/>
      <c r="X34" s="1010"/>
      <c r="Y34" s="1010"/>
      <c r="Z34" s="1010"/>
      <c r="AA34" s="1010"/>
      <c r="AB34" s="1011"/>
      <c r="AC34" s="1032"/>
      <c r="AD34" s="1137"/>
      <c r="AE34" s="1138"/>
      <c r="AF34" s="1135" t="str">
        <f>IFERROR(IF($C34="", "", IF(OR($C34 = "Retrofit existing", $C34 = "Replace in-life equip."), "Total", "Incremental")), "")</f>
        <v/>
      </c>
      <c r="AG34" s="1136"/>
      <c r="AH34" s="993"/>
      <c r="AI34" s="993"/>
      <c r="AJ34" s="1100" t="str">
        <f t="shared" ref="AJ34" si="59">IF(AF34="Incremental",0,"")</f>
        <v/>
      </c>
      <c r="AK34" s="1101"/>
      <c r="AL34" s="1030" t="str">
        <f>IF(OR(C34="",H34="",N34="",T34="",W34="",AC34="",AF34="",AH34="",AJ34=""),"",ROUND(AH34+AJ34,2))</f>
        <v/>
      </c>
      <c r="AM34" s="1031"/>
      <c r="AN34" s="1031"/>
      <c r="AO34" s="1036" t="str">
        <f>IF(OR(C34="",H34="",N34="",T34="",W34="",AC34="",AF34="",AH34="",AJ34=""),"",IF(BA34-BB34&lt;=0,0,ROUND(BA34-BB34,4)))</f>
        <v/>
      </c>
      <c r="AP34" s="1036"/>
      <c r="AQ34" s="1036"/>
      <c r="AR34" s="1072" t="str">
        <f>IF(OR(C34="",H34="",N34="",T34="",W34="",AC34="",AF34="",AH34="",AJ34=""),"",
IF(BY34&lt;&gt;"",BY34,IF(BP34&gt;0,BP34,
IF(AF34="Incremental",
IF(ACTIVEBLOCK="Yes",ROUND(MIN(AL34*INCCOSTCAP,AO34*BLOCKBIDRATE),2),
ROUND(MIN(AL34*INCCOSTCAP,BR34),2)),
IF(ACTIVEBLOCK="Yes",ROUND(MIN(AL34*TOTCOSTCAP,AO34*BLOCKBIDRATE),2),
ROUND(MIN(AL34*TOTCOSTCAP,BR34),2))))))</f>
        <v/>
      </c>
      <c r="AS34" s="1073"/>
      <c r="AT34" s="1073"/>
      <c r="AU34" s="1074"/>
      <c r="AV34" s="37"/>
      <c r="AW34" s="37"/>
      <c r="AX34" s="773" t="str">
        <f>IF(OR(C34="",H34=""),"",INDEX(CMEHVAC[Unit of Measure],MATCH(H34,CMEHVAC[Proj Desc 1],0)))</f>
        <v/>
      </c>
      <c r="AY34" s="759" t="str">
        <f t="shared" ref="AY34" si="60">IF(AO34&lt;&gt;"","Missing!","")</f>
        <v/>
      </c>
      <c r="AZ34" s="759" t="str">
        <f t="shared" ref="AZ34" si="61">IF(AO34&lt;&gt;"","Missing!","")</f>
        <v/>
      </c>
      <c r="BA34" s="771" t="str">
        <f t="shared" ref="BA34" si="62">IF(OR(C34="",H34="",N34="",T34="",W34="",AC34="",AF34="",AH34="",AJ34=""),"",ROUND(T34,4))</f>
        <v/>
      </c>
      <c r="BB34" s="771" t="str">
        <f t="shared" ref="BB34" si="63">IF(OR(C34="",H34="",N34="",T34="",W34="",AC34="",AF34="",AH34="",AJ34=""),"",ROUND(AC34,4))</f>
        <v/>
      </c>
      <c r="BC34" s="773" t="str">
        <f>IF(OR(C34="",H34=""),"",IF(INDEX(CMEHVAC[End Use Category],MATCH(H34,CMEHVAC[Proj Desc 1],0))="","",INDEX(CMEHVAC[End Use Category],MATCH(H34,CMEHVAC[Proj Desc 1],0))))</f>
        <v/>
      </c>
      <c r="BD34" s="757" t="str">
        <f t="shared" ref="BD34" si="64">IF(BE34&lt;&gt;"", "Calculated", "")</f>
        <v/>
      </c>
      <c r="BE34" s="775" t="str">
        <f t="shared" ref="BE34" si="65">IF(AND(BA34&lt;&gt;"", BB34&lt;&gt;""), ROUND(BA34-BB34,4), "")</f>
        <v/>
      </c>
      <c r="BF34" s="1098"/>
      <c r="BG34" s="775" t="str">
        <f>IFERROR(IF(OR(C34="",H34="",N34="",T34="",W34="",AC34="",AF34="",AH34="",AJ34=""),"",ROUND(AO34*INDEX(ENDUSEALL[Factor],MATCH(BC34,ENDUSEALL[End Use to Coincident Peak Demand Factors],0)),4)),"")</f>
        <v/>
      </c>
      <c r="BH34" s="761"/>
      <c r="BI34" s="761"/>
      <c r="BJ34" s="777" t="str">
        <f>IF(OR(C34="",H34=""),"",IF(INDEX(CMEHVAC[EUL],MATCH(H34,CMEHVAC[Proj Desc 1],0))="","",INDEX(CMEHVAC[EUL],MATCH(H34,CMEHVAC[Proj Desc 1],0))))</f>
        <v/>
      </c>
      <c r="BK34" s="767" t="str">
        <f>IFERROR(IF(OR(C34="",H34="",N34="",T34="",W34="",AC34="",AF34="",AH34="",AJ34=""),"",
ROUND(((1+ELOSS)*((AO34*INDEX(ELECCB[NPV AEC $/kWh],MATCH(BJ34,ELECCB[Year Number],1)))+(BG34*INDEX(ELECCB[NPV ACC $/kW],MATCH(BJ34,ELECCB[Year Number],1))))),2)),0)</f>
        <v/>
      </c>
      <c r="BL34" s="767" t="str">
        <f t="shared" si="1"/>
        <v/>
      </c>
      <c r="BM34" s="765"/>
      <c r="BN34" s="763" t="str">
        <f t="shared" si="2"/>
        <v/>
      </c>
      <c r="BO34" s="763" t="str">
        <f>IFERROR(IF(BM34 &lt;&gt; "", BM34, BL34) / M02S04F06 / AO34, "")</f>
        <v/>
      </c>
      <c r="BP34" s="769"/>
      <c r="BQ34" s="765"/>
      <c r="BR34" s="767" t="str">
        <f t="shared" ref="BR34" si="66">IFERROR(ROUND(AO34*BV34,2),"")</f>
        <v/>
      </c>
      <c r="BS34" s="765"/>
      <c r="BT34" s="765"/>
      <c r="BU34" s="757"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67"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57" t="str">
        <f>IF(OR(C34="",H34="",N34="",T34="",W34="",AC34="",AF34="",AH34="",AJ34=""),"",IF(BY34&lt;&gt;"",SPILLOVERNUMBER,INDEX(CMEHVAC[Measure Number],MATCH(H34,CMEHVAC[Proj Desc 1],0))))</f>
        <v/>
      </c>
      <c r="BX34" s="757" t="str" cm="1">
        <f t="array" ref="BX34">IFERROR(INDEX(_xlfn.SWITCH(Program_Banner,"Business Energy Savings",ENDUSEALL[Primary Key WBE],"Small Business / Non-Profit",ENDUSEALL[Primary Key HTRB],0),MATCH(BC34,ENDUSEALL[End Use to Coincident Peak Demand Factors],0)),"")</f>
        <v/>
      </c>
      <c r="BY34" s="757"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53"/>
      <c r="CA34" s="753"/>
      <c r="CB34" s="753"/>
      <c r="CC34" s="753"/>
    </row>
    <row r="35" spans="2:81" ht="15.95" customHeight="1">
      <c r="B35" s="785"/>
      <c r="C35" s="1012"/>
      <c r="D35" s="1013"/>
      <c r="E35" s="1013"/>
      <c r="F35" s="1013"/>
      <c r="G35" s="1014"/>
      <c r="H35" s="1002"/>
      <c r="I35" s="1002"/>
      <c r="J35" s="1002"/>
      <c r="K35" s="1002"/>
      <c r="L35" s="1002"/>
      <c r="M35" s="1003"/>
      <c r="N35" s="1041"/>
      <c r="O35" s="1013"/>
      <c r="P35" s="1013"/>
      <c r="Q35" s="1013"/>
      <c r="R35" s="1013"/>
      <c r="S35" s="1014"/>
      <c r="T35" s="1034"/>
      <c r="U35" s="1139"/>
      <c r="V35" s="1140"/>
      <c r="W35" s="1041"/>
      <c r="X35" s="1013"/>
      <c r="Y35" s="1013"/>
      <c r="Z35" s="1013"/>
      <c r="AA35" s="1013"/>
      <c r="AB35" s="1014"/>
      <c r="AC35" s="1034"/>
      <c r="AD35" s="1139"/>
      <c r="AE35" s="1140"/>
      <c r="AF35" s="1135"/>
      <c r="AG35" s="1136"/>
      <c r="AH35" s="993"/>
      <c r="AI35" s="993"/>
      <c r="AJ35" s="1102"/>
      <c r="AK35" s="1103"/>
      <c r="AL35" s="1006"/>
      <c r="AM35" s="1007"/>
      <c r="AN35" s="1007"/>
      <c r="AO35" s="1037"/>
      <c r="AP35" s="1037"/>
      <c r="AQ35" s="1037"/>
      <c r="AR35" s="1075"/>
      <c r="AS35" s="1076"/>
      <c r="AT35" s="1076"/>
      <c r="AU35" s="1077"/>
      <c r="AV35" s="37"/>
      <c r="AW35" s="37"/>
      <c r="AX35" s="774"/>
      <c r="AY35" s="760"/>
      <c r="AZ35" s="760"/>
      <c r="BA35" s="772"/>
      <c r="BB35" s="772"/>
      <c r="BC35" s="774"/>
      <c r="BD35" s="758"/>
      <c r="BE35" s="776"/>
      <c r="BF35" s="1099"/>
      <c r="BG35" s="776"/>
      <c r="BH35" s="762"/>
      <c r="BI35" s="762"/>
      <c r="BJ35" s="778"/>
      <c r="BK35" s="768"/>
      <c r="BL35" s="768"/>
      <c r="BM35" s="766"/>
      <c r="BN35" s="764"/>
      <c r="BO35" s="764"/>
      <c r="BP35" s="770"/>
      <c r="BQ35" s="766"/>
      <c r="BR35" s="768"/>
      <c r="BS35" s="766"/>
      <c r="BT35" s="766"/>
      <c r="BU35" s="758"/>
      <c r="BV35" s="768"/>
      <c r="BW35" s="758"/>
      <c r="BX35" s="758"/>
      <c r="BY35" s="758"/>
      <c r="BZ35" s="754"/>
      <c r="CA35" s="754"/>
      <c r="CB35" s="754"/>
      <c r="CC35" s="754"/>
    </row>
    <row r="36" spans="2:81" ht="15.95" customHeight="1">
      <c r="B36" s="785">
        <v>10</v>
      </c>
      <c r="C36" s="1009"/>
      <c r="D36" s="1010"/>
      <c r="E36" s="1010"/>
      <c r="F36" s="1010"/>
      <c r="G36" s="1011"/>
      <c r="H36" s="1002"/>
      <c r="I36" s="1002"/>
      <c r="J36" s="1002"/>
      <c r="K36" s="1002"/>
      <c r="L36" s="1002"/>
      <c r="M36" s="1003"/>
      <c r="N36" s="1040"/>
      <c r="O36" s="1010"/>
      <c r="P36" s="1010"/>
      <c r="Q36" s="1010"/>
      <c r="R36" s="1010"/>
      <c r="S36" s="1011"/>
      <c r="T36" s="1032"/>
      <c r="U36" s="1137"/>
      <c r="V36" s="1138"/>
      <c r="W36" s="1040"/>
      <c r="X36" s="1010"/>
      <c r="Y36" s="1010"/>
      <c r="Z36" s="1010"/>
      <c r="AA36" s="1010"/>
      <c r="AB36" s="1011"/>
      <c r="AC36" s="1032"/>
      <c r="AD36" s="1137"/>
      <c r="AE36" s="1138"/>
      <c r="AF36" s="1135" t="str">
        <f>IFERROR(IF($C36="", "", IF(OR($C36 = "Retrofit existing", $C36 = "Replace in-life equip."), "Total", "Incremental")), "")</f>
        <v/>
      </c>
      <c r="AG36" s="1136"/>
      <c r="AH36" s="993"/>
      <c r="AI36" s="993"/>
      <c r="AJ36" s="1100" t="str">
        <f t="shared" ref="AJ36" si="67">IF(AF36="Incremental",0,"")</f>
        <v/>
      </c>
      <c r="AK36" s="1101"/>
      <c r="AL36" s="1030" t="str">
        <f>IF(OR(C36="",H36="",N36="",T36="",W36="",AC36="",AF36="",AH36="",AJ36=""),"",ROUND(AH36+AJ36,2))</f>
        <v/>
      </c>
      <c r="AM36" s="1031"/>
      <c r="AN36" s="1031"/>
      <c r="AO36" s="1036" t="str">
        <f>IF(OR(C36="",H36="",N36="",T36="",W36="",AC36="",AF36="",AH36="",AJ36=""),"",IF(BA36-BB36&lt;=0,0,ROUND(BA36-BB36,4)))</f>
        <v/>
      </c>
      <c r="AP36" s="1036"/>
      <c r="AQ36" s="1036"/>
      <c r="AR36" s="1072" t="str">
        <f>IF(OR(C36="",H36="",N36="",T36="",W36="",AC36="",AF36="",AH36="",AJ36=""),"",
IF(BY36&lt;&gt;"",BY36,IF(BP36&gt;0,BP36,
IF(AF36="Incremental",
IF(ACTIVEBLOCK="Yes",ROUND(MIN(AL36*INCCOSTCAP,AO36*BLOCKBIDRATE),2),
ROUND(MIN(AL36*INCCOSTCAP,BR36),2)),
IF(ACTIVEBLOCK="Yes",ROUND(MIN(AL36*TOTCOSTCAP,AO36*BLOCKBIDRATE),2),
ROUND(MIN(AL36*TOTCOSTCAP,BR36),2))))))</f>
        <v/>
      </c>
      <c r="AS36" s="1073"/>
      <c r="AT36" s="1073"/>
      <c r="AU36" s="1074"/>
      <c r="AV36" s="37"/>
      <c r="AW36" s="37"/>
      <c r="AX36" s="773" t="str">
        <f>IF(OR(C36="",H36=""),"",INDEX(CMEHVAC[Unit of Measure],MATCH(H36,CMEHVAC[Proj Desc 1],0)))</f>
        <v/>
      </c>
      <c r="AY36" s="759" t="str">
        <f t="shared" ref="AY36" si="68">IF(AO36&lt;&gt;"","Missing!","")</f>
        <v/>
      </c>
      <c r="AZ36" s="759" t="str">
        <f t="shared" ref="AZ36" si="69">IF(AO36&lt;&gt;"","Missing!","")</f>
        <v/>
      </c>
      <c r="BA36" s="771" t="str">
        <f t="shared" ref="BA36" si="70">IF(OR(C36="",H36="",N36="",T36="",W36="",AC36="",AF36="",AH36="",AJ36=""),"",ROUND(T36,4))</f>
        <v/>
      </c>
      <c r="BB36" s="771" t="str">
        <f t="shared" ref="BB36" si="71">IF(OR(C36="",H36="",N36="",T36="",W36="",AC36="",AF36="",AH36="",AJ36=""),"",ROUND(AC36,4))</f>
        <v/>
      </c>
      <c r="BC36" s="773" t="str">
        <f>IF(OR(C36="",H36=""),"",IF(INDEX(CMEHVAC[End Use Category],MATCH(H36,CMEHVAC[Proj Desc 1],0))="","",INDEX(CMEHVAC[End Use Category],MATCH(H36,CMEHVAC[Proj Desc 1],0))))</f>
        <v/>
      </c>
      <c r="BD36" s="757" t="str">
        <f t="shared" ref="BD36" si="72">IF(BE36&lt;&gt;"", "Calculated", "")</f>
        <v/>
      </c>
      <c r="BE36" s="775" t="str">
        <f t="shared" ref="BE36" si="73">IF(AND(BA36&lt;&gt;"", BB36&lt;&gt;""), ROUND(BA36-BB36,4), "")</f>
        <v/>
      </c>
      <c r="BF36" s="1098"/>
      <c r="BG36" s="775" t="str">
        <f>IFERROR(IF(OR(C36="",H36="",N36="",T36="",W36="",AC36="",AF36="",AH36="",AJ36=""),"",ROUND(AO36*INDEX(ENDUSEALL[Factor],MATCH(BC36,ENDUSEALL[End Use to Coincident Peak Demand Factors],0)),4)),"")</f>
        <v/>
      </c>
      <c r="BH36" s="761"/>
      <c r="BI36" s="761"/>
      <c r="BJ36" s="777" t="str">
        <f>IF(OR(C36="",H36=""),"",IF(INDEX(CMEHVAC[EUL],MATCH(H36,CMEHVAC[Proj Desc 1],0))="","",INDEX(CMEHVAC[EUL],MATCH(H36,CMEHVAC[Proj Desc 1],0))))</f>
        <v/>
      </c>
      <c r="BK36" s="767" t="str">
        <f>IFERROR(IF(OR(C36="",H36="",N36="",T36="",W36="",AC36="",AF36="",AH36="",AJ36=""),"",
ROUND(((1+ELOSS)*((AO36*INDEX(ELECCB[NPV AEC $/kWh],MATCH(BJ36,ELECCB[Year Number],1)))+(BG36*INDEX(ELECCB[NPV ACC $/kW],MATCH(BJ36,ELECCB[Year Number],1))))),2)),0)</f>
        <v/>
      </c>
      <c r="BL36" s="767" t="str">
        <f t="shared" si="1"/>
        <v/>
      </c>
      <c r="BM36" s="765"/>
      <c r="BN36" s="763" t="str">
        <f t="shared" si="2"/>
        <v/>
      </c>
      <c r="BO36" s="763" t="str">
        <f>IFERROR(IF(BM36 &lt;&gt; "", BM36, BL36) / M02S04F06 / AO36, "")</f>
        <v/>
      </c>
      <c r="BP36" s="769"/>
      <c r="BQ36" s="765"/>
      <c r="BR36" s="767" t="str">
        <f t="shared" ref="BR36" si="74">IFERROR(ROUND(AO36*BV36,2),"")</f>
        <v/>
      </c>
      <c r="BS36" s="765"/>
      <c r="BT36" s="765"/>
      <c r="BU36" s="757"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67"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57" t="str">
        <f>IF(OR(C36="",H36="",N36="",T36="",W36="",AC36="",AF36="",AH36="",AJ36=""),"",IF(BY36&lt;&gt;"",SPILLOVERNUMBER,INDEX(CMEHVAC[Measure Number],MATCH(H36,CMEHVAC[Proj Desc 1],0))))</f>
        <v/>
      </c>
      <c r="BX36" s="757" t="str" cm="1">
        <f t="array" ref="BX36">IFERROR(INDEX(_xlfn.SWITCH(Program_Banner,"Business Energy Savings",ENDUSEALL[Primary Key WBE],"Small Business / Non-Profit",ENDUSEALL[Primary Key HTRB],0),MATCH(BC36,ENDUSEALL[End Use to Coincident Peak Demand Factors],0)),"")</f>
        <v/>
      </c>
      <c r="BY36" s="757"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53"/>
      <c r="CA36" s="753"/>
      <c r="CB36" s="753"/>
      <c r="CC36" s="753"/>
    </row>
    <row r="37" spans="2:81" ht="15.95" customHeight="1">
      <c r="B37" s="785"/>
      <c r="C37" s="1012"/>
      <c r="D37" s="1013"/>
      <c r="E37" s="1013"/>
      <c r="F37" s="1013"/>
      <c r="G37" s="1014"/>
      <c r="H37" s="1002"/>
      <c r="I37" s="1002"/>
      <c r="J37" s="1002"/>
      <c r="K37" s="1002"/>
      <c r="L37" s="1002"/>
      <c r="M37" s="1003"/>
      <c r="N37" s="1041"/>
      <c r="O37" s="1013"/>
      <c r="P37" s="1013"/>
      <c r="Q37" s="1013"/>
      <c r="R37" s="1013"/>
      <c r="S37" s="1014"/>
      <c r="T37" s="1034"/>
      <c r="U37" s="1139"/>
      <c r="V37" s="1140"/>
      <c r="W37" s="1041"/>
      <c r="X37" s="1013"/>
      <c r="Y37" s="1013"/>
      <c r="Z37" s="1013"/>
      <c r="AA37" s="1013"/>
      <c r="AB37" s="1014"/>
      <c r="AC37" s="1034"/>
      <c r="AD37" s="1139"/>
      <c r="AE37" s="1140"/>
      <c r="AF37" s="1135"/>
      <c r="AG37" s="1136"/>
      <c r="AH37" s="993"/>
      <c r="AI37" s="993"/>
      <c r="AJ37" s="1102"/>
      <c r="AK37" s="1103"/>
      <c r="AL37" s="1006"/>
      <c r="AM37" s="1007"/>
      <c r="AN37" s="1007"/>
      <c r="AO37" s="1037"/>
      <c r="AP37" s="1037"/>
      <c r="AQ37" s="1037"/>
      <c r="AR37" s="1075"/>
      <c r="AS37" s="1076"/>
      <c r="AT37" s="1076"/>
      <c r="AU37" s="1077"/>
      <c r="AV37" s="37"/>
      <c r="AW37" s="37"/>
      <c r="AX37" s="774"/>
      <c r="AY37" s="760"/>
      <c r="AZ37" s="760"/>
      <c r="BA37" s="772"/>
      <c r="BB37" s="772"/>
      <c r="BC37" s="774"/>
      <c r="BD37" s="758"/>
      <c r="BE37" s="776"/>
      <c r="BF37" s="1099"/>
      <c r="BG37" s="776"/>
      <c r="BH37" s="762"/>
      <c r="BI37" s="762"/>
      <c r="BJ37" s="778"/>
      <c r="BK37" s="768"/>
      <c r="BL37" s="768"/>
      <c r="BM37" s="766"/>
      <c r="BN37" s="764"/>
      <c r="BO37" s="764"/>
      <c r="BP37" s="770"/>
      <c r="BQ37" s="766"/>
      <c r="BR37" s="768"/>
      <c r="BS37" s="766"/>
      <c r="BT37" s="766"/>
      <c r="BU37" s="758"/>
      <c r="BV37" s="768"/>
      <c r="BW37" s="758"/>
      <c r="BX37" s="758"/>
      <c r="BY37" s="758"/>
      <c r="BZ37" s="754"/>
      <c r="CA37" s="754"/>
      <c r="CB37" s="754"/>
      <c r="CC37" s="754"/>
    </row>
    <row r="38" spans="2:81" ht="15.95" customHeight="1">
      <c r="C38" s="291"/>
      <c r="D38" s="291"/>
      <c r="E38" s="291"/>
      <c r="F38" s="291"/>
    </row>
    <row r="39" spans="2:81" ht="15.95" hidden="1" customHeight="1">
      <c r="C39" s="291"/>
      <c r="D39" s="291"/>
      <c r="E39" s="291"/>
      <c r="F39" s="291"/>
    </row>
    <row r="40" spans="2:81" ht="15.95" hidden="1" customHeight="1">
      <c r="C40" s="291"/>
      <c r="D40" s="291"/>
      <c r="E40" s="291"/>
      <c r="F40" s="291"/>
    </row>
    <row r="41" spans="2:81" ht="15.95" hidden="1" customHeight="1">
      <c r="C41" s="291"/>
      <c r="D41" s="291"/>
      <c r="E41" s="291"/>
      <c r="F41" s="291"/>
    </row>
    <row r="42" spans="2:81" ht="15.95" hidden="1" customHeight="1">
      <c r="C42" s="291"/>
      <c r="D42" s="291"/>
      <c r="E42" s="291"/>
      <c r="F42" s="291"/>
    </row>
    <row r="43" spans="2:81" ht="15.95" hidden="1" customHeight="1">
      <c r="C43" s="291"/>
      <c r="D43" s="291"/>
      <c r="E43" s="291"/>
      <c r="F43" s="291"/>
    </row>
    <row r="44" spans="2:81" ht="15.95" hidden="1" customHeight="1">
      <c r="C44" s="291"/>
      <c r="D44" s="291"/>
      <c r="E44" s="291"/>
      <c r="F44" s="291"/>
    </row>
    <row r="45" spans="2:81" ht="15.95" hidden="1" customHeight="1">
      <c r="C45" s="291"/>
      <c r="D45" s="291"/>
      <c r="E45" s="291"/>
      <c r="F45" s="291"/>
    </row>
    <row r="46" spans="2:81" ht="15.95" hidden="1" customHeight="1">
      <c r="C46" s="291"/>
      <c r="D46" s="291"/>
      <c r="E46" s="291"/>
      <c r="F46" s="291"/>
    </row>
    <row r="47" spans="2:81" ht="15.95" hidden="1" customHeight="1">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AY200" s="1144">
        <f>IF(OR(COUNTIF(AY18:AZ37,"Missing!")&gt;0,COUNTIF(AY18:AZ37,0)&gt;0,COUNTIFS(AY18:AY37,"",AZ18:AZ37,"",AO18:AO37,"&gt;0")&gt;0),"Missing Units on Custom HVAC. ",SUM(AY18:AZ37))</f>
        <v>0</v>
      </c>
      <c r="BA200" s="1061">
        <f>SUM(BA18:BA37)</f>
        <v>0</v>
      </c>
      <c r="BB200" s="1061">
        <f>SUM(BB18:BB37)</f>
        <v>0</v>
      </c>
      <c r="BF200" s="1062">
        <f>SUM(BF18:BF37)</f>
        <v>0</v>
      </c>
      <c r="BG200" s="1062">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AY201" s="1145"/>
      <c r="BA201" s="1061"/>
      <c r="BB201" s="1061"/>
      <c r="BF201" s="1063"/>
      <c r="BG201" s="1063"/>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gSpMeRu6t2bQhS9L6UrfwPndNumgRO3h9k+LyKw/gFXPAdYIV2mO0WqbXCNodYXoplzodrkEqKiiT+5dF+IZ6Q==" saltValue="pVV5aABFLr6B9s2ptQA4EA==" spinCount="100000" sheet="1" objects="1" scenarios="1" selectLockedCells="1"/>
  <mergeCells count="527">
    <mergeCell ref="F1:I3"/>
    <mergeCell ref="W30:AB31"/>
    <mergeCell ref="W32:AB33"/>
    <mergeCell ref="W34:AB35"/>
    <mergeCell ref="W36:AB37"/>
    <mergeCell ref="AT1:AW3"/>
    <mergeCell ref="T16:V17"/>
    <mergeCell ref="AC16:AE17"/>
    <mergeCell ref="W16:AB17"/>
    <mergeCell ref="W22:AB23"/>
    <mergeCell ref="AP1:AS3"/>
    <mergeCell ref="AF30:AG31"/>
    <mergeCell ref="T30:V31"/>
    <mergeCell ref="AC30:AE31"/>
    <mergeCell ref="AF34:AG35"/>
    <mergeCell ref="AJ36:AK37"/>
    <mergeCell ref="AL36:AN37"/>
    <mergeCell ref="AO36:AQ37"/>
    <mergeCell ref="AR36:AU37"/>
    <mergeCell ref="AC36:AE37"/>
    <mergeCell ref="AM13:AU14"/>
    <mergeCell ref="J1:M3"/>
    <mergeCell ref="AL1:AO3"/>
    <mergeCell ref="J9:M11"/>
    <mergeCell ref="A4:E6"/>
    <mergeCell ref="A7:E8"/>
    <mergeCell ref="C16:G17"/>
    <mergeCell ref="C18:G19"/>
    <mergeCell ref="C20:G21"/>
    <mergeCell ref="C22:G23"/>
    <mergeCell ref="C24:G25"/>
    <mergeCell ref="C26:G27"/>
    <mergeCell ref="C28:G29"/>
    <mergeCell ref="B28:B29"/>
    <mergeCell ref="B26:B27"/>
    <mergeCell ref="B24:B25"/>
    <mergeCell ref="B22:B23"/>
    <mergeCell ref="B20:B21"/>
    <mergeCell ref="B18:B19"/>
    <mergeCell ref="AJ34:AK35"/>
    <mergeCell ref="W24:AB25"/>
    <mergeCell ref="AL34:AN35"/>
    <mergeCell ref="AO34:AQ35"/>
    <mergeCell ref="BG200:BG201"/>
    <mergeCell ref="O200:AI201"/>
    <mergeCell ref="BA200:BA201"/>
    <mergeCell ref="BB200:BB201"/>
    <mergeCell ref="BF200:BF201"/>
    <mergeCell ref="AY200:AY201"/>
    <mergeCell ref="AL24:AN25"/>
    <mergeCell ref="BB30:BB31"/>
    <mergeCell ref="BA30:BA31"/>
    <mergeCell ref="AZ30:AZ31"/>
    <mergeCell ref="AO30:AQ31"/>
    <mergeCell ref="AR30:AU31"/>
    <mergeCell ref="AH30:AI31"/>
    <mergeCell ref="AJ30:AK31"/>
    <mergeCell ref="AL30:AN31"/>
    <mergeCell ref="W28:AB29"/>
    <mergeCell ref="AF28:AG29"/>
    <mergeCell ref="AH28:AI29"/>
    <mergeCell ref="T28:V29"/>
    <mergeCell ref="AC28:AE29"/>
    <mergeCell ref="AL9:AO11"/>
    <mergeCell ref="T12:W13"/>
    <mergeCell ref="X12:AA13"/>
    <mergeCell ref="AB12:AE13"/>
    <mergeCell ref="T14:W14"/>
    <mergeCell ref="BN16:BN17"/>
    <mergeCell ref="AO16:AQ17"/>
    <mergeCell ref="AR16:AU17"/>
    <mergeCell ref="AZ28:AZ29"/>
    <mergeCell ref="AX26:AX27"/>
    <mergeCell ref="AX28:AX29"/>
    <mergeCell ref="AO24:AQ25"/>
    <mergeCell ref="AZ26:AZ27"/>
    <mergeCell ref="AJ28:AK29"/>
    <mergeCell ref="AL28:AN29"/>
    <mergeCell ref="AC18:AE19"/>
    <mergeCell ref="AC20:AE21"/>
    <mergeCell ref="AC22:AE23"/>
    <mergeCell ref="T18:V19"/>
    <mergeCell ref="T20:V21"/>
    <mergeCell ref="T22:V23"/>
    <mergeCell ref="W18:AB19"/>
    <mergeCell ref="W20:AB21"/>
    <mergeCell ref="AF20:AG21"/>
    <mergeCell ref="BO16:BO17"/>
    <mergeCell ref="AX16:AX17"/>
    <mergeCell ref="BN28:BN29"/>
    <mergeCell ref="BO26:BO27"/>
    <mergeCell ref="AY28:AY29"/>
    <mergeCell ref="AY30:AY31"/>
    <mergeCell ref="AX20:AX21"/>
    <mergeCell ref="AO26:AQ27"/>
    <mergeCell ref="AR26:AU27"/>
    <mergeCell ref="AY26:AY27"/>
    <mergeCell ref="BG26:BG27"/>
    <mergeCell ref="BF26:BF27"/>
    <mergeCell ref="AY22:AY23"/>
    <mergeCell ref="AZ22:AZ23"/>
    <mergeCell ref="AX30:AX31"/>
    <mergeCell ref="AO28:AQ29"/>
    <mergeCell ref="AR28:AU29"/>
    <mergeCell ref="B36:B37"/>
    <mergeCell ref="B34:B35"/>
    <mergeCell ref="B32:B33"/>
    <mergeCell ref="B30:B31"/>
    <mergeCell ref="C30:G31"/>
    <mergeCell ref="C32:G33"/>
    <mergeCell ref="C34:G35"/>
    <mergeCell ref="C36:G37"/>
    <mergeCell ref="T36:V37"/>
    <mergeCell ref="H32:M33"/>
    <mergeCell ref="H34:M35"/>
    <mergeCell ref="H30:M31"/>
    <mergeCell ref="H36:M37"/>
    <mergeCell ref="AC32:AE33"/>
    <mergeCell ref="AC34:AE35"/>
    <mergeCell ref="AF36:AG37"/>
    <mergeCell ref="AF32:AG33"/>
    <mergeCell ref="T32:V33"/>
    <mergeCell ref="T34:V35"/>
    <mergeCell ref="AH36:AI37"/>
    <mergeCell ref="N32:S33"/>
    <mergeCell ref="N34:S35"/>
    <mergeCell ref="N36:S37"/>
    <mergeCell ref="AH34:AI35"/>
    <mergeCell ref="H24:M25"/>
    <mergeCell ref="H28:M29"/>
    <mergeCell ref="N30:S31"/>
    <mergeCell ref="AH20:AI21"/>
    <mergeCell ref="AJ20:AK21"/>
    <mergeCell ref="AH9:AK11"/>
    <mergeCell ref="N20:S21"/>
    <mergeCell ref="N22:S23"/>
    <mergeCell ref="N24:S25"/>
    <mergeCell ref="N26:S27"/>
    <mergeCell ref="N28:S29"/>
    <mergeCell ref="H22:M23"/>
    <mergeCell ref="H20:M21"/>
    <mergeCell ref="AH26:AI27"/>
    <mergeCell ref="AJ26:AK27"/>
    <mergeCell ref="AF26:AG27"/>
    <mergeCell ref="W26:AB27"/>
    <mergeCell ref="AC24:AE25"/>
    <mergeCell ref="AC26:AE27"/>
    <mergeCell ref="AJ24:AK25"/>
    <mergeCell ref="T24:V25"/>
    <mergeCell ref="T26:V27"/>
    <mergeCell ref="AF24:AG25"/>
    <mergeCell ref="N16:S17"/>
    <mergeCell ref="N18:S19"/>
    <mergeCell ref="N9:Q11"/>
    <mergeCell ref="R9:U11"/>
    <mergeCell ref="V9:Y11"/>
    <mergeCell ref="Z9:AC11"/>
    <mergeCell ref="AD9:AG11"/>
    <mergeCell ref="AF22:AG23"/>
    <mergeCell ref="X14:AA14"/>
    <mergeCell ref="AB14:AE14"/>
    <mergeCell ref="H16:M17"/>
    <mergeCell ref="AF16:AG17"/>
    <mergeCell ref="AF18:AG19"/>
    <mergeCell ref="H26:M27"/>
    <mergeCell ref="BG18:BG19"/>
    <mergeCell ref="AH24:AI25"/>
    <mergeCell ref="AL26:AN27"/>
    <mergeCell ref="BC20:BC21"/>
    <mergeCell ref="BG20:BG21"/>
    <mergeCell ref="BG24:BG25"/>
    <mergeCell ref="BF24:BF25"/>
    <mergeCell ref="BC26:BC27"/>
    <mergeCell ref="BA26:BA27"/>
    <mergeCell ref="BB26:BB27"/>
    <mergeCell ref="BC24:BC25"/>
    <mergeCell ref="AZ24:AZ25"/>
    <mergeCell ref="H18:M19"/>
    <mergeCell ref="BC16:BC17"/>
    <mergeCell ref="BG16:BG17"/>
    <mergeCell ref="BD16:BD17"/>
    <mergeCell ref="BD18:BD19"/>
    <mergeCell ref="BD20:BD21"/>
    <mergeCell ref="AH22:AI23"/>
    <mergeCell ref="AJ22:AK23"/>
    <mergeCell ref="BY16:BY17"/>
    <mergeCell ref="AH17:AI17"/>
    <mergeCell ref="AJ17:AK17"/>
    <mergeCell ref="AH18:AI19"/>
    <mergeCell ref="AJ18:AK19"/>
    <mergeCell ref="AL18:AN19"/>
    <mergeCell ref="BW16:BW17"/>
    <mergeCell ref="BV16:BV17"/>
    <mergeCell ref="BA16:BA17"/>
    <mergeCell ref="BB16:BB17"/>
    <mergeCell ref="BO18:BO19"/>
    <mergeCell ref="AX18:AX19"/>
    <mergeCell ref="BJ18:BJ19"/>
    <mergeCell ref="BC18:BC19"/>
    <mergeCell ref="BY18:BY19"/>
    <mergeCell ref="BW18:BW19"/>
    <mergeCell ref="BU18:BU19"/>
    <mergeCell ref="BR16:BR17"/>
    <mergeCell ref="BF18:BF19"/>
    <mergeCell ref="BR18:BR19"/>
    <mergeCell ref="BA18:BA19"/>
    <mergeCell ref="BB18:BB19"/>
    <mergeCell ref="BJ16:BJ17"/>
    <mergeCell ref="AH16:AK16"/>
    <mergeCell ref="BW22:BW23"/>
    <mergeCell ref="BU22:BU23"/>
    <mergeCell ref="BE20:BE21"/>
    <mergeCell ref="AL16:AN17"/>
    <mergeCell ref="AR22:AU23"/>
    <mergeCell ref="AO18:AQ19"/>
    <mergeCell ref="AR18:AU19"/>
    <mergeCell ref="BN18:BN19"/>
    <mergeCell ref="AO20:AQ21"/>
    <mergeCell ref="AR20:AU21"/>
    <mergeCell ref="BN20:BN21"/>
    <mergeCell ref="BT22:BT23"/>
    <mergeCell ref="BC22:BC23"/>
    <mergeCell ref="BG22:BG23"/>
    <mergeCell ref="BF22:BF23"/>
    <mergeCell ref="BR22:BR23"/>
    <mergeCell ref="BT16:BT17"/>
    <mergeCell ref="BT18:BT19"/>
    <mergeCell ref="BV18:BV19"/>
    <mergeCell ref="BU20:BU21"/>
    <mergeCell ref="BU16:BU17"/>
    <mergeCell ref="AO22:AQ23"/>
    <mergeCell ref="AL22:AN23"/>
    <mergeCell ref="AL20:AN21"/>
    <mergeCell ref="BT20:BT21"/>
    <mergeCell ref="BJ22:BJ23"/>
    <mergeCell ref="BH20:BH21"/>
    <mergeCell ref="BI20:BI21"/>
    <mergeCell ref="BL20:BL21"/>
    <mergeCell ref="BM20:BM21"/>
    <mergeCell ref="BN26:BN27"/>
    <mergeCell ref="BJ26:BJ27"/>
    <mergeCell ref="BJ24:BJ25"/>
    <mergeCell ref="BU24:BU25"/>
    <mergeCell ref="BF34:BF35"/>
    <mergeCell ref="AY34:AY35"/>
    <mergeCell ref="BR34:BR35"/>
    <mergeCell ref="BR32:BR33"/>
    <mergeCell ref="BV32:BV33"/>
    <mergeCell ref="BF32:BF33"/>
    <mergeCell ref="BG32:BG33"/>
    <mergeCell ref="BT34:BT35"/>
    <mergeCell ref="BV34:BV35"/>
    <mergeCell ref="BS32:BS33"/>
    <mergeCell ref="BJ32:BJ33"/>
    <mergeCell ref="BP32:BP33"/>
    <mergeCell ref="BQ32:BQ33"/>
    <mergeCell ref="BO34:BO35"/>
    <mergeCell ref="BO32:BO33"/>
    <mergeCell ref="BN34:BN35"/>
    <mergeCell ref="BO30:BO31"/>
    <mergeCell ref="BO24:BO25"/>
    <mergeCell ref="BT24:BT25"/>
    <mergeCell ref="BN24:BN25"/>
    <mergeCell ref="BR24:BR25"/>
    <mergeCell ref="BA28:BA29"/>
    <mergeCell ref="BB28:BB29"/>
    <mergeCell ref="BG36:BG37"/>
    <mergeCell ref="BA36:BA37"/>
    <mergeCell ref="BB36:BB37"/>
    <mergeCell ref="AX34:AX35"/>
    <mergeCell ref="BJ34:BJ35"/>
    <mergeCell ref="BG34:BG35"/>
    <mergeCell ref="AX36:AX37"/>
    <mergeCell ref="BA34:BA35"/>
    <mergeCell ref="BB34:BB35"/>
    <mergeCell ref="AZ34:AZ35"/>
    <mergeCell ref="AY36:AY37"/>
    <mergeCell ref="AZ36:AZ37"/>
    <mergeCell ref="AR34:AU35"/>
    <mergeCell ref="BD36:BD37"/>
    <mergeCell ref="BE36:BE37"/>
    <mergeCell ref="AH32:AI33"/>
    <mergeCell ref="AR32:AU33"/>
    <mergeCell ref="BN32:BN33"/>
    <mergeCell ref="BD32:BD33"/>
    <mergeCell ref="BE32:BE33"/>
    <mergeCell ref="BH32:BH33"/>
    <mergeCell ref="BI32:BI33"/>
    <mergeCell ref="BL32:BL33"/>
    <mergeCell ref="BM32:BM33"/>
    <mergeCell ref="AY32:AY33"/>
    <mergeCell ref="BC32:BC33"/>
    <mergeCell ref="AJ32:AK33"/>
    <mergeCell ref="AL32:AN33"/>
    <mergeCell ref="AO32:AQ33"/>
    <mergeCell ref="BA32:BA33"/>
    <mergeCell ref="BB32:BB33"/>
    <mergeCell ref="AZ32:AZ33"/>
    <mergeCell ref="AX32:AX33"/>
    <mergeCell ref="BF36:BF37"/>
    <mergeCell ref="BC34:BC35"/>
    <mergeCell ref="BC36:BC37"/>
    <mergeCell ref="BW26:BW27"/>
    <mergeCell ref="BG30:BG31"/>
    <mergeCell ref="BF30:BF31"/>
    <mergeCell ref="BR30:BR31"/>
    <mergeCell ref="BC28:BC29"/>
    <mergeCell ref="BG28:BG29"/>
    <mergeCell ref="BF28:BF29"/>
    <mergeCell ref="BW28:BW29"/>
    <mergeCell ref="BJ28:BJ29"/>
    <mergeCell ref="BT28:BT29"/>
    <mergeCell ref="BO28:BO29"/>
    <mergeCell ref="BL28:BL29"/>
    <mergeCell ref="BM28:BM29"/>
    <mergeCell ref="BC30:BC31"/>
    <mergeCell ref="BT26:BT27"/>
    <mergeCell ref="BR26:BR27"/>
    <mergeCell ref="BJ30:BJ31"/>
    <mergeCell ref="BN30:BN31"/>
    <mergeCell ref="AS5:AW6"/>
    <mergeCell ref="AS7:AW7"/>
    <mergeCell ref="AS8:AW8"/>
    <mergeCell ref="BA20:BA21"/>
    <mergeCell ref="BB20:BB21"/>
    <mergeCell ref="BA22:BA23"/>
    <mergeCell ref="BB22:BB23"/>
    <mergeCell ref="BA24:BA25"/>
    <mergeCell ref="BB24:BB25"/>
    <mergeCell ref="AR24:AU25"/>
    <mergeCell ref="AX24:AX25"/>
    <mergeCell ref="AX22:AX23"/>
    <mergeCell ref="AY20:AY21"/>
    <mergeCell ref="AZ20:AZ21"/>
    <mergeCell ref="AY18:AY19"/>
    <mergeCell ref="AZ16:AZ17"/>
    <mergeCell ref="AZ18:AZ19"/>
    <mergeCell ref="AY24:AY25"/>
    <mergeCell ref="AY16:AY17"/>
    <mergeCell ref="BY24:BY25"/>
    <mergeCell ref="BY28:BY29"/>
    <mergeCell ref="BY30:BY31"/>
    <mergeCell ref="BY26:BY27"/>
    <mergeCell ref="BQ20:BQ21"/>
    <mergeCell ref="BS20:BS21"/>
    <mergeCell ref="BX20:BX21"/>
    <mergeCell ref="BQ28:BQ29"/>
    <mergeCell ref="BS28:BS29"/>
    <mergeCell ref="BX28:BX29"/>
    <mergeCell ref="BV28:BV29"/>
    <mergeCell ref="BR28:BR29"/>
    <mergeCell ref="BW24:BW25"/>
    <mergeCell ref="BV24:BV25"/>
    <mergeCell ref="BV26:BV27"/>
    <mergeCell ref="BS24:BS25"/>
    <mergeCell ref="BX24:BX25"/>
    <mergeCell ref="BW30:BW31"/>
    <mergeCell ref="BV30:BV31"/>
    <mergeCell ref="BU26:BU27"/>
    <mergeCell ref="BY22:BY23"/>
    <mergeCell ref="BY20:BY21"/>
    <mergeCell ref="BV22:BV23"/>
    <mergeCell ref="BW20:BW21"/>
    <mergeCell ref="N1:T3"/>
    <mergeCell ref="U1:AK3"/>
    <mergeCell ref="BT30:BT31"/>
    <mergeCell ref="BT32:BT33"/>
    <mergeCell ref="BK34:BK35"/>
    <mergeCell ref="BK36:BK37"/>
    <mergeCell ref="BK16:BK17"/>
    <mergeCell ref="BK18:BK19"/>
    <mergeCell ref="BK20:BK21"/>
    <mergeCell ref="BK22:BK23"/>
    <mergeCell ref="BK24:BK25"/>
    <mergeCell ref="BK26:BK27"/>
    <mergeCell ref="BK28:BK29"/>
    <mergeCell ref="BK30:BK31"/>
    <mergeCell ref="BK32:BK33"/>
    <mergeCell ref="BP34:BP35"/>
    <mergeCell ref="BP36:BP37"/>
    <mergeCell ref="BP16:BP17"/>
    <mergeCell ref="BP18:BP19"/>
    <mergeCell ref="BP20:BP21"/>
    <mergeCell ref="BP22:BP23"/>
    <mergeCell ref="BP24:BP25"/>
    <mergeCell ref="BP26:BP27"/>
    <mergeCell ref="BP28:BP29"/>
    <mergeCell ref="BZ16:BZ17"/>
    <mergeCell ref="CA16:CA17"/>
    <mergeCell ref="CB16:CB17"/>
    <mergeCell ref="CC16:CC17"/>
    <mergeCell ref="BZ18:BZ19"/>
    <mergeCell ref="CA18:CA19"/>
    <mergeCell ref="CB18:CB19"/>
    <mergeCell ref="CC18:CC19"/>
    <mergeCell ref="BE16:BF16"/>
    <mergeCell ref="BL16:BL17"/>
    <mergeCell ref="BM16:BM17"/>
    <mergeCell ref="BS16:BS17"/>
    <mergeCell ref="BX16:BX17"/>
    <mergeCell ref="BH16:BH17"/>
    <mergeCell ref="BI16:BI17"/>
    <mergeCell ref="BH18:BH19"/>
    <mergeCell ref="BI18:BI19"/>
    <mergeCell ref="BQ16:BQ17"/>
    <mergeCell ref="BQ18:BQ19"/>
    <mergeCell ref="BE18:BE19"/>
    <mergeCell ref="BL18:BL19"/>
    <mergeCell ref="BM18:BM19"/>
    <mergeCell ref="BS18:BS19"/>
    <mergeCell ref="BX18:BX19"/>
    <mergeCell ref="BZ20:BZ21"/>
    <mergeCell ref="CA20:CA21"/>
    <mergeCell ref="CB20:CB21"/>
    <mergeCell ref="CC20:CC21"/>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BO22:BO23"/>
    <mergeCell ref="BN22:BN23"/>
    <mergeCell ref="BO20:BO21"/>
    <mergeCell ref="BF20:BF21"/>
    <mergeCell ref="BR20:BR21"/>
    <mergeCell ref="BV20:BV21"/>
    <mergeCell ref="BJ20:BJ21"/>
    <mergeCell ref="BZ24:BZ25"/>
    <mergeCell ref="CA24:CA25"/>
    <mergeCell ref="CB24:CB25"/>
    <mergeCell ref="CC24:CC25"/>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D24:BD25"/>
    <mergeCell ref="BE24:BE25"/>
    <mergeCell ref="BH24:BH25"/>
    <mergeCell ref="BI24:BI25"/>
    <mergeCell ref="BL24:BL25"/>
    <mergeCell ref="BM24:BM25"/>
    <mergeCell ref="BQ24:BQ25"/>
    <mergeCell ref="BZ28:BZ29"/>
    <mergeCell ref="CA28:CA29"/>
    <mergeCell ref="CB28:CB29"/>
    <mergeCell ref="CC28:CC29"/>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U30:BU31"/>
    <mergeCell ref="BU28:BU29"/>
    <mergeCell ref="BP30:BP31"/>
    <mergeCell ref="BD28:BD29"/>
    <mergeCell ref="BE28:BE29"/>
    <mergeCell ref="BH28:BH29"/>
    <mergeCell ref="BI28:BI29"/>
    <mergeCell ref="BX32:BX33"/>
    <mergeCell ref="BZ32:BZ33"/>
    <mergeCell ref="CA32:CA33"/>
    <mergeCell ref="CB32:CB33"/>
    <mergeCell ref="CC32:CC33"/>
    <mergeCell ref="BD34:BD35"/>
    <mergeCell ref="BE34:BE35"/>
    <mergeCell ref="BH34:BH35"/>
    <mergeCell ref="BI34:BI35"/>
    <mergeCell ref="BL34:BL35"/>
    <mergeCell ref="BM34:BM35"/>
    <mergeCell ref="BQ34:BQ35"/>
    <mergeCell ref="BS34:BS35"/>
    <mergeCell ref="BX34:BX35"/>
    <mergeCell ref="BZ34:BZ35"/>
    <mergeCell ref="CA34:CA35"/>
    <mergeCell ref="CB34:CB35"/>
    <mergeCell ref="CC34:CC35"/>
    <mergeCell ref="BU34:BU35"/>
    <mergeCell ref="BW34:BW35"/>
    <mergeCell ref="BY34:BY35"/>
    <mergeCell ref="BW32:BW33"/>
    <mergeCell ref="BU32:BU33"/>
    <mergeCell ref="BY32:BY33"/>
    <mergeCell ref="CB36:CB37"/>
    <mergeCell ref="CC36:CC37"/>
    <mergeCell ref="BH36:BH37"/>
    <mergeCell ref="BI36:BI37"/>
    <mergeCell ref="BL36:BL37"/>
    <mergeCell ref="BM36:BM37"/>
    <mergeCell ref="BQ36:BQ37"/>
    <mergeCell ref="BS36:BS37"/>
    <mergeCell ref="BX36:BX37"/>
    <mergeCell ref="BZ36:BZ37"/>
    <mergeCell ref="CA36:CA37"/>
    <mergeCell ref="BU36:BU37"/>
    <mergeCell ref="BW36:BW37"/>
    <mergeCell ref="BY36:BY37"/>
    <mergeCell ref="BR36:BR37"/>
    <mergeCell ref="BV36:BV37"/>
    <mergeCell ref="BJ36:BJ37"/>
    <mergeCell ref="BT36:BT37"/>
    <mergeCell ref="BN36:BN37"/>
    <mergeCell ref="BO36:BO37"/>
  </mergeCells>
  <conditionalFormatting sqref="H18:N18 T18 W18 AC18 H19:M19 H20:N20 T20 W20 AC20 H21:M37 N22 T22 W22 AC22 N24 T24 W24 AC24 N26 T26 W26 AC26 N28 T28 W28 AC28 N30 T30 W30 AC30 N32 T32 W32 AC32 N34 T34 W34 AC34 N36 T36 W36 AC36 AF18:AK37">
    <cfRule type="expression" dxfId="81" priority="1406">
      <formula>AND(ISBLANK($C18)=FALSE,OR(ISBLANK(H18)=TRUE,H18=""))</formula>
    </cfRule>
  </conditionalFormatting>
  <conditionalFormatting sqref="AR18:AU37">
    <cfRule type="expression" dxfId="80" priority="1928" stopIfTrue="1">
      <formula>ISNUMBER($AR18)=FALSE</formula>
    </cfRule>
    <cfRule type="expression" dxfId="79" priority="1929">
      <formula>$AR18 &lt;&gt; $BR18</formula>
    </cfRule>
  </conditionalFormatting>
  <conditionalFormatting sqref="AS8:AW8">
    <cfRule type="expression" dxfId="78" priority="12">
      <formula>IF($AS$8=PROJSTATMEASURE,FALSE,TRUE)</formula>
    </cfRule>
  </conditionalFormatting>
  <dataValidations xWindow="97" yWindow="552" count="7">
    <dataValidation type="list" allowBlank="1" showInputMessage="1" showErrorMessage="1" sqref="H18:M37" xr:uid="{C0E0B906-9C47-40B4-99A5-9B6F9A2C0C3D}">
      <formula1>CMEHVACDESC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008CEA61-CE5D-4731-82BC-061EB5A1721D}">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D2436F6E-13A3-44AB-A9DC-75E8F2E14B16}">
      <formula1>COSTTYPELIST</formula1>
    </dataValidation>
    <dataValidation type="decimal" allowBlank="1" showInputMessage="1" showErrorMessage="1" promptTitle="Incremental Cost" prompt="This is the difference between the actual cost of installed Labor and the cost of the hypothetical baseline." sqref="AJ18:AK37" xr:uid="{33EBCDFE-4C7F-4856-9E9D-6435E7FC030F}">
      <formula1>0</formula1>
      <formula2>999999999</formula2>
    </dataValidation>
    <dataValidation type="decimal" allowBlank="1" showInputMessage="1" showErrorMessage="1" promptTitle="Incremental Cost" prompt="This is the difference between actual cost of installed Equipment and the cost of the hypothetical baseline." sqref="AH18:AI37" xr:uid="{C33E6A7D-2070-4FBE-A067-477D6C6C2945}">
      <formula1>0</formula1>
      <formula2>999999999</formula2>
    </dataValidation>
    <dataValidation type="list" allowBlank="1" showInputMessage="1" showErrorMessage="1" sqref="BC18:BC37" xr:uid="{54F632A3-9BE4-4B7B-8248-D7F645AD754A}">
      <formula1>ENDUSECAT</formula1>
    </dataValidation>
    <dataValidation type="whole" operator="greaterThanOrEqual" allowBlank="1" showInputMessage="1" showErrorMessage="1" errorTitle="Invalid Entry" error="Value must be a whole number." sqref="T18:V37 AC18:AE37" xr:uid="{9053DAB3-3D8A-49C9-8858-01C1B5B5F746}">
      <formula1>0</formula1>
    </dataValidation>
  </dataValidations>
  <hyperlinks>
    <hyperlink ref="B202" r:id="rId1" display="businessrebates@evergy.com" xr:uid="{E161FF75-DF57-4AAB-A341-33CF655E6513}"/>
    <hyperlink ref="J1:M3" location="'M01-S02'!J1" tooltip="Instructions" display="'M01-S02'!J1" xr:uid="{42DF44D3-6411-4326-863F-F5F41D93FB41}"/>
    <hyperlink ref="AP1:AS3" location="'M05-S05'!AL1" tooltip=" " display="'M05-S05'!AL1" xr:uid="{8A019A23-73EC-41AE-A1F4-08A8295B8208}"/>
    <hyperlink ref="AL1:AO3" location="'M05-S04'!AH1" tooltip=" " display="'M05-S04'!AH1" xr:uid="{73F92F0E-79D3-47F9-95EF-CCA6B4760FF3}"/>
    <hyperlink ref="AT1:AW3" location="'M01-S03'!AP1" tooltip="Contact" display="'M01-S03'!AP1" xr:uid="{5CAA8420-B815-4630-8D04-EC03E6AA27EA}"/>
    <hyperlink ref="N9:Q11" location="'M04-S03'!A1" tooltip="Lighting Controls" display="'M04-S03'!A1" xr:uid="{F33CBCE8-E030-4668-9CAB-30EBAD5262FA}"/>
    <hyperlink ref="R9:U11" location="'M04-S04'!A1" tooltip="Refrigeration" display="'M04-S04'!A1" xr:uid="{01144328-2AB7-4824-8DE1-CE6C24681C90}"/>
    <hyperlink ref="V9:Y11" location="'M04-S05'!A1" tooltip="HVAC" display="'M04-S05'!A1" xr:uid="{A80C04F9-F72A-40D0-8F50-189B547B84C8}"/>
    <hyperlink ref="AD9:AG11" location="'M04-S06'!A1" tooltip="Compressed Air / Process" display="'M04-S06'!A1" xr:uid="{AE4D5689-B386-4DC9-905E-127A8C3C4313}"/>
    <hyperlink ref="AH9:AK11" location="'M04-S07'!A1" tooltip="Water Heating / Cooking" display="'M04-S07'!A1" xr:uid="{0D70E483-A81A-46EA-90C7-7F7A1F425DCD}"/>
    <hyperlink ref="Z9:AC11" location="'M04-S08'!A1" tooltip="Motors and Drives" display="'M04-S08'!A1" xr:uid="{2122C17B-6085-4B48-BBA0-CA442A75411B}"/>
    <hyperlink ref="AL9:AO11" location="'M04-S09'!A1" tooltip="Miscellaneous" display="'M04-S09'!A1" xr:uid="{3CDD268B-FA39-46A6-975A-4A246EE6AAE4}"/>
    <hyperlink ref="J9:M11" location="'M04-S02'!A1" tooltip="Lighting" display="'M04-S02'!A1" xr:uid="{5FBC9DFB-E42A-4127-A91F-FB3BA3FB7E1E}"/>
  </hyperlinks>
  <printOptions horizontalCentered="1"/>
  <pageMargins left="0" right="0" top="0" bottom="0" header="0" footer="0"/>
  <pageSetup scale="43"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theme="8" tint="0.59999389629810485"/>
    <pageSetUpPr fitToPage="1"/>
  </sheetPr>
  <dimension ref="A1:CW204"/>
  <sheetViews>
    <sheetView showGridLines="0" showRowColHeaders="0" zoomScale="85" zoomScaleNormal="85" workbookViewId="0">
      <selection activeCell="AX18" sqref="AX18:AX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4"/>
      <c r="G5" s="374"/>
      <c r="H5" s="374"/>
      <c r="I5" s="374"/>
      <c r="AS5" s="988">
        <f ca="1">PROGRESSSTATUS</f>
        <v>0</v>
      </c>
      <c r="AT5" s="988"/>
      <c r="AU5" s="988"/>
      <c r="AV5" s="988"/>
      <c r="AW5" s="988"/>
      <c r="AX5" s="17"/>
      <c r="AY5" s="108" t="s">
        <v>933</v>
      </c>
      <c r="AZ5" s="108" t="s">
        <v>325</v>
      </c>
      <c r="BA5" s="45"/>
      <c r="BB5" s="45"/>
    </row>
    <row r="6" spans="1:81" ht="15.95" customHeight="1">
      <c r="A6" s="692"/>
      <c r="B6" s="692"/>
      <c r="C6" s="692"/>
      <c r="D6" s="692"/>
      <c r="E6" s="692"/>
      <c r="F6" s="374"/>
      <c r="G6" s="374"/>
      <c r="H6" s="374"/>
      <c r="I6" s="374"/>
      <c r="AS6" s="988"/>
      <c r="AT6" s="988"/>
      <c r="AU6" s="988"/>
      <c r="AV6" s="988"/>
      <c r="AW6" s="988"/>
      <c r="AX6" s="107" t="s">
        <v>938</v>
      </c>
      <c r="AY6" s="106" t="str">
        <f>CBPRESE</f>
        <v>NA</v>
      </c>
      <c r="AZ6" s="165" t="str">
        <f>PAYPRESE</f>
        <v>NA</v>
      </c>
      <c r="BA6" s="45"/>
      <c r="BB6" s="45"/>
    </row>
    <row r="7" spans="1:81" ht="15.95" customHeight="1">
      <c r="A7" s="662" t="s">
        <v>83</v>
      </c>
      <c r="B7" s="662"/>
      <c r="C7" s="662"/>
      <c r="D7" s="662"/>
      <c r="E7" s="662"/>
      <c r="F7" s="75"/>
      <c r="G7" s="75"/>
      <c r="H7" s="75"/>
      <c r="I7" s="75"/>
      <c r="AS7" s="662" t="s">
        <v>299</v>
      </c>
      <c r="AT7" s="662"/>
      <c r="AU7" s="662"/>
      <c r="AV7" s="662"/>
      <c r="AW7" s="662"/>
      <c r="AX7" s="107" t="s">
        <v>135</v>
      </c>
      <c r="AY7" s="106" t="str">
        <f>CBCUSE</f>
        <v>NA</v>
      </c>
      <c r="AZ7" s="165" t="str">
        <f>PAYCUSE</f>
        <v>NA</v>
      </c>
      <c r="BA7" s="45"/>
      <c r="BB7" s="45"/>
    </row>
    <row r="8" spans="1:81" ht="15.95" customHeight="1" thickBot="1">
      <c r="A8" s="665"/>
      <c r="B8" s="665"/>
      <c r="C8" s="665"/>
      <c r="D8" s="665"/>
      <c r="E8" s="665"/>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61" t="str">
        <f ca="1">PROJSTATUS</f>
        <v>Enter Measures</v>
      </c>
      <c r="AT8" s="661"/>
      <c r="AU8" s="661"/>
      <c r="AV8" s="661"/>
      <c r="AW8" s="661"/>
      <c r="AX8" s="107" t="s">
        <v>596</v>
      </c>
      <c r="AY8" s="106" t="str">
        <f>CBALL</f>
        <v>NA</v>
      </c>
      <c r="AZ8" s="165" t="str">
        <f>PAYALL</f>
        <v>NA</v>
      </c>
      <c r="BA8" s="45"/>
      <c r="BB8" s="45"/>
    </row>
    <row r="9" spans="1:81" s="78" customFormat="1" ht="15.95" customHeight="1">
      <c r="B9" s="79"/>
      <c r="C9" s="79"/>
      <c r="D9" s="79"/>
      <c r="E9" s="79"/>
      <c r="F9" s="79"/>
      <c r="G9" s="79"/>
      <c r="J9" s="829" t="str">
        <f>M3S2</f>
        <v>Lighting</v>
      </c>
      <c r="K9" s="830"/>
      <c r="L9" s="830"/>
      <c r="M9" s="830"/>
      <c r="N9" s="829" t="str">
        <f>M3S3</f>
        <v>Lighting Controls</v>
      </c>
      <c r="O9" s="830"/>
      <c r="P9" s="830"/>
      <c r="Q9" s="830"/>
      <c r="R9" s="829" t="str">
        <f>M3S4</f>
        <v>Refrigeration</v>
      </c>
      <c r="S9" s="830"/>
      <c r="T9" s="830"/>
      <c r="U9" s="830"/>
      <c r="V9" s="829" t="str">
        <f>M3S5</f>
        <v>HVAC</v>
      </c>
      <c r="W9" s="830"/>
      <c r="X9" s="830"/>
      <c r="Y9" s="830"/>
      <c r="Z9" s="842" t="str">
        <f>M4S8</f>
        <v>Motors and Drives</v>
      </c>
      <c r="AA9" s="842"/>
      <c r="AB9" s="842"/>
      <c r="AC9" s="842"/>
      <c r="AD9" s="829" t="str">
        <f>M3S6</f>
        <v>Compressed Air / Process</v>
      </c>
      <c r="AE9" s="830"/>
      <c r="AF9" s="830"/>
      <c r="AG9" s="830"/>
      <c r="AH9" s="829" t="str">
        <f>M3S7</f>
        <v>Water Heating / Food Services</v>
      </c>
      <c r="AI9" s="830"/>
      <c r="AJ9" s="830"/>
      <c r="AK9" s="830"/>
      <c r="AL9" s="829" t="str">
        <f>M4S9</f>
        <v>Miscellaneous</v>
      </c>
      <c r="AM9" s="830"/>
      <c r="AN9" s="830"/>
      <c r="AO9" s="830"/>
      <c r="AP9" s="79"/>
      <c r="AQ9" s="79"/>
      <c r="AR9" s="79"/>
      <c r="AS9"/>
      <c r="AT9"/>
      <c r="AU9" s="79"/>
      <c r="AV9" s="79"/>
    </row>
    <row r="10" spans="1:81" s="78" customFormat="1" ht="15.95" customHeight="1">
      <c r="B10" s="79"/>
      <c r="C10" s="79"/>
      <c r="D10" s="79"/>
      <c r="E10" s="79"/>
      <c r="F10" s="79"/>
      <c r="G10" s="79"/>
      <c r="J10" s="831"/>
      <c r="K10" s="831"/>
      <c r="L10" s="831"/>
      <c r="M10" s="831"/>
      <c r="N10" s="831"/>
      <c r="O10" s="831"/>
      <c r="P10" s="831"/>
      <c r="Q10" s="831"/>
      <c r="R10" s="831"/>
      <c r="S10" s="831"/>
      <c r="T10" s="831"/>
      <c r="U10" s="831"/>
      <c r="V10" s="831"/>
      <c r="W10" s="831"/>
      <c r="X10" s="831"/>
      <c r="Y10" s="831"/>
      <c r="Z10" s="843"/>
      <c r="AA10" s="843"/>
      <c r="AB10" s="843"/>
      <c r="AC10" s="843"/>
      <c r="AD10" s="831"/>
      <c r="AE10" s="831"/>
      <c r="AF10" s="831"/>
      <c r="AG10" s="831"/>
      <c r="AH10" s="831"/>
      <c r="AI10" s="831"/>
      <c r="AJ10" s="831"/>
      <c r="AK10" s="831"/>
      <c r="AL10" s="831"/>
      <c r="AM10" s="831"/>
      <c r="AN10" s="831"/>
      <c r="AO10" s="831"/>
      <c r="AP10" s="79"/>
      <c r="AQ10" s="79"/>
      <c r="AR10" s="79"/>
      <c r="AS10"/>
      <c r="AT10"/>
      <c r="AU10" s="79"/>
      <c r="AV10" s="79"/>
    </row>
    <row r="11" spans="1:81" ht="15.95" customHeight="1">
      <c r="B11" s="96"/>
      <c r="C11" s="96"/>
      <c r="D11" s="96"/>
      <c r="E11" s="96"/>
      <c r="F11" s="96"/>
      <c r="G11" s="96"/>
      <c r="J11" s="831"/>
      <c r="K11" s="831"/>
      <c r="L11" s="831"/>
      <c r="M11" s="831"/>
      <c r="N11" s="831"/>
      <c r="O11" s="831"/>
      <c r="P11" s="831"/>
      <c r="Q11" s="831"/>
      <c r="R11" s="831"/>
      <c r="S11" s="831"/>
      <c r="T11" s="831"/>
      <c r="U11" s="831"/>
      <c r="V11" s="831"/>
      <c r="W11" s="831"/>
      <c r="X11" s="831"/>
      <c r="Y11" s="831"/>
      <c r="Z11" s="843"/>
      <c r="AA11" s="843"/>
      <c r="AB11" s="843"/>
      <c r="AC11" s="843"/>
      <c r="AD11" s="831"/>
      <c r="AE11" s="831"/>
      <c r="AF11" s="831"/>
      <c r="AG11" s="831"/>
      <c r="AH11" s="831"/>
      <c r="AI11" s="831"/>
      <c r="AJ11" s="831"/>
      <c r="AK11" s="831"/>
      <c r="AL11" s="831"/>
      <c r="AM11" s="831"/>
      <c r="AN11" s="831"/>
      <c r="AO11" s="831"/>
      <c r="AP11" s="96"/>
      <c r="AQ11" s="96"/>
      <c r="AR11" s="96"/>
      <c r="AU11" s="96"/>
      <c r="AV11" s="96"/>
    </row>
    <row r="12" spans="1:81" ht="15.95" customHeight="1">
      <c r="A12" s="76"/>
      <c r="B12" s="76"/>
      <c r="C12" s="76"/>
      <c r="D12" s="76"/>
      <c r="E12" s="76"/>
      <c r="F12" s="76"/>
      <c r="G12" s="76"/>
      <c r="T12" s="837">
        <f>SUM(AR18:AU184)</f>
        <v>0</v>
      </c>
      <c r="U12" s="837"/>
      <c r="V12" s="837"/>
      <c r="W12" s="837"/>
      <c r="X12" s="837">
        <f ca="1">SUMIF(AR18:AU184,"&gt;0",AL18:AN184)</f>
        <v>0</v>
      </c>
      <c r="Y12" s="837"/>
      <c r="Z12" s="837"/>
      <c r="AA12" s="837"/>
      <c r="AB12" s="836">
        <f ca="1">SUMIF(AR18:AU184,"&gt;0",AO18:AQ184)</f>
        <v>0</v>
      </c>
      <c r="AC12" s="836"/>
      <c r="AD12" s="836"/>
      <c r="AE12" s="836"/>
      <c r="AV12" s="320"/>
    </row>
    <row r="13" spans="1:81" ht="15.95" customHeight="1">
      <c r="A13" s="76"/>
      <c r="B13" s="76"/>
      <c r="C13" s="76"/>
      <c r="D13" s="76"/>
      <c r="T13" s="837"/>
      <c r="U13" s="837"/>
      <c r="V13" s="837"/>
      <c r="W13" s="837"/>
      <c r="X13" s="837"/>
      <c r="Y13" s="837"/>
      <c r="Z13" s="837"/>
      <c r="AA13" s="837"/>
      <c r="AB13" s="836"/>
      <c r="AC13" s="836"/>
      <c r="AD13" s="836"/>
      <c r="AE13" s="836"/>
      <c r="AM13" s="839" t="str">
        <f>IF(OR(IFERROR(MATCH("75% Total Cost", BM:BM, 0), FALSE), IFERROR(MATCH("100% Incremental Cost", BM:BM,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BD14" s="542" t="s">
        <v>2112</v>
      </c>
      <c r="BE14" s="542" t="s">
        <v>2112</v>
      </c>
      <c r="BL14" s="542" t="s">
        <v>2112</v>
      </c>
      <c r="BO14" s="51" t="s">
        <v>3048</v>
      </c>
      <c r="BX14" s="542" t="s">
        <v>2112</v>
      </c>
    </row>
    <row r="15" spans="1:81" ht="15.95" customHeight="1"/>
    <row r="16" spans="1:81" ht="15.95" customHeight="1">
      <c r="B16" s="17"/>
      <c r="C16" s="832" t="s">
        <v>927</v>
      </c>
      <c r="D16" s="832"/>
      <c r="E16" s="832"/>
      <c r="F16" s="832"/>
      <c r="G16" s="832"/>
      <c r="H16" s="832" t="s">
        <v>859</v>
      </c>
      <c r="I16" s="832"/>
      <c r="J16" s="832"/>
      <c r="K16" s="832"/>
      <c r="L16" s="832"/>
      <c r="M16" s="832"/>
      <c r="N16" s="832" t="s">
        <v>928</v>
      </c>
      <c r="O16" s="832"/>
      <c r="P16" s="832"/>
      <c r="Q16" s="832"/>
      <c r="R16" s="832"/>
      <c r="S16" s="832"/>
      <c r="T16" s="832" t="s">
        <v>1851</v>
      </c>
      <c r="U16" s="832"/>
      <c r="V16" s="832"/>
      <c r="W16" s="832" t="s">
        <v>929</v>
      </c>
      <c r="X16" s="832"/>
      <c r="Y16" s="832"/>
      <c r="Z16" s="832"/>
      <c r="AA16" s="832"/>
      <c r="AB16" s="832"/>
      <c r="AC16" s="832" t="s">
        <v>1852</v>
      </c>
      <c r="AD16" s="832"/>
      <c r="AE16" s="832"/>
      <c r="AF16" s="832" t="s">
        <v>930</v>
      </c>
      <c r="AG16" s="832"/>
      <c r="AH16" s="860" t="s">
        <v>876</v>
      </c>
      <c r="AI16" s="860"/>
      <c r="AJ16" s="860"/>
      <c r="AK16" s="860"/>
      <c r="AL16" s="832" t="s">
        <v>923</v>
      </c>
      <c r="AM16" s="832"/>
      <c r="AN16" s="832"/>
      <c r="AO16" s="832" t="s">
        <v>735</v>
      </c>
      <c r="AP16" s="832"/>
      <c r="AQ16" s="832"/>
      <c r="AR16" s="832" t="s">
        <v>83</v>
      </c>
      <c r="AS16" s="832"/>
      <c r="AT16" s="832"/>
      <c r="AU16" s="832"/>
      <c r="AV16" s="59"/>
      <c r="AW16" s="59"/>
      <c r="AX16" s="779" t="s">
        <v>743</v>
      </c>
      <c r="AY16" s="779" t="s">
        <v>1985</v>
      </c>
      <c r="AZ16" s="779" t="s">
        <v>942</v>
      </c>
      <c r="BA16" s="779" t="s">
        <v>635</v>
      </c>
      <c r="BB16" s="779" t="s">
        <v>875</v>
      </c>
      <c r="BC16" s="779" t="s">
        <v>924</v>
      </c>
      <c r="BD16" s="781" t="s">
        <v>1701</v>
      </c>
      <c r="BE16" s="783" t="s">
        <v>874</v>
      </c>
      <c r="BF16" s="783"/>
      <c r="BG16" s="779" t="s">
        <v>926</v>
      </c>
      <c r="BH16" s="600"/>
      <c r="BI16" s="600"/>
      <c r="BJ16" s="779" t="s">
        <v>88</v>
      </c>
      <c r="BK16" s="781" t="s">
        <v>1619</v>
      </c>
      <c r="BL16" s="783" t="s">
        <v>876</v>
      </c>
      <c r="BM16" s="783"/>
      <c r="BN16" s="779" t="s">
        <v>132</v>
      </c>
      <c r="BO16" s="779" t="s">
        <v>325</v>
      </c>
      <c r="BP16" s="781" t="s">
        <v>1833</v>
      </c>
      <c r="BQ16" s="600"/>
      <c r="BR16" s="781" t="s">
        <v>1614</v>
      </c>
      <c r="BS16" s="783"/>
      <c r="BT16" s="779"/>
      <c r="BU16" s="779" t="s">
        <v>925</v>
      </c>
      <c r="BV16" s="781" t="s">
        <v>691</v>
      </c>
      <c r="BW16" s="779" t="s">
        <v>85</v>
      </c>
      <c r="BX16" s="783" t="s">
        <v>840</v>
      </c>
      <c r="BY16" s="779" t="s">
        <v>309</v>
      </c>
      <c r="BZ16" s="755"/>
      <c r="CA16" s="755"/>
      <c r="CB16" s="755"/>
      <c r="CC16" s="755"/>
    </row>
    <row r="17" spans="1:81" ht="15.95" customHeight="1" thickBot="1">
      <c r="B17" s="17"/>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t="s">
        <v>862</v>
      </c>
      <c r="AI17" s="833"/>
      <c r="AJ17" s="833" t="s">
        <v>863</v>
      </c>
      <c r="AK17" s="833"/>
      <c r="AL17" s="833"/>
      <c r="AM17" s="833"/>
      <c r="AN17" s="833"/>
      <c r="AO17" s="833"/>
      <c r="AP17" s="833"/>
      <c r="AQ17" s="833"/>
      <c r="AR17" s="833"/>
      <c r="AS17" s="833"/>
      <c r="AT17" s="833"/>
      <c r="AU17" s="833"/>
      <c r="AV17" s="37"/>
      <c r="AW17" s="37"/>
      <c r="AX17" s="780"/>
      <c r="AY17" s="780"/>
      <c r="AZ17" s="780"/>
      <c r="BA17" s="780"/>
      <c r="BB17" s="780"/>
      <c r="BC17" s="780"/>
      <c r="BD17" s="782"/>
      <c r="BE17" s="540" t="s">
        <v>871</v>
      </c>
      <c r="BF17" s="541" t="s">
        <v>872</v>
      </c>
      <c r="BG17" s="780"/>
      <c r="BH17" s="1097"/>
      <c r="BI17" s="1097"/>
      <c r="BJ17" s="780"/>
      <c r="BK17" s="782"/>
      <c r="BL17" s="784"/>
      <c r="BM17" s="784"/>
      <c r="BN17" s="780"/>
      <c r="BO17" s="780"/>
      <c r="BP17" s="782"/>
      <c r="BQ17" s="1097"/>
      <c r="BR17" s="782"/>
      <c r="BS17" s="784"/>
      <c r="BT17" s="780"/>
      <c r="BU17" s="780"/>
      <c r="BV17" s="782"/>
      <c r="BW17" s="780"/>
      <c r="BX17" s="784"/>
      <c r="BY17" s="780"/>
      <c r="BZ17" s="756"/>
      <c r="CA17" s="756"/>
      <c r="CB17" s="756"/>
      <c r="CC17" s="756"/>
    </row>
    <row r="18" spans="1:81" ht="15.95" customHeight="1">
      <c r="B18" s="785">
        <v>1</v>
      </c>
      <c r="C18" s="1056"/>
      <c r="D18" s="877"/>
      <c r="E18" s="877"/>
      <c r="F18" s="877"/>
      <c r="G18" s="1058"/>
      <c r="H18" s="1050"/>
      <c r="I18" s="1050"/>
      <c r="J18" s="1050"/>
      <c r="K18" s="1050"/>
      <c r="L18" s="1050"/>
      <c r="M18" s="1012"/>
      <c r="N18" s="1124"/>
      <c r="O18" s="877"/>
      <c r="P18" s="877"/>
      <c r="Q18" s="877"/>
      <c r="R18" s="877"/>
      <c r="S18" s="1058"/>
      <c r="T18" s="1141"/>
      <c r="U18" s="1142"/>
      <c r="V18" s="1143"/>
      <c r="W18" s="1124"/>
      <c r="X18" s="877"/>
      <c r="Y18" s="877"/>
      <c r="Z18" s="877"/>
      <c r="AA18" s="877"/>
      <c r="AB18" s="1058"/>
      <c r="AC18" s="1141"/>
      <c r="AD18" s="1142"/>
      <c r="AE18" s="1143"/>
      <c r="AF18" s="1135" t="str">
        <f>IFERROR(IF($C18="", "", IF(OR($C18 = "Retrofit existing", $C18 = "Replace in-life equip."), "Total", "Incremental")), "")</f>
        <v/>
      </c>
      <c r="AG18" s="1136"/>
      <c r="AH18" s="993"/>
      <c r="AI18" s="993"/>
      <c r="AJ18" s="1083" t="str">
        <f t="shared" ref="AJ18" si="0">IF(AF18="Incremental",0,"")</f>
        <v/>
      </c>
      <c r="AK18" s="1084"/>
      <c r="AL18" s="1030" t="str">
        <f>IF(OR(C18="",H18="",N18="",T18="",W18="",AC18="",AF18="",AH18="",AJ18=""),"",ROUND(AH18+AJ18,2))</f>
        <v/>
      </c>
      <c r="AM18" s="1031"/>
      <c r="AN18" s="1031"/>
      <c r="AO18" s="1036" t="str">
        <f>IF(OR(C18="",H18="",N18="",T18="",W18="",AC18="",AF18="",AH18="",AJ18=""),"",IF(BA18-BB18&lt;=0,0,ROUND(BA18-BB18,4)))</f>
        <v/>
      </c>
      <c r="AP18" s="1036"/>
      <c r="AQ18" s="1036"/>
      <c r="AR18" s="1000" t="str">
        <f>IF(OR(C18="",H18="",N18="",T18="",W18="",AC18="",AF18="",AH18="",AJ18=""),"",
IF(BY18&lt;&gt;"",BY18,IF(BP18&gt;0,BP18,
IF(AF18="Incremental",
IF(ACTIVEBLOCK="Yes",ROUND(MIN(AL18*INCCOSTCAP,AO18*BLOCKBIDRATE),2),
ROUND(MIN(AL18*INCCOSTCAP,BR18),2)),
IF(ACTIVEBLOCK="Yes",ROUND(MIN(AL18*TOTCOSTCAP,AO18*BLOCKBIDRATE),2),
ROUND(MIN(AL18*TOTCOSTCAP,BR18),2))))))</f>
        <v/>
      </c>
      <c r="AS18" s="1000"/>
      <c r="AT18" s="1000"/>
      <c r="AU18" s="1000"/>
      <c r="AV18" s="37"/>
      <c r="AW18" s="37"/>
      <c r="AX18" s="773" t="str">
        <f>IF(OR(C18="",H18=""),"",INDEX(CMEMOTOR[Unit of Measure],MATCH(H18,CMEMOTOR[Proj Desc 1],0)))</f>
        <v/>
      </c>
      <c r="AY18" s="759" t="str">
        <f>IF(AO18&lt;&gt;"","Missing!","")</f>
        <v/>
      </c>
      <c r="AZ18" s="759" t="str">
        <f>IF(AO18&lt;&gt;"","Missing!","")</f>
        <v/>
      </c>
      <c r="BA18" s="771" t="str">
        <f>IF(OR(C18="",H18="",N18="",T18="",W18="",AC18="",AF18="",AH18="",AJ18=""),"",ROUND(T18,4))</f>
        <v/>
      </c>
      <c r="BB18" s="771" t="str">
        <f>IF(OR(C18="",H18="",N18="",T18="",W18="",AC18="",AF18="",AH18="",AJ18=""),"",ROUND(AC18,4))</f>
        <v/>
      </c>
      <c r="BC18" s="773" t="str">
        <f>IF(OR(C18="",H18=""),"",IF(INDEX(CMEMOTOR[End Use Category],MATCH(H18,CMEMOTOR[Proj Desc 1],0))="","",INDEX(CMEMOTOR[End Use Category],MATCH(H18,CMEMOTOR[Proj Desc 1],0))))</f>
        <v/>
      </c>
      <c r="BD18" s="757" t="str">
        <f>IF(BE18&lt;&gt;"", "Calculated", "")</f>
        <v/>
      </c>
      <c r="BE18" s="775" t="str">
        <f>IF(AND(BA18&lt;&gt;"", BB18&lt;&gt;""), ROUND(BA18-BB18,4), "")</f>
        <v/>
      </c>
      <c r="BF18" s="1098"/>
      <c r="BG18" s="775" t="str">
        <f>IFERROR(IF(OR(C18="",H18="",N18="",T18="",W18="",AC18="",AF18="",AH18="",AJ18=""),"",ROUND(AO18*INDEX(ENDUSEALL[Factor],MATCH(BC18,ENDUSEALL[End Use to Coincident Peak Demand Factors],0)),4)),"")</f>
        <v/>
      </c>
      <c r="BH18" s="761"/>
      <c r="BI18" s="761"/>
      <c r="BJ18" s="777" t="str">
        <f>IF(OR(C18="",H18=""),"",IF(INDEX(CMEMOTOR[EUL],MATCH(H18,CMEMOTOR[Proj Desc 1],0))="","",INDEX(CMEMOTOR[EUL],MATCH(H18,CMEMOTOR[Proj Desc 1],0))))</f>
        <v/>
      </c>
      <c r="BK18" s="767" t="str">
        <f>IFERROR(IF(OR(C18="",H18="",N18="",T18="",W18="",AC18="",AF18="",AH18="",AJ18=""),"",
ROUND(((1+ELOSS)*((AO18*INDEX(ELECCB[NPV AEC $/kWh],MATCH(BJ18,ELECCB[Year Number],1)))+(BG18*INDEX(ELECCB[NPV ACC $/kW],MATCH(BJ18,ELECCB[Year Number],1))))),2)),0)</f>
        <v/>
      </c>
      <c r="BL18" s="767" t="str">
        <f t="shared" ref="BL18:BL36" si="1">IF(OR(AH18="", AJ18=""), "", AH18+AJ18)</f>
        <v/>
      </c>
      <c r="BM18" s="765"/>
      <c r="BN18" s="763" t="str">
        <f t="shared" ref="BN18:BN36" si="2">IFERROR( BK18 / IF(BM18 &lt;&gt; "", BM18, BL18), "")</f>
        <v/>
      </c>
      <c r="BO18" s="763" t="str">
        <f>IFERROR(IF(BM18 &lt;&gt; "", BM18, BL18) / M02S04F06 / AO18, "")</f>
        <v/>
      </c>
      <c r="BP18" s="769"/>
      <c r="BQ18" s="765"/>
      <c r="BR18" s="767" t="str">
        <f>IFERROR(ROUND(AO18*BV18,2),"")</f>
        <v/>
      </c>
      <c r="BS18" s="765"/>
      <c r="BT18" s="765"/>
      <c r="BU18" s="757"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67"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57" t="str">
        <f>IF(OR(C18="",H18="",N18="",T18="",W18="",AC18="",AF18="",AH18="",AJ18=""),"",IF(BY18&lt;&gt;"",SPILLOVERNUMBER,INDEX(CMEMOTOR[Measure Number],MATCH(H18,CMEMOTOR[Proj Desc 1],0))))</f>
        <v/>
      </c>
      <c r="BX18" s="757" t="str" cm="1">
        <f t="array" ref="BX18">IFERROR(INDEX(_xlfn.SWITCH(Program_Banner,"Business Energy Savings",ENDUSEALL[Primary Key WBE],"Small Business / Non-Profit",ENDUSEALL[Primary Key HTRB],0),MATCH(BC18,ENDUSEALL[End Use to Coincident Peak Demand Factors],0)),"")</f>
        <v/>
      </c>
      <c r="BY18" s="757"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53"/>
      <c r="CA18" s="753"/>
      <c r="CB18" s="753"/>
      <c r="CC18" s="753"/>
    </row>
    <row r="19" spans="1:81" ht="15.95" customHeight="1">
      <c r="B19" s="785"/>
      <c r="C19" s="1012"/>
      <c r="D19" s="1013"/>
      <c r="E19" s="1013"/>
      <c r="F19" s="1013"/>
      <c r="G19" s="1014"/>
      <c r="H19" s="1002"/>
      <c r="I19" s="1002"/>
      <c r="J19" s="1002"/>
      <c r="K19" s="1002"/>
      <c r="L19" s="1002"/>
      <c r="M19" s="1003"/>
      <c r="N19" s="1041"/>
      <c r="O19" s="1013"/>
      <c r="P19" s="1013"/>
      <c r="Q19" s="1013"/>
      <c r="R19" s="1013"/>
      <c r="S19" s="1014"/>
      <c r="T19" s="1034"/>
      <c r="U19" s="1139"/>
      <c r="V19" s="1140"/>
      <c r="W19" s="1041"/>
      <c r="X19" s="1013"/>
      <c r="Y19" s="1013"/>
      <c r="Z19" s="1013"/>
      <c r="AA19" s="1013"/>
      <c r="AB19" s="1014"/>
      <c r="AC19" s="1034"/>
      <c r="AD19" s="1139"/>
      <c r="AE19" s="1140"/>
      <c r="AF19" s="1135"/>
      <c r="AG19" s="1136"/>
      <c r="AH19" s="993"/>
      <c r="AI19" s="993"/>
      <c r="AJ19" s="1083"/>
      <c r="AK19" s="1084"/>
      <c r="AL19" s="1006"/>
      <c r="AM19" s="1007"/>
      <c r="AN19" s="1007"/>
      <c r="AO19" s="1037"/>
      <c r="AP19" s="1037"/>
      <c r="AQ19" s="1037"/>
      <c r="AR19" s="1001"/>
      <c r="AS19" s="1001"/>
      <c r="AT19" s="1001"/>
      <c r="AU19" s="1001"/>
      <c r="AV19" s="37"/>
      <c r="AW19" s="37"/>
      <c r="AX19" s="774"/>
      <c r="AY19" s="760"/>
      <c r="AZ19" s="760"/>
      <c r="BA19" s="772"/>
      <c r="BB19" s="772"/>
      <c r="BC19" s="774"/>
      <c r="BD19" s="758"/>
      <c r="BE19" s="776"/>
      <c r="BF19" s="1099"/>
      <c r="BG19" s="776"/>
      <c r="BH19" s="762"/>
      <c r="BI19" s="762"/>
      <c r="BJ19" s="778"/>
      <c r="BK19" s="768"/>
      <c r="BL19" s="768"/>
      <c r="BM19" s="766"/>
      <c r="BN19" s="764"/>
      <c r="BO19" s="764"/>
      <c r="BP19" s="770"/>
      <c r="BQ19" s="766"/>
      <c r="BR19" s="768"/>
      <c r="BS19" s="766"/>
      <c r="BT19" s="766"/>
      <c r="BU19" s="758"/>
      <c r="BV19" s="768"/>
      <c r="BW19" s="758"/>
      <c r="BX19" s="758"/>
      <c r="BY19" s="758"/>
      <c r="BZ19" s="754"/>
      <c r="CA19" s="754"/>
      <c r="CB19" s="754"/>
      <c r="CC19" s="754"/>
    </row>
    <row r="20" spans="1:81" ht="15.95" customHeight="1">
      <c r="A20" s="75"/>
      <c r="B20" s="785">
        <v>2</v>
      </c>
      <c r="C20" s="1009"/>
      <c r="D20" s="1010"/>
      <c r="E20" s="1010"/>
      <c r="F20" s="1010"/>
      <c r="G20" s="1011"/>
      <c r="H20" s="1002"/>
      <c r="I20" s="1002"/>
      <c r="J20" s="1002"/>
      <c r="K20" s="1002"/>
      <c r="L20" s="1002"/>
      <c r="M20" s="1003"/>
      <c r="N20" s="1040"/>
      <c r="O20" s="1010"/>
      <c r="P20" s="1010"/>
      <c r="Q20" s="1010"/>
      <c r="R20" s="1010"/>
      <c r="S20" s="1011"/>
      <c r="T20" s="1032"/>
      <c r="U20" s="1137"/>
      <c r="V20" s="1138"/>
      <c r="W20" s="1040"/>
      <c r="X20" s="1010"/>
      <c r="Y20" s="1010"/>
      <c r="Z20" s="1010"/>
      <c r="AA20" s="1010"/>
      <c r="AB20" s="1011"/>
      <c r="AC20" s="1032"/>
      <c r="AD20" s="1137"/>
      <c r="AE20" s="1138"/>
      <c r="AF20" s="1135" t="str">
        <f>IFERROR(IF($C20="", "", IF(OR($C20 = "Retrofit existing", $C20 = "Replace in-life equip."), "Total", "Incremental")), "")</f>
        <v/>
      </c>
      <c r="AG20" s="1136"/>
      <c r="AH20" s="993"/>
      <c r="AI20" s="993"/>
      <c r="AJ20" s="1083" t="str">
        <f t="shared" ref="AJ20" si="3">IF(AF20="Incremental",0,"")</f>
        <v/>
      </c>
      <c r="AK20" s="1084"/>
      <c r="AL20" s="1030" t="str">
        <f>IF(OR(C20="",H20="",N20="",T20="",W20="",AC20="",AF20="",AH20="",AJ20=""),"",ROUND(AH20+AJ20,2))</f>
        <v/>
      </c>
      <c r="AM20" s="1031"/>
      <c r="AN20" s="1031"/>
      <c r="AO20" s="1036" t="str">
        <f>IF(OR(C20="",H20="",N20="",T20="",W20="",AC20="",AF20="",AH20="",AJ20=""),"",IF(BA20-BB20&lt;=0,0,ROUND(BA20-BB20,4)))</f>
        <v/>
      </c>
      <c r="AP20" s="1036"/>
      <c r="AQ20" s="1036"/>
      <c r="AR20" s="1072" t="str">
        <f>IF(OR(C20="",H20="",N20="",T20="",W20="",AC20="",AF20="",AH20="",AJ20=""),"",
IF(BY20&lt;&gt;"",BY20,IF(BP20&gt;0,BP20,
IF(AF20="Incremental",
IF(ACTIVEBLOCK="Yes",ROUND(MIN(AL20*INCCOSTCAP,AO20*BLOCKBIDRATE),2),
ROUND(MIN(AL20*INCCOSTCAP,BR20),2)),
IF(ACTIVEBLOCK="Yes",ROUND(MIN(AL20*TOTCOSTCAP,AO20*BLOCKBIDRATE),2),
ROUND(MIN(AL20*TOTCOSTCAP,BR20),2))))))</f>
        <v/>
      </c>
      <c r="AS20" s="1073"/>
      <c r="AT20" s="1073"/>
      <c r="AU20" s="1074"/>
      <c r="AV20" s="37"/>
      <c r="AW20" s="37"/>
      <c r="AX20" s="773" t="str">
        <f>IF(OR(C20="",H20=""),"",INDEX(CMEMOTOR[Unit of Measure],MATCH(H20,CMEMOTOR[Proj Desc 1],0)))</f>
        <v/>
      </c>
      <c r="AY20" s="759" t="str">
        <f t="shared" ref="AY20" si="4">IF(AO20&lt;&gt;"","Missing!","")</f>
        <v/>
      </c>
      <c r="AZ20" s="759" t="str">
        <f t="shared" ref="AZ20" si="5">IF(AO20&lt;&gt;"","Missing!","")</f>
        <v/>
      </c>
      <c r="BA20" s="771" t="str">
        <f t="shared" ref="BA20" si="6">IF(OR(C20="",H20="",N20="",T20="",W20="",AC20="",AF20="",AH20="",AJ20=""),"",ROUND(T20,4))</f>
        <v/>
      </c>
      <c r="BB20" s="771" t="str">
        <f t="shared" ref="BB20" si="7">IF(OR(C20="",H20="",N20="",T20="",W20="",AC20="",AF20="",AH20="",AJ20=""),"",ROUND(AC20,4))</f>
        <v/>
      </c>
      <c r="BC20" s="773" t="str">
        <f>IF(OR(C20="",H20=""),"",IF(INDEX(CMEMOTOR[End Use Category],MATCH(H20,CMEMOTOR[Proj Desc 1],0))="","",INDEX(CMEMOTOR[End Use Category],MATCH(H20,CMEMOTOR[Proj Desc 1],0))))</f>
        <v/>
      </c>
      <c r="BD20" s="757" t="str">
        <f t="shared" ref="BD20" si="8">IF(BE20&lt;&gt;"", "Calculated", "")</f>
        <v/>
      </c>
      <c r="BE20" s="775" t="str">
        <f t="shared" ref="BE20" si="9">IF(AND(BA20&lt;&gt;"", BB20&lt;&gt;""), ROUND(BA20-BB20,4), "")</f>
        <v/>
      </c>
      <c r="BF20" s="1098"/>
      <c r="BG20" s="775" t="str">
        <f>IFERROR(IF(OR(C20="",H20="",N20="",T20="",W20="",AC20="",AF20="",AH20="",AJ20=""),"",ROUND(AO20*INDEX(ENDUSEALL[Factor],MATCH(BC20,ENDUSEALL[End Use to Coincident Peak Demand Factors],0)),4)),"")</f>
        <v/>
      </c>
      <c r="BH20" s="761"/>
      <c r="BI20" s="761"/>
      <c r="BJ20" s="777" t="str">
        <f>IF(OR(C20="",H20=""),"",IF(INDEX(CMEMOTOR[EUL],MATCH(H20,CMEMOTOR[Proj Desc 1],0))="","",INDEX(CMEMOTOR[EUL],MATCH(H20,CMEMOTOR[Proj Desc 1],0))))</f>
        <v/>
      </c>
      <c r="BK20" s="767" t="str">
        <f>IFERROR(IF(OR(C20="",H20="",N20="",T20="",W20="",AC20="",AF20="",AH20="",AJ20=""),"",
ROUND(((1+ELOSS)*((AO20*INDEX(ELECCB[NPV AEC $/kWh],MATCH(BJ20,ELECCB[Year Number],1)))+(BG20*INDEX(ELECCB[NPV ACC $/kW],MATCH(BJ20,ELECCB[Year Number],1))))),2)),0)</f>
        <v/>
      </c>
      <c r="BL20" s="767" t="str">
        <f t="shared" si="1"/>
        <v/>
      </c>
      <c r="BM20" s="765"/>
      <c r="BN20" s="763" t="str">
        <f t="shared" si="2"/>
        <v/>
      </c>
      <c r="BO20" s="763" t="str">
        <f>IFERROR(IF(BM20 &lt;&gt; "", BM20, BL20) / M02S04F06 / AO20, "")</f>
        <v/>
      </c>
      <c r="BP20" s="769"/>
      <c r="BQ20" s="765"/>
      <c r="BR20" s="767" t="str">
        <f t="shared" ref="BR20" si="10">IFERROR(ROUND(AO20*BV20,2),"")</f>
        <v/>
      </c>
      <c r="BS20" s="765"/>
      <c r="BT20" s="765"/>
      <c r="BU20" s="757"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67"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57" t="str">
        <f>IF(OR(C20="",H20="",N20="",T20="",W20="",AC20="",AF20="",AH20="",AJ20=""),"",IF(BY20&lt;&gt;"",SPILLOVERNUMBER,INDEX(CMEMOTOR[Measure Number],MATCH(H20,CMEMOTOR[Proj Desc 1],0))))</f>
        <v/>
      </c>
      <c r="BX20" s="757" t="str" cm="1">
        <f t="array" ref="BX20">IFERROR(INDEX(_xlfn.SWITCH(Program_Banner,"Business Energy Savings",ENDUSEALL[Primary Key WBE],"Small Business / Non-Profit",ENDUSEALL[Primary Key HTRB],0),MATCH(BC20,ENDUSEALL[End Use to Coincident Peak Demand Factors],0)),"")</f>
        <v/>
      </c>
      <c r="BY20" s="757"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53"/>
      <c r="CA20" s="753"/>
      <c r="CB20" s="753"/>
      <c r="CC20" s="753"/>
    </row>
    <row r="21" spans="1:81" ht="15.95" customHeight="1">
      <c r="B21" s="785"/>
      <c r="C21" s="1012"/>
      <c r="D21" s="1013"/>
      <c r="E21" s="1013"/>
      <c r="F21" s="1013"/>
      <c r="G21" s="1014"/>
      <c r="H21" s="1002"/>
      <c r="I21" s="1002"/>
      <c r="J21" s="1002"/>
      <c r="K21" s="1002"/>
      <c r="L21" s="1002"/>
      <c r="M21" s="1003"/>
      <c r="N21" s="1041"/>
      <c r="O21" s="1013"/>
      <c r="P21" s="1013"/>
      <c r="Q21" s="1013"/>
      <c r="R21" s="1013"/>
      <c r="S21" s="1014"/>
      <c r="T21" s="1034"/>
      <c r="U21" s="1139"/>
      <c r="V21" s="1140"/>
      <c r="W21" s="1041"/>
      <c r="X21" s="1013"/>
      <c r="Y21" s="1013"/>
      <c r="Z21" s="1013"/>
      <c r="AA21" s="1013"/>
      <c r="AB21" s="1014"/>
      <c r="AC21" s="1034"/>
      <c r="AD21" s="1139"/>
      <c r="AE21" s="1140"/>
      <c r="AF21" s="1135"/>
      <c r="AG21" s="1136"/>
      <c r="AH21" s="993"/>
      <c r="AI21" s="993"/>
      <c r="AJ21" s="1083"/>
      <c r="AK21" s="1084"/>
      <c r="AL21" s="1006"/>
      <c r="AM21" s="1007"/>
      <c r="AN21" s="1007"/>
      <c r="AO21" s="1037"/>
      <c r="AP21" s="1037"/>
      <c r="AQ21" s="1037"/>
      <c r="AR21" s="1075"/>
      <c r="AS21" s="1076"/>
      <c r="AT21" s="1076"/>
      <c r="AU21" s="1077"/>
      <c r="AV21" s="37"/>
      <c r="AW21" s="37"/>
      <c r="AX21" s="774"/>
      <c r="AY21" s="760"/>
      <c r="AZ21" s="760"/>
      <c r="BA21" s="772"/>
      <c r="BB21" s="772"/>
      <c r="BC21" s="774"/>
      <c r="BD21" s="758"/>
      <c r="BE21" s="776"/>
      <c r="BF21" s="1099"/>
      <c r="BG21" s="776"/>
      <c r="BH21" s="762"/>
      <c r="BI21" s="762"/>
      <c r="BJ21" s="778"/>
      <c r="BK21" s="768"/>
      <c r="BL21" s="768"/>
      <c r="BM21" s="766"/>
      <c r="BN21" s="764"/>
      <c r="BO21" s="764"/>
      <c r="BP21" s="770"/>
      <c r="BQ21" s="766"/>
      <c r="BR21" s="768"/>
      <c r="BS21" s="766"/>
      <c r="BT21" s="766"/>
      <c r="BU21" s="758"/>
      <c r="BV21" s="768"/>
      <c r="BW21" s="758"/>
      <c r="BX21" s="758"/>
      <c r="BY21" s="758"/>
      <c r="BZ21" s="754"/>
      <c r="CA21" s="754"/>
      <c r="CB21" s="754"/>
      <c r="CC21" s="754"/>
    </row>
    <row r="22" spans="1:81" s="17" customFormat="1" ht="15.95" customHeight="1">
      <c r="A22" s="109"/>
      <c r="B22" s="785">
        <v>3</v>
      </c>
      <c r="C22" s="1009"/>
      <c r="D22" s="1010"/>
      <c r="E22" s="1010"/>
      <c r="F22" s="1010"/>
      <c r="G22" s="1011"/>
      <c r="H22" s="1002"/>
      <c r="I22" s="1002"/>
      <c r="J22" s="1002"/>
      <c r="K22" s="1002"/>
      <c r="L22" s="1002"/>
      <c r="M22" s="1003"/>
      <c r="N22" s="1040"/>
      <c r="O22" s="1010"/>
      <c r="P22" s="1010"/>
      <c r="Q22" s="1010"/>
      <c r="R22" s="1010"/>
      <c r="S22" s="1011"/>
      <c r="T22" s="1032"/>
      <c r="U22" s="1137"/>
      <c r="V22" s="1138"/>
      <c r="W22" s="1040"/>
      <c r="X22" s="1010"/>
      <c r="Y22" s="1010"/>
      <c r="Z22" s="1010"/>
      <c r="AA22" s="1010"/>
      <c r="AB22" s="1011"/>
      <c r="AC22" s="1032"/>
      <c r="AD22" s="1137"/>
      <c r="AE22" s="1138"/>
      <c r="AF22" s="1135" t="str">
        <f>IFERROR(IF($C22="", "", IF(OR($C22 = "Retrofit existing", $C22 = "Replace in-life equip."), "Total", "Incremental")), "")</f>
        <v/>
      </c>
      <c r="AG22" s="1136"/>
      <c r="AH22" s="993"/>
      <c r="AI22" s="993"/>
      <c r="AJ22" s="1083" t="str">
        <f t="shared" ref="AJ22" si="11">IF(AF22="Incremental",0,"")</f>
        <v/>
      </c>
      <c r="AK22" s="1084"/>
      <c r="AL22" s="1030" t="str">
        <f>IF(OR(C22="",H22="",N22="",T22="",W22="",AC22="",AF22="",AH22="",AJ22=""),"",ROUND(AH22+AJ22,2))</f>
        <v/>
      </c>
      <c r="AM22" s="1031"/>
      <c r="AN22" s="1031"/>
      <c r="AO22" s="1036" t="str">
        <f>IF(OR(C22="",H22="",N22="",T22="",W22="",AC22="",AF22="",AH22="",AJ22=""),"",IF(BA22-BB22&lt;=0,0,ROUND(BA22-BB22,4)))</f>
        <v/>
      </c>
      <c r="AP22" s="1036"/>
      <c r="AQ22" s="1036"/>
      <c r="AR22" s="1072" t="str">
        <f>IF(OR(C22="",H22="",N22="",T22="",W22="",AC22="",AF22="",AH22="",AJ22=""),"",
IF(BY22&lt;&gt;"",BY22,IF(BP22&gt;0,BP22,
IF(AF22="Incremental",
IF(ACTIVEBLOCK="Yes",ROUND(MIN(AL22*INCCOSTCAP,AO22*BLOCKBIDRATE),2),
ROUND(MIN(AL22*INCCOSTCAP,BR22),2)),
IF(ACTIVEBLOCK="Yes",ROUND(MIN(AL22*TOTCOSTCAP,AO22*BLOCKBIDRATE),2),
ROUND(MIN(AL22*TOTCOSTCAP,BR22),2))))))</f>
        <v/>
      </c>
      <c r="AS22" s="1073"/>
      <c r="AT22" s="1073"/>
      <c r="AU22" s="1074"/>
      <c r="AV22" s="59"/>
      <c r="AW22" s="59"/>
      <c r="AX22" s="773" t="str">
        <f>IF(OR(C22="",H22=""),"",INDEX(CMEMOTOR[Unit of Measure],MATCH(H22,CMEMOTOR[Proj Desc 1],0)))</f>
        <v/>
      </c>
      <c r="AY22" s="759" t="str">
        <f t="shared" ref="AY22" si="12">IF(AO22&lt;&gt;"","Missing!","")</f>
        <v/>
      </c>
      <c r="AZ22" s="759" t="str">
        <f t="shared" ref="AZ22" si="13">IF(AO22&lt;&gt;"","Missing!","")</f>
        <v/>
      </c>
      <c r="BA22" s="771" t="str">
        <f t="shared" ref="BA22" si="14">IF(OR(C22="",H22="",N22="",T22="",W22="",AC22="",AF22="",AH22="",AJ22=""),"",ROUND(T22,4))</f>
        <v/>
      </c>
      <c r="BB22" s="771" t="str">
        <f t="shared" ref="BB22" si="15">IF(OR(C22="",H22="",N22="",T22="",W22="",AC22="",AF22="",AH22="",AJ22=""),"",ROUND(AC22,4))</f>
        <v/>
      </c>
      <c r="BC22" s="773" t="str">
        <f>IF(OR(C22="",H22=""),"",IF(INDEX(CMEMOTOR[End Use Category],MATCH(H22,CMEMOTOR[Proj Desc 1],0))="","",INDEX(CMEMOTOR[End Use Category],MATCH(H22,CMEMOTOR[Proj Desc 1],0))))</f>
        <v/>
      </c>
      <c r="BD22" s="757" t="str">
        <f t="shared" ref="BD22" si="16">IF(BE22&lt;&gt;"", "Calculated", "")</f>
        <v/>
      </c>
      <c r="BE22" s="775" t="str">
        <f t="shared" ref="BE22" si="17">IF(AND(BA22&lt;&gt;"", BB22&lt;&gt;""), ROUND(BA22-BB22,4), "")</f>
        <v/>
      </c>
      <c r="BF22" s="1098"/>
      <c r="BG22" s="775" t="str">
        <f>IFERROR(IF(OR(C22="",H22="",N22="",T22="",W22="",AC22="",AF22="",AH22="",AJ22=""),"",ROUND(AO22*INDEX(ENDUSEALL[Factor],MATCH(BC22,ENDUSEALL[End Use to Coincident Peak Demand Factors],0)),4)),"")</f>
        <v/>
      </c>
      <c r="BH22" s="761"/>
      <c r="BI22" s="761"/>
      <c r="BJ22" s="777" t="str">
        <f>IF(OR(C22="",H22=""),"",IF(INDEX(CMEMOTOR[EUL],MATCH(H22,CMEMOTOR[Proj Desc 1],0))="","",INDEX(CMEMOTOR[EUL],MATCH(H22,CMEMOTOR[Proj Desc 1],0))))</f>
        <v/>
      </c>
      <c r="BK22" s="767" t="str">
        <f>IFERROR(IF(OR(C22="",H22="",N22="",T22="",W22="",AC22="",AF22="",AH22="",AJ22=""),"",
ROUND(((1+ELOSS)*((AO22*INDEX(ELECCB[NPV AEC $/kWh],MATCH(BJ22,ELECCB[Year Number],1)))+(BG22*INDEX(ELECCB[NPV ACC $/kW],MATCH(BJ22,ELECCB[Year Number],1))))),2)),0)</f>
        <v/>
      </c>
      <c r="BL22" s="767" t="str">
        <f t="shared" si="1"/>
        <v/>
      </c>
      <c r="BM22" s="765"/>
      <c r="BN22" s="763" t="str">
        <f t="shared" si="2"/>
        <v/>
      </c>
      <c r="BO22" s="763" t="str">
        <f>IFERROR(IF(BM22 &lt;&gt; "", BM22, BL22) / M02S04F06 / AO22, "")</f>
        <v/>
      </c>
      <c r="BP22" s="769"/>
      <c r="BQ22" s="765"/>
      <c r="BR22" s="767" t="str">
        <f t="shared" ref="BR22" si="18">IFERROR(ROUND(AO22*BV22,2),"")</f>
        <v/>
      </c>
      <c r="BS22" s="765"/>
      <c r="BT22" s="765"/>
      <c r="BU22" s="757"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67"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57" t="str">
        <f>IF(OR(C22="",H22="",N22="",T22="",W22="",AC22="",AF22="",AH22="",AJ22=""),"",IF(BY22&lt;&gt;"",SPILLOVERNUMBER,INDEX(CMEMOTOR[Measure Number],MATCH(H22,CMEMOTOR[Proj Desc 1],0))))</f>
        <v/>
      </c>
      <c r="BX22" s="757" t="str" cm="1">
        <f t="array" ref="BX22">IFERROR(INDEX(_xlfn.SWITCH(Program_Banner,"Business Energy Savings",ENDUSEALL[Primary Key WBE],"Small Business / Non-Profit",ENDUSEALL[Primary Key HTRB],0),MATCH(BC22,ENDUSEALL[End Use to Coincident Peak Demand Factors],0)),"")</f>
        <v/>
      </c>
      <c r="BY22" s="757"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53"/>
      <c r="CA22" s="753"/>
      <c r="CB22" s="753"/>
      <c r="CC22" s="753"/>
    </row>
    <row r="23" spans="1:81" s="17" customFormat="1" ht="15.95" customHeight="1">
      <c r="A23" s="109"/>
      <c r="B23" s="785"/>
      <c r="C23" s="1012"/>
      <c r="D23" s="1013"/>
      <c r="E23" s="1013"/>
      <c r="F23" s="1013"/>
      <c r="G23" s="1014"/>
      <c r="H23" s="1002"/>
      <c r="I23" s="1002"/>
      <c r="J23" s="1002"/>
      <c r="K23" s="1002"/>
      <c r="L23" s="1002"/>
      <c r="M23" s="1003"/>
      <c r="N23" s="1041"/>
      <c r="O23" s="1013"/>
      <c r="P23" s="1013"/>
      <c r="Q23" s="1013"/>
      <c r="R23" s="1013"/>
      <c r="S23" s="1014"/>
      <c r="T23" s="1034"/>
      <c r="U23" s="1139"/>
      <c r="V23" s="1140"/>
      <c r="W23" s="1041"/>
      <c r="X23" s="1013"/>
      <c r="Y23" s="1013"/>
      <c r="Z23" s="1013"/>
      <c r="AA23" s="1013"/>
      <c r="AB23" s="1014"/>
      <c r="AC23" s="1034"/>
      <c r="AD23" s="1139"/>
      <c r="AE23" s="1140"/>
      <c r="AF23" s="1135"/>
      <c r="AG23" s="1136"/>
      <c r="AH23" s="993"/>
      <c r="AI23" s="993"/>
      <c r="AJ23" s="1083"/>
      <c r="AK23" s="1084"/>
      <c r="AL23" s="1006"/>
      <c r="AM23" s="1007"/>
      <c r="AN23" s="1007"/>
      <c r="AO23" s="1037"/>
      <c r="AP23" s="1037"/>
      <c r="AQ23" s="1037"/>
      <c r="AR23" s="1075"/>
      <c r="AS23" s="1076"/>
      <c r="AT23" s="1076"/>
      <c r="AU23" s="1077"/>
      <c r="AV23" s="59"/>
      <c r="AW23" s="59"/>
      <c r="AX23" s="774"/>
      <c r="AY23" s="760"/>
      <c r="AZ23" s="760"/>
      <c r="BA23" s="772"/>
      <c r="BB23" s="772"/>
      <c r="BC23" s="774"/>
      <c r="BD23" s="758"/>
      <c r="BE23" s="776"/>
      <c r="BF23" s="1099"/>
      <c r="BG23" s="776"/>
      <c r="BH23" s="762"/>
      <c r="BI23" s="762"/>
      <c r="BJ23" s="778"/>
      <c r="BK23" s="768"/>
      <c r="BL23" s="768"/>
      <c r="BM23" s="766"/>
      <c r="BN23" s="764"/>
      <c r="BO23" s="764"/>
      <c r="BP23" s="770"/>
      <c r="BQ23" s="766"/>
      <c r="BR23" s="768"/>
      <c r="BS23" s="766"/>
      <c r="BT23" s="766"/>
      <c r="BU23" s="758"/>
      <c r="BV23" s="768"/>
      <c r="BW23" s="758"/>
      <c r="BX23" s="758"/>
      <c r="BY23" s="758"/>
      <c r="BZ23" s="754"/>
      <c r="CA23" s="754"/>
      <c r="CB23" s="754"/>
      <c r="CC23" s="754"/>
    </row>
    <row r="24" spans="1:81" ht="15.95" customHeight="1">
      <c r="B24" s="785">
        <v>4</v>
      </c>
      <c r="C24" s="1009"/>
      <c r="D24" s="1010"/>
      <c r="E24" s="1010"/>
      <c r="F24" s="1010"/>
      <c r="G24" s="1011"/>
      <c r="H24" s="1002"/>
      <c r="I24" s="1002"/>
      <c r="J24" s="1002"/>
      <c r="K24" s="1002"/>
      <c r="L24" s="1002"/>
      <c r="M24" s="1003"/>
      <c r="N24" s="1040"/>
      <c r="O24" s="1010"/>
      <c r="P24" s="1010"/>
      <c r="Q24" s="1010"/>
      <c r="R24" s="1010"/>
      <c r="S24" s="1011"/>
      <c r="T24" s="1032"/>
      <c r="U24" s="1137"/>
      <c r="V24" s="1138"/>
      <c r="W24" s="1040"/>
      <c r="X24" s="1010"/>
      <c r="Y24" s="1010"/>
      <c r="Z24" s="1010"/>
      <c r="AA24" s="1010"/>
      <c r="AB24" s="1011"/>
      <c r="AC24" s="1032"/>
      <c r="AD24" s="1137"/>
      <c r="AE24" s="1138"/>
      <c r="AF24" s="1135" t="str">
        <f>IFERROR(IF($C24="", "", IF(OR($C24 = "Retrofit existing", $C24 = "Replace in-life equip."), "Total", "Incremental")), "")</f>
        <v/>
      </c>
      <c r="AG24" s="1136"/>
      <c r="AH24" s="993"/>
      <c r="AI24" s="993"/>
      <c r="AJ24" s="1083" t="str">
        <f t="shared" ref="AJ24" si="19">IF(AF24="Incremental",0,"")</f>
        <v/>
      </c>
      <c r="AK24" s="1084"/>
      <c r="AL24" s="1030" t="str">
        <f>IF(OR(C24="",H24="",N24="",T24="",W24="",AC24="",AF24="",AH24="",AJ24=""),"",ROUND(AH24+AJ24,2))</f>
        <v/>
      </c>
      <c r="AM24" s="1031"/>
      <c r="AN24" s="1031"/>
      <c r="AO24" s="1036" t="str">
        <f>IF(OR(C24="",H24="",N24="",T24="",W24="",AC24="",AF24="",AH24="",AJ24=""),"",IF(BA24-BB24&lt;=0,0,ROUND(BA24-BB24,4)))</f>
        <v/>
      </c>
      <c r="AP24" s="1036"/>
      <c r="AQ24" s="1036"/>
      <c r="AR24" s="1072" t="str">
        <f>IF(OR(C24="",H24="",N24="",T24="",W24="",AC24="",AF24="",AH24="",AJ24=""),"",
IF(BY24&lt;&gt;"",BY24,IF(BP24&gt;0,BP24,
IF(AF24="Incremental",
IF(ACTIVEBLOCK="Yes",ROUND(MIN(AL24*INCCOSTCAP,AO24*BLOCKBIDRATE),2),
ROUND(MIN(AL24*INCCOSTCAP,BR24),2)),
IF(ACTIVEBLOCK="Yes",ROUND(MIN(AL24*TOTCOSTCAP,AO24*BLOCKBIDRATE),2),
ROUND(MIN(AL24*TOTCOSTCAP,BR24),2))))))</f>
        <v/>
      </c>
      <c r="AS24" s="1073"/>
      <c r="AT24" s="1073"/>
      <c r="AU24" s="1074"/>
      <c r="AV24" s="37"/>
      <c r="AW24" s="37"/>
      <c r="AX24" s="773" t="str">
        <f>IF(OR(C24="",H24=""),"",INDEX(CMEMOTOR[Unit of Measure],MATCH(H24,CMEMOTOR[Proj Desc 1],0)))</f>
        <v/>
      </c>
      <c r="AY24" s="759" t="str">
        <f t="shared" ref="AY24" si="20">IF(AO24&lt;&gt;"","Missing!","")</f>
        <v/>
      </c>
      <c r="AZ24" s="759" t="str">
        <f t="shared" ref="AZ24" si="21">IF(AO24&lt;&gt;"","Missing!","")</f>
        <v/>
      </c>
      <c r="BA24" s="771" t="str">
        <f t="shared" ref="BA24" si="22">IF(OR(C24="",H24="",N24="",T24="",W24="",AC24="",AF24="",AH24="",AJ24=""),"",ROUND(T24,4))</f>
        <v/>
      </c>
      <c r="BB24" s="771" t="str">
        <f t="shared" ref="BB24" si="23">IF(OR(C24="",H24="",N24="",T24="",W24="",AC24="",AF24="",AH24="",AJ24=""),"",ROUND(AC24,4))</f>
        <v/>
      </c>
      <c r="BC24" s="773" t="str">
        <f>IF(OR(C24="",H24=""),"",IF(INDEX(CMEMOTOR[End Use Category],MATCH(H24,CMEMOTOR[Proj Desc 1],0))="","",INDEX(CMEMOTOR[End Use Category],MATCH(H24,CMEMOTOR[Proj Desc 1],0))))</f>
        <v/>
      </c>
      <c r="BD24" s="757" t="str">
        <f t="shared" ref="BD24" si="24">IF(BE24&lt;&gt;"", "Calculated", "")</f>
        <v/>
      </c>
      <c r="BE24" s="775" t="str">
        <f t="shared" ref="BE24" si="25">IF(AND(BA24&lt;&gt;"", BB24&lt;&gt;""), ROUND(BA24-BB24,4), "")</f>
        <v/>
      </c>
      <c r="BF24" s="1098"/>
      <c r="BG24" s="775" t="str">
        <f>IFERROR(IF(OR(C24="",H24="",N24="",T24="",W24="",AC24="",AF24="",AH24="",AJ24=""),"",ROUND(AO24*INDEX(ENDUSEALL[Factor],MATCH(BC24,ENDUSEALL[End Use to Coincident Peak Demand Factors],0)),4)),"")</f>
        <v/>
      </c>
      <c r="BH24" s="761"/>
      <c r="BI24" s="761"/>
      <c r="BJ24" s="777" t="str">
        <f>IF(OR(C24="",H24=""),"",IF(INDEX(CMEMOTOR[EUL],MATCH(H24,CMEMOTOR[Proj Desc 1],0))="","",INDEX(CMEMOTOR[EUL],MATCH(H24,CMEMOTOR[Proj Desc 1],0))))</f>
        <v/>
      </c>
      <c r="BK24" s="767" t="str">
        <f>IFERROR(IF(OR(C24="",H24="",N24="",T24="",W24="",AC24="",AF24="",AH24="",AJ24=""),"",
ROUND(((1+ELOSS)*((AO24*INDEX(ELECCB[NPV AEC $/kWh],MATCH(BJ24,ELECCB[Year Number],1)))+(BG24*INDEX(ELECCB[NPV ACC $/kW],MATCH(BJ24,ELECCB[Year Number],1))))),2)),0)</f>
        <v/>
      </c>
      <c r="BL24" s="767" t="str">
        <f t="shared" si="1"/>
        <v/>
      </c>
      <c r="BM24" s="765"/>
      <c r="BN24" s="763" t="str">
        <f t="shared" si="2"/>
        <v/>
      </c>
      <c r="BO24" s="763" t="str">
        <f>IFERROR(IF(BM24 &lt;&gt; "", BM24, BL24) / M02S04F06 / AO24, "")</f>
        <v/>
      </c>
      <c r="BP24" s="769"/>
      <c r="BQ24" s="765"/>
      <c r="BR24" s="767" t="str">
        <f t="shared" ref="BR24" si="26">IFERROR(ROUND(AO24*BV24,2),"")</f>
        <v/>
      </c>
      <c r="BS24" s="765"/>
      <c r="BT24" s="765"/>
      <c r="BU24" s="757"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67"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57" t="str">
        <f>IF(OR(C24="",H24="",N24="",T24="",W24="",AC24="",AF24="",AH24="",AJ24=""),"",IF(BY24&lt;&gt;"",SPILLOVERNUMBER,INDEX(CMEMOTOR[Measure Number],MATCH(H24,CMEMOTOR[Proj Desc 1],0))))</f>
        <v/>
      </c>
      <c r="BX24" s="757" t="str" cm="1">
        <f t="array" ref="BX24">IFERROR(INDEX(_xlfn.SWITCH(Program_Banner,"Business Energy Savings",ENDUSEALL[Primary Key WBE],"Small Business / Non-Profit",ENDUSEALL[Primary Key HTRB],0),MATCH(BC24,ENDUSEALL[End Use to Coincident Peak Demand Factors],0)),"")</f>
        <v/>
      </c>
      <c r="BY24" s="757"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53"/>
      <c r="CA24" s="753"/>
      <c r="CB24" s="753"/>
      <c r="CC24" s="753"/>
    </row>
    <row r="25" spans="1:81" ht="15.95" customHeight="1">
      <c r="A25" s="75"/>
      <c r="B25" s="785"/>
      <c r="C25" s="1012"/>
      <c r="D25" s="1013"/>
      <c r="E25" s="1013"/>
      <c r="F25" s="1013"/>
      <c r="G25" s="1014"/>
      <c r="H25" s="1002"/>
      <c r="I25" s="1002"/>
      <c r="J25" s="1002"/>
      <c r="K25" s="1002"/>
      <c r="L25" s="1002"/>
      <c r="M25" s="1003"/>
      <c r="N25" s="1041"/>
      <c r="O25" s="1013"/>
      <c r="P25" s="1013"/>
      <c r="Q25" s="1013"/>
      <c r="R25" s="1013"/>
      <c r="S25" s="1014"/>
      <c r="T25" s="1034"/>
      <c r="U25" s="1139"/>
      <c r="V25" s="1140"/>
      <c r="W25" s="1041"/>
      <c r="X25" s="1013"/>
      <c r="Y25" s="1013"/>
      <c r="Z25" s="1013"/>
      <c r="AA25" s="1013"/>
      <c r="AB25" s="1014"/>
      <c r="AC25" s="1034"/>
      <c r="AD25" s="1139"/>
      <c r="AE25" s="1140"/>
      <c r="AF25" s="1135"/>
      <c r="AG25" s="1136"/>
      <c r="AH25" s="993"/>
      <c r="AI25" s="993"/>
      <c r="AJ25" s="1083"/>
      <c r="AK25" s="1084"/>
      <c r="AL25" s="1006"/>
      <c r="AM25" s="1007"/>
      <c r="AN25" s="1007"/>
      <c r="AO25" s="1037"/>
      <c r="AP25" s="1037"/>
      <c r="AQ25" s="1037"/>
      <c r="AR25" s="1075"/>
      <c r="AS25" s="1076"/>
      <c r="AT25" s="1076"/>
      <c r="AU25" s="1077"/>
      <c r="AV25" s="37"/>
      <c r="AW25" s="37"/>
      <c r="AX25" s="774"/>
      <c r="AY25" s="760"/>
      <c r="AZ25" s="760"/>
      <c r="BA25" s="772"/>
      <c r="BB25" s="772"/>
      <c r="BC25" s="774"/>
      <c r="BD25" s="758"/>
      <c r="BE25" s="776"/>
      <c r="BF25" s="1099"/>
      <c r="BG25" s="776"/>
      <c r="BH25" s="762"/>
      <c r="BI25" s="762"/>
      <c r="BJ25" s="778"/>
      <c r="BK25" s="768"/>
      <c r="BL25" s="768"/>
      <c r="BM25" s="766"/>
      <c r="BN25" s="764"/>
      <c r="BO25" s="764"/>
      <c r="BP25" s="770"/>
      <c r="BQ25" s="766"/>
      <c r="BR25" s="768"/>
      <c r="BS25" s="766"/>
      <c r="BT25" s="766"/>
      <c r="BU25" s="758"/>
      <c r="BV25" s="768"/>
      <c r="BW25" s="758"/>
      <c r="BX25" s="758"/>
      <c r="BY25" s="758"/>
      <c r="BZ25" s="754"/>
      <c r="CA25" s="754"/>
      <c r="CB25" s="754"/>
      <c r="CC25" s="754"/>
    </row>
    <row r="26" spans="1:81" ht="15.95" customHeight="1">
      <c r="B26" s="785">
        <v>5</v>
      </c>
      <c r="C26" s="1009"/>
      <c r="D26" s="1010"/>
      <c r="E26" s="1010"/>
      <c r="F26" s="1010"/>
      <c r="G26" s="1011"/>
      <c r="H26" s="1002"/>
      <c r="I26" s="1002"/>
      <c r="J26" s="1002"/>
      <c r="K26" s="1002"/>
      <c r="L26" s="1002"/>
      <c r="M26" s="1003"/>
      <c r="N26" s="1040"/>
      <c r="O26" s="1010"/>
      <c r="P26" s="1010"/>
      <c r="Q26" s="1010"/>
      <c r="R26" s="1010"/>
      <c r="S26" s="1011"/>
      <c r="T26" s="1032"/>
      <c r="U26" s="1137"/>
      <c r="V26" s="1138"/>
      <c r="W26" s="1040"/>
      <c r="X26" s="1010"/>
      <c r="Y26" s="1010"/>
      <c r="Z26" s="1010"/>
      <c r="AA26" s="1010"/>
      <c r="AB26" s="1011"/>
      <c r="AC26" s="1032"/>
      <c r="AD26" s="1137"/>
      <c r="AE26" s="1138"/>
      <c r="AF26" s="1135" t="str">
        <f>IFERROR(IF($C26="", "", IF(OR($C26 = "Retrofit existing", $C26 = "Replace in-life equip."), "Total", "Incremental")), "")</f>
        <v/>
      </c>
      <c r="AG26" s="1136"/>
      <c r="AH26" s="993"/>
      <c r="AI26" s="993"/>
      <c r="AJ26" s="1083" t="str">
        <f t="shared" ref="AJ26" si="27">IF(AF26="Incremental",0,"")</f>
        <v/>
      </c>
      <c r="AK26" s="1084"/>
      <c r="AL26" s="1030" t="str">
        <f>IF(OR(C26="",H26="",N26="",T26="",W26="",AC26="",AF26="",AH26="",AJ26=""),"",ROUND(AH26+AJ26,2))</f>
        <v/>
      </c>
      <c r="AM26" s="1031"/>
      <c r="AN26" s="1031"/>
      <c r="AO26" s="1036" t="str">
        <f>IF(OR(C26="",H26="",N26="",T26="",W26="",AC26="",AF26="",AH26="",AJ26=""),"",IF(BA26-BB26&lt;=0,0,ROUND(BA26-BB26,4)))</f>
        <v/>
      </c>
      <c r="AP26" s="1036"/>
      <c r="AQ26" s="1036"/>
      <c r="AR26" s="1072" t="str">
        <f>IF(OR(C26="",H26="",N26="",T26="",W26="",AC26="",AF26="",AH26="",AJ26=""),"",
IF(BY26&lt;&gt;"",BY26,IF(BP26&gt;0,BP26,
IF(AF26="Incremental",
IF(ACTIVEBLOCK="Yes",ROUND(MIN(AL26*INCCOSTCAP,AO26*BLOCKBIDRATE),2),
ROUND(MIN(AL26*INCCOSTCAP,BR26),2)),
IF(ACTIVEBLOCK="Yes",ROUND(MIN(AL26*TOTCOSTCAP,AO26*BLOCKBIDRATE),2),
ROUND(MIN(AL26*TOTCOSTCAP,BR26),2))))))</f>
        <v/>
      </c>
      <c r="AS26" s="1073"/>
      <c r="AT26" s="1073"/>
      <c r="AU26" s="1074"/>
      <c r="AV26" s="37"/>
      <c r="AW26" s="37"/>
      <c r="AX26" s="773" t="str">
        <f>IF(OR(C26="",H26=""),"",INDEX(CMEMOTOR[Unit of Measure],MATCH(H26,CMEMOTOR[Proj Desc 1],0)))</f>
        <v/>
      </c>
      <c r="AY26" s="759" t="str">
        <f t="shared" ref="AY26" si="28">IF(AO26&lt;&gt;"","Missing!","")</f>
        <v/>
      </c>
      <c r="AZ26" s="759" t="str">
        <f t="shared" ref="AZ26" si="29">IF(AO26&lt;&gt;"","Missing!","")</f>
        <v/>
      </c>
      <c r="BA26" s="771" t="str">
        <f t="shared" ref="BA26" si="30">IF(OR(C26="",H26="",N26="",T26="",W26="",AC26="",AF26="",AH26="",AJ26=""),"",ROUND(T26,4))</f>
        <v/>
      </c>
      <c r="BB26" s="771" t="str">
        <f t="shared" ref="BB26" si="31">IF(OR(C26="",H26="",N26="",T26="",W26="",AC26="",AF26="",AH26="",AJ26=""),"",ROUND(AC26,4))</f>
        <v/>
      </c>
      <c r="BC26" s="773" t="str">
        <f>IF(OR(C26="",H26=""),"",IF(INDEX(CMEMOTOR[End Use Category],MATCH(H26,CMEMOTOR[Proj Desc 1],0))="","",INDEX(CMEMOTOR[End Use Category],MATCH(H26,CMEMOTOR[Proj Desc 1],0))))</f>
        <v/>
      </c>
      <c r="BD26" s="757" t="str">
        <f t="shared" ref="BD26" si="32">IF(BE26&lt;&gt;"", "Calculated", "")</f>
        <v/>
      </c>
      <c r="BE26" s="775" t="str">
        <f t="shared" ref="BE26" si="33">IF(AND(BA26&lt;&gt;"", BB26&lt;&gt;""), ROUND(BA26-BB26,4), "")</f>
        <v/>
      </c>
      <c r="BF26" s="1098"/>
      <c r="BG26" s="775" t="str">
        <f>IFERROR(IF(OR(C26="",H26="",N26="",T26="",W26="",AC26="",AF26="",AH26="",AJ26=""),"",ROUND(AO26*INDEX(ENDUSEALL[Factor],MATCH(BC26,ENDUSEALL[End Use to Coincident Peak Demand Factors],0)),4)),"")</f>
        <v/>
      </c>
      <c r="BH26" s="761"/>
      <c r="BI26" s="761"/>
      <c r="BJ26" s="777" t="str">
        <f>IF(OR(C26="",H26=""),"",IF(INDEX(CMEMOTOR[EUL],MATCH(H26,CMEMOTOR[Proj Desc 1],0))="","",INDEX(CMEMOTOR[EUL],MATCH(H26,CMEMOTOR[Proj Desc 1],0))))</f>
        <v/>
      </c>
      <c r="BK26" s="767" t="str">
        <f>IFERROR(IF(OR(C26="",H26="",N26="",T26="",W26="",AC26="",AF26="",AH26="",AJ26=""),"",
ROUND(((1+ELOSS)*((AO26*INDEX(ELECCB[NPV AEC $/kWh],MATCH(BJ26,ELECCB[Year Number],1)))+(BG26*INDEX(ELECCB[NPV ACC $/kW],MATCH(BJ26,ELECCB[Year Number],1))))),2)),0)</f>
        <v/>
      </c>
      <c r="BL26" s="767" t="str">
        <f t="shared" si="1"/>
        <v/>
      </c>
      <c r="BM26" s="765"/>
      <c r="BN26" s="763" t="str">
        <f t="shared" si="2"/>
        <v/>
      </c>
      <c r="BO26" s="763" t="str">
        <f>IFERROR(IF(BM26 &lt;&gt; "", BM26, BL26) / M02S04F06 / AO26, "")</f>
        <v/>
      </c>
      <c r="BP26" s="769"/>
      <c r="BQ26" s="765"/>
      <c r="BR26" s="767" t="str">
        <f t="shared" ref="BR26" si="34">IFERROR(ROUND(AO26*BV26,2),"")</f>
        <v/>
      </c>
      <c r="BS26" s="765"/>
      <c r="BT26" s="765"/>
      <c r="BU26" s="757"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67"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57" t="str">
        <f>IF(OR(C26="",H26="",N26="",T26="",W26="",AC26="",AF26="",AH26="",AJ26=""),"",IF(BY26&lt;&gt;"",SPILLOVERNUMBER,INDEX(CMEMOTOR[Measure Number],MATCH(H26,CMEMOTOR[Proj Desc 1],0))))</f>
        <v/>
      </c>
      <c r="BX26" s="757" t="str" cm="1">
        <f t="array" ref="BX26">IFERROR(INDEX(_xlfn.SWITCH(Program_Banner,"Business Energy Savings",ENDUSEALL[Primary Key WBE],"Small Business / Non-Profit",ENDUSEALL[Primary Key HTRB],0),MATCH(BC26,ENDUSEALL[End Use to Coincident Peak Demand Factors],0)),"")</f>
        <v/>
      </c>
      <c r="BY26" s="757"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53"/>
      <c r="CA26" s="753"/>
      <c r="CB26" s="753"/>
      <c r="CC26" s="753"/>
    </row>
    <row r="27" spans="1:81" ht="15.95" customHeight="1">
      <c r="B27" s="785"/>
      <c r="C27" s="1012"/>
      <c r="D27" s="1013"/>
      <c r="E27" s="1013"/>
      <c r="F27" s="1013"/>
      <c r="G27" s="1014"/>
      <c r="H27" s="1002"/>
      <c r="I27" s="1002"/>
      <c r="J27" s="1002"/>
      <c r="K27" s="1002"/>
      <c r="L27" s="1002"/>
      <c r="M27" s="1003"/>
      <c r="N27" s="1041"/>
      <c r="O27" s="1013"/>
      <c r="P27" s="1013"/>
      <c r="Q27" s="1013"/>
      <c r="R27" s="1013"/>
      <c r="S27" s="1014"/>
      <c r="T27" s="1034"/>
      <c r="U27" s="1139"/>
      <c r="V27" s="1140"/>
      <c r="W27" s="1041"/>
      <c r="X27" s="1013"/>
      <c r="Y27" s="1013"/>
      <c r="Z27" s="1013"/>
      <c r="AA27" s="1013"/>
      <c r="AB27" s="1014"/>
      <c r="AC27" s="1034"/>
      <c r="AD27" s="1139"/>
      <c r="AE27" s="1140"/>
      <c r="AF27" s="1135"/>
      <c r="AG27" s="1136"/>
      <c r="AH27" s="993"/>
      <c r="AI27" s="993"/>
      <c r="AJ27" s="1083"/>
      <c r="AK27" s="1084"/>
      <c r="AL27" s="1006"/>
      <c r="AM27" s="1007"/>
      <c r="AN27" s="1007"/>
      <c r="AO27" s="1037"/>
      <c r="AP27" s="1037"/>
      <c r="AQ27" s="1037"/>
      <c r="AR27" s="1075"/>
      <c r="AS27" s="1076"/>
      <c r="AT27" s="1076"/>
      <c r="AU27" s="1077"/>
      <c r="AV27" s="37"/>
      <c r="AW27" s="37"/>
      <c r="AX27" s="774"/>
      <c r="AY27" s="760"/>
      <c r="AZ27" s="760"/>
      <c r="BA27" s="772"/>
      <c r="BB27" s="772"/>
      <c r="BC27" s="774"/>
      <c r="BD27" s="758"/>
      <c r="BE27" s="776"/>
      <c r="BF27" s="1099"/>
      <c r="BG27" s="776"/>
      <c r="BH27" s="762"/>
      <c r="BI27" s="762"/>
      <c r="BJ27" s="778"/>
      <c r="BK27" s="768"/>
      <c r="BL27" s="768"/>
      <c r="BM27" s="766"/>
      <c r="BN27" s="764"/>
      <c r="BO27" s="764"/>
      <c r="BP27" s="770"/>
      <c r="BQ27" s="766"/>
      <c r="BR27" s="768"/>
      <c r="BS27" s="766"/>
      <c r="BT27" s="766"/>
      <c r="BU27" s="758"/>
      <c r="BV27" s="768"/>
      <c r="BW27" s="758"/>
      <c r="BX27" s="758"/>
      <c r="BY27" s="758"/>
      <c r="BZ27" s="754"/>
      <c r="CA27" s="754"/>
      <c r="CB27" s="754"/>
      <c r="CC27" s="754"/>
    </row>
    <row r="28" spans="1:81" ht="15.95" customHeight="1">
      <c r="B28" s="785">
        <v>6</v>
      </c>
      <c r="C28" s="1009"/>
      <c r="D28" s="1010"/>
      <c r="E28" s="1010"/>
      <c r="F28" s="1010"/>
      <c r="G28" s="1011"/>
      <c r="H28" s="1002"/>
      <c r="I28" s="1002"/>
      <c r="J28" s="1002"/>
      <c r="K28" s="1002"/>
      <c r="L28" s="1002"/>
      <c r="M28" s="1003"/>
      <c r="N28" s="1040"/>
      <c r="O28" s="1010"/>
      <c r="P28" s="1010"/>
      <c r="Q28" s="1010"/>
      <c r="R28" s="1010"/>
      <c r="S28" s="1011"/>
      <c r="T28" s="1032"/>
      <c r="U28" s="1137"/>
      <c r="V28" s="1138"/>
      <c r="W28" s="1040"/>
      <c r="X28" s="1010"/>
      <c r="Y28" s="1010"/>
      <c r="Z28" s="1010"/>
      <c r="AA28" s="1010"/>
      <c r="AB28" s="1011"/>
      <c r="AC28" s="1032"/>
      <c r="AD28" s="1137"/>
      <c r="AE28" s="1138"/>
      <c r="AF28" s="1135" t="str">
        <f>IFERROR(IF($C28="", "", IF(OR($C28 = "Retrofit existing", $C28 = "Replace in-life equip."), "Total", "Incremental")), "")</f>
        <v/>
      </c>
      <c r="AG28" s="1136"/>
      <c r="AH28" s="993"/>
      <c r="AI28" s="993"/>
      <c r="AJ28" s="1083" t="str">
        <f t="shared" ref="AJ28" si="35">IF(AF28="Incremental",0,"")</f>
        <v/>
      </c>
      <c r="AK28" s="1084"/>
      <c r="AL28" s="1030" t="str">
        <f>IF(OR(C28="",H28="",N28="",T28="",W28="",AC28="",AF28="",AH28="",AJ28=""),"",ROUND(AH28+AJ28,2))</f>
        <v/>
      </c>
      <c r="AM28" s="1031"/>
      <c r="AN28" s="1031"/>
      <c r="AO28" s="1036" t="str">
        <f>IF(OR(C28="",H28="",N28="",T28="",W28="",AC28="",AF28="",AH28="",AJ28=""),"",IF(BA28-BB28&lt;=0,0,ROUND(BA28-BB28,4)))</f>
        <v/>
      </c>
      <c r="AP28" s="1036"/>
      <c r="AQ28" s="1036"/>
      <c r="AR28" s="1072" t="str">
        <f>IF(OR(C28="",H28="",N28="",T28="",W28="",AC28="",AF28="",AH28="",AJ28=""),"",
IF(BY28&lt;&gt;"",BY28,IF(BP28&gt;0,BP28,
IF(AF28="Incremental",
IF(ACTIVEBLOCK="Yes",ROUND(MIN(AL28*INCCOSTCAP,AO28*BLOCKBIDRATE),2),
ROUND(MIN(AL28*INCCOSTCAP,BR28),2)),
IF(ACTIVEBLOCK="Yes",ROUND(MIN(AL28*TOTCOSTCAP,AO28*BLOCKBIDRATE),2),
ROUND(MIN(AL28*TOTCOSTCAP,BR28),2))))))</f>
        <v/>
      </c>
      <c r="AS28" s="1073"/>
      <c r="AT28" s="1073"/>
      <c r="AU28" s="1074"/>
      <c r="AV28" s="37"/>
      <c r="AW28" s="37"/>
      <c r="AX28" s="773" t="str">
        <f>IF(OR(C28="",H28=""),"",INDEX(CMEMOTOR[Unit of Measure],MATCH(H28,CMEMOTOR[Proj Desc 1],0)))</f>
        <v/>
      </c>
      <c r="AY28" s="759" t="str">
        <f t="shared" ref="AY28" si="36">IF(AO28&lt;&gt;"","Missing!","")</f>
        <v/>
      </c>
      <c r="AZ28" s="759" t="str">
        <f t="shared" ref="AZ28" si="37">IF(AO28&lt;&gt;"","Missing!","")</f>
        <v/>
      </c>
      <c r="BA28" s="771" t="str">
        <f t="shared" ref="BA28" si="38">IF(OR(C28="",H28="",N28="",T28="",W28="",AC28="",AF28="",AH28="",AJ28=""),"",ROUND(T28,4))</f>
        <v/>
      </c>
      <c r="BB28" s="771" t="str">
        <f t="shared" ref="BB28" si="39">IF(OR(C28="",H28="",N28="",T28="",W28="",AC28="",AF28="",AH28="",AJ28=""),"",ROUND(AC28,4))</f>
        <v/>
      </c>
      <c r="BC28" s="773" t="str">
        <f>IF(OR(C28="",H28=""),"",IF(INDEX(CMEMOTOR[End Use Category],MATCH(H28,CMEMOTOR[Proj Desc 1],0))="","",INDEX(CMEMOTOR[End Use Category],MATCH(H28,CMEMOTOR[Proj Desc 1],0))))</f>
        <v/>
      </c>
      <c r="BD28" s="757" t="str">
        <f t="shared" ref="BD28" si="40">IF(BE28&lt;&gt;"", "Calculated", "")</f>
        <v/>
      </c>
      <c r="BE28" s="775" t="str">
        <f t="shared" ref="BE28" si="41">IF(AND(BA28&lt;&gt;"", BB28&lt;&gt;""), ROUND(BA28-BB28,4), "")</f>
        <v/>
      </c>
      <c r="BF28" s="1098"/>
      <c r="BG28" s="775" t="str">
        <f>IFERROR(IF(OR(C28="",H28="",N28="",T28="",W28="",AC28="",AF28="",AH28="",AJ28=""),"",ROUND(AO28*INDEX(ENDUSEALL[Factor],MATCH(BC28,ENDUSEALL[End Use to Coincident Peak Demand Factors],0)),4)),"")</f>
        <v/>
      </c>
      <c r="BH28" s="761"/>
      <c r="BI28" s="761"/>
      <c r="BJ28" s="777" t="str">
        <f>IF(OR(C28="",H28=""),"",IF(INDEX(CMEMOTOR[EUL],MATCH(H28,CMEMOTOR[Proj Desc 1],0))="","",INDEX(CMEMOTOR[EUL],MATCH(H28,CMEMOTOR[Proj Desc 1],0))))</f>
        <v/>
      </c>
      <c r="BK28" s="767" t="str">
        <f>IFERROR(IF(OR(C28="",H28="",N28="",T28="",W28="",AC28="",AF28="",AH28="",AJ28=""),"",
ROUND(((1+ELOSS)*((AO28*INDEX(ELECCB[NPV AEC $/kWh],MATCH(BJ28,ELECCB[Year Number],1)))+(BG28*INDEX(ELECCB[NPV ACC $/kW],MATCH(BJ28,ELECCB[Year Number],1))))),2)),0)</f>
        <v/>
      </c>
      <c r="BL28" s="767" t="str">
        <f t="shared" si="1"/>
        <v/>
      </c>
      <c r="BM28" s="765"/>
      <c r="BN28" s="763" t="str">
        <f t="shared" si="2"/>
        <v/>
      </c>
      <c r="BO28" s="763" t="str">
        <f>IFERROR(IF(BM28 &lt;&gt; "", BM28, BL28) / M02S04F06 / AO28, "")</f>
        <v/>
      </c>
      <c r="BP28" s="769"/>
      <c r="BQ28" s="765"/>
      <c r="BR28" s="767" t="str">
        <f t="shared" ref="BR28" si="42">IFERROR(ROUND(AO28*BV28,2),"")</f>
        <v/>
      </c>
      <c r="BS28" s="765"/>
      <c r="BT28" s="765"/>
      <c r="BU28" s="757"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67"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57" t="str">
        <f>IF(OR(C28="",H28="",N28="",T28="",W28="",AC28="",AF28="",AH28="",AJ28=""),"",IF(BY28&lt;&gt;"",SPILLOVERNUMBER,INDEX(CMEMOTOR[Measure Number],MATCH(H28,CMEMOTOR[Proj Desc 1],0))))</f>
        <v/>
      </c>
      <c r="BX28" s="757" t="str" cm="1">
        <f t="array" ref="BX28">IFERROR(INDEX(_xlfn.SWITCH(Program_Banner,"Business Energy Savings",ENDUSEALL[Primary Key WBE],"Small Business / Non-Profit",ENDUSEALL[Primary Key HTRB],0),MATCH(BC28,ENDUSEALL[End Use to Coincident Peak Demand Factors],0)),"")</f>
        <v/>
      </c>
      <c r="BY28" s="757"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53"/>
      <c r="CA28" s="753"/>
      <c r="CB28" s="753"/>
      <c r="CC28" s="753"/>
    </row>
    <row r="29" spans="1:81" ht="15.95" customHeight="1">
      <c r="B29" s="785"/>
      <c r="C29" s="1012"/>
      <c r="D29" s="1013"/>
      <c r="E29" s="1013"/>
      <c r="F29" s="1013"/>
      <c r="G29" s="1014"/>
      <c r="H29" s="1002"/>
      <c r="I29" s="1002"/>
      <c r="J29" s="1002"/>
      <c r="K29" s="1002"/>
      <c r="L29" s="1002"/>
      <c r="M29" s="1003"/>
      <c r="N29" s="1041"/>
      <c r="O29" s="1013"/>
      <c r="P29" s="1013"/>
      <c r="Q29" s="1013"/>
      <c r="R29" s="1013"/>
      <c r="S29" s="1014"/>
      <c r="T29" s="1034"/>
      <c r="U29" s="1139"/>
      <c r="V29" s="1140"/>
      <c r="W29" s="1041"/>
      <c r="X29" s="1013"/>
      <c r="Y29" s="1013"/>
      <c r="Z29" s="1013"/>
      <c r="AA29" s="1013"/>
      <c r="AB29" s="1014"/>
      <c r="AC29" s="1034"/>
      <c r="AD29" s="1139"/>
      <c r="AE29" s="1140"/>
      <c r="AF29" s="1135"/>
      <c r="AG29" s="1136"/>
      <c r="AH29" s="993"/>
      <c r="AI29" s="993"/>
      <c r="AJ29" s="1083"/>
      <c r="AK29" s="1084"/>
      <c r="AL29" s="1006"/>
      <c r="AM29" s="1007"/>
      <c r="AN29" s="1007"/>
      <c r="AO29" s="1037"/>
      <c r="AP29" s="1037"/>
      <c r="AQ29" s="1037"/>
      <c r="AR29" s="1075"/>
      <c r="AS29" s="1076"/>
      <c r="AT29" s="1076"/>
      <c r="AU29" s="1077"/>
      <c r="AV29" s="37"/>
      <c r="AW29" s="37"/>
      <c r="AX29" s="774"/>
      <c r="AY29" s="760"/>
      <c r="AZ29" s="760"/>
      <c r="BA29" s="772"/>
      <c r="BB29" s="772"/>
      <c r="BC29" s="774"/>
      <c r="BD29" s="758"/>
      <c r="BE29" s="776"/>
      <c r="BF29" s="1099"/>
      <c r="BG29" s="776"/>
      <c r="BH29" s="762"/>
      <c r="BI29" s="762"/>
      <c r="BJ29" s="778"/>
      <c r="BK29" s="768"/>
      <c r="BL29" s="768"/>
      <c r="BM29" s="766"/>
      <c r="BN29" s="764"/>
      <c r="BO29" s="764"/>
      <c r="BP29" s="770"/>
      <c r="BQ29" s="766"/>
      <c r="BR29" s="768"/>
      <c r="BS29" s="766"/>
      <c r="BT29" s="766"/>
      <c r="BU29" s="758"/>
      <c r="BV29" s="768"/>
      <c r="BW29" s="758"/>
      <c r="BX29" s="758"/>
      <c r="BY29" s="758"/>
      <c r="BZ29" s="754"/>
      <c r="CA29" s="754"/>
      <c r="CB29" s="754"/>
      <c r="CC29" s="754"/>
    </row>
    <row r="30" spans="1:81" ht="15.95" customHeight="1">
      <c r="B30" s="785">
        <v>7</v>
      </c>
      <c r="C30" s="1009"/>
      <c r="D30" s="1010"/>
      <c r="E30" s="1010"/>
      <c r="F30" s="1010"/>
      <c r="G30" s="1011"/>
      <c r="H30" s="1002"/>
      <c r="I30" s="1002"/>
      <c r="J30" s="1002"/>
      <c r="K30" s="1002"/>
      <c r="L30" s="1002"/>
      <c r="M30" s="1003"/>
      <c r="N30" s="1040"/>
      <c r="O30" s="1010"/>
      <c r="P30" s="1010"/>
      <c r="Q30" s="1010"/>
      <c r="R30" s="1010"/>
      <c r="S30" s="1011"/>
      <c r="T30" s="1032"/>
      <c r="U30" s="1137"/>
      <c r="V30" s="1138"/>
      <c r="W30" s="1040"/>
      <c r="X30" s="1010"/>
      <c r="Y30" s="1010"/>
      <c r="Z30" s="1010"/>
      <c r="AA30" s="1010"/>
      <c r="AB30" s="1011"/>
      <c r="AC30" s="1032"/>
      <c r="AD30" s="1137"/>
      <c r="AE30" s="1138"/>
      <c r="AF30" s="1135" t="str">
        <f>IFERROR(IF($C30="", "", IF(OR($C30 = "Retrofit existing", $C30 = "Replace in-life equip."), "Total", "Incremental")), "")</f>
        <v/>
      </c>
      <c r="AG30" s="1136"/>
      <c r="AH30" s="993"/>
      <c r="AI30" s="993"/>
      <c r="AJ30" s="1083" t="str">
        <f t="shared" ref="AJ30" si="43">IF(AF30="Incremental",0,"")</f>
        <v/>
      </c>
      <c r="AK30" s="1084"/>
      <c r="AL30" s="1030" t="str">
        <f>IF(OR(C30="",H30="",N30="",T30="",W30="",AC30="",AF30="",AH30="",AJ30=""),"",ROUND(AH30+AJ30,2))</f>
        <v/>
      </c>
      <c r="AM30" s="1031"/>
      <c r="AN30" s="1031"/>
      <c r="AO30" s="1036" t="str">
        <f>IF(OR(C30="",H30="",N30="",T30="",W30="",AC30="",AF30="",AH30="",AJ30=""),"",IF(BA30-BB30&lt;=0,0,ROUND(BA30-BB30,4)))</f>
        <v/>
      </c>
      <c r="AP30" s="1036"/>
      <c r="AQ30" s="1036"/>
      <c r="AR30" s="1072" t="str">
        <f>IF(OR(C30="",H30="",N30="",T30="",W30="",AC30="",AF30="",AH30="",AJ30=""),"",
IF(BY30&lt;&gt;"",BY30,IF(BP30&gt;0,BP30,
IF(AF30="Incremental",
IF(ACTIVEBLOCK="Yes",ROUND(MIN(AL30*INCCOSTCAP,AO30*BLOCKBIDRATE),2),
ROUND(MIN(AL30*INCCOSTCAP,BR30),2)),
IF(ACTIVEBLOCK="Yes",ROUND(MIN(AL30*TOTCOSTCAP,AO30*BLOCKBIDRATE),2),
ROUND(MIN(AL30*TOTCOSTCAP,BR30),2))))))</f>
        <v/>
      </c>
      <c r="AS30" s="1073"/>
      <c r="AT30" s="1073"/>
      <c r="AU30" s="1074"/>
      <c r="AV30" s="37"/>
      <c r="AW30" s="37"/>
      <c r="AX30" s="773" t="str">
        <f>IF(OR(C30="",H30=""),"",INDEX(CMEMOTOR[Unit of Measure],MATCH(H30,CMEMOTOR[Proj Desc 1],0)))</f>
        <v/>
      </c>
      <c r="AY30" s="759" t="str">
        <f t="shared" ref="AY30" si="44">IF(AO30&lt;&gt;"","Missing!","")</f>
        <v/>
      </c>
      <c r="AZ30" s="759" t="str">
        <f t="shared" ref="AZ30" si="45">IF(AO30&lt;&gt;"","Missing!","")</f>
        <v/>
      </c>
      <c r="BA30" s="771" t="str">
        <f t="shared" ref="BA30" si="46">IF(OR(C30="",H30="",N30="",T30="",W30="",AC30="",AF30="",AH30="",AJ30=""),"",ROUND(T30,4))</f>
        <v/>
      </c>
      <c r="BB30" s="771" t="str">
        <f t="shared" ref="BB30" si="47">IF(OR(C30="",H30="",N30="",T30="",W30="",AC30="",AF30="",AH30="",AJ30=""),"",ROUND(AC30,4))</f>
        <v/>
      </c>
      <c r="BC30" s="773" t="str">
        <f>IF(OR(C30="",H30=""),"",IF(INDEX(CMEMOTOR[End Use Category],MATCH(H30,CMEMOTOR[Proj Desc 1],0))="","",INDEX(CMEMOTOR[End Use Category],MATCH(H30,CMEMOTOR[Proj Desc 1],0))))</f>
        <v/>
      </c>
      <c r="BD30" s="757" t="str">
        <f t="shared" ref="BD30" si="48">IF(BE30&lt;&gt;"", "Calculated", "")</f>
        <v/>
      </c>
      <c r="BE30" s="775" t="str">
        <f t="shared" ref="BE30" si="49">IF(AND(BA30&lt;&gt;"", BB30&lt;&gt;""), ROUND(BA30-BB30,4), "")</f>
        <v/>
      </c>
      <c r="BF30" s="1098"/>
      <c r="BG30" s="775" t="str">
        <f>IFERROR(IF(OR(C30="",H30="",N30="",T30="",W30="",AC30="",AF30="",AH30="",AJ30=""),"",ROUND(AO30*INDEX(ENDUSEALL[Factor],MATCH(BC30,ENDUSEALL[End Use to Coincident Peak Demand Factors],0)),4)),"")</f>
        <v/>
      </c>
      <c r="BH30" s="761"/>
      <c r="BI30" s="761"/>
      <c r="BJ30" s="777" t="str">
        <f>IF(OR(C30="",H30=""),"",IF(INDEX(CMEMOTOR[EUL],MATCH(H30,CMEMOTOR[Proj Desc 1],0))="","",INDEX(CMEMOTOR[EUL],MATCH(H30,CMEMOTOR[Proj Desc 1],0))))</f>
        <v/>
      </c>
      <c r="BK30" s="767" t="str">
        <f>IFERROR(IF(OR(C30="",H30="",N30="",T30="",W30="",AC30="",AF30="",AH30="",AJ30=""),"",
ROUND(((1+ELOSS)*((AO30*INDEX(ELECCB[NPV AEC $/kWh],MATCH(BJ30,ELECCB[Year Number],1)))+(BG30*INDEX(ELECCB[NPV ACC $/kW],MATCH(BJ30,ELECCB[Year Number],1))))),2)),0)</f>
        <v/>
      </c>
      <c r="BL30" s="767" t="str">
        <f t="shared" si="1"/>
        <v/>
      </c>
      <c r="BM30" s="765"/>
      <c r="BN30" s="763" t="str">
        <f t="shared" si="2"/>
        <v/>
      </c>
      <c r="BO30" s="763" t="str">
        <f>IFERROR(IF(BM30 &lt;&gt; "", BM30, BL30) / M02S04F06 / AO30, "")</f>
        <v/>
      </c>
      <c r="BP30" s="769"/>
      <c r="BQ30" s="765"/>
      <c r="BR30" s="767" t="str">
        <f t="shared" ref="BR30" si="50">IFERROR(ROUND(AO30*BV30,2),"")</f>
        <v/>
      </c>
      <c r="BS30" s="765"/>
      <c r="BT30" s="765"/>
      <c r="BU30" s="757"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67"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57" t="str">
        <f>IF(OR(C30="",H30="",N30="",T30="",W30="",AC30="",AF30="",AH30="",AJ30=""),"",IF(BY30&lt;&gt;"",SPILLOVERNUMBER,INDEX(CMEMOTOR[Measure Number],MATCH(H30,CMEMOTOR[Proj Desc 1],0))))</f>
        <v/>
      </c>
      <c r="BX30" s="757" t="str" cm="1">
        <f t="array" ref="BX30">IFERROR(INDEX(_xlfn.SWITCH(Program_Banner,"Business Energy Savings",ENDUSEALL[Primary Key WBE],"Small Business / Non-Profit",ENDUSEALL[Primary Key HTRB],0),MATCH(BC30,ENDUSEALL[End Use to Coincident Peak Demand Factors],0)),"")</f>
        <v/>
      </c>
      <c r="BY30" s="757"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53"/>
      <c r="CA30" s="753"/>
      <c r="CB30" s="753"/>
      <c r="CC30" s="753"/>
    </row>
    <row r="31" spans="1:81" ht="15.95" customHeight="1">
      <c r="B31" s="785"/>
      <c r="C31" s="1012"/>
      <c r="D31" s="1013"/>
      <c r="E31" s="1013"/>
      <c r="F31" s="1013"/>
      <c r="G31" s="1014"/>
      <c r="H31" s="1002"/>
      <c r="I31" s="1002"/>
      <c r="J31" s="1002"/>
      <c r="K31" s="1002"/>
      <c r="L31" s="1002"/>
      <c r="M31" s="1003"/>
      <c r="N31" s="1041"/>
      <c r="O31" s="1013"/>
      <c r="P31" s="1013"/>
      <c r="Q31" s="1013"/>
      <c r="R31" s="1013"/>
      <c r="S31" s="1014"/>
      <c r="T31" s="1034"/>
      <c r="U31" s="1139"/>
      <c r="V31" s="1140"/>
      <c r="W31" s="1041"/>
      <c r="X31" s="1013"/>
      <c r="Y31" s="1013"/>
      <c r="Z31" s="1013"/>
      <c r="AA31" s="1013"/>
      <c r="AB31" s="1014"/>
      <c r="AC31" s="1034"/>
      <c r="AD31" s="1139"/>
      <c r="AE31" s="1140"/>
      <c r="AF31" s="1135"/>
      <c r="AG31" s="1136"/>
      <c r="AH31" s="993"/>
      <c r="AI31" s="993"/>
      <c r="AJ31" s="1083"/>
      <c r="AK31" s="1084"/>
      <c r="AL31" s="1006"/>
      <c r="AM31" s="1007"/>
      <c r="AN31" s="1007"/>
      <c r="AO31" s="1037"/>
      <c r="AP31" s="1037"/>
      <c r="AQ31" s="1037"/>
      <c r="AR31" s="1075"/>
      <c r="AS31" s="1076"/>
      <c r="AT31" s="1076"/>
      <c r="AU31" s="1077"/>
      <c r="AV31" s="37"/>
      <c r="AW31" s="37"/>
      <c r="AX31" s="774"/>
      <c r="AY31" s="760"/>
      <c r="AZ31" s="760"/>
      <c r="BA31" s="772"/>
      <c r="BB31" s="772"/>
      <c r="BC31" s="774"/>
      <c r="BD31" s="758"/>
      <c r="BE31" s="776"/>
      <c r="BF31" s="1099"/>
      <c r="BG31" s="776"/>
      <c r="BH31" s="762"/>
      <c r="BI31" s="762"/>
      <c r="BJ31" s="778"/>
      <c r="BK31" s="768"/>
      <c r="BL31" s="768"/>
      <c r="BM31" s="766"/>
      <c r="BN31" s="764"/>
      <c r="BO31" s="764"/>
      <c r="BP31" s="770"/>
      <c r="BQ31" s="766"/>
      <c r="BR31" s="768"/>
      <c r="BS31" s="766"/>
      <c r="BT31" s="766"/>
      <c r="BU31" s="758"/>
      <c r="BV31" s="768"/>
      <c r="BW31" s="758"/>
      <c r="BX31" s="758"/>
      <c r="BY31" s="758"/>
      <c r="BZ31" s="754"/>
      <c r="CA31" s="754"/>
      <c r="CB31" s="754"/>
      <c r="CC31" s="754"/>
    </row>
    <row r="32" spans="1:81" ht="15.95" customHeight="1">
      <c r="B32" s="785">
        <v>8</v>
      </c>
      <c r="C32" s="1009"/>
      <c r="D32" s="1010"/>
      <c r="E32" s="1010"/>
      <c r="F32" s="1010"/>
      <c r="G32" s="1011"/>
      <c r="H32" s="1002"/>
      <c r="I32" s="1002"/>
      <c r="J32" s="1002"/>
      <c r="K32" s="1002"/>
      <c r="L32" s="1002"/>
      <c r="M32" s="1003"/>
      <c r="N32" s="1040"/>
      <c r="O32" s="1010"/>
      <c r="P32" s="1010"/>
      <c r="Q32" s="1010"/>
      <c r="R32" s="1010"/>
      <c r="S32" s="1011"/>
      <c r="T32" s="1032"/>
      <c r="U32" s="1137"/>
      <c r="V32" s="1138"/>
      <c r="W32" s="1040"/>
      <c r="X32" s="1010"/>
      <c r="Y32" s="1010"/>
      <c r="Z32" s="1010"/>
      <c r="AA32" s="1010"/>
      <c r="AB32" s="1011"/>
      <c r="AC32" s="1032"/>
      <c r="AD32" s="1137"/>
      <c r="AE32" s="1138"/>
      <c r="AF32" s="1135" t="str">
        <f>IFERROR(IF($C32="", "", IF(OR($C32 = "Retrofit existing", $C32 = "Replace in-life equip."), "Total", "Incremental")), "")</f>
        <v/>
      </c>
      <c r="AG32" s="1136"/>
      <c r="AH32" s="993"/>
      <c r="AI32" s="993"/>
      <c r="AJ32" s="1083" t="str">
        <f t="shared" ref="AJ32" si="51">IF(AF32="Incremental",0,"")</f>
        <v/>
      </c>
      <c r="AK32" s="1084"/>
      <c r="AL32" s="1030" t="str">
        <f>IF(OR(C32="",H32="",N32="",T32="",W32="",AC32="",AF32="",AH32="",AJ32=""),"",ROUND(AH32+AJ32,2))</f>
        <v/>
      </c>
      <c r="AM32" s="1031"/>
      <c r="AN32" s="1031"/>
      <c r="AO32" s="1036" t="str">
        <f>IF(OR(C32="",H32="",N32="",T32="",W32="",AC32="",AF32="",AH32="",AJ32=""),"",IF(BA32-BB32&lt;=0,0,ROUND(BA32-BB32,4)))</f>
        <v/>
      </c>
      <c r="AP32" s="1036"/>
      <c r="AQ32" s="1036"/>
      <c r="AR32" s="1072" t="str">
        <f>IF(OR(C32="",H32="",N32="",T32="",W32="",AC32="",AF32="",AH32="",AJ32=""),"",
IF(BY32&lt;&gt;"",BY32,IF(BP32&gt;0,BP32,
IF(AF32="Incremental",
IF(ACTIVEBLOCK="Yes",ROUND(MIN(AL32*INCCOSTCAP,AO32*BLOCKBIDRATE),2),
ROUND(MIN(AL32*INCCOSTCAP,BR32),2)),
IF(ACTIVEBLOCK="Yes",ROUND(MIN(AL32*TOTCOSTCAP,AO32*BLOCKBIDRATE),2),
ROUND(MIN(AL32*TOTCOSTCAP,BR32),2))))))</f>
        <v/>
      </c>
      <c r="AS32" s="1073"/>
      <c r="AT32" s="1073"/>
      <c r="AU32" s="1074"/>
      <c r="AV32" s="37"/>
      <c r="AW32" s="37"/>
      <c r="AX32" s="773" t="str">
        <f>IF(OR(C32="",H32=""),"",INDEX(CMEMOTOR[Unit of Measure],MATCH(H32,CMEMOTOR[Proj Desc 1],0)))</f>
        <v/>
      </c>
      <c r="AY32" s="759" t="str">
        <f t="shared" ref="AY32" si="52">IF(AO32&lt;&gt;"","Missing!","")</f>
        <v/>
      </c>
      <c r="AZ32" s="759" t="str">
        <f t="shared" ref="AZ32" si="53">IF(AO32&lt;&gt;"","Missing!","")</f>
        <v/>
      </c>
      <c r="BA32" s="771" t="str">
        <f t="shared" ref="BA32" si="54">IF(OR(C32="",H32="",N32="",T32="",W32="",AC32="",AF32="",AH32="",AJ32=""),"",ROUND(T32,4))</f>
        <v/>
      </c>
      <c r="BB32" s="771" t="str">
        <f t="shared" ref="BB32" si="55">IF(OR(C32="",H32="",N32="",T32="",W32="",AC32="",AF32="",AH32="",AJ32=""),"",ROUND(AC32,4))</f>
        <v/>
      </c>
      <c r="BC32" s="773" t="str">
        <f>IF(OR(C32="",H32=""),"",IF(INDEX(CMEMOTOR[End Use Category],MATCH(H32,CMEMOTOR[Proj Desc 1],0))="","",INDEX(CMEMOTOR[End Use Category],MATCH(H32,CMEMOTOR[Proj Desc 1],0))))</f>
        <v/>
      </c>
      <c r="BD32" s="757" t="str">
        <f t="shared" ref="BD32" si="56">IF(BE32&lt;&gt;"", "Calculated", "")</f>
        <v/>
      </c>
      <c r="BE32" s="775" t="str">
        <f t="shared" ref="BE32" si="57">IF(AND(BA32&lt;&gt;"", BB32&lt;&gt;""), ROUND(BA32-BB32,4), "")</f>
        <v/>
      </c>
      <c r="BF32" s="1098"/>
      <c r="BG32" s="775" t="str">
        <f>IFERROR(IF(OR(C32="",H32="",N32="",T32="",W32="",AC32="",AF32="",AH32="",AJ32=""),"",ROUND(AO32*INDEX(ENDUSEALL[Factor],MATCH(BC32,ENDUSEALL[End Use to Coincident Peak Demand Factors],0)),4)),"")</f>
        <v/>
      </c>
      <c r="BH32" s="761"/>
      <c r="BI32" s="761"/>
      <c r="BJ32" s="777" t="str">
        <f>IF(OR(C32="",H32=""),"",IF(INDEX(CMEMOTOR[EUL],MATCH(H32,CMEMOTOR[Proj Desc 1],0))="","",INDEX(CMEMOTOR[EUL],MATCH(H32,CMEMOTOR[Proj Desc 1],0))))</f>
        <v/>
      </c>
      <c r="BK32" s="767" t="str">
        <f>IFERROR(IF(OR(C32="",H32="",N32="",T32="",W32="",AC32="",AF32="",AH32="",AJ32=""),"",
ROUND(((1+ELOSS)*((AO32*INDEX(ELECCB[NPV AEC $/kWh],MATCH(BJ32,ELECCB[Year Number],1)))+(BG32*INDEX(ELECCB[NPV ACC $/kW],MATCH(BJ32,ELECCB[Year Number],1))))),2)),0)</f>
        <v/>
      </c>
      <c r="BL32" s="767" t="str">
        <f t="shared" si="1"/>
        <v/>
      </c>
      <c r="BM32" s="765"/>
      <c r="BN32" s="763" t="str">
        <f t="shared" si="2"/>
        <v/>
      </c>
      <c r="BO32" s="763" t="str">
        <f>IFERROR(IF(BM32 &lt;&gt; "", BM32, BL32) / M02S04F06 / AO32, "")</f>
        <v/>
      </c>
      <c r="BP32" s="769"/>
      <c r="BQ32" s="765"/>
      <c r="BR32" s="767" t="str">
        <f t="shared" ref="BR32" si="58">IFERROR(ROUND(AO32*BV32,2),"")</f>
        <v/>
      </c>
      <c r="BS32" s="765"/>
      <c r="BT32" s="765"/>
      <c r="BU32" s="757"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67"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57" t="str">
        <f>IF(OR(C32="",H32="",N32="",T32="",W32="",AC32="",AF32="",AH32="",AJ32=""),"",IF(BY32&lt;&gt;"",SPILLOVERNUMBER,INDEX(CMEMOTOR[Measure Number],MATCH(H32,CMEMOTOR[Proj Desc 1],0))))</f>
        <v/>
      </c>
      <c r="BX32" s="757" t="str" cm="1">
        <f t="array" ref="BX32">IFERROR(INDEX(_xlfn.SWITCH(Program_Banner,"Business Energy Savings",ENDUSEALL[Primary Key WBE],"Small Business / Non-Profit",ENDUSEALL[Primary Key HTRB],0),MATCH(BC32,ENDUSEALL[End Use to Coincident Peak Demand Factors],0)),"")</f>
        <v/>
      </c>
      <c r="BY32" s="757"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53"/>
      <c r="CA32" s="753"/>
      <c r="CB32" s="753"/>
      <c r="CC32" s="753"/>
    </row>
    <row r="33" spans="2:81" ht="15.95" customHeight="1">
      <c r="B33" s="785"/>
      <c r="C33" s="1012"/>
      <c r="D33" s="1013"/>
      <c r="E33" s="1013"/>
      <c r="F33" s="1013"/>
      <c r="G33" s="1014"/>
      <c r="H33" s="1002"/>
      <c r="I33" s="1002"/>
      <c r="J33" s="1002"/>
      <c r="K33" s="1002"/>
      <c r="L33" s="1002"/>
      <c r="M33" s="1003"/>
      <c r="N33" s="1041"/>
      <c r="O33" s="1013"/>
      <c r="P33" s="1013"/>
      <c r="Q33" s="1013"/>
      <c r="R33" s="1013"/>
      <c r="S33" s="1014"/>
      <c r="T33" s="1034"/>
      <c r="U33" s="1139"/>
      <c r="V33" s="1140"/>
      <c r="W33" s="1041"/>
      <c r="X33" s="1013"/>
      <c r="Y33" s="1013"/>
      <c r="Z33" s="1013"/>
      <c r="AA33" s="1013"/>
      <c r="AB33" s="1014"/>
      <c r="AC33" s="1034"/>
      <c r="AD33" s="1139"/>
      <c r="AE33" s="1140"/>
      <c r="AF33" s="1135"/>
      <c r="AG33" s="1136"/>
      <c r="AH33" s="993"/>
      <c r="AI33" s="993"/>
      <c r="AJ33" s="1083"/>
      <c r="AK33" s="1084"/>
      <c r="AL33" s="1006"/>
      <c r="AM33" s="1007"/>
      <c r="AN33" s="1007"/>
      <c r="AO33" s="1037"/>
      <c r="AP33" s="1037"/>
      <c r="AQ33" s="1037"/>
      <c r="AR33" s="1075"/>
      <c r="AS33" s="1076"/>
      <c r="AT33" s="1076"/>
      <c r="AU33" s="1077"/>
      <c r="AV33" s="37"/>
      <c r="AW33" s="37"/>
      <c r="AX33" s="774"/>
      <c r="AY33" s="760"/>
      <c r="AZ33" s="760"/>
      <c r="BA33" s="772"/>
      <c r="BB33" s="772"/>
      <c r="BC33" s="774"/>
      <c r="BD33" s="758"/>
      <c r="BE33" s="776"/>
      <c r="BF33" s="1099"/>
      <c r="BG33" s="776"/>
      <c r="BH33" s="762"/>
      <c r="BI33" s="762"/>
      <c r="BJ33" s="778"/>
      <c r="BK33" s="768"/>
      <c r="BL33" s="768"/>
      <c r="BM33" s="766"/>
      <c r="BN33" s="764"/>
      <c r="BO33" s="764"/>
      <c r="BP33" s="770"/>
      <c r="BQ33" s="766"/>
      <c r="BR33" s="768"/>
      <c r="BS33" s="766"/>
      <c r="BT33" s="766"/>
      <c r="BU33" s="758"/>
      <c r="BV33" s="768"/>
      <c r="BW33" s="758"/>
      <c r="BX33" s="758"/>
      <c r="BY33" s="758"/>
      <c r="BZ33" s="754"/>
      <c r="CA33" s="754"/>
      <c r="CB33" s="754"/>
      <c r="CC33" s="754"/>
    </row>
    <row r="34" spans="2:81" ht="15.95" customHeight="1">
      <c r="B34" s="785">
        <v>9</v>
      </c>
      <c r="C34" s="1009"/>
      <c r="D34" s="1010"/>
      <c r="E34" s="1010"/>
      <c r="F34" s="1010"/>
      <c r="G34" s="1011"/>
      <c r="H34" s="1002"/>
      <c r="I34" s="1002"/>
      <c r="J34" s="1002"/>
      <c r="K34" s="1002"/>
      <c r="L34" s="1002"/>
      <c r="M34" s="1003"/>
      <c r="N34" s="1040"/>
      <c r="O34" s="1010"/>
      <c r="P34" s="1010"/>
      <c r="Q34" s="1010"/>
      <c r="R34" s="1010"/>
      <c r="S34" s="1011"/>
      <c r="T34" s="1032"/>
      <c r="U34" s="1137"/>
      <c r="V34" s="1138"/>
      <c r="W34" s="1040"/>
      <c r="X34" s="1010"/>
      <c r="Y34" s="1010"/>
      <c r="Z34" s="1010"/>
      <c r="AA34" s="1010"/>
      <c r="AB34" s="1011"/>
      <c r="AC34" s="1032"/>
      <c r="AD34" s="1137"/>
      <c r="AE34" s="1138"/>
      <c r="AF34" s="1135" t="str">
        <f>IFERROR(IF($C34="", "", IF(OR($C34 = "Retrofit existing", $C34 = "Replace in-life equip."), "Total", "Incremental")), "")</f>
        <v/>
      </c>
      <c r="AG34" s="1136"/>
      <c r="AH34" s="993"/>
      <c r="AI34" s="993"/>
      <c r="AJ34" s="1083" t="str">
        <f t="shared" ref="AJ34" si="59">IF(AF34="Incremental",0,"")</f>
        <v/>
      </c>
      <c r="AK34" s="1084"/>
      <c r="AL34" s="1030" t="str">
        <f>IF(OR(C34="",H34="",N34="",T34="",W34="",AC34="",AF34="",AH34="",AJ34=""),"",ROUND(AH34+AJ34,2))</f>
        <v/>
      </c>
      <c r="AM34" s="1031"/>
      <c r="AN34" s="1031"/>
      <c r="AO34" s="1036" t="str">
        <f>IF(OR(C34="",H34="",N34="",T34="",W34="",AC34="",AF34="",AH34="",AJ34=""),"",IF(BA34-BB34&lt;=0,0,ROUND(BA34-BB34,4)))</f>
        <v/>
      </c>
      <c r="AP34" s="1036"/>
      <c r="AQ34" s="1036"/>
      <c r="AR34" s="1072" t="str">
        <f>IF(OR(C34="",H34="",N34="",T34="",W34="",AC34="",AF34="",AH34="",AJ34=""),"",
IF(BY34&lt;&gt;"",BY34,IF(BP34&gt;0,BP34,
IF(AF34="Incremental",
IF(ACTIVEBLOCK="Yes",ROUND(MIN(AL34*INCCOSTCAP,AO34*BLOCKBIDRATE),2),
ROUND(MIN(AL34*INCCOSTCAP,BR34),2)),
IF(ACTIVEBLOCK="Yes",ROUND(MIN(AL34*TOTCOSTCAP,AO34*BLOCKBIDRATE),2),
ROUND(MIN(AL34*TOTCOSTCAP,BR34),2))))))</f>
        <v/>
      </c>
      <c r="AS34" s="1073"/>
      <c r="AT34" s="1073"/>
      <c r="AU34" s="1074"/>
      <c r="AV34" s="37"/>
      <c r="AW34" s="37"/>
      <c r="AX34" s="773" t="str">
        <f>IF(OR(C34="",H34=""),"",INDEX(CMEMOTOR[Unit of Measure],MATCH(H34,CMEMOTOR[Proj Desc 1],0)))</f>
        <v/>
      </c>
      <c r="AY34" s="759" t="str">
        <f t="shared" ref="AY34" si="60">IF(AO34&lt;&gt;"","Missing!","")</f>
        <v/>
      </c>
      <c r="AZ34" s="759" t="str">
        <f t="shared" ref="AZ34" si="61">IF(AO34&lt;&gt;"","Missing!","")</f>
        <v/>
      </c>
      <c r="BA34" s="771" t="str">
        <f t="shared" ref="BA34" si="62">IF(OR(C34="",H34="",N34="",T34="",W34="",AC34="",AF34="",AH34="",AJ34=""),"",ROUND(T34,4))</f>
        <v/>
      </c>
      <c r="BB34" s="771" t="str">
        <f t="shared" ref="BB34" si="63">IF(OR(C34="",H34="",N34="",T34="",W34="",AC34="",AF34="",AH34="",AJ34=""),"",ROUND(AC34,4))</f>
        <v/>
      </c>
      <c r="BC34" s="773" t="str">
        <f>IF(OR(C34="",H34=""),"",IF(INDEX(CMEMOTOR[End Use Category],MATCH(H34,CMEMOTOR[Proj Desc 1],0))="","",INDEX(CMEMOTOR[End Use Category],MATCH(H34,CMEMOTOR[Proj Desc 1],0))))</f>
        <v/>
      </c>
      <c r="BD34" s="757" t="str">
        <f t="shared" ref="BD34" si="64">IF(BE34&lt;&gt;"", "Calculated", "")</f>
        <v/>
      </c>
      <c r="BE34" s="775" t="str">
        <f t="shared" ref="BE34" si="65">IF(AND(BA34&lt;&gt;"", BB34&lt;&gt;""), ROUND(BA34-BB34,4), "")</f>
        <v/>
      </c>
      <c r="BF34" s="1098"/>
      <c r="BG34" s="775" t="str">
        <f>IFERROR(IF(OR(C34="",H34="",N34="",T34="",W34="",AC34="",AF34="",AH34="",AJ34=""),"",ROUND(AO34*INDEX(ENDUSEALL[Factor],MATCH(BC34,ENDUSEALL[End Use to Coincident Peak Demand Factors],0)),4)),"")</f>
        <v/>
      </c>
      <c r="BH34" s="761"/>
      <c r="BI34" s="761"/>
      <c r="BJ34" s="777" t="str">
        <f>IF(OR(C34="",H34=""),"",IF(INDEX(CMEMOTOR[EUL],MATCH(H34,CMEMOTOR[Proj Desc 1],0))="","",INDEX(CMEMOTOR[EUL],MATCH(H34,CMEMOTOR[Proj Desc 1],0))))</f>
        <v/>
      </c>
      <c r="BK34" s="767" t="str">
        <f>IFERROR(IF(OR(C34="",H34="",N34="",T34="",W34="",AC34="",AF34="",AH34="",AJ34=""),"",
ROUND(((1+ELOSS)*((AO34*INDEX(ELECCB[NPV AEC $/kWh],MATCH(BJ34,ELECCB[Year Number],1)))+(BG34*INDEX(ELECCB[NPV ACC $/kW],MATCH(BJ34,ELECCB[Year Number],1))))),2)),0)</f>
        <v/>
      </c>
      <c r="BL34" s="767" t="str">
        <f t="shared" si="1"/>
        <v/>
      </c>
      <c r="BM34" s="765"/>
      <c r="BN34" s="763" t="str">
        <f t="shared" si="2"/>
        <v/>
      </c>
      <c r="BO34" s="763" t="str">
        <f>IFERROR(IF(BM34 &lt;&gt; "", BM34, BL34) / M02S04F06 / AO34, "")</f>
        <v/>
      </c>
      <c r="BP34" s="769"/>
      <c r="BQ34" s="765"/>
      <c r="BR34" s="767" t="str">
        <f t="shared" ref="BR34" si="66">IFERROR(ROUND(AO34*BV34,2),"")</f>
        <v/>
      </c>
      <c r="BS34" s="765"/>
      <c r="BT34" s="765"/>
      <c r="BU34" s="757"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67"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57" t="str">
        <f>IF(OR(C34="",H34="",N34="",T34="",W34="",AC34="",AF34="",AH34="",AJ34=""),"",IF(BY34&lt;&gt;"",SPILLOVERNUMBER,INDEX(CMEMOTOR[Measure Number],MATCH(H34,CMEMOTOR[Proj Desc 1],0))))</f>
        <v/>
      </c>
      <c r="BX34" s="757" t="str" cm="1">
        <f t="array" ref="BX34">IFERROR(INDEX(_xlfn.SWITCH(Program_Banner,"Business Energy Savings",ENDUSEALL[Primary Key WBE],"Small Business / Non-Profit",ENDUSEALL[Primary Key HTRB],0),MATCH(BC34,ENDUSEALL[End Use to Coincident Peak Demand Factors],0)),"")</f>
        <v/>
      </c>
      <c r="BY34" s="757"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53"/>
      <c r="CA34" s="753"/>
      <c r="CB34" s="753"/>
      <c r="CC34" s="753"/>
    </row>
    <row r="35" spans="2:81" ht="15.95" customHeight="1">
      <c r="B35" s="785"/>
      <c r="C35" s="1012"/>
      <c r="D35" s="1013"/>
      <c r="E35" s="1013"/>
      <c r="F35" s="1013"/>
      <c r="G35" s="1014"/>
      <c r="H35" s="1002"/>
      <c r="I35" s="1002"/>
      <c r="J35" s="1002"/>
      <c r="K35" s="1002"/>
      <c r="L35" s="1002"/>
      <c r="M35" s="1003"/>
      <c r="N35" s="1041"/>
      <c r="O35" s="1013"/>
      <c r="P35" s="1013"/>
      <c r="Q35" s="1013"/>
      <c r="R35" s="1013"/>
      <c r="S35" s="1014"/>
      <c r="T35" s="1034"/>
      <c r="U35" s="1139"/>
      <c r="V35" s="1140"/>
      <c r="W35" s="1041"/>
      <c r="X35" s="1013"/>
      <c r="Y35" s="1013"/>
      <c r="Z35" s="1013"/>
      <c r="AA35" s="1013"/>
      <c r="AB35" s="1014"/>
      <c r="AC35" s="1034"/>
      <c r="AD35" s="1139"/>
      <c r="AE35" s="1140"/>
      <c r="AF35" s="1135"/>
      <c r="AG35" s="1136"/>
      <c r="AH35" s="993"/>
      <c r="AI35" s="993"/>
      <c r="AJ35" s="1083"/>
      <c r="AK35" s="1084"/>
      <c r="AL35" s="1006"/>
      <c r="AM35" s="1007"/>
      <c r="AN35" s="1007"/>
      <c r="AO35" s="1037"/>
      <c r="AP35" s="1037"/>
      <c r="AQ35" s="1037"/>
      <c r="AR35" s="1075"/>
      <c r="AS35" s="1076"/>
      <c r="AT35" s="1076"/>
      <c r="AU35" s="1077"/>
      <c r="AV35" s="37"/>
      <c r="AW35" s="37"/>
      <c r="AX35" s="774"/>
      <c r="AY35" s="760"/>
      <c r="AZ35" s="760"/>
      <c r="BA35" s="772"/>
      <c r="BB35" s="772"/>
      <c r="BC35" s="774"/>
      <c r="BD35" s="758"/>
      <c r="BE35" s="776"/>
      <c r="BF35" s="1099"/>
      <c r="BG35" s="776"/>
      <c r="BH35" s="762"/>
      <c r="BI35" s="762"/>
      <c r="BJ35" s="778"/>
      <c r="BK35" s="768"/>
      <c r="BL35" s="768"/>
      <c r="BM35" s="766"/>
      <c r="BN35" s="764"/>
      <c r="BO35" s="764"/>
      <c r="BP35" s="770"/>
      <c r="BQ35" s="766"/>
      <c r="BR35" s="768"/>
      <c r="BS35" s="766"/>
      <c r="BT35" s="766"/>
      <c r="BU35" s="758"/>
      <c r="BV35" s="768"/>
      <c r="BW35" s="758"/>
      <c r="BX35" s="758"/>
      <c r="BY35" s="758"/>
      <c r="BZ35" s="754"/>
      <c r="CA35" s="754"/>
      <c r="CB35" s="754"/>
      <c r="CC35" s="754"/>
    </row>
    <row r="36" spans="2:81" ht="15.95" customHeight="1">
      <c r="B36" s="785">
        <v>10</v>
      </c>
      <c r="C36" s="1009"/>
      <c r="D36" s="1010"/>
      <c r="E36" s="1010"/>
      <c r="F36" s="1010"/>
      <c r="G36" s="1011"/>
      <c r="H36" s="1002"/>
      <c r="I36" s="1002"/>
      <c r="J36" s="1002"/>
      <c r="K36" s="1002"/>
      <c r="L36" s="1002"/>
      <c r="M36" s="1003"/>
      <c r="N36" s="1040"/>
      <c r="O36" s="1010"/>
      <c r="P36" s="1010"/>
      <c r="Q36" s="1010"/>
      <c r="R36" s="1010"/>
      <c r="S36" s="1011"/>
      <c r="T36" s="1032"/>
      <c r="U36" s="1137"/>
      <c r="V36" s="1138"/>
      <c r="W36" s="1040"/>
      <c r="X36" s="1010"/>
      <c r="Y36" s="1010"/>
      <c r="Z36" s="1010"/>
      <c r="AA36" s="1010"/>
      <c r="AB36" s="1011"/>
      <c r="AC36" s="1032"/>
      <c r="AD36" s="1137"/>
      <c r="AE36" s="1138"/>
      <c r="AF36" s="1135" t="str">
        <f>IFERROR(IF($C36="", "", IF(OR($C36 = "Retrofit existing", $C36 = "Replace in-life equip."), "Total", "Incremental")), "")</f>
        <v/>
      </c>
      <c r="AG36" s="1136"/>
      <c r="AH36" s="993"/>
      <c r="AI36" s="993"/>
      <c r="AJ36" s="1083" t="str">
        <f t="shared" ref="AJ36" si="67">IF(AF36="Incremental",0,"")</f>
        <v/>
      </c>
      <c r="AK36" s="1084"/>
      <c r="AL36" s="1030" t="str">
        <f>IF(OR(C36="",H36="",N36="",T36="",W36="",AC36="",AF36="",AH36="",AJ36=""),"",ROUND(AH36+AJ36,2))</f>
        <v/>
      </c>
      <c r="AM36" s="1031"/>
      <c r="AN36" s="1031"/>
      <c r="AO36" s="1036" t="str">
        <f>IF(OR(C36="",H36="",N36="",T36="",W36="",AC36="",AF36="",AH36="",AJ36=""),"",IF(BA36-BB36&lt;=0,0,ROUND(BA36-BB36,4)))</f>
        <v/>
      </c>
      <c r="AP36" s="1036"/>
      <c r="AQ36" s="1036"/>
      <c r="AR36" s="1072" t="str">
        <f>IF(OR(C36="",H36="",N36="",T36="",W36="",AC36="",AF36="",AH36="",AJ36=""),"",
IF(BY36&lt;&gt;"",BY36,IF(BP36&gt;0,BP36,
IF(AF36="Incremental",
IF(ACTIVEBLOCK="Yes",ROUND(MIN(AL36*INCCOSTCAP,AO36*BLOCKBIDRATE),2),
ROUND(MIN(AL36*INCCOSTCAP,BR36),2)),
IF(ACTIVEBLOCK="Yes",ROUND(MIN(AL36*TOTCOSTCAP,AO36*BLOCKBIDRATE),2),
ROUND(MIN(AL36*TOTCOSTCAP,BR36),2))))))</f>
        <v/>
      </c>
      <c r="AS36" s="1073"/>
      <c r="AT36" s="1073"/>
      <c r="AU36" s="1074"/>
      <c r="AV36" s="37"/>
      <c r="AW36" s="37"/>
      <c r="AX36" s="773" t="str">
        <f>IF(OR(C36="",H36=""),"",INDEX(CMEMOTOR[Unit of Measure],MATCH(H36,CMEMOTOR[Proj Desc 1],0)))</f>
        <v/>
      </c>
      <c r="AY36" s="759" t="str">
        <f t="shared" ref="AY36" si="68">IF(AO36&lt;&gt;"","Missing!","")</f>
        <v/>
      </c>
      <c r="AZ36" s="759" t="str">
        <f t="shared" ref="AZ36" si="69">IF(AO36&lt;&gt;"","Missing!","")</f>
        <v/>
      </c>
      <c r="BA36" s="771" t="str">
        <f t="shared" ref="BA36" si="70">IF(OR(C36="",H36="",N36="",T36="",W36="",AC36="",AF36="",AH36="",AJ36=""),"",ROUND(T36,4))</f>
        <v/>
      </c>
      <c r="BB36" s="771" t="str">
        <f t="shared" ref="BB36" si="71">IF(OR(C36="",H36="",N36="",T36="",W36="",AC36="",AF36="",AH36="",AJ36=""),"",ROUND(AC36,4))</f>
        <v/>
      </c>
      <c r="BC36" s="773" t="str">
        <f>IF(OR(C36="",H36=""),"",IF(INDEX(CMEMOTOR[End Use Category],MATCH(H36,CMEMOTOR[Proj Desc 1],0))="","",INDEX(CMEMOTOR[End Use Category],MATCH(H36,CMEMOTOR[Proj Desc 1],0))))</f>
        <v/>
      </c>
      <c r="BD36" s="757" t="str">
        <f t="shared" ref="BD36" si="72">IF(BE36&lt;&gt;"", "Calculated", "")</f>
        <v/>
      </c>
      <c r="BE36" s="775" t="str">
        <f t="shared" ref="BE36" si="73">IF(AND(BA36&lt;&gt;"", BB36&lt;&gt;""), ROUND(BA36-BB36,4), "")</f>
        <v/>
      </c>
      <c r="BF36" s="1098"/>
      <c r="BG36" s="775" t="str">
        <f>IFERROR(IF(OR(C36="",H36="",N36="",T36="",W36="",AC36="",AF36="",AH36="",AJ36=""),"",ROUND(AO36*INDEX(ENDUSEALL[Factor],MATCH(BC36,ENDUSEALL[End Use to Coincident Peak Demand Factors],0)),4)),"")</f>
        <v/>
      </c>
      <c r="BH36" s="761"/>
      <c r="BI36" s="761"/>
      <c r="BJ36" s="777" t="str">
        <f>IF(OR(C36="",H36=""),"",IF(INDEX(CMEMOTOR[EUL],MATCH(H36,CMEMOTOR[Proj Desc 1],0))="","",INDEX(CMEMOTOR[EUL],MATCH(H36,CMEMOTOR[Proj Desc 1],0))))</f>
        <v/>
      </c>
      <c r="BK36" s="767" t="str">
        <f>IFERROR(IF(OR(C36="",H36="",N36="",T36="",W36="",AC36="",AF36="",AH36="",AJ36=""),"",
ROUND(((1+ELOSS)*((AO36*INDEX(ELECCB[NPV AEC $/kWh],MATCH(BJ36,ELECCB[Year Number],1)))+(BG36*INDEX(ELECCB[NPV ACC $/kW],MATCH(BJ36,ELECCB[Year Number],1))))),2)),0)</f>
        <v/>
      </c>
      <c r="BL36" s="767" t="str">
        <f t="shared" si="1"/>
        <v/>
      </c>
      <c r="BM36" s="765"/>
      <c r="BN36" s="763" t="str">
        <f t="shared" si="2"/>
        <v/>
      </c>
      <c r="BO36" s="763" t="str">
        <f>IFERROR(IF(BM36 &lt;&gt; "", BM36, BL36) / M02S04F06 / AO36, "")</f>
        <v/>
      </c>
      <c r="BP36" s="769"/>
      <c r="BQ36" s="765"/>
      <c r="BR36" s="767" t="str">
        <f t="shared" ref="BR36" si="74">IFERROR(ROUND(AO36*BV36,2),"")</f>
        <v/>
      </c>
      <c r="BS36" s="765"/>
      <c r="BT36" s="765"/>
      <c r="BU36" s="757"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67"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57" t="str">
        <f>IF(OR(C36="",H36="",N36="",T36="",W36="",AC36="",AF36="",AH36="",AJ36=""),"",IF(BY36&lt;&gt;"",SPILLOVERNUMBER,INDEX(CMEMOTOR[Measure Number],MATCH(H36,CMEMOTOR[Proj Desc 1],0))))</f>
        <v/>
      </c>
      <c r="BX36" s="757" t="str" cm="1">
        <f t="array" ref="BX36">IFERROR(INDEX(_xlfn.SWITCH(Program_Banner,"Business Energy Savings",ENDUSEALL[Primary Key WBE],"Small Business / Non-Profit",ENDUSEALL[Primary Key HTRB],0),MATCH(BC36,ENDUSEALL[End Use to Coincident Peak Demand Factors],0)),"")</f>
        <v/>
      </c>
      <c r="BY36" s="757"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53"/>
      <c r="CA36" s="753"/>
      <c r="CB36" s="753"/>
      <c r="CC36" s="753"/>
    </row>
    <row r="37" spans="2:81" ht="15.95" customHeight="1">
      <c r="B37" s="785"/>
      <c r="C37" s="1012"/>
      <c r="D37" s="1013"/>
      <c r="E37" s="1013"/>
      <c r="F37" s="1013"/>
      <c r="G37" s="1014"/>
      <c r="H37" s="1002"/>
      <c r="I37" s="1002"/>
      <c r="J37" s="1002"/>
      <c r="K37" s="1002"/>
      <c r="L37" s="1002"/>
      <c r="M37" s="1003"/>
      <c r="N37" s="1041"/>
      <c r="O37" s="1013"/>
      <c r="P37" s="1013"/>
      <c r="Q37" s="1013"/>
      <c r="R37" s="1013"/>
      <c r="S37" s="1014"/>
      <c r="T37" s="1034"/>
      <c r="U37" s="1139"/>
      <c r="V37" s="1140"/>
      <c r="W37" s="1041"/>
      <c r="X37" s="1013"/>
      <c r="Y37" s="1013"/>
      <c r="Z37" s="1013"/>
      <c r="AA37" s="1013"/>
      <c r="AB37" s="1014"/>
      <c r="AC37" s="1034"/>
      <c r="AD37" s="1139"/>
      <c r="AE37" s="1140"/>
      <c r="AF37" s="1135"/>
      <c r="AG37" s="1136"/>
      <c r="AH37" s="993"/>
      <c r="AI37" s="993"/>
      <c r="AJ37" s="1083"/>
      <c r="AK37" s="1084"/>
      <c r="AL37" s="1006"/>
      <c r="AM37" s="1007"/>
      <c r="AN37" s="1007"/>
      <c r="AO37" s="1037"/>
      <c r="AP37" s="1037"/>
      <c r="AQ37" s="1037"/>
      <c r="AR37" s="1075"/>
      <c r="AS37" s="1076"/>
      <c r="AT37" s="1076"/>
      <c r="AU37" s="1077"/>
      <c r="AV37" s="37"/>
      <c r="AW37" s="37"/>
      <c r="AX37" s="774"/>
      <c r="AY37" s="760"/>
      <c r="AZ37" s="760"/>
      <c r="BA37" s="772"/>
      <c r="BB37" s="772"/>
      <c r="BC37" s="774"/>
      <c r="BD37" s="758"/>
      <c r="BE37" s="776"/>
      <c r="BF37" s="1099"/>
      <c r="BG37" s="776"/>
      <c r="BH37" s="762"/>
      <c r="BI37" s="762"/>
      <c r="BJ37" s="778"/>
      <c r="BK37" s="768"/>
      <c r="BL37" s="768"/>
      <c r="BM37" s="766"/>
      <c r="BN37" s="764"/>
      <c r="BO37" s="764"/>
      <c r="BP37" s="770"/>
      <c r="BQ37" s="766"/>
      <c r="BR37" s="768"/>
      <c r="BS37" s="766"/>
      <c r="BT37" s="766"/>
      <c r="BU37" s="758"/>
      <c r="BV37" s="768"/>
      <c r="BW37" s="758"/>
      <c r="BX37" s="758"/>
      <c r="BY37" s="758"/>
      <c r="BZ37" s="754"/>
      <c r="CA37" s="754"/>
      <c r="CB37" s="754"/>
      <c r="CC37" s="754"/>
    </row>
    <row r="38" spans="2:81" ht="15.95" customHeight="1"/>
    <row r="39" spans="2:81" ht="15.95" hidden="1" customHeight="1"/>
    <row r="40" spans="2:81" ht="15.95" hidden="1" customHeight="1"/>
    <row r="41" spans="2:81" ht="15.95" hidden="1" customHeight="1"/>
    <row r="42" spans="2:81" ht="15.95" hidden="1" customHeight="1"/>
    <row r="43" spans="2:81" ht="15.95" hidden="1" customHeight="1"/>
    <row r="44" spans="2:81" ht="15.95" hidden="1" customHeight="1"/>
    <row r="45" spans="2:81" ht="15.95" hidden="1" customHeight="1"/>
    <row r="46" spans="2:81" ht="15.95" hidden="1" customHeight="1"/>
    <row r="47" spans="2:81" ht="15.95" hidden="1" customHeight="1"/>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AY200" s="1144">
        <f>IF(OR(COUNTIF(AY18:AZ37,"Missing!")&gt;0,COUNTIF(AY18:AZ37,0)&gt;0,COUNTIFS(AY18:AY37,"",AZ18:AZ37,"",AO18:AO37,"&gt;0")&gt;0),"Missing Units on Custom Motors &amp; Drives. ",SUM(AY18:AZ37))</f>
        <v>0</v>
      </c>
      <c r="BA200" s="1061">
        <f>SUM(BA18:BA37)</f>
        <v>0</v>
      </c>
      <c r="BB200" s="1061">
        <f>SUM(BB18:BB37)</f>
        <v>0</v>
      </c>
      <c r="BF200" s="1062">
        <f>SUM(BF18:BF37)</f>
        <v>0</v>
      </c>
      <c r="BG200" s="1062">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AY201" s="1145"/>
      <c r="BA201" s="1061"/>
      <c r="BB201" s="1061"/>
      <c r="BF201" s="1063"/>
      <c r="BG201" s="1063"/>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W5C9Zu837zBncJwNJsbrJkeu9FPRiVRzQzgBgz+tMg0w5pZCV2sleGTu2pouaSJgPQMt0hQhd2Y5pUB+OGOptQ==" saltValue="wtgairtBVUFygh7M3wvtYw==" spinCount="100000" sheet="1" objects="1" scenarios="1" selectLockedCells="1"/>
  <mergeCells count="527">
    <mergeCell ref="C30:G31"/>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0:M31"/>
    <mergeCell ref="H36:M37"/>
    <mergeCell ref="H26:M27"/>
    <mergeCell ref="H34:M35"/>
    <mergeCell ref="AT1:AW3"/>
    <mergeCell ref="C16:G17"/>
    <mergeCell ref="C18:G19"/>
    <mergeCell ref="C20:G21"/>
    <mergeCell ref="C22:G23"/>
    <mergeCell ref="C24:G25"/>
    <mergeCell ref="W16:AB17"/>
    <mergeCell ref="W18:AB19"/>
    <mergeCell ref="W20:AB21"/>
    <mergeCell ref="W22:AB23"/>
    <mergeCell ref="W24:AB25"/>
    <mergeCell ref="T20:V21"/>
    <mergeCell ref="T22:V23"/>
    <mergeCell ref="T24:V25"/>
    <mergeCell ref="AF22:AG23"/>
    <mergeCell ref="AH22:AI23"/>
    <mergeCell ref="AJ22:AK23"/>
    <mergeCell ref="AL22:AN23"/>
    <mergeCell ref="AP1:AS3"/>
    <mergeCell ref="H16:M17"/>
    <mergeCell ref="T12:W13"/>
    <mergeCell ref="X12:AA13"/>
    <mergeCell ref="F1:I3"/>
    <mergeCell ref="J1:M3"/>
    <mergeCell ref="A4:E6"/>
    <mergeCell ref="A7:E8"/>
    <mergeCell ref="C28:G29"/>
    <mergeCell ref="T18:V19"/>
    <mergeCell ref="AO18:AQ19"/>
    <mergeCell ref="T14:W14"/>
    <mergeCell ref="X14:AA14"/>
    <mergeCell ref="AB14:AE14"/>
    <mergeCell ref="AC16:AE17"/>
    <mergeCell ref="T16:V17"/>
    <mergeCell ref="AF16:AG17"/>
    <mergeCell ref="AH16:AK16"/>
    <mergeCell ref="B28:B29"/>
    <mergeCell ref="H28:M29"/>
    <mergeCell ref="C26:G27"/>
    <mergeCell ref="AJ28:AK29"/>
    <mergeCell ref="AX26:AX27"/>
    <mergeCell ref="AY28:AY29"/>
    <mergeCell ref="AX28:AX29"/>
    <mergeCell ref="AZ26:AZ27"/>
    <mergeCell ref="AZ28:AZ29"/>
    <mergeCell ref="AJ24:AK25"/>
    <mergeCell ref="AL24:AN25"/>
    <mergeCell ref="AO24:AQ25"/>
    <mergeCell ref="AR24:AU25"/>
    <mergeCell ref="AC34:AE35"/>
    <mergeCell ref="BJ24:BJ25"/>
    <mergeCell ref="AC30:AE31"/>
    <mergeCell ref="AC32:AE33"/>
    <mergeCell ref="W26:AB27"/>
    <mergeCell ref="W28:AB29"/>
    <mergeCell ref="W30:AB31"/>
    <mergeCell ref="W32:AB33"/>
    <mergeCell ref="AJ30:AK31"/>
    <mergeCell ref="AL30:AN31"/>
    <mergeCell ref="AO30:AQ31"/>
    <mergeCell ref="AY30:AY31"/>
    <mergeCell ref="AY32:AY33"/>
    <mergeCell ref="AZ30:AZ31"/>
    <mergeCell ref="AL28:AN29"/>
    <mergeCell ref="AO28:AQ29"/>
    <mergeCell ref="AR28:AU29"/>
    <mergeCell ref="AR30:AU31"/>
    <mergeCell ref="AX30:AX31"/>
    <mergeCell ref="AJ26:AK27"/>
    <mergeCell ref="AL26:AN27"/>
    <mergeCell ref="AO26:AQ27"/>
    <mergeCell ref="AZ24:AZ25"/>
    <mergeCell ref="AX24:AX25"/>
    <mergeCell ref="BF22:BF23"/>
    <mergeCell ref="BD32:BD33"/>
    <mergeCell ref="BE32:BE33"/>
    <mergeCell ref="BF24:BF25"/>
    <mergeCell ref="O200:AI201"/>
    <mergeCell ref="T26:V27"/>
    <mergeCell ref="T28:V29"/>
    <mergeCell ref="T30:V31"/>
    <mergeCell ref="T32:V33"/>
    <mergeCell ref="AF30:AG31"/>
    <mergeCell ref="AH30:AI31"/>
    <mergeCell ref="AF34:AG35"/>
    <mergeCell ref="AH34:AI35"/>
    <mergeCell ref="AH32:AI33"/>
    <mergeCell ref="AH28:AI29"/>
    <mergeCell ref="AF26:AG27"/>
    <mergeCell ref="AH26:AI27"/>
    <mergeCell ref="T34:V35"/>
    <mergeCell ref="T36:V37"/>
    <mergeCell ref="W34:AB35"/>
    <mergeCell ref="W36:AB37"/>
    <mergeCell ref="AC36:AE37"/>
    <mergeCell ref="AF28:AG29"/>
    <mergeCell ref="AC28:AE29"/>
    <mergeCell ref="BA34:BA35"/>
    <mergeCell ref="BB34:BB35"/>
    <mergeCell ref="BJ34:BJ35"/>
    <mergeCell ref="BA32:BA33"/>
    <mergeCell ref="BB32:BB33"/>
    <mergeCell ref="BF32:BF33"/>
    <mergeCell ref="BD24:BD25"/>
    <mergeCell ref="BE24:BE25"/>
    <mergeCell ref="BC24:BC25"/>
    <mergeCell ref="BG24:BG25"/>
    <mergeCell ref="BJ26:BJ27"/>
    <mergeCell ref="BC32:BC33"/>
    <mergeCell ref="BG32:BG33"/>
    <mergeCell ref="BJ32:BJ33"/>
    <mergeCell ref="BD34:BD35"/>
    <mergeCell ref="BE34:BE35"/>
    <mergeCell ref="BH34:BH35"/>
    <mergeCell ref="BI34:BI35"/>
    <mergeCell ref="AY200:AY201"/>
    <mergeCell ref="AZ32:AZ33"/>
    <mergeCell ref="BC20:BC21"/>
    <mergeCell ref="BG20:BG21"/>
    <mergeCell ref="BG22:BG23"/>
    <mergeCell ref="AO36:AQ37"/>
    <mergeCell ref="AR36:AU37"/>
    <mergeCell ref="BN36:BN37"/>
    <mergeCell ref="AR34:AU35"/>
    <mergeCell ref="AO22:AQ23"/>
    <mergeCell ref="AX20:AX21"/>
    <mergeCell ref="BJ20:BJ21"/>
    <mergeCell ref="BC22:BC23"/>
    <mergeCell ref="BJ22:BJ23"/>
    <mergeCell ref="AY20:AY21"/>
    <mergeCell ref="AY22:AY23"/>
    <mergeCell ref="BN34:BN35"/>
    <mergeCell ref="AO34:AQ35"/>
    <mergeCell ref="BA200:BA201"/>
    <mergeCell ref="BB200:BB201"/>
    <mergeCell ref="BG200:BG201"/>
    <mergeCell ref="BC28:BC29"/>
    <mergeCell ref="BF200:BF201"/>
    <mergeCell ref="BA36:BA37"/>
    <mergeCell ref="B30:B31"/>
    <mergeCell ref="B32:B33"/>
    <mergeCell ref="B34:B35"/>
    <mergeCell ref="B36:B37"/>
    <mergeCell ref="AR18:AU19"/>
    <mergeCell ref="BN18:BN19"/>
    <mergeCell ref="AH20:AI21"/>
    <mergeCell ref="AJ20:AK21"/>
    <mergeCell ref="AL20:AN21"/>
    <mergeCell ref="AO20:AQ21"/>
    <mergeCell ref="AR20:AU21"/>
    <mergeCell ref="BN20:BN21"/>
    <mergeCell ref="H22:M23"/>
    <mergeCell ref="B24:B25"/>
    <mergeCell ref="AR22:AU23"/>
    <mergeCell ref="BN22:BN23"/>
    <mergeCell ref="B26:B27"/>
    <mergeCell ref="H24:M25"/>
    <mergeCell ref="B22:B23"/>
    <mergeCell ref="AC20:AE21"/>
    <mergeCell ref="AC22:AE23"/>
    <mergeCell ref="AC24:AE25"/>
    <mergeCell ref="B18:B19"/>
    <mergeCell ref="B20:B21"/>
    <mergeCell ref="AX22:AX23"/>
    <mergeCell ref="AY24:AY25"/>
    <mergeCell ref="AY26:AY27"/>
    <mergeCell ref="AR26:AU27"/>
    <mergeCell ref="H20:M21"/>
    <mergeCell ref="AF20:AG21"/>
    <mergeCell ref="BO18:BO19"/>
    <mergeCell ref="AX18:AX19"/>
    <mergeCell ref="AF24:AG25"/>
    <mergeCell ref="AH24:AI25"/>
    <mergeCell ref="AH18:AI19"/>
    <mergeCell ref="AJ18:AK19"/>
    <mergeCell ref="AL18:AN19"/>
    <mergeCell ref="AC18:AE19"/>
    <mergeCell ref="H18:M19"/>
    <mergeCell ref="AF18:AG19"/>
    <mergeCell ref="AC26:AE27"/>
    <mergeCell ref="AZ22:AZ23"/>
    <mergeCell ref="AZ18:AZ19"/>
    <mergeCell ref="AZ20:AZ21"/>
    <mergeCell ref="BK24:BK25"/>
    <mergeCell ref="BK26:BK27"/>
    <mergeCell ref="BA22:BA23"/>
    <mergeCell ref="BB22:BB23"/>
    <mergeCell ref="AL1:AO3"/>
    <mergeCell ref="J9:M11"/>
    <mergeCell ref="N9:Q11"/>
    <mergeCell ref="R9:U11"/>
    <mergeCell ref="V9:Y11"/>
    <mergeCell ref="Z9:AC11"/>
    <mergeCell ref="AD9:AG11"/>
    <mergeCell ref="AH9:AK11"/>
    <mergeCell ref="AL9:AO11"/>
    <mergeCell ref="N1:T3"/>
    <mergeCell ref="U1:AK3"/>
    <mergeCell ref="AX16:AX17"/>
    <mergeCell ref="BJ16:BJ17"/>
    <mergeCell ref="BU16:BU17"/>
    <mergeCell ref="BD20:BD21"/>
    <mergeCell ref="BE20:BE21"/>
    <mergeCell ref="AS5:AW6"/>
    <mergeCell ref="AS7:AW7"/>
    <mergeCell ref="AS8:AW8"/>
    <mergeCell ref="AB12:AE13"/>
    <mergeCell ref="AH17:AI17"/>
    <mergeCell ref="AJ17:AK17"/>
    <mergeCell ref="BG16:BG17"/>
    <mergeCell ref="AM13:AU14"/>
    <mergeCell ref="AY18:AY19"/>
    <mergeCell ref="BR16:BR17"/>
    <mergeCell ref="BN16:BN17"/>
    <mergeCell ref="AL16:AN17"/>
    <mergeCell ref="AO16:AQ17"/>
    <mergeCell ref="AR16:AU17"/>
    <mergeCell ref="BO20:BO21"/>
    <mergeCell ref="BC16:BC17"/>
    <mergeCell ref="AZ16:AZ17"/>
    <mergeCell ref="AY16:AY17"/>
    <mergeCell ref="BT16:BT17"/>
    <mergeCell ref="BR24:BR25"/>
    <mergeCell ref="BV24:BV25"/>
    <mergeCell ref="BU24:BU25"/>
    <mergeCell ref="BA24:BA25"/>
    <mergeCell ref="BB24:BB25"/>
    <mergeCell ref="BB26:BB27"/>
    <mergeCell ref="BC26:BC27"/>
    <mergeCell ref="BO24:BO25"/>
    <mergeCell ref="BT24:BT25"/>
    <mergeCell ref="BU26:BU27"/>
    <mergeCell ref="BF26:BF27"/>
    <mergeCell ref="BR26:BR27"/>
    <mergeCell ref="BV26:BV27"/>
    <mergeCell ref="BS24:BS25"/>
    <mergeCell ref="BA26:BA27"/>
    <mergeCell ref="BP26:BP27"/>
    <mergeCell ref="BT26:BT27"/>
    <mergeCell ref="BN26:BN27"/>
    <mergeCell ref="BG26:BG27"/>
    <mergeCell ref="BN24:BN25"/>
    <mergeCell ref="BH24:BH25"/>
    <mergeCell ref="BI24:BI25"/>
    <mergeCell ref="BL24:BL25"/>
    <mergeCell ref="BM24:BM25"/>
    <mergeCell ref="BX20:BX21"/>
    <mergeCell ref="BW20:BW21"/>
    <mergeCell ref="BU20:BU21"/>
    <mergeCell ref="BT18:BT19"/>
    <mergeCell ref="BA16:BA17"/>
    <mergeCell ref="BB16:BB17"/>
    <mergeCell ref="BA18:BA19"/>
    <mergeCell ref="BB18:BB19"/>
    <mergeCell ref="BA20:BA21"/>
    <mergeCell ref="BB20:BB21"/>
    <mergeCell ref="BJ18:BJ19"/>
    <mergeCell ref="BK16:BK17"/>
    <mergeCell ref="BK18:BK19"/>
    <mergeCell ref="BC18:BC19"/>
    <mergeCell ref="BG18:BG19"/>
    <mergeCell ref="BR22:BR23"/>
    <mergeCell ref="BV22:BV23"/>
    <mergeCell ref="BW22:BW23"/>
    <mergeCell ref="BU22:BU23"/>
    <mergeCell ref="BT20:BT21"/>
    <mergeCell ref="BT22:BT23"/>
    <mergeCell ref="BH20:BH21"/>
    <mergeCell ref="BI20:BI21"/>
    <mergeCell ref="BL20:BL21"/>
    <mergeCell ref="BM20:BM21"/>
    <mergeCell ref="BQ20:BQ21"/>
    <mergeCell ref="BS20:BS21"/>
    <mergeCell ref="BK20:BK21"/>
    <mergeCell ref="BK22:BK23"/>
    <mergeCell ref="BO22:BO23"/>
    <mergeCell ref="BN28:BN29"/>
    <mergeCell ref="BO28:BO29"/>
    <mergeCell ref="BG30:BG31"/>
    <mergeCell ref="BF30:BF31"/>
    <mergeCell ref="BR30:BR31"/>
    <mergeCell ref="BP28:BP29"/>
    <mergeCell ref="BB28:BB29"/>
    <mergeCell ref="BN30:BN31"/>
    <mergeCell ref="BO30:BO31"/>
    <mergeCell ref="BR28:BR29"/>
    <mergeCell ref="BK28:BK29"/>
    <mergeCell ref="BK30:BK31"/>
    <mergeCell ref="BR36:BR37"/>
    <mergeCell ref="BY32:BY33"/>
    <mergeCell ref="H32:M33"/>
    <mergeCell ref="AF32:AG33"/>
    <mergeCell ref="AX32:AX33"/>
    <mergeCell ref="AJ32:AK33"/>
    <mergeCell ref="AL32:AN33"/>
    <mergeCell ref="AO32:AQ33"/>
    <mergeCell ref="AR32:AU33"/>
    <mergeCell ref="BN32:BN33"/>
    <mergeCell ref="BW32:BW33"/>
    <mergeCell ref="BU32:BU33"/>
    <mergeCell ref="BL32:BL33"/>
    <mergeCell ref="BM32:BM33"/>
    <mergeCell ref="BQ32:BQ33"/>
    <mergeCell ref="BS32:BS33"/>
    <mergeCell ref="BO32:BO33"/>
    <mergeCell ref="BR32:BR33"/>
    <mergeCell ref="AJ34:AK35"/>
    <mergeCell ref="AL34:AN35"/>
    <mergeCell ref="AF36:AG37"/>
    <mergeCell ref="AH36:AI37"/>
    <mergeCell ref="AJ36:AK37"/>
    <mergeCell ref="AL36:AN37"/>
    <mergeCell ref="BQ24:BQ25"/>
    <mergeCell ref="BO36:BO37"/>
    <mergeCell ref="AX36:AX37"/>
    <mergeCell ref="BJ36:BJ37"/>
    <mergeCell ref="BC36:BC37"/>
    <mergeCell ref="BQ36:BQ37"/>
    <mergeCell ref="BP30:BP31"/>
    <mergeCell ref="BP32:BP33"/>
    <mergeCell ref="BL34:BL35"/>
    <mergeCell ref="BM34:BM35"/>
    <mergeCell ref="BP36:BP37"/>
    <mergeCell ref="BA28:BA29"/>
    <mergeCell ref="BJ28:BJ29"/>
    <mergeCell ref="BC30:BC31"/>
    <mergeCell ref="BA30:BA31"/>
    <mergeCell ref="BB30:BB31"/>
    <mergeCell ref="BJ30:BJ31"/>
    <mergeCell ref="AY36:AY37"/>
    <mergeCell ref="AZ34:AZ35"/>
    <mergeCell ref="AZ36:AZ37"/>
    <mergeCell ref="BO34:BO35"/>
    <mergeCell ref="AY34:AY35"/>
    <mergeCell ref="AX34:AX35"/>
    <mergeCell ref="BG36:BG37"/>
    <mergeCell ref="BB36:BB37"/>
    <mergeCell ref="BD36:BD37"/>
    <mergeCell ref="BE36:BE37"/>
    <mergeCell ref="BH36:BH37"/>
    <mergeCell ref="BI36:BI37"/>
    <mergeCell ref="BL36:BL37"/>
    <mergeCell ref="BM36:BM37"/>
    <mergeCell ref="BK34:BK35"/>
    <mergeCell ref="BK36:BK37"/>
    <mergeCell ref="BP34:BP35"/>
    <mergeCell ref="BU30:BU31"/>
    <mergeCell ref="BQ28:BQ29"/>
    <mergeCell ref="BS28:BS29"/>
    <mergeCell ref="BV34:BV35"/>
    <mergeCell ref="BT32:BT33"/>
    <mergeCell ref="BQ34:BQ35"/>
    <mergeCell ref="BS34:BS35"/>
    <mergeCell ref="BV32:BV33"/>
    <mergeCell ref="BV30:BV31"/>
    <mergeCell ref="BR34:BR35"/>
    <mergeCell ref="BT28:BT29"/>
    <mergeCell ref="BT30:BT31"/>
    <mergeCell ref="BK32:BK33"/>
    <mergeCell ref="BC34:BC35"/>
    <mergeCell ref="BF36:BF37"/>
    <mergeCell ref="BF28:BF29"/>
    <mergeCell ref="BG28:BG29"/>
    <mergeCell ref="BH28:BH29"/>
    <mergeCell ref="BI28:BI29"/>
    <mergeCell ref="BH32:BH33"/>
    <mergeCell ref="BI32:BI33"/>
    <mergeCell ref="BG34:BG35"/>
    <mergeCell ref="BF34:BF35"/>
    <mergeCell ref="BD28:BD29"/>
    <mergeCell ref="BE28:BE29"/>
    <mergeCell ref="BZ16:BZ17"/>
    <mergeCell ref="CA16:CA17"/>
    <mergeCell ref="CB16:CB17"/>
    <mergeCell ref="CC16:CC17"/>
    <mergeCell ref="BE16:BF16"/>
    <mergeCell ref="BD16:BD17"/>
    <mergeCell ref="BL16:BL17"/>
    <mergeCell ref="BM16:BM17"/>
    <mergeCell ref="BQ16:BQ17"/>
    <mergeCell ref="BS16:BS17"/>
    <mergeCell ref="BX16:BX17"/>
    <mergeCell ref="BH16:BH17"/>
    <mergeCell ref="BI16:BI17"/>
    <mergeCell ref="BY16:BY17"/>
    <mergeCell ref="BO16:BO17"/>
    <mergeCell ref="BW16:BW17"/>
    <mergeCell ref="BV16:BV17"/>
    <mergeCell ref="BP16:BP17"/>
    <mergeCell ref="BZ18:BZ19"/>
    <mergeCell ref="CA18:CA19"/>
    <mergeCell ref="CB18:CB19"/>
    <mergeCell ref="CC18:CC19"/>
    <mergeCell ref="BD18:BD19"/>
    <mergeCell ref="BE18:BE19"/>
    <mergeCell ref="BH18:BH19"/>
    <mergeCell ref="BI18:BI19"/>
    <mergeCell ref="BL18:BL19"/>
    <mergeCell ref="BM18:BM19"/>
    <mergeCell ref="BQ18:BQ19"/>
    <mergeCell ref="BS18:BS19"/>
    <mergeCell ref="BX18:BX19"/>
    <mergeCell ref="BY18:BY19"/>
    <mergeCell ref="BU18:BU19"/>
    <mergeCell ref="BF18:BF19"/>
    <mergeCell ref="BR18:BR19"/>
    <mergeCell ref="BV18:BV19"/>
    <mergeCell ref="BW18:BW19"/>
    <mergeCell ref="BP18:BP19"/>
    <mergeCell ref="BZ20:BZ21"/>
    <mergeCell ref="CA20:CA21"/>
    <mergeCell ref="CB20:CB21"/>
    <mergeCell ref="CC20:CC21"/>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BP20:BP21"/>
    <mergeCell ref="BP22:BP23"/>
    <mergeCell ref="BY20:BY21"/>
    <mergeCell ref="BF20:BF21"/>
    <mergeCell ref="BR20:BR21"/>
    <mergeCell ref="BV20:BV21"/>
    <mergeCell ref="BY22:BY23"/>
    <mergeCell ref="BX24:BX25"/>
    <mergeCell ref="BZ24:BZ25"/>
    <mergeCell ref="CA24:CA25"/>
    <mergeCell ref="CB24:CB25"/>
    <mergeCell ref="CC24:CC25"/>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O26:BO27"/>
    <mergeCell ref="BY24:BY25"/>
    <mergeCell ref="BW24:BW25"/>
    <mergeCell ref="BY26:BY27"/>
    <mergeCell ref="BP24:BP25"/>
    <mergeCell ref="BW26:BW27"/>
    <mergeCell ref="CA28:CA29"/>
    <mergeCell ref="CB28:CB29"/>
    <mergeCell ref="CC28:CC29"/>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W28:BW29"/>
    <mergeCell ref="BY30:BY31"/>
    <mergeCell ref="BY28:BY29"/>
    <mergeCell ref="BW30:BW31"/>
    <mergeCell ref="BL28:BL29"/>
    <mergeCell ref="BM28:BM29"/>
    <mergeCell ref="BX28:BX29"/>
    <mergeCell ref="BU28:BU29"/>
    <mergeCell ref="BW34:BW35"/>
    <mergeCell ref="BS36:BS37"/>
    <mergeCell ref="BX36:BX37"/>
    <mergeCell ref="BZ36:BZ37"/>
    <mergeCell ref="BW36:BW37"/>
    <mergeCell ref="BV36:BV37"/>
    <mergeCell ref="BU36:BU37"/>
    <mergeCell ref="BU34:BU35"/>
    <mergeCell ref="BZ28:BZ29"/>
    <mergeCell ref="BV28:BV29"/>
    <mergeCell ref="BT34:BT35"/>
    <mergeCell ref="BT36:BT37"/>
    <mergeCell ref="CA36:CA37"/>
    <mergeCell ref="CB36:CB37"/>
    <mergeCell ref="CC36:CC37"/>
    <mergeCell ref="BX32:BX33"/>
    <mergeCell ref="BZ32:BZ33"/>
    <mergeCell ref="CA32:CA33"/>
    <mergeCell ref="CB32:CB33"/>
    <mergeCell ref="CC32:CC33"/>
    <mergeCell ref="BZ34:BZ35"/>
    <mergeCell ref="CA34:CA35"/>
    <mergeCell ref="CB34:CB35"/>
    <mergeCell ref="CC34:CC35"/>
    <mergeCell ref="BY34:BY35"/>
    <mergeCell ref="BY36:BY37"/>
    <mergeCell ref="BX34:BX35"/>
  </mergeCells>
  <conditionalFormatting sqref="N18 T18 W18 AC18 H18:M19 AF18:AK37 H20:N20 T20 W20 AC20 H21:M37 N22 T22 W22 AC22 N24 T24 W24 AC24 N26 T26 W26 AC26 N28 T28 W28 AC28 N30 T30 W30 AC30 N32 T32 W32 AC32 N34 T34 W34 AC34 N36 T36 W36 AC36">
    <cfRule type="expression" dxfId="77" priority="1418">
      <formula>AND(ISBLANK($C18)=FALSE,OR(ISBLANK(H18)=TRUE,H18=""))</formula>
    </cfRule>
  </conditionalFormatting>
  <conditionalFormatting sqref="AR18:AU37">
    <cfRule type="expression" dxfId="76" priority="1937" stopIfTrue="1">
      <formula>ISNUMBER($AR18)=FALSE</formula>
    </cfRule>
    <cfRule type="expression" dxfId="75" priority="1938">
      <formula>$AR18 &lt;&gt; $BR18</formula>
    </cfRule>
  </conditionalFormatting>
  <conditionalFormatting sqref="AS8:AW8">
    <cfRule type="expression" dxfId="74" priority="13">
      <formula>IF($AS$8=PROJSTATMEASURE,FALSE,TRUE)</formula>
    </cfRule>
  </conditionalFormatting>
  <dataValidations count="7">
    <dataValidation type="list" allowBlank="1" showInputMessage="1" showErrorMessage="1" sqref="BC18:BC37" xr:uid="{835AA8E5-A881-4B78-BEC3-8321F5BFF994}">
      <formula1>ENDUSECAT</formula1>
    </dataValidation>
    <dataValidation type="decimal" allowBlank="1" showInputMessage="1" showErrorMessage="1" promptTitle="Incremental Cost" prompt="This is the difference between actual cost of installed Equipment and the cost of the hypothetical baseline." sqref="AH18:AI37" xr:uid="{670472D9-C877-47BF-A180-B39037A1ED1B}">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BD81C21-28F8-409A-9971-B8E819F9E75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55FA9DEB-3874-4370-8405-200A53FF1497}">
      <formula1>IF($H18="",CUSTOMPROJECTTYPE,"")</formula1>
    </dataValidation>
    <dataValidation type="list" allowBlank="1" showInputMessage="1" showErrorMessage="1" sqref="H18:M37" xr:uid="{B480D427-E75C-4A3B-A5BF-3BA0638FA3BD}">
      <formula1>CMEMOTORDESC</formula1>
    </dataValidation>
    <dataValidation type="whole" operator="greaterThanOrEqual" allowBlank="1" showInputMessage="1" showErrorMessage="1" errorTitle="Invalid Entry" error="Value must be a whole number." sqref="T18:V37 AC18:AE37" xr:uid="{563D0899-651A-448F-9E36-FD150BDD8DEC}">
      <formula1>0</formula1>
    </dataValidation>
  </dataValidations>
  <hyperlinks>
    <hyperlink ref="B202" r:id="rId1" display="businessrebates@evergy.com" xr:uid="{88A26C03-BC8D-48F4-A1F7-72DCE305631C}"/>
    <hyperlink ref="J1:M3" location="'M01-S02'!J1" tooltip="Instructions" display="'M01-S02'!J1" xr:uid="{73AF341D-A0BB-4B97-82DF-5F4E86A731C5}"/>
    <hyperlink ref="AP1:AS3" location="'M05-S05'!AL1" tooltip=" " display="'M05-S05'!AL1" xr:uid="{7CE2F44F-3309-405B-922C-8ED2668EBA41}"/>
    <hyperlink ref="AL1:AO3" location="'M05-S04'!AH1" tooltip=" " display="'M05-S04'!AH1" xr:uid="{55E0D8F7-2E40-4643-8B22-F17D0917FFD4}"/>
    <hyperlink ref="AT1:AW3" location="'M01-S03'!AP1" tooltip="Contact" display="'M01-S03'!AP1" xr:uid="{C1CB7599-67AE-4842-B510-D04A6E3C3A31}"/>
    <hyperlink ref="N9:Q11" location="'M04-S03'!A1" tooltip="Lighting Controls" display="'M04-S03'!A1" xr:uid="{C5BC1AAE-6157-4F91-9216-4F9A1526DE6D}"/>
    <hyperlink ref="R9:U11" location="'M04-S04'!A1" tooltip="Refrigeration" display="'M04-S04'!A1" xr:uid="{B8A3F70B-EA57-40DD-B68E-F71037332F49}"/>
    <hyperlink ref="V9:Y11" location="'M04-S05'!A1" tooltip="HVAC" display="'M04-S05'!A1" xr:uid="{76F19F37-8A92-4441-89A6-84DFFA17A8CD}"/>
    <hyperlink ref="AD9:AG11" location="'M04-S06'!A1" tooltip="Compressed Air / Process" display="'M04-S06'!A1" xr:uid="{AA98D8BE-9E58-4B77-A044-62C128D2C526}"/>
    <hyperlink ref="AH9:AK11" location="'M04-S07'!A1" tooltip="Water Heating / Cooking" display="'M04-S07'!A1" xr:uid="{3D05BE13-51CB-4495-836C-C7D4DCE8E5CF}"/>
    <hyperlink ref="Z9:AC11" location="'M04-S08'!A1" tooltip="Motors and Drives" display="'M04-S08'!A1" xr:uid="{8D4DF2CB-3F95-4F45-A583-9882CB5D7AA9}"/>
    <hyperlink ref="AL9:AO11" location="'M04-S09'!A1" tooltip="Miscellaneous" display="'M04-S09'!A1" xr:uid="{3048EECF-CC30-452F-ABFD-599472FD1AB0}"/>
    <hyperlink ref="J9:M11" location="'M04-S02'!A1" tooltip="Lighting" display="'M04-S02'!A1" xr:uid="{2B25C29A-A87A-4DEA-BCD1-94ADCC461C70}"/>
  </hyperlinks>
  <printOptions horizontalCentered="1"/>
  <pageMargins left="0" right="0" top="0" bottom="0" header="0" footer="0"/>
  <pageSetup scale="43"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theme="8" tint="0.59999389629810485"/>
    <pageSetUpPr fitToPage="1"/>
  </sheetPr>
  <dimension ref="A1:CW210"/>
  <sheetViews>
    <sheetView showGridLines="0" showRowColHeaders="0" zoomScale="85" zoomScaleNormal="85" workbookViewId="0">
      <selection activeCell="AX18" sqref="AX18:AX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4"/>
      <c r="G5" s="374"/>
      <c r="H5" s="374"/>
      <c r="I5" s="374"/>
      <c r="AS5" s="988">
        <f ca="1">PROGRESSSTATUS</f>
        <v>0</v>
      </c>
      <c r="AT5" s="988"/>
      <c r="AU5" s="988"/>
      <c r="AV5" s="988"/>
      <c r="AW5" s="988"/>
      <c r="AX5" s="17"/>
      <c r="AY5" s="108" t="s">
        <v>933</v>
      </c>
      <c r="AZ5" s="108" t="s">
        <v>325</v>
      </c>
      <c r="BA5" s="45"/>
      <c r="BB5" s="45"/>
    </row>
    <row r="6" spans="1:81" ht="15.95" customHeight="1">
      <c r="A6" s="692"/>
      <c r="B6" s="692"/>
      <c r="C6" s="692"/>
      <c r="D6" s="692"/>
      <c r="E6" s="692"/>
      <c r="F6" s="374"/>
      <c r="G6" s="374"/>
      <c r="H6" s="374"/>
      <c r="I6" s="374"/>
      <c r="AS6" s="988"/>
      <c r="AT6" s="988"/>
      <c r="AU6" s="988"/>
      <c r="AV6" s="988"/>
      <c r="AW6" s="988"/>
      <c r="AX6" s="107" t="s">
        <v>938</v>
      </c>
      <c r="AY6" s="106" t="str">
        <f>CBPRESE</f>
        <v>NA</v>
      </c>
      <c r="AZ6" s="165" t="str">
        <f>PAYPRESE</f>
        <v>NA</v>
      </c>
      <c r="BA6" s="45"/>
      <c r="BB6" s="45"/>
    </row>
    <row r="7" spans="1:81" ht="15.95" customHeight="1">
      <c r="A7" s="662" t="s">
        <v>83</v>
      </c>
      <c r="B7" s="662"/>
      <c r="C7" s="662"/>
      <c r="D7" s="662"/>
      <c r="E7" s="662"/>
      <c r="F7" s="75"/>
      <c r="G7" s="75"/>
      <c r="H7" s="75"/>
      <c r="I7" s="75"/>
      <c r="AS7" s="662" t="s">
        <v>299</v>
      </c>
      <c r="AT7" s="662"/>
      <c r="AU7" s="662"/>
      <c r="AV7" s="662"/>
      <c r="AW7" s="662"/>
      <c r="AX7" s="107" t="s">
        <v>135</v>
      </c>
      <c r="AY7" s="106" t="str">
        <f>CBCUSE</f>
        <v>NA</v>
      </c>
      <c r="AZ7" s="165" t="str">
        <f>PAYCUSE</f>
        <v>NA</v>
      </c>
      <c r="BA7" s="45"/>
      <c r="BB7" s="45"/>
    </row>
    <row r="8" spans="1:81" ht="15.95" customHeight="1" thickBot="1">
      <c r="A8" s="665"/>
      <c r="B8" s="665"/>
      <c r="C8" s="665"/>
      <c r="D8" s="665"/>
      <c r="E8" s="665"/>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61" t="str">
        <f ca="1">PROJSTATUS</f>
        <v>Enter Measures</v>
      </c>
      <c r="AT8" s="661"/>
      <c r="AU8" s="661"/>
      <c r="AV8" s="661"/>
      <c r="AW8" s="661"/>
      <c r="AX8" s="107" t="s">
        <v>596</v>
      </c>
      <c r="AY8" s="106" t="str">
        <f>CBALL</f>
        <v>NA</v>
      </c>
      <c r="AZ8" s="165" t="str">
        <f>PAYALL</f>
        <v>NA</v>
      </c>
      <c r="BA8" s="45"/>
      <c r="BB8" s="45"/>
    </row>
    <row r="9" spans="1:81" s="78" customFormat="1" ht="15.95" customHeight="1">
      <c r="B9" s="79"/>
      <c r="C9" s="79"/>
      <c r="D9" s="79"/>
      <c r="E9" s="79"/>
      <c r="F9" s="79"/>
      <c r="G9" s="79"/>
      <c r="J9" s="829" t="str">
        <f>M3S2</f>
        <v>Lighting</v>
      </c>
      <c r="K9" s="830"/>
      <c r="L9" s="830"/>
      <c r="M9" s="830"/>
      <c r="N9" s="829" t="str">
        <f>M3S3</f>
        <v>Lighting Controls</v>
      </c>
      <c r="O9" s="830"/>
      <c r="P9" s="830"/>
      <c r="Q9" s="830"/>
      <c r="R9" s="829" t="str">
        <f>M3S4</f>
        <v>Refrigeration</v>
      </c>
      <c r="S9" s="830"/>
      <c r="T9" s="830"/>
      <c r="U9" s="830"/>
      <c r="V9" s="829" t="str">
        <f>M3S5</f>
        <v>HVAC</v>
      </c>
      <c r="W9" s="830"/>
      <c r="X9" s="830"/>
      <c r="Y9" s="830"/>
      <c r="Z9" s="829" t="str">
        <f>M4S8</f>
        <v>Motors and Drives</v>
      </c>
      <c r="AA9" s="830"/>
      <c r="AB9" s="830"/>
      <c r="AC9" s="830"/>
      <c r="AD9" s="842" t="str">
        <f>M3S6</f>
        <v>Compressed Air / Process</v>
      </c>
      <c r="AE9" s="842"/>
      <c r="AF9" s="842"/>
      <c r="AG9" s="842"/>
      <c r="AH9" s="829" t="str">
        <f>M3S7</f>
        <v>Water Heating / Food Services</v>
      </c>
      <c r="AI9" s="830"/>
      <c r="AJ9" s="830"/>
      <c r="AK9" s="830"/>
      <c r="AL9" s="829" t="str">
        <f>M4S9</f>
        <v>Miscellaneous</v>
      </c>
      <c r="AM9" s="830"/>
      <c r="AN9" s="830"/>
      <c r="AO9" s="830"/>
      <c r="AP9" s="79"/>
      <c r="AQ9" s="79"/>
      <c r="AR9" s="79"/>
      <c r="AS9"/>
      <c r="AT9"/>
      <c r="AU9" s="79"/>
      <c r="AV9" s="79"/>
    </row>
    <row r="10" spans="1:81" s="78" customFormat="1" ht="15.95" customHeight="1">
      <c r="B10" s="79"/>
      <c r="C10" s="79"/>
      <c r="D10" s="79"/>
      <c r="E10" s="79"/>
      <c r="F10" s="79"/>
      <c r="G10" s="79"/>
      <c r="J10" s="831"/>
      <c r="K10" s="831"/>
      <c r="L10" s="831"/>
      <c r="M10" s="831"/>
      <c r="N10" s="831"/>
      <c r="O10" s="831"/>
      <c r="P10" s="831"/>
      <c r="Q10" s="831"/>
      <c r="R10" s="831"/>
      <c r="S10" s="831"/>
      <c r="T10" s="831"/>
      <c r="U10" s="831"/>
      <c r="V10" s="831"/>
      <c r="W10" s="831"/>
      <c r="X10" s="831"/>
      <c r="Y10" s="831"/>
      <c r="Z10" s="831"/>
      <c r="AA10" s="831"/>
      <c r="AB10" s="831"/>
      <c r="AC10" s="831"/>
      <c r="AD10" s="843"/>
      <c r="AE10" s="843"/>
      <c r="AF10" s="843"/>
      <c r="AG10" s="843"/>
      <c r="AH10" s="831"/>
      <c r="AI10" s="831"/>
      <c r="AJ10" s="831"/>
      <c r="AK10" s="831"/>
      <c r="AL10" s="831"/>
      <c r="AM10" s="831"/>
      <c r="AN10" s="831"/>
      <c r="AO10" s="831"/>
      <c r="AP10" s="79"/>
      <c r="AQ10" s="79"/>
      <c r="AR10" s="79"/>
      <c r="AS10"/>
      <c r="AT10"/>
      <c r="AU10" s="79"/>
      <c r="AV10" s="79"/>
    </row>
    <row r="11" spans="1:81" ht="15.95" customHeight="1">
      <c r="B11" s="96"/>
      <c r="C11" s="96"/>
      <c r="D11" s="96"/>
      <c r="E11" s="96"/>
      <c r="F11" s="96"/>
      <c r="G11" s="96"/>
      <c r="J11" s="831"/>
      <c r="K11" s="831"/>
      <c r="L11" s="831"/>
      <c r="M11" s="831"/>
      <c r="N11" s="831"/>
      <c r="O11" s="831"/>
      <c r="P11" s="831"/>
      <c r="Q11" s="831"/>
      <c r="R11" s="831"/>
      <c r="S11" s="831"/>
      <c r="T11" s="831"/>
      <c r="U11" s="831"/>
      <c r="V11" s="831"/>
      <c r="W11" s="831"/>
      <c r="X11" s="831"/>
      <c r="Y11" s="831"/>
      <c r="Z11" s="831"/>
      <c r="AA11" s="831"/>
      <c r="AB11" s="831"/>
      <c r="AC11" s="831"/>
      <c r="AD11" s="843"/>
      <c r="AE11" s="843"/>
      <c r="AF11" s="843"/>
      <c r="AG11" s="843"/>
      <c r="AH11" s="831"/>
      <c r="AI11" s="831"/>
      <c r="AJ11" s="831"/>
      <c r="AK11" s="831"/>
      <c r="AL11" s="831"/>
      <c r="AM11" s="831"/>
      <c r="AN11" s="831"/>
      <c r="AO11" s="831"/>
      <c r="AP11" s="96"/>
      <c r="AQ11" s="96"/>
      <c r="AR11" s="96"/>
      <c r="AU11" s="96"/>
      <c r="AV11" s="96"/>
    </row>
    <row r="12" spans="1:81" ht="15.95" customHeight="1">
      <c r="A12" s="76"/>
      <c r="B12" s="76"/>
      <c r="C12" s="76"/>
      <c r="D12" s="76"/>
      <c r="E12" s="76"/>
      <c r="F12" s="76"/>
      <c r="G12" s="76"/>
      <c r="T12" s="837">
        <f>SUM(AR18:AU184)</f>
        <v>0</v>
      </c>
      <c r="U12" s="837"/>
      <c r="V12" s="837"/>
      <c r="W12" s="837"/>
      <c r="X12" s="837">
        <f ca="1">SUMIF(AR18:AU184,"&gt;0",AL18:AN184)</f>
        <v>0</v>
      </c>
      <c r="Y12" s="837"/>
      <c r="Z12" s="837"/>
      <c r="AA12" s="837"/>
      <c r="AB12" s="836">
        <f ca="1">SUMIF(AR18:AU184,"&gt;0",AO18:AQ184)</f>
        <v>0</v>
      </c>
      <c r="AC12" s="836"/>
      <c r="AD12" s="836"/>
      <c r="AE12" s="836"/>
    </row>
    <row r="13" spans="1:81" ht="15.95" customHeight="1">
      <c r="A13" s="76"/>
      <c r="B13" s="76"/>
      <c r="C13" s="76"/>
      <c r="D13" s="76"/>
      <c r="T13" s="837"/>
      <c r="U13" s="837"/>
      <c r="V13" s="837"/>
      <c r="W13" s="837"/>
      <c r="X13" s="837"/>
      <c r="Y13" s="837"/>
      <c r="Z13" s="837"/>
      <c r="AA13" s="837"/>
      <c r="AB13" s="836"/>
      <c r="AC13" s="836"/>
      <c r="AD13" s="836"/>
      <c r="AE13" s="836"/>
      <c r="AM13" s="839" t="str">
        <f>IF(OR(IFERROR(MATCH("75% Total Cost",BM:BM, 0), FALSE), IFERROR(MATCH("100% Incremental Cost",BM:BM,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BD14" s="542" t="s">
        <v>2112</v>
      </c>
      <c r="BE14" s="542" t="s">
        <v>2112</v>
      </c>
      <c r="BL14" s="542" t="s">
        <v>2112</v>
      </c>
      <c r="BO14" s="51" t="s">
        <v>3048</v>
      </c>
      <c r="BX14" s="542" t="s">
        <v>2112</v>
      </c>
    </row>
    <row r="15" spans="1:81" ht="15.95" customHeight="1"/>
    <row r="16" spans="1:81" ht="15.95" customHeight="1">
      <c r="C16" s="832" t="s">
        <v>927</v>
      </c>
      <c r="D16" s="832"/>
      <c r="E16" s="832"/>
      <c r="F16" s="832"/>
      <c r="G16" s="832"/>
      <c r="H16" s="832" t="s">
        <v>859</v>
      </c>
      <c r="I16" s="832"/>
      <c r="J16" s="832"/>
      <c r="K16" s="832"/>
      <c r="L16" s="832"/>
      <c r="M16" s="832"/>
      <c r="N16" s="832" t="s">
        <v>928</v>
      </c>
      <c r="O16" s="832"/>
      <c r="P16" s="832"/>
      <c r="Q16" s="832"/>
      <c r="R16" s="832"/>
      <c r="S16" s="832"/>
      <c r="T16" s="832" t="s">
        <v>1851</v>
      </c>
      <c r="U16" s="832"/>
      <c r="V16" s="832"/>
      <c r="W16" s="832" t="s">
        <v>929</v>
      </c>
      <c r="X16" s="832"/>
      <c r="Y16" s="832"/>
      <c r="Z16" s="832"/>
      <c r="AA16" s="832"/>
      <c r="AB16" s="832"/>
      <c r="AC16" s="832" t="s">
        <v>1852</v>
      </c>
      <c r="AD16" s="832"/>
      <c r="AE16" s="832"/>
      <c r="AF16" s="832" t="s">
        <v>930</v>
      </c>
      <c r="AG16" s="832"/>
      <c r="AH16" s="860" t="s">
        <v>876</v>
      </c>
      <c r="AI16" s="860"/>
      <c r="AJ16" s="860"/>
      <c r="AK16" s="860"/>
      <c r="AL16" s="832" t="s">
        <v>923</v>
      </c>
      <c r="AM16" s="832"/>
      <c r="AN16" s="832"/>
      <c r="AO16" s="832" t="s">
        <v>735</v>
      </c>
      <c r="AP16" s="832"/>
      <c r="AQ16" s="832"/>
      <c r="AR16" s="832" t="s">
        <v>83</v>
      </c>
      <c r="AS16" s="832"/>
      <c r="AT16" s="832"/>
      <c r="AU16" s="832"/>
      <c r="AV16" s="59"/>
      <c r="AW16" s="59"/>
      <c r="AX16" s="779" t="s">
        <v>743</v>
      </c>
      <c r="AY16" s="779" t="s">
        <v>1985</v>
      </c>
      <c r="AZ16" s="779" t="s">
        <v>942</v>
      </c>
      <c r="BA16" s="779" t="s">
        <v>635</v>
      </c>
      <c r="BB16" s="779" t="s">
        <v>875</v>
      </c>
      <c r="BC16" s="779" t="s">
        <v>924</v>
      </c>
      <c r="BD16" s="781" t="s">
        <v>1701</v>
      </c>
      <c r="BE16" s="783" t="s">
        <v>874</v>
      </c>
      <c r="BF16" s="783"/>
      <c r="BG16" s="779" t="s">
        <v>926</v>
      </c>
      <c r="BH16" s="600"/>
      <c r="BI16" s="600"/>
      <c r="BJ16" s="779" t="s">
        <v>88</v>
      </c>
      <c r="BK16" s="781" t="s">
        <v>1619</v>
      </c>
      <c r="BL16" s="783" t="s">
        <v>876</v>
      </c>
      <c r="BM16" s="783"/>
      <c r="BN16" s="779" t="s">
        <v>132</v>
      </c>
      <c r="BO16" s="779" t="s">
        <v>325</v>
      </c>
      <c r="BP16" s="781" t="s">
        <v>1833</v>
      </c>
      <c r="BQ16" s="600"/>
      <c r="BR16" s="781" t="s">
        <v>1614</v>
      </c>
      <c r="BS16" s="783"/>
      <c r="BT16" s="779"/>
      <c r="BU16" s="779" t="s">
        <v>925</v>
      </c>
      <c r="BV16" s="781" t="s">
        <v>691</v>
      </c>
      <c r="BW16" s="779" t="s">
        <v>85</v>
      </c>
      <c r="BX16" s="783" t="s">
        <v>840</v>
      </c>
      <c r="BY16" s="779" t="s">
        <v>309</v>
      </c>
      <c r="BZ16" s="755"/>
      <c r="CA16" s="755"/>
      <c r="CB16" s="755"/>
      <c r="CC16" s="755"/>
    </row>
    <row r="17" spans="1:81" ht="15.95" customHeight="1" thickBot="1">
      <c r="B17" s="17"/>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t="s">
        <v>862</v>
      </c>
      <c r="AI17" s="833"/>
      <c r="AJ17" s="833" t="s">
        <v>863</v>
      </c>
      <c r="AK17" s="833"/>
      <c r="AL17" s="833"/>
      <c r="AM17" s="833"/>
      <c r="AN17" s="833"/>
      <c r="AO17" s="833"/>
      <c r="AP17" s="833"/>
      <c r="AQ17" s="833"/>
      <c r="AR17" s="833"/>
      <c r="AS17" s="833"/>
      <c r="AT17" s="833"/>
      <c r="AU17" s="833"/>
      <c r="AV17" s="37"/>
      <c r="AW17" s="37"/>
      <c r="AX17" s="780"/>
      <c r="AY17" s="780"/>
      <c r="AZ17" s="780"/>
      <c r="BA17" s="780"/>
      <c r="BB17" s="780"/>
      <c r="BC17" s="780"/>
      <c r="BD17" s="782"/>
      <c r="BE17" s="540" t="s">
        <v>871</v>
      </c>
      <c r="BF17" s="541" t="s">
        <v>872</v>
      </c>
      <c r="BG17" s="780"/>
      <c r="BH17" s="1097"/>
      <c r="BI17" s="1097"/>
      <c r="BJ17" s="780"/>
      <c r="BK17" s="782"/>
      <c r="BL17" s="784"/>
      <c r="BM17" s="784"/>
      <c r="BN17" s="780"/>
      <c r="BO17" s="780"/>
      <c r="BP17" s="782"/>
      <c r="BQ17" s="1097"/>
      <c r="BR17" s="782"/>
      <c r="BS17" s="784"/>
      <c r="BT17" s="780"/>
      <c r="BU17" s="780"/>
      <c r="BV17" s="782"/>
      <c r="BW17" s="780"/>
      <c r="BX17" s="784"/>
      <c r="BY17" s="780"/>
      <c r="BZ17" s="756"/>
      <c r="CA17" s="756"/>
      <c r="CB17" s="756"/>
      <c r="CC17" s="756"/>
    </row>
    <row r="18" spans="1:81" ht="15.95" customHeight="1">
      <c r="B18" s="785">
        <v>1</v>
      </c>
      <c r="C18" s="1056"/>
      <c r="D18" s="877"/>
      <c r="E18" s="877"/>
      <c r="F18" s="877"/>
      <c r="G18" s="1058"/>
      <c r="H18" s="1050"/>
      <c r="I18" s="1050"/>
      <c r="J18" s="1050"/>
      <c r="K18" s="1050"/>
      <c r="L18" s="1050"/>
      <c r="M18" s="1012"/>
      <c r="N18" s="1124"/>
      <c r="O18" s="877"/>
      <c r="P18" s="877"/>
      <c r="Q18" s="877"/>
      <c r="R18" s="877"/>
      <c r="S18" s="1058"/>
      <c r="T18" s="1141"/>
      <c r="U18" s="1142"/>
      <c r="V18" s="1143"/>
      <c r="W18" s="1124"/>
      <c r="X18" s="877"/>
      <c r="Y18" s="877"/>
      <c r="Z18" s="877"/>
      <c r="AA18" s="877"/>
      <c r="AB18" s="1058"/>
      <c r="AC18" s="1141"/>
      <c r="AD18" s="1142"/>
      <c r="AE18" s="1143"/>
      <c r="AF18" s="1135" t="str">
        <f>IFERROR(IF($C18="", "", IF(OR($C18 = "Retrofit existing", $C18 = "Replace in-life equip."), "Total", "Incremental")), "")</f>
        <v/>
      </c>
      <c r="AG18" s="1136"/>
      <c r="AH18" s="993"/>
      <c r="AI18" s="993"/>
      <c r="AJ18" s="1083" t="str">
        <f>IF(AF18="Incremental",0,"")</f>
        <v/>
      </c>
      <c r="AK18" s="1084"/>
      <c r="AL18" s="1030" t="str">
        <f>IF(OR(C18="",H18="",N18="",T18="",W18="",AC18="",AF18="",AH18="",AJ18=""),"",ROUND(AH18+AJ18,2))</f>
        <v/>
      </c>
      <c r="AM18" s="1031"/>
      <c r="AN18" s="1031"/>
      <c r="AO18" s="1036" t="str">
        <f>IF(OR(C18="",H18="",N18="",T18="",W18="",AC18="",AF18="",AH18="",AJ18=""),"",IF(BA18-BB18&lt;=0,0,ROUND(BA18-BB18,4)))</f>
        <v/>
      </c>
      <c r="AP18" s="1036"/>
      <c r="AQ18" s="1036"/>
      <c r="AR18" s="1000" t="str">
        <f>IF(OR(C18="",H18="",N18="",T18="",W18="",AC18="",AF18="",AH18="",AJ18=""),"",
IF(BY18&lt;&gt;"",BY18,IF(BP18&gt;0,BP18,
IF(AF18="Incremental",
IF(ACTIVEBLOCK="Yes",ROUND(MIN(AL18*INCCOSTCAP,AO18*BLOCKBIDRATE),2),
ROUND(MIN(AL18*INCCOSTCAP,BR18),2)),
IF(ACTIVEBLOCK="Yes",ROUND(MIN(AL18*TOTCOSTCAP,AO18*BLOCKBIDRATE),2),
ROUND(MIN(AL18*TOTCOSTCAP,BR18),2))))))</f>
        <v/>
      </c>
      <c r="AS18" s="1000"/>
      <c r="AT18" s="1000"/>
      <c r="AU18" s="1000"/>
      <c r="AV18" s="37"/>
      <c r="AW18" s="37"/>
      <c r="AX18" s="773" t="str">
        <f>IF(OR(C18="",H18=""),"",INDEX(CMECOMPAIR[Unit of Measure],MATCH(H18,CMECOMPAIR[Proj Desc 1],0)))</f>
        <v/>
      </c>
      <c r="AY18" s="759" t="str">
        <f>IF(AO18&lt;&gt;"","Missing!","")</f>
        <v/>
      </c>
      <c r="AZ18" s="759" t="str">
        <f>IF(AO18&lt;&gt;"","Missing!","")</f>
        <v/>
      </c>
      <c r="BA18" s="771" t="str">
        <f>IF(OR(C18="",H18="",N18="",T18="",W18="",AC18="",AF18="",AH18="",AJ18=""),"",ROUND(T18,4))</f>
        <v/>
      </c>
      <c r="BB18" s="771" t="str">
        <f>IF(OR(C18="",H18="",N18="",T18="",W18="",AC18="",AF18="",AH18="",AJ18=""),"",ROUND(AC18,4))</f>
        <v/>
      </c>
      <c r="BC18" s="773" t="str">
        <f>IF(OR(C18="",H18=""),"",IF(INDEX(CMECOMPAIR[End Use Category],MATCH(H18,CMECOMPAIR[Proj Desc 1],0))="","",INDEX(CMECOMPAIR[End Use Category],MATCH(H18,CMECOMPAIR[Proj Desc 1],0))))</f>
        <v/>
      </c>
      <c r="BD18" s="757" t="str">
        <f>IF(BE18&lt;&gt;"", "Calculated", "")</f>
        <v/>
      </c>
      <c r="BE18" s="775" t="str">
        <f>IF(AND(BA18&lt;&gt;"", BB18&lt;&gt;""), ROUND(BA18-BB18,4), "")</f>
        <v/>
      </c>
      <c r="BF18" s="1098"/>
      <c r="BG18" s="775" t="str">
        <f>IFERROR(IF(OR(C18="",H18="",N18="",T18="",W18="",AC18="",AF18="",AH18="",AJ18=""),"",ROUND(AO18*INDEX(ENDUSEALL[Factor],MATCH(BC18,ENDUSEALL[End Use to Coincident Peak Demand Factors],0)),4)),"")</f>
        <v/>
      </c>
      <c r="BH18" s="761"/>
      <c r="BI18" s="761"/>
      <c r="BJ18" s="777" t="str">
        <f>IF(OR(C18="",H18=""),"",IF(INDEX(CMECOMPAIR[EUL],MATCH(H18,CMECOMPAIR[Proj Desc 1],0))="","",INDEX(CMECOMPAIR[EUL],MATCH(H18,CMECOMPAIR[Proj Desc 1],0))))</f>
        <v/>
      </c>
      <c r="BK18" s="767" t="str">
        <f>IFERROR(IF(OR(C18="",H18="",N18="",T18="",W18="",AC18="",AF18="",AH18="",AJ18=""),"",
ROUND(((1+ELOSS)*((AO18*INDEX(ELECCB[NPV AEC $/kWh],MATCH(BJ18,ELECCB[Year Number],1)))+(BG18*INDEX(ELECCB[NPV ACC $/kW],MATCH(BJ18,ELECCB[Year Number],1))))),2)),0)</f>
        <v/>
      </c>
      <c r="BL18" s="767" t="str">
        <f t="shared" ref="BL18:BL36" si="0">IF(OR(AH18="", AJ18=""), "", AH18+AJ18)</f>
        <v/>
      </c>
      <c r="BM18" s="765"/>
      <c r="BN18" s="763" t="str">
        <f t="shared" ref="BN18:BN36" si="1">IFERROR( BK18 / IF(BM18 &lt;&gt; "", BM18, BL18), "")</f>
        <v/>
      </c>
      <c r="BO18" s="763" t="str">
        <f>IFERROR(IF(BM18 &lt;&gt; "", BM18, BL18) / M02S04F06 / AO18, "")</f>
        <v/>
      </c>
      <c r="BP18" s="769"/>
      <c r="BQ18" s="765"/>
      <c r="BR18" s="767" t="str">
        <f>IFERROR(ROUND(AO18*BV18,2),"")</f>
        <v/>
      </c>
      <c r="BS18" s="765"/>
      <c r="BT18" s="765"/>
      <c r="BU18" s="757"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67"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57" t="str">
        <f>IF(OR(C18="",H18="",N18="",T18="",W18="",AC18="",AF18="",AH18="",AJ18=""),"",IF(BY18&lt;&gt;"",SPILLOVERNUMBER,INDEX(CMECOMPAIR[Measure Number],MATCH(H18,CMECOMPAIR[Proj Desc 1],0))))</f>
        <v/>
      </c>
      <c r="BX18" s="757" t="str" cm="1">
        <f t="array" ref="BX18">IFERROR(INDEX(_xlfn.SWITCH(Program_Banner,"Business Energy Savings",ENDUSEALL[Primary Key WBE],"Small Business / Non-Profit",ENDUSEALL[Primary Key HTRB],0),MATCH(BC18,ENDUSEALL[End Use to Coincident Peak Demand Factors],0)),"")</f>
        <v/>
      </c>
      <c r="BY18" s="757"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53"/>
      <c r="CA18" s="753"/>
      <c r="CB18" s="753"/>
      <c r="CC18" s="753"/>
    </row>
    <row r="19" spans="1:81" ht="15.95" customHeight="1">
      <c r="B19" s="785"/>
      <c r="C19" s="1012"/>
      <c r="D19" s="1013"/>
      <c r="E19" s="1013"/>
      <c r="F19" s="1013"/>
      <c r="G19" s="1014"/>
      <c r="H19" s="1002"/>
      <c r="I19" s="1002"/>
      <c r="J19" s="1002"/>
      <c r="K19" s="1002"/>
      <c r="L19" s="1002"/>
      <c r="M19" s="1003"/>
      <c r="N19" s="1041"/>
      <c r="O19" s="1013"/>
      <c r="P19" s="1013"/>
      <c r="Q19" s="1013"/>
      <c r="R19" s="1013"/>
      <c r="S19" s="1014"/>
      <c r="T19" s="1034"/>
      <c r="U19" s="1139"/>
      <c r="V19" s="1140"/>
      <c r="W19" s="1041"/>
      <c r="X19" s="1013"/>
      <c r="Y19" s="1013"/>
      <c r="Z19" s="1013"/>
      <c r="AA19" s="1013"/>
      <c r="AB19" s="1014"/>
      <c r="AC19" s="1034"/>
      <c r="AD19" s="1139"/>
      <c r="AE19" s="1140"/>
      <c r="AF19" s="1135"/>
      <c r="AG19" s="1136"/>
      <c r="AH19" s="993"/>
      <c r="AI19" s="993"/>
      <c r="AJ19" s="1083"/>
      <c r="AK19" s="1084"/>
      <c r="AL19" s="1006"/>
      <c r="AM19" s="1007"/>
      <c r="AN19" s="1007"/>
      <c r="AO19" s="1037"/>
      <c r="AP19" s="1037"/>
      <c r="AQ19" s="1037"/>
      <c r="AR19" s="1001"/>
      <c r="AS19" s="1001"/>
      <c r="AT19" s="1001"/>
      <c r="AU19" s="1001"/>
      <c r="AV19" s="37"/>
      <c r="AW19" s="37"/>
      <c r="AX19" s="774"/>
      <c r="AY19" s="760"/>
      <c r="AZ19" s="760"/>
      <c r="BA19" s="772"/>
      <c r="BB19" s="772"/>
      <c r="BC19" s="774"/>
      <c r="BD19" s="758"/>
      <c r="BE19" s="776"/>
      <c r="BF19" s="1099"/>
      <c r="BG19" s="776"/>
      <c r="BH19" s="762"/>
      <c r="BI19" s="762"/>
      <c r="BJ19" s="778"/>
      <c r="BK19" s="768"/>
      <c r="BL19" s="768"/>
      <c r="BM19" s="766"/>
      <c r="BN19" s="764"/>
      <c r="BO19" s="764"/>
      <c r="BP19" s="770"/>
      <c r="BQ19" s="766"/>
      <c r="BR19" s="768"/>
      <c r="BS19" s="766"/>
      <c r="BT19" s="766"/>
      <c r="BU19" s="758"/>
      <c r="BV19" s="768"/>
      <c r="BW19" s="758"/>
      <c r="BX19" s="758"/>
      <c r="BY19" s="758"/>
      <c r="BZ19" s="754"/>
      <c r="CA19" s="754"/>
      <c r="CB19" s="754"/>
      <c r="CC19" s="754"/>
    </row>
    <row r="20" spans="1:81" ht="15.95" customHeight="1">
      <c r="A20" s="75"/>
      <c r="B20" s="785">
        <v>2</v>
      </c>
      <c r="C20" s="1009"/>
      <c r="D20" s="1010"/>
      <c r="E20" s="1010"/>
      <c r="F20" s="1010"/>
      <c r="G20" s="1011"/>
      <c r="H20" s="1002"/>
      <c r="I20" s="1002"/>
      <c r="J20" s="1002"/>
      <c r="K20" s="1002"/>
      <c r="L20" s="1002"/>
      <c r="M20" s="1003"/>
      <c r="N20" s="1040"/>
      <c r="O20" s="1010"/>
      <c r="P20" s="1010"/>
      <c r="Q20" s="1010"/>
      <c r="R20" s="1010"/>
      <c r="S20" s="1011"/>
      <c r="T20" s="1032"/>
      <c r="U20" s="1137"/>
      <c r="V20" s="1138"/>
      <c r="W20" s="1040"/>
      <c r="X20" s="1010"/>
      <c r="Y20" s="1010"/>
      <c r="Z20" s="1010"/>
      <c r="AA20" s="1010"/>
      <c r="AB20" s="1011"/>
      <c r="AC20" s="1032"/>
      <c r="AD20" s="1137"/>
      <c r="AE20" s="1138"/>
      <c r="AF20" s="1135" t="str">
        <f>IFERROR(IF($C20="", "", IF(OR($C20 = "Retrofit existing", $C20 = "Replace in-life equip."), "Total", "Incremental")), "")</f>
        <v/>
      </c>
      <c r="AG20" s="1136"/>
      <c r="AH20" s="993"/>
      <c r="AI20" s="993"/>
      <c r="AJ20" s="1083" t="str">
        <f>IF(AF20="Incremental",0,"")</f>
        <v/>
      </c>
      <c r="AK20" s="1084"/>
      <c r="AL20" s="1030" t="str">
        <f>IF(OR(C20="",H20="",N20="",T20="",W20="",AC20="",AF20="",AH20="",AJ20=""),"",ROUND(AH20+AJ20,2))</f>
        <v/>
      </c>
      <c r="AM20" s="1031"/>
      <c r="AN20" s="1031"/>
      <c r="AO20" s="1036" t="str">
        <f>IF(OR(C20="",H20="",N20="",T20="",W20="",AC20="",AF20="",AH20="",AJ20=""),"",IF(BA20-BB20&lt;=0,0,ROUND(BA20-BB20,4)))</f>
        <v/>
      </c>
      <c r="AP20" s="1036"/>
      <c r="AQ20" s="1036"/>
      <c r="AR20" s="1000" t="str">
        <f>IF(OR(C20="",H20="",N20="",T20="",W20="",AC20="",AF20="",AH20="",AJ20=""),"",
IF(BY20&lt;&gt;"",BY20,IF(BP20&gt;0,BP20,
IF(AF20="Incremental",
IF(ACTIVEBLOCK="Yes",ROUND(MIN(AL20*INCCOSTCAP,AO20*BLOCKBIDRATE),2),
ROUND(MIN(AL20*INCCOSTCAP,BR20),2)),
IF(ACTIVEBLOCK="Yes",ROUND(MIN(AL20*TOTCOSTCAP,AO20*BLOCKBIDRATE),2),
ROUND(MIN(AL20*TOTCOSTCAP,BR20),2))))))</f>
        <v/>
      </c>
      <c r="AS20" s="1000"/>
      <c r="AT20" s="1000"/>
      <c r="AU20" s="1000"/>
      <c r="AV20" s="37"/>
      <c r="AW20" s="37"/>
      <c r="AX20" s="773" t="str">
        <f>IF(OR(C20="",H20=""),"",INDEX(CMECOMPAIR[Unit of Measure],MATCH(H20,CMECOMPAIR[Proj Desc 1],0)))</f>
        <v/>
      </c>
      <c r="AY20" s="759" t="str">
        <f t="shared" ref="AY20" si="2">IF(AO20&lt;&gt;"","Missing!","")</f>
        <v/>
      </c>
      <c r="AZ20" s="759" t="str">
        <f t="shared" ref="AZ20" si="3">IF(AO20&lt;&gt;"","Missing!","")</f>
        <v/>
      </c>
      <c r="BA20" s="771" t="str">
        <f t="shared" ref="BA20" si="4">IF(OR(C20="",H20="",N20="",T20="",W20="",AC20="",AF20="",AH20="",AJ20=""),"",ROUND(T20,4))</f>
        <v/>
      </c>
      <c r="BB20" s="771" t="str">
        <f t="shared" ref="BB20" si="5">IF(OR(C20="",H20="",N20="",T20="",W20="",AC20="",AF20="",AH20="",AJ20=""),"",ROUND(AC20,4))</f>
        <v/>
      </c>
      <c r="BC20" s="773" t="str">
        <f>IF(OR(C20="",H20=""),"",IF(INDEX(CMECOMPAIR[End Use Category],MATCH(H20,CMECOMPAIR[Proj Desc 1],0))="","",INDEX(CMECOMPAIR[End Use Category],MATCH(H20,CMECOMPAIR[Proj Desc 1],0))))</f>
        <v/>
      </c>
      <c r="BD20" s="757" t="str">
        <f t="shared" ref="BD20" si="6">IF(BE20&lt;&gt;"", "Calculated", "")</f>
        <v/>
      </c>
      <c r="BE20" s="775" t="str">
        <f t="shared" ref="BE20" si="7">IF(AND(BA20&lt;&gt;"", BB20&lt;&gt;""), ROUND(BA20-BB20,4), "")</f>
        <v/>
      </c>
      <c r="BF20" s="1098"/>
      <c r="BG20" s="775" t="str">
        <f>IFERROR(IF(OR(C20="",H20="",N20="",T20="",W20="",AC20="",AF20="",AH20="",AJ20=""),"",ROUND(AO20*INDEX(ENDUSEALL[Factor],MATCH(BC20,ENDUSEALL[End Use to Coincident Peak Demand Factors],0)),4)),"")</f>
        <v/>
      </c>
      <c r="BH20" s="761"/>
      <c r="BI20" s="761"/>
      <c r="BJ20" s="777" t="str">
        <f>IF(OR(C20="",H20=""),"",IF(INDEX(CMECOMPAIR[EUL],MATCH(H20,CMECOMPAIR[Proj Desc 1],0))="","",INDEX(CMECOMPAIR[EUL],MATCH(H20,CMECOMPAIR[Proj Desc 1],0))))</f>
        <v/>
      </c>
      <c r="BK20" s="767" t="str">
        <f>IFERROR(IF(OR(C20="",H20="",N20="",T20="",W20="",AC20="",AF20="",AH20="",AJ20=""),"",
ROUND(((1+ELOSS)*((AO20*INDEX(ELECCB[NPV AEC $/kWh],MATCH(BJ20,ELECCB[Year Number],1)))+(BG20*INDEX(ELECCB[NPV ACC $/kW],MATCH(BJ20,ELECCB[Year Number],1))))),2)),0)</f>
        <v/>
      </c>
      <c r="BL20" s="767" t="str">
        <f t="shared" si="0"/>
        <v/>
      </c>
      <c r="BM20" s="765"/>
      <c r="BN20" s="763" t="str">
        <f t="shared" si="1"/>
        <v/>
      </c>
      <c r="BO20" s="763" t="str">
        <f>IFERROR(IF(BM20 &lt;&gt; "", BM20, BL20) / M02S04F06 / AO20, "")</f>
        <v/>
      </c>
      <c r="BP20" s="769"/>
      <c r="BQ20" s="765"/>
      <c r="BR20" s="767" t="str">
        <f t="shared" ref="BR20" si="8">IFERROR(ROUND(AO20*BV20,2),"")</f>
        <v/>
      </c>
      <c r="BS20" s="765"/>
      <c r="BT20" s="765"/>
      <c r="BU20" s="757"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67"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57" t="str">
        <f>IF(OR(C20="",H20="",N20="",T20="",W20="",AC20="",AF20="",AH20="",AJ20=""),"",IF(BY20&lt;&gt;"",SPILLOVERNUMBER,INDEX(CMECOMPAIR[Measure Number],MATCH(H20,CMECOMPAIR[Proj Desc 1],0))))</f>
        <v/>
      </c>
      <c r="BX20" s="757" t="str" cm="1">
        <f t="array" ref="BX20">IFERROR(INDEX(_xlfn.SWITCH(Program_Banner,"Business Energy Savings",ENDUSEALL[Primary Key WBE],"Small Business / Non-Profit",ENDUSEALL[Primary Key HTRB],0),MATCH(BC20,ENDUSEALL[End Use to Coincident Peak Demand Factors],0)),"")</f>
        <v/>
      </c>
      <c r="BY20" s="757"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53"/>
      <c r="CA20" s="753"/>
      <c r="CB20" s="753"/>
      <c r="CC20" s="753"/>
    </row>
    <row r="21" spans="1:81" ht="15.95" customHeight="1">
      <c r="B21" s="785"/>
      <c r="C21" s="1012"/>
      <c r="D21" s="1013"/>
      <c r="E21" s="1013"/>
      <c r="F21" s="1013"/>
      <c r="G21" s="1014"/>
      <c r="H21" s="1002"/>
      <c r="I21" s="1002"/>
      <c r="J21" s="1002"/>
      <c r="K21" s="1002"/>
      <c r="L21" s="1002"/>
      <c r="M21" s="1003"/>
      <c r="N21" s="1041"/>
      <c r="O21" s="1013"/>
      <c r="P21" s="1013"/>
      <c r="Q21" s="1013"/>
      <c r="R21" s="1013"/>
      <c r="S21" s="1014"/>
      <c r="T21" s="1034"/>
      <c r="U21" s="1139"/>
      <c r="V21" s="1140"/>
      <c r="W21" s="1041"/>
      <c r="X21" s="1013"/>
      <c r="Y21" s="1013"/>
      <c r="Z21" s="1013"/>
      <c r="AA21" s="1013"/>
      <c r="AB21" s="1014"/>
      <c r="AC21" s="1034"/>
      <c r="AD21" s="1139"/>
      <c r="AE21" s="1140"/>
      <c r="AF21" s="1135"/>
      <c r="AG21" s="1136"/>
      <c r="AH21" s="993"/>
      <c r="AI21" s="993"/>
      <c r="AJ21" s="1083"/>
      <c r="AK21" s="1084"/>
      <c r="AL21" s="1006"/>
      <c r="AM21" s="1007"/>
      <c r="AN21" s="1007"/>
      <c r="AO21" s="1037"/>
      <c r="AP21" s="1037"/>
      <c r="AQ21" s="1037"/>
      <c r="AR21" s="1001"/>
      <c r="AS21" s="1001"/>
      <c r="AT21" s="1001"/>
      <c r="AU21" s="1001"/>
      <c r="AV21" s="37"/>
      <c r="AW21" s="37"/>
      <c r="AX21" s="774"/>
      <c r="AY21" s="760"/>
      <c r="AZ21" s="760"/>
      <c r="BA21" s="772"/>
      <c r="BB21" s="772"/>
      <c r="BC21" s="774"/>
      <c r="BD21" s="758"/>
      <c r="BE21" s="776"/>
      <c r="BF21" s="1099"/>
      <c r="BG21" s="776"/>
      <c r="BH21" s="762"/>
      <c r="BI21" s="762"/>
      <c r="BJ21" s="778"/>
      <c r="BK21" s="768"/>
      <c r="BL21" s="768"/>
      <c r="BM21" s="766"/>
      <c r="BN21" s="764"/>
      <c r="BO21" s="764"/>
      <c r="BP21" s="770"/>
      <c r="BQ21" s="766"/>
      <c r="BR21" s="768"/>
      <c r="BS21" s="766"/>
      <c r="BT21" s="766"/>
      <c r="BU21" s="758"/>
      <c r="BV21" s="768"/>
      <c r="BW21" s="758"/>
      <c r="BX21" s="758"/>
      <c r="BY21" s="758"/>
      <c r="BZ21" s="754"/>
      <c r="CA21" s="754"/>
      <c r="CB21" s="754"/>
      <c r="CC21" s="754"/>
    </row>
    <row r="22" spans="1:81" s="17" customFormat="1" ht="15.95" customHeight="1">
      <c r="A22" s="109"/>
      <c r="B22" s="785">
        <v>3</v>
      </c>
      <c r="C22" s="1009"/>
      <c r="D22" s="1010"/>
      <c r="E22" s="1010"/>
      <c r="F22" s="1010"/>
      <c r="G22" s="1011"/>
      <c r="H22" s="1002"/>
      <c r="I22" s="1002"/>
      <c r="J22" s="1002"/>
      <c r="K22" s="1002"/>
      <c r="L22" s="1002"/>
      <c r="M22" s="1003"/>
      <c r="N22" s="1040"/>
      <c r="O22" s="1010"/>
      <c r="P22" s="1010"/>
      <c r="Q22" s="1010"/>
      <c r="R22" s="1010"/>
      <c r="S22" s="1011"/>
      <c r="T22" s="1032"/>
      <c r="U22" s="1137"/>
      <c r="V22" s="1138"/>
      <c r="W22" s="1040"/>
      <c r="X22" s="1010"/>
      <c r="Y22" s="1010"/>
      <c r="Z22" s="1010"/>
      <c r="AA22" s="1010"/>
      <c r="AB22" s="1011"/>
      <c r="AC22" s="1032"/>
      <c r="AD22" s="1137"/>
      <c r="AE22" s="1138"/>
      <c r="AF22" s="1135" t="str">
        <f>IFERROR(IF($C22="", "", IF(OR($C22 = "Retrofit existing", $C22 = "Replace in-life equip."), "Total", "Incremental")), "")</f>
        <v/>
      </c>
      <c r="AG22" s="1136"/>
      <c r="AH22" s="993"/>
      <c r="AI22" s="993"/>
      <c r="AJ22" s="1083" t="str">
        <f t="shared" ref="AJ22" si="9">IF(AF22="Incremental",0,"")</f>
        <v/>
      </c>
      <c r="AK22" s="1084"/>
      <c r="AL22" s="1030" t="str">
        <f>IF(OR(C22="",H22="",N22="",T22="",W22="",AC22="",AF22="",AH22="",AJ22=""),"",ROUND(AH22+AJ22,2))</f>
        <v/>
      </c>
      <c r="AM22" s="1031"/>
      <c r="AN22" s="1031"/>
      <c r="AO22" s="1036" t="str">
        <f>IF(OR(C22="",H22="",N22="",T22="",W22="",AC22="",AF22="",AH22="",AJ22=""),"",IF(BA22-BB22&lt;=0,0,ROUND(BA22-BB22,4)))</f>
        <v/>
      </c>
      <c r="AP22" s="1036"/>
      <c r="AQ22" s="1036"/>
      <c r="AR22" s="1000" t="str">
        <f>IF(OR(C22="",H22="",N22="",T22="",W22="",AC22="",AF22="",AH22="",AJ22=""),"",
IF(BY22&lt;&gt;"",BY22,IF(BP22&gt;0,BP22,
IF(AF22="Incremental",
IF(ACTIVEBLOCK="Yes",ROUND(MIN(AL22*INCCOSTCAP,AO22*BLOCKBIDRATE),2),
ROUND(MIN(AL22*INCCOSTCAP,BR22),2)),
IF(ACTIVEBLOCK="Yes",ROUND(MIN(AL22*TOTCOSTCAP,AO22*BLOCKBIDRATE),2),
ROUND(MIN(AL22*TOTCOSTCAP,BR22),2))))))</f>
        <v/>
      </c>
      <c r="AS22" s="1000"/>
      <c r="AT22" s="1000"/>
      <c r="AU22" s="1000"/>
      <c r="AV22" s="59"/>
      <c r="AW22" s="59"/>
      <c r="AX22" s="773" t="str">
        <f>IF(OR(C22="",H22=""),"",INDEX(CMECOMPAIR[Unit of Measure],MATCH(H22,CMECOMPAIR[Proj Desc 1],0)))</f>
        <v/>
      </c>
      <c r="AY22" s="759" t="str">
        <f t="shared" ref="AY22" si="10">IF(AO22&lt;&gt;"","Missing!","")</f>
        <v/>
      </c>
      <c r="AZ22" s="759" t="str">
        <f t="shared" ref="AZ22" si="11">IF(AO22&lt;&gt;"","Missing!","")</f>
        <v/>
      </c>
      <c r="BA22" s="771" t="str">
        <f t="shared" ref="BA22" si="12">IF(OR(C22="",H22="",N22="",T22="",W22="",AC22="",AF22="",AH22="",AJ22=""),"",ROUND(T22,4))</f>
        <v/>
      </c>
      <c r="BB22" s="771" t="str">
        <f t="shared" ref="BB22" si="13">IF(OR(C22="",H22="",N22="",T22="",W22="",AC22="",AF22="",AH22="",AJ22=""),"",ROUND(AC22,4))</f>
        <v/>
      </c>
      <c r="BC22" s="773" t="str">
        <f>IF(OR(C22="",H22=""),"",IF(INDEX(CMECOMPAIR[End Use Category],MATCH(H22,CMECOMPAIR[Proj Desc 1],0))="","",INDEX(CMECOMPAIR[End Use Category],MATCH(H22,CMECOMPAIR[Proj Desc 1],0))))</f>
        <v/>
      </c>
      <c r="BD22" s="757" t="str">
        <f t="shared" ref="BD22" si="14">IF(BE22&lt;&gt;"", "Calculated", "")</f>
        <v/>
      </c>
      <c r="BE22" s="775" t="str">
        <f t="shared" ref="BE22" si="15">IF(AND(BA22&lt;&gt;"", BB22&lt;&gt;""), ROUND(BA22-BB22,4), "")</f>
        <v/>
      </c>
      <c r="BF22" s="1098"/>
      <c r="BG22" s="775" t="str">
        <f>IFERROR(IF(OR(C22="",H22="",N22="",T22="",W22="",AC22="",AF22="",AH22="",AJ22=""),"",ROUND(AO22*INDEX(ENDUSEALL[Factor],MATCH(BC22,ENDUSEALL[End Use to Coincident Peak Demand Factors],0)),4)),"")</f>
        <v/>
      </c>
      <c r="BH22" s="761"/>
      <c r="BI22" s="761"/>
      <c r="BJ22" s="777" t="str">
        <f>IF(OR(C22="",H22=""),"",IF(INDEX(CMECOMPAIR[EUL],MATCH(H22,CMECOMPAIR[Proj Desc 1],0))="","",INDEX(CMECOMPAIR[EUL],MATCH(H22,CMECOMPAIR[Proj Desc 1],0))))</f>
        <v/>
      </c>
      <c r="BK22" s="767" t="str">
        <f>IFERROR(IF(OR(C22="",H22="",N22="",T22="",W22="",AC22="",AF22="",AH22="",AJ22=""),"",
ROUND(((1+ELOSS)*((AO22*INDEX(ELECCB[NPV AEC $/kWh],MATCH(BJ22,ELECCB[Year Number],1)))+(BG22*INDEX(ELECCB[NPV ACC $/kW],MATCH(BJ22,ELECCB[Year Number],1))))),2)),0)</f>
        <v/>
      </c>
      <c r="BL22" s="767" t="str">
        <f t="shared" si="0"/>
        <v/>
      </c>
      <c r="BM22" s="765"/>
      <c r="BN22" s="763" t="str">
        <f t="shared" si="1"/>
        <v/>
      </c>
      <c r="BO22" s="763" t="str">
        <f>IFERROR(IF(BM22 &lt;&gt; "", BM22, BL22) / M02S04F06 / AO22, "")</f>
        <v/>
      </c>
      <c r="BP22" s="769"/>
      <c r="BQ22" s="765"/>
      <c r="BR22" s="767" t="str">
        <f t="shared" ref="BR22" si="16">IFERROR(ROUND(AO22*BV22,2),"")</f>
        <v/>
      </c>
      <c r="BS22" s="765"/>
      <c r="BT22" s="765"/>
      <c r="BU22" s="757"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67"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57" t="str">
        <f>IF(OR(C22="",H22="",N22="",T22="",W22="",AC22="",AF22="",AH22="",AJ22=""),"",IF(BY22&lt;&gt;"",SPILLOVERNUMBER,INDEX(CMECOMPAIR[Measure Number],MATCH(H22,CMECOMPAIR[Proj Desc 1],0))))</f>
        <v/>
      </c>
      <c r="BX22" s="757" t="str" cm="1">
        <f t="array" ref="BX22">IFERROR(INDEX(_xlfn.SWITCH(Program_Banner,"Business Energy Savings",ENDUSEALL[Primary Key WBE],"Small Business / Non-Profit",ENDUSEALL[Primary Key HTRB],0),MATCH(BC22,ENDUSEALL[End Use to Coincident Peak Demand Factors],0)),"")</f>
        <v/>
      </c>
      <c r="BY22" s="757"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53"/>
      <c r="CA22" s="753"/>
      <c r="CB22" s="753"/>
      <c r="CC22" s="753"/>
    </row>
    <row r="23" spans="1:81" s="17" customFormat="1" ht="15.95" customHeight="1">
      <c r="A23" s="109"/>
      <c r="B23" s="785"/>
      <c r="C23" s="1012"/>
      <c r="D23" s="1013"/>
      <c r="E23" s="1013"/>
      <c r="F23" s="1013"/>
      <c r="G23" s="1014"/>
      <c r="H23" s="1002"/>
      <c r="I23" s="1002"/>
      <c r="J23" s="1002"/>
      <c r="K23" s="1002"/>
      <c r="L23" s="1002"/>
      <c r="M23" s="1003"/>
      <c r="N23" s="1041"/>
      <c r="O23" s="1013"/>
      <c r="P23" s="1013"/>
      <c r="Q23" s="1013"/>
      <c r="R23" s="1013"/>
      <c r="S23" s="1014"/>
      <c r="T23" s="1034"/>
      <c r="U23" s="1139"/>
      <c r="V23" s="1140"/>
      <c r="W23" s="1041"/>
      <c r="X23" s="1013"/>
      <c r="Y23" s="1013"/>
      <c r="Z23" s="1013"/>
      <c r="AA23" s="1013"/>
      <c r="AB23" s="1014"/>
      <c r="AC23" s="1034"/>
      <c r="AD23" s="1139"/>
      <c r="AE23" s="1140"/>
      <c r="AF23" s="1135"/>
      <c r="AG23" s="1136"/>
      <c r="AH23" s="993"/>
      <c r="AI23" s="993"/>
      <c r="AJ23" s="1083"/>
      <c r="AK23" s="1084"/>
      <c r="AL23" s="1006"/>
      <c r="AM23" s="1007"/>
      <c r="AN23" s="1007"/>
      <c r="AO23" s="1037"/>
      <c r="AP23" s="1037"/>
      <c r="AQ23" s="1037"/>
      <c r="AR23" s="1001"/>
      <c r="AS23" s="1001"/>
      <c r="AT23" s="1001"/>
      <c r="AU23" s="1001"/>
      <c r="AV23" s="59"/>
      <c r="AW23" s="59"/>
      <c r="AX23" s="774"/>
      <c r="AY23" s="760"/>
      <c r="AZ23" s="760"/>
      <c r="BA23" s="772"/>
      <c r="BB23" s="772"/>
      <c r="BC23" s="774"/>
      <c r="BD23" s="758"/>
      <c r="BE23" s="776"/>
      <c r="BF23" s="1099"/>
      <c r="BG23" s="776"/>
      <c r="BH23" s="762"/>
      <c r="BI23" s="762"/>
      <c r="BJ23" s="778"/>
      <c r="BK23" s="768"/>
      <c r="BL23" s="768"/>
      <c r="BM23" s="766"/>
      <c r="BN23" s="764"/>
      <c r="BO23" s="764"/>
      <c r="BP23" s="770"/>
      <c r="BQ23" s="766"/>
      <c r="BR23" s="768"/>
      <c r="BS23" s="766"/>
      <c r="BT23" s="766"/>
      <c r="BU23" s="758"/>
      <c r="BV23" s="768"/>
      <c r="BW23" s="758"/>
      <c r="BX23" s="758"/>
      <c r="BY23" s="758"/>
      <c r="BZ23" s="754"/>
      <c r="CA23" s="754"/>
      <c r="CB23" s="754"/>
      <c r="CC23" s="754"/>
    </row>
    <row r="24" spans="1:81" ht="15.95" customHeight="1">
      <c r="B24" s="785">
        <v>4</v>
      </c>
      <c r="C24" s="1009"/>
      <c r="D24" s="1010"/>
      <c r="E24" s="1010"/>
      <c r="F24" s="1010"/>
      <c r="G24" s="1011"/>
      <c r="H24" s="1002"/>
      <c r="I24" s="1002"/>
      <c r="J24" s="1002"/>
      <c r="K24" s="1002"/>
      <c r="L24" s="1002"/>
      <c r="M24" s="1003"/>
      <c r="N24" s="1040"/>
      <c r="O24" s="1010"/>
      <c r="P24" s="1010"/>
      <c r="Q24" s="1010"/>
      <c r="R24" s="1010"/>
      <c r="S24" s="1011"/>
      <c r="T24" s="1032"/>
      <c r="U24" s="1137"/>
      <c r="V24" s="1138"/>
      <c r="W24" s="1040"/>
      <c r="X24" s="1010"/>
      <c r="Y24" s="1010"/>
      <c r="Z24" s="1010"/>
      <c r="AA24" s="1010"/>
      <c r="AB24" s="1011"/>
      <c r="AC24" s="1032"/>
      <c r="AD24" s="1137"/>
      <c r="AE24" s="1138"/>
      <c r="AF24" s="1135" t="str">
        <f>IFERROR(IF($C24="", "", IF(OR($C24 = "Retrofit existing", $C24 = "Replace in-life equip."), "Total", "Incremental")), "")</f>
        <v/>
      </c>
      <c r="AG24" s="1136"/>
      <c r="AH24" s="993"/>
      <c r="AI24" s="993"/>
      <c r="AJ24" s="1083" t="str">
        <f t="shared" ref="AJ24" si="17">IF(AF24="Incremental",0,"")</f>
        <v/>
      </c>
      <c r="AK24" s="1084"/>
      <c r="AL24" s="1030" t="str">
        <f>IF(OR(C24="",H24="",N24="",T24="",W24="",AC24="",AF24="",AH24="",AJ24=""),"",ROUND(AH24+AJ24,2))</f>
        <v/>
      </c>
      <c r="AM24" s="1031"/>
      <c r="AN24" s="1031"/>
      <c r="AO24" s="1036" t="str">
        <f>IF(OR(C24="",H24="",N24="",T24="",W24="",AC24="",AF24="",AH24="",AJ24=""),"",IF(BA24-BB24&lt;=0,0,ROUND(BA24-BB24,4)))</f>
        <v/>
      </c>
      <c r="AP24" s="1036"/>
      <c r="AQ24" s="1036"/>
      <c r="AR24" s="1000" t="str">
        <f>IF(OR(C24="",H24="",N24="",T24="",W24="",AC24="",AF24="",AH24="",AJ24=""),"",
IF(BY24&lt;&gt;"",BY24,IF(BP24&gt;0,BP24,
IF(AF24="Incremental",
IF(ACTIVEBLOCK="Yes",ROUND(MIN(AL24*INCCOSTCAP,AO24*BLOCKBIDRATE),2),
ROUND(MIN(AL24*INCCOSTCAP,BR24),2)),
IF(ACTIVEBLOCK="Yes",ROUND(MIN(AL24*TOTCOSTCAP,AO24*BLOCKBIDRATE),2),
ROUND(MIN(AL24*TOTCOSTCAP,BR24),2))))))</f>
        <v/>
      </c>
      <c r="AS24" s="1000"/>
      <c r="AT24" s="1000"/>
      <c r="AU24" s="1000"/>
      <c r="AV24" s="37"/>
      <c r="AW24" s="37"/>
      <c r="AX24" s="773" t="str">
        <f>IF(OR(C24="",H24=""),"",INDEX(CMECOMPAIR[Unit of Measure],MATCH(H24,CMECOMPAIR[Proj Desc 1],0)))</f>
        <v/>
      </c>
      <c r="AY24" s="759" t="str">
        <f t="shared" ref="AY24" si="18">IF(AO24&lt;&gt;"","Missing!","")</f>
        <v/>
      </c>
      <c r="AZ24" s="759" t="str">
        <f t="shared" ref="AZ24" si="19">IF(AO24&lt;&gt;"","Missing!","")</f>
        <v/>
      </c>
      <c r="BA24" s="771" t="str">
        <f t="shared" ref="BA24" si="20">IF(OR(C24="",H24="",N24="",T24="",W24="",AC24="",AF24="",AH24="",AJ24=""),"",ROUND(T24,4))</f>
        <v/>
      </c>
      <c r="BB24" s="771" t="str">
        <f t="shared" ref="BB24" si="21">IF(OR(C24="",H24="",N24="",T24="",W24="",AC24="",AF24="",AH24="",AJ24=""),"",ROUND(AC24,4))</f>
        <v/>
      </c>
      <c r="BC24" s="773" t="str">
        <f>IF(OR(C24="",H24=""),"",IF(INDEX(CMECOMPAIR[End Use Category],MATCH(H24,CMECOMPAIR[Proj Desc 1],0))="","",INDEX(CMECOMPAIR[End Use Category],MATCH(H24,CMECOMPAIR[Proj Desc 1],0))))</f>
        <v/>
      </c>
      <c r="BD24" s="757" t="str">
        <f t="shared" ref="BD24" si="22">IF(BE24&lt;&gt;"", "Calculated", "")</f>
        <v/>
      </c>
      <c r="BE24" s="775" t="str">
        <f t="shared" ref="BE24" si="23">IF(AND(BA24&lt;&gt;"", BB24&lt;&gt;""), ROUND(BA24-BB24,4), "")</f>
        <v/>
      </c>
      <c r="BF24" s="1098"/>
      <c r="BG24" s="775" t="str">
        <f>IFERROR(IF(OR(C24="",H24="",N24="",T24="",W24="",AC24="",AF24="",AH24="",AJ24=""),"",ROUND(AO24*INDEX(ENDUSEALL[Factor],MATCH(BC24,ENDUSEALL[End Use to Coincident Peak Demand Factors],0)),4)),"")</f>
        <v/>
      </c>
      <c r="BH24" s="761"/>
      <c r="BI24" s="761"/>
      <c r="BJ24" s="777" t="str">
        <f>IF(OR(C24="",H24=""),"",IF(INDEX(CMECOMPAIR[EUL],MATCH(H24,CMECOMPAIR[Proj Desc 1],0))="","",INDEX(CMECOMPAIR[EUL],MATCH(H24,CMECOMPAIR[Proj Desc 1],0))))</f>
        <v/>
      </c>
      <c r="BK24" s="767" t="str">
        <f>IFERROR(IF(OR(C24="",H24="",N24="",T24="",W24="",AC24="",AF24="",AH24="",AJ24=""),"",
ROUND(((1+ELOSS)*((AO24*INDEX(ELECCB[NPV AEC $/kWh],MATCH(BJ24,ELECCB[Year Number],1)))+(BG24*INDEX(ELECCB[NPV ACC $/kW],MATCH(BJ24,ELECCB[Year Number],1))))),2)),0)</f>
        <v/>
      </c>
      <c r="BL24" s="767" t="str">
        <f t="shared" si="0"/>
        <v/>
      </c>
      <c r="BM24" s="765"/>
      <c r="BN24" s="763" t="str">
        <f t="shared" si="1"/>
        <v/>
      </c>
      <c r="BO24" s="763" t="str">
        <f>IFERROR(IF(BM24 &lt;&gt; "", BM24, BL24) / M02S04F06 / AO24, "")</f>
        <v/>
      </c>
      <c r="BP24" s="769"/>
      <c r="BQ24" s="765"/>
      <c r="BR24" s="767" t="str">
        <f t="shared" ref="BR24" si="24">IFERROR(ROUND(AO24*BV24,2),"")</f>
        <v/>
      </c>
      <c r="BS24" s="765"/>
      <c r="BT24" s="765"/>
      <c r="BU24" s="757"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67"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57" t="str">
        <f>IF(OR(C24="",H24="",N24="",T24="",W24="",AC24="",AF24="",AH24="",AJ24=""),"",IF(BY24&lt;&gt;"",SPILLOVERNUMBER,INDEX(CMECOMPAIR[Measure Number],MATCH(H24,CMECOMPAIR[Proj Desc 1],0))))</f>
        <v/>
      </c>
      <c r="BX24" s="757" t="str" cm="1">
        <f t="array" ref="BX24">IFERROR(INDEX(_xlfn.SWITCH(Program_Banner,"Business Energy Savings",ENDUSEALL[Primary Key WBE],"Small Business / Non-Profit",ENDUSEALL[Primary Key HTRB],0),MATCH(BC24,ENDUSEALL[End Use to Coincident Peak Demand Factors],0)),"")</f>
        <v/>
      </c>
      <c r="BY24" s="757"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53"/>
      <c r="CA24" s="753"/>
      <c r="CB24" s="753"/>
      <c r="CC24" s="753"/>
    </row>
    <row r="25" spans="1:81" ht="15.95" customHeight="1">
      <c r="A25" s="75"/>
      <c r="B25" s="785"/>
      <c r="C25" s="1012"/>
      <c r="D25" s="1013"/>
      <c r="E25" s="1013"/>
      <c r="F25" s="1013"/>
      <c r="G25" s="1014"/>
      <c r="H25" s="1002"/>
      <c r="I25" s="1002"/>
      <c r="J25" s="1002"/>
      <c r="K25" s="1002"/>
      <c r="L25" s="1002"/>
      <c r="M25" s="1003"/>
      <c r="N25" s="1041"/>
      <c r="O25" s="1013"/>
      <c r="P25" s="1013"/>
      <c r="Q25" s="1013"/>
      <c r="R25" s="1013"/>
      <c r="S25" s="1014"/>
      <c r="T25" s="1034"/>
      <c r="U25" s="1139"/>
      <c r="V25" s="1140"/>
      <c r="W25" s="1041"/>
      <c r="X25" s="1013"/>
      <c r="Y25" s="1013"/>
      <c r="Z25" s="1013"/>
      <c r="AA25" s="1013"/>
      <c r="AB25" s="1014"/>
      <c r="AC25" s="1034"/>
      <c r="AD25" s="1139"/>
      <c r="AE25" s="1140"/>
      <c r="AF25" s="1135"/>
      <c r="AG25" s="1136"/>
      <c r="AH25" s="993"/>
      <c r="AI25" s="993"/>
      <c r="AJ25" s="1083"/>
      <c r="AK25" s="1084"/>
      <c r="AL25" s="1006"/>
      <c r="AM25" s="1007"/>
      <c r="AN25" s="1007"/>
      <c r="AO25" s="1037"/>
      <c r="AP25" s="1037"/>
      <c r="AQ25" s="1037"/>
      <c r="AR25" s="1001"/>
      <c r="AS25" s="1001"/>
      <c r="AT25" s="1001"/>
      <c r="AU25" s="1001"/>
      <c r="AV25" s="37"/>
      <c r="AW25" s="37"/>
      <c r="AX25" s="774"/>
      <c r="AY25" s="760"/>
      <c r="AZ25" s="760"/>
      <c r="BA25" s="772"/>
      <c r="BB25" s="772"/>
      <c r="BC25" s="774"/>
      <c r="BD25" s="758"/>
      <c r="BE25" s="776"/>
      <c r="BF25" s="1099"/>
      <c r="BG25" s="776"/>
      <c r="BH25" s="762"/>
      <c r="BI25" s="762"/>
      <c r="BJ25" s="778"/>
      <c r="BK25" s="768"/>
      <c r="BL25" s="768"/>
      <c r="BM25" s="766"/>
      <c r="BN25" s="764"/>
      <c r="BO25" s="764"/>
      <c r="BP25" s="770"/>
      <c r="BQ25" s="766"/>
      <c r="BR25" s="768"/>
      <c r="BS25" s="766"/>
      <c r="BT25" s="766"/>
      <c r="BU25" s="758"/>
      <c r="BV25" s="768"/>
      <c r="BW25" s="758"/>
      <c r="BX25" s="758"/>
      <c r="BY25" s="758"/>
      <c r="BZ25" s="754"/>
      <c r="CA25" s="754"/>
      <c r="CB25" s="754"/>
      <c r="CC25" s="754"/>
    </row>
    <row r="26" spans="1:81" ht="15.95" customHeight="1">
      <c r="B26" s="785">
        <v>5</v>
      </c>
      <c r="C26" s="1009"/>
      <c r="D26" s="1010"/>
      <c r="E26" s="1010"/>
      <c r="F26" s="1010"/>
      <c r="G26" s="1011"/>
      <c r="H26" s="1002"/>
      <c r="I26" s="1002"/>
      <c r="J26" s="1002"/>
      <c r="K26" s="1002"/>
      <c r="L26" s="1002"/>
      <c r="M26" s="1003"/>
      <c r="N26" s="1040"/>
      <c r="O26" s="1010"/>
      <c r="P26" s="1010"/>
      <c r="Q26" s="1010"/>
      <c r="R26" s="1010"/>
      <c r="S26" s="1011"/>
      <c r="T26" s="1032"/>
      <c r="U26" s="1137"/>
      <c r="V26" s="1138"/>
      <c r="W26" s="1040"/>
      <c r="X26" s="1010"/>
      <c r="Y26" s="1010"/>
      <c r="Z26" s="1010"/>
      <c r="AA26" s="1010"/>
      <c r="AB26" s="1011"/>
      <c r="AC26" s="1032"/>
      <c r="AD26" s="1137"/>
      <c r="AE26" s="1138"/>
      <c r="AF26" s="1135" t="str">
        <f>IFERROR(IF($C26="", "", IF(OR($C26 = "Retrofit existing", $C26 = "Replace in-life equip."), "Total", "Incremental")), "")</f>
        <v/>
      </c>
      <c r="AG26" s="1136"/>
      <c r="AH26" s="993"/>
      <c r="AI26" s="993"/>
      <c r="AJ26" s="1083" t="str">
        <f t="shared" ref="AJ26" si="25">IF(AF26="Incremental",0,"")</f>
        <v/>
      </c>
      <c r="AK26" s="1084"/>
      <c r="AL26" s="1030" t="str">
        <f>IF(OR(C26="",H26="",N26="",T26="",W26="",AC26="",AF26="",AH26="",AJ26=""),"",ROUND(AH26+AJ26,2))</f>
        <v/>
      </c>
      <c r="AM26" s="1031"/>
      <c r="AN26" s="1031"/>
      <c r="AO26" s="1036" t="str">
        <f>IF(OR(C26="",H26="",N26="",T26="",W26="",AC26="",AF26="",AH26="",AJ26=""),"",IF(BA26-BB26&lt;=0,0,ROUND(BA26-BB26,4)))</f>
        <v/>
      </c>
      <c r="AP26" s="1036"/>
      <c r="AQ26" s="1036"/>
      <c r="AR26" s="1000" t="str">
        <f>IF(OR(C26="",H26="",N26="",T26="",W26="",AC26="",AF26="",AH26="",AJ26=""),"",
IF(BY26&lt;&gt;"",BY26,IF(BP26&gt;0,BP26,
IF(AF26="Incremental",
IF(ACTIVEBLOCK="Yes",ROUND(MIN(AL26*INCCOSTCAP,AO26*BLOCKBIDRATE),2),
ROUND(MIN(AL26*INCCOSTCAP,BR26),2)),
IF(ACTIVEBLOCK="Yes",ROUND(MIN(AL26*TOTCOSTCAP,AO26*BLOCKBIDRATE),2),
ROUND(MIN(AL26*TOTCOSTCAP,BR26),2))))))</f>
        <v/>
      </c>
      <c r="AS26" s="1000"/>
      <c r="AT26" s="1000"/>
      <c r="AU26" s="1000"/>
      <c r="AV26" s="37"/>
      <c r="AW26" s="37"/>
      <c r="AX26" s="773" t="str">
        <f>IF(OR(C26="",H26=""),"",INDEX(CMECOMPAIR[Unit of Measure],MATCH(H26,CMECOMPAIR[Proj Desc 1],0)))</f>
        <v/>
      </c>
      <c r="AY26" s="759" t="str">
        <f t="shared" ref="AY26" si="26">IF(AO26&lt;&gt;"","Missing!","")</f>
        <v/>
      </c>
      <c r="AZ26" s="759" t="str">
        <f t="shared" ref="AZ26" si="27">IF(AO26&lt;&gt;"","Missing!","")</f>
        <v/>
      </c>
      <c r="BA26" s="771" t="str">
        <f t="shared" ref="BA26" si="28">IF(OR(C26="",H26="",N26="",T26="",W26="",AC26="",AF26="",AH26="",AJ26=""),"",ROUND(T26,4))</f>
        <v/>
      </c>
      <c r="BB26" s="771" t="str">
        <f t="shared" ref="BB26" si="29">IF(OR(C26="",H26="",N26="",T26="",W26="",AC26="",AF26="",AH26="",AJ26=""),"",ROUND(AC26,4))</f>
        <v/>
      </c>
      <c r="BC26" s="773" t="str">
        <f>IF(OR(C26="",H26=""),"",IF(INDEX(CMECOMPAIR[End Use Category],MATCH(H26,CMECOMPAIR[Proj Desc 1],0))="","",INDEX(CMECOMPAIR[End Use Category],MATCH(H26,CMECOMPAIR[Proj Desc 1],0))))</f>
        <v/>
      </c>
      <c r="BD26" s="757" t="str">
        <f t="shared" ref="BD26" si="30">IF(BE26&lt;&gt;"", "Calculated", "")</f>
        <v/>
      </c>
      <c r="BE26" s="775" t="str">
        <f t="shared" ref="BE26" si="31">IF(AND(BA26&lt;&gt;"", BB26&lt;&gt;""), ROUND(BA26-BB26,4), "")</f>
        <v/>
      </c>
      <c r="BF26" s="1098"/>
      <c r="BG26" s="775" t="str">
        <f>IFERROR(IF(OR(C26="",H26="",N26="",T26="",W26="",AC26="",AF26="",AH26="",AJ26=""),"",ROUND(AO26*INDEX(ENDUSEALL[Factor],MATCH(BC26,ENDUSEALL[End Use to Coincident Peak Demand Factors],0)),4)),"")</f>
        <v/>
      </c>
      <c r="BH26" s="761"/>
      <c r="BI26" s="761"/>
      <c r="BJ26" s="777" t="str">
        <f>IF(OR(C26="",H26=""),"",IF(INDEX(CMECOMPAIR[EUL],MATCH(H26,CMECOMPAIR[Proj Desc 1],0))="","",INDEX(CMECOMPAIR[EUL],MATCH(H26,CMECOMPAIR[Proj Desc 1],0))))</f>
        <v/>
      </c>
      <c r="BK26" s="767" t="str">
        <f>IFERROR(IF(OR(C26="",H26="",N26="",T26="",W26="",AC26="",AF26="",AH26="",AJ26=""),"",
ROUND(((1+ELOSS)*((AO26*INDEX(ELECCB[NPV AEC $/kWh],MATCH(BJ26,ELECCB[Year Number],1)))+(BG26*INDEX(ELECCB[NPV ACC $/kW],MATCH(BJ26,ELECCB[Year Number],1))))),2)),0)</f>
        <v/>
      </c>
      <c r="BL26" s="767" t="str">
        <f t="shared" si="0"/>
        <v/>
      </c>
      <c r="BM26" s="765"/>
      <c r="BN26" s="763" t="str">
        <f t="shared" si="1"/>
        <v/>
      </c>
      <c r="BO26" s="763" t="str">
        <f>IFERROR(IF(BM26 &lt;&gt; "", BM26, BL26) / M02S04F06 / AO26, "")</f>
        <v/>
      </c>
      <c r="BP26" s="769"/>
      <c r="BQ26" s="765"/>
      <c r="BR26" s="767" t="str">
        <f t="shared" ref="BR26" si="32">IFERROR(ROUND(AO26*BV26,2),"")</f>
        <v/>
      </c>
      <c r="BS26" s="765"/>
      <c r="BT26" s="765"/>
      <c r="BU26" s="757"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67"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57" t="str">
        <f>IF(OR(C26="",H26="",N26="",T26="",W26="",AC26="",AF26="",AH26="",AJ26=""),"",IF(BY26&lt;&gt;"",SPILLOVERNUMBER,INDEX(CMECOMPAIR[Measure Number],MATCH(H26,CMECOMPAIR[Proj Desc 1],0))))</f>
        <v/>
      </c>
      <c r="BX26" s="757" t="str" cm="1">
        <f t="array" ref="BX26">IFERROR(INDEX(_xlfn.SWITCH(Program_Banner,"Business Energy Savings",ENDUSEALL[Primary Key WBE],"Small Business / Non-Profit",ENDUSEALL[Primary Key HTRB],0),MATCH(BC26,ENDUSEALL[End Use to Coincident Peak Demand Factors],0)),"")</f>
        <v/>
      </c>
      <c r="BY26" s="757"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53"/>
      <c r="CA26" s="753"/>
      <c r="CB26" s="753"/>
      <c r="CC26" s="753"/>
    </row>
    <row r="27" spans="1:81" ht="15.95" customHeight="1">
      <c r="B27" s="785"/>
      <c r="C27" s="1012"/>
      <c r="D27" s="1013"/>
      <c r="E27" s="1013"/>
      <c r="F27" s="1013"/>
      <c r="G27" s="1014"/>
      <c r="H27" s="1002"/>
      <c r="I27" s="1002"/>
      <c r="J27" s="1002"/>
      <c r="K27" s="1002"/>
      <c r="L27" s="1002"/>
      <c r="M27" s="1003"/>
      <c r="N27" s="1041"/>
      <c r="O27" s="1013"/>
      <c r="P27" s="1013"/>
      <c r="Q27" s="1013"/>
      <c r="R27" s="1013"/>
      <c r="S27" s="1014"/>
      <c r="T27" s="1034"/>
      <c r="U27" s="1139"/>
      <c r="V27" s="1140"/>
      <c r="W27" s="1041"/>
      <c r="X27" s="1013"/>
      <c r="Y27" s="1013"/>
      <c r="Z27" s="1013"/>
      <c r="AA27" s="1013"/>
      <c r="AB27" s="1014"/>
      <c r="AC27" s="1034"/>
      <c r="AD27" s="1139"/>
      <c r="AE27" s="1140"/>
      <c r="AF27" s="1135"/>
      <c r="AG27" s="1136"/>
      <c r="AH27" s="993"/>
      <c r="AI27" s="993"/>
      <c r="AJ27" s="1083"/>
      <c r="AK27" s="1084"/>
      <c r="AL27" s="1006"/>
      <c r="AM27" s="1007"/>
      <c r="AN27" s="1007"/>
      <c r="AO27" s="1037"/>
      <c r="AP27" s="1037"/>
      <c r="AQ27" s="1037"/>
      <c r="AR27" s="1001"/>
      <c r="AS27" s="1001"/>
      <c r="AT27" s="1001"/>
      <c r="AU27" s="1001"/>
      <c r="AV27" s="37"/>
      <c r="AW27" s="37"/>
      <c r="AX27" s="774"/>
      <c r="AY27" s="760"/>
      <c r="AZ27" s="760"/>
      <c r="BA27" s="772"/>
      <c r="BB27" s="772"/>
      <c r="BC27" s="774"/>
      <c r="BD27" s="758"/>
      <c r="BE27" s="776"/>
      <c r="BF27" s="1099"/>
      <c r="BG27" s="776"/>
      <c r="BH27" s="762"/>
      <c r="BI27" s="762"/>
      <c r="BJ27" s="778"/>
      <c r="BK27" s="768"/>
      <c r="BL27" s="768"/>
      <c r="BM27" s="766"/>
      <c r="BN27" s="764"/>
      <c r="BO27" s="764"/>
      <c r="BP27" s="770"/>
      <c r="BQ27" s="766"/>
      <c r="BR27" s="768"/>
      <c r="BS27" s="766"/>
      <c r="BT27" s="766"/>
      <c r="BU27" s="758"/>
      <c r="BV27" s="768"/>
      <c r="BW27" s="758"/>
      <c r="BX27" s="758"/>
      <c r="BY27" s="758"/>
      <c r="BZ27" s="754"/>
      <c r="CA27" s="754"/>
      <c r="CB27" s="754"/>
      <c r="CC27" s="754"/>
    </row>
    <row r="28" spans="1:81" ht="15.95" customHeight="1">
      <c r="B28" s="785">
        <v>6</v>
      </c>
      <c r="C28" s="1009"/>
      <c r="D28" s="1010"/>
      <c r="E28" s="1010"/>
      <c r="F28" s="1010"/>
      <c r="G28" s="1011"/>
      <c r="H28" s="1002"/>
      <c r="I28" s="1002"/>
      <c r="J28" s="1002"/>
      <c r="K28" s="1002"/>
      <c r="L28" s="1002"/>
      <c r="M28" s="1003"/>
      <c r="N28" s="1040"/>
      <c r="O28" s="1010"/>
      <c r="P28" s="1010"/>
      <c r="Q28" s="1010"/>
      <c r="R28" s="1010"/>
      <c r="S28" s="1011"/>
      <c r="T28" s="1032"/>
      <c r="U28" s="1137"/>
      <c r="V28" s="1138"/>
      <c r="W28" s="1040"/>
      <c r="X28" s="1010"/>
      <c r="Y28" s="1010"/>
      <c r="Z28" s="1010"/>
      <c r="AA28" s="1010"/>
      <c r="AB28" s="1011"/>
      <c r="AC28" s="1032"/>
      <c r="AD28" s="1137"/>
      <c r="AE28" s="1138"/>
      <c r="AF28" s="1135" t="str">
        <f>IFERROR(IF($C28="", "", IF(OR($C28 = "Retrofit existing", $C28 = "Replace in-life equip."), "Total", "Incremental")), "")</f>
        <v/>
      </c>
      <c r="AG28" s="1136"/>
      <c r="AH28" s="993"/>
      <c r="AI28" s="993"/>
      <c r="AJ28" s="1083" t="str">
        <f t="shared" ref="AJ28" si="33">IF(AF28="Incremental",0,"")</f>
        <v/>
      </c>
      <c r="AK28" s="1084"/>
      <c r="AL28" s="1030" t="str">
        <f>IF(OR(C28="",H28="",N28="",T28="",W28="",AC28="",AF28="",AH28="",AJ28=""),"",ROUND(AH28+AJ28,2))</f>
        <v/>
      </c>
      <c r="AM28" s="1031"/>
      <c r="AN28" s="1031"/>
      <c r="AO28" s="1036" t="str">
        <f>IF(OR(C28="",H28="",N28="",T28="",W28="",AC28="",AF28="",AH28="",AJ28=""),"",IF(BA28-BB28&lt;=0,0,ROUND(BA28-BB28,4)))</f>
        <v/>
      </c>
      <c r="AP28" s="1036"/>
      <c r="AQ28" s="1036"/>
      <c r="AR28" s="1000" t="str">
        <f>IF(OR(C28="",H28="",N28="",T28="",W28="",AC28="",AF28="",AH28="",AJ28=""),"",
IF(BY28&lt;&gt;"",BY28,IF(BP28&gt;0,BP28,
IF(AF28="Incremental",
IF(ACTIVEBLOCK="Yes",ROUND(MIN(AL28*INCCOSTCAP,AO28*BLOCKBIDRATE),2),
ROUND(MIN(AL28*INCCOSTCAP,BR28),2)),
IF(ACTIVEBLOCK="Yes",ROUND(MIN(AL28*TOTCOSTCAP,AO28*BLOCKBIDRATE),2),
ROUND(MIN(AL28*TOTCOSTCAP,BR28),2))))))</f>
        <v/>
      </c>
      <c r="AS28" s="1000"/>
      <c r="AT28" s="1000"/>
      <c r="AU28" s="1000"/>
      <c r="AV28" s="37"/>
      <c r="AW28" s="37"/>
      <c r="AX28" s="773" t="str">
        <f>IF(OR(C28="",H28=""),"",INDEX(CMECOMPAIR[Unit of Measure],MATCH(H28,CMECOMPAIR[Proj Desc 1],0)))</f>
        <v/>
      </c>
      <c r="AY28" s="759" t="str">
        <f t="shared" ref="AY28" si="34">IF(AO28&lt;&gt;"","Missing!","")</f>
        <v/>
      </c>
      <c r="AZ28" s="759" t="str">
        <f t="shared" ref="AZ28" si="35">IF(AO28&lt;&gt;"","Missing!","")</f>
        <v/>
      </c>
      <c r="BA28" s="771" t="str">
        <f t="shared" ref="BA28" si="36">IF(OR(C28="",H28="",N28="",T28="",W28="",AC28="",AF28="",AH28="",AJ28=""),"",ROUND(T28,4))</f>
        <v/>
      </c>
      <c r="BB28" s="771" t="str">
        <f t="shared" ref="BB28" si="37">IF(OR(C28="",H28="",N28="",T28="",W28="",AC28="",AF28="",AH28="",AJ28=""),"",ROUND(AC28,4))</f>
        <v/>
      </c>
      <c r="BC28" s="773" t="str">
        <f>IF(OR(C28="",H28=""),"",IF(INDEX(CMECOMPAIR[End Use Category],MATCH(H28,CMECOMPAIR[Proj Desc 1],0))="","",INDEX(CMECOMPAIR[End Use Category],MATCH(H28,CMECOMPAIR[Proj Desc 1],0))))</f>
        <v/>
      </c>
      <c r="BD28" s="757" t="str">
        <f t="shared" ref="BD28" si="38">IF(BE28&lt;&gt;"", "Calculated", "")</f>
        <v/>
      </c>
      <c r="BE28" s="775" t="str">
        <f t="shared" ref="BE28" si="39">IF(AND(BA28&lt;&gt;"", BB28&lt;&gt;""), ROUND(BA28-BB28,4), "")</f>
        <v/>
      </c>
      <c r="BF28" s="1098"/>
      <c r="BG28" s="775" t="str">
        <f>IFERROR(IF(OR(C28="",H28="",N28="",T28="",W28="",AC28="",AF28="",AH28="",AJ28=""),"",ROUND(AO28*INDEX(ENDUSEALL[Factor],MATCH(BC28,ENDUSEALL[End Use to Coincident Peak Demand Factors],0)),4)),"")</f>
        <v/>
      </c>
      <c r="BH28" s="761"/>
      <c r="BI28" s="761"/>
      <c r="BJ28" s="777" t="str">
        <f>IF(OR(C28="",H28=""),"",IF(INDEX(CMECOMPAIR[EUL],MATCH(H28,CMECOMPAIR[Proj Desc 1],0))="","",INDEX(CMECOMPAIR[EUL],MATCH(H28,CMECOMPAIR[Proj Desc 1],0))))</f>
        <v/>
      </c>
      <c r="BK28" s="767" t="str">
        <f>IFERROR(IF(OR(C28="",H28="",N28="",T28="",W28="",AC28="",AF28="",AH28="",AJ28=""),"",
ROUND(((1+ELOSS)*((AO28*INDEX(ELECCB[NPV AEC $/kWh],MATCH(BJ28,ELECCB[Year Number],1)))+(BG28*INDEX(ELECCB[NPV ACC $/kW],MATCH(BJ28,ELECCB[Year Number],1))))),2)),0)</f>
        <v/>
      </c>
      <c r="BL28" s="767" t="str">
        <f t="shared" si="0"/>
        <v/>
      </c>
      <c r="BM28" s="765"/>
      <c r="BN28" s="763" t="str">
        <f t="shared" si="1"/>
        <v/>
      </c>
      <c r="BO28" s="763" t="str">
        <f>IFERROR(IF(BM28 &lt;&gt; "", BM28, BL28) / M02S04F06 / AO28, "")</f>
        <v/>
      </c>
      <c r="BP28" s="769"/>
      <c r="BQ28" s="765"/>
      <c r="BR28" s="767" t="str">
        <f t="shared" ref="BR28" si="40">IFERROR(ROUND(AO28*BV28,2),"")</f>
        <v/>
      </c>
      <c r="BS28" s="765"/>
      <c r="BT28" s="765"/>
      <c r="BU28" s="757"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67"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57" t="str">
        <f>IF(OR(C28="",H28="",N28="",T28="",W28="",AC28="",AF28="",AH28="",AJ28=""),"",IF(BY28&lt;&gt;"",SPILLOVERNUMBER,INDEX(CMECOMPAIR[Measure Number],MATCH(H28,CMECOMPAIR[Proj Desc 1],0))))</f>
        <v/>
      </c>
      <c r="BX28" s="757" t="str" cm="1">
        <f t="array" ref="BX28">IFERROR(INDEX(_xlfn.SWITCH(Program_Banner,"Business Energy Savings",ENDUSEALL[Primary Key WBE],"Small Business / Non-Profit",ENDUSEALL[Primary Key HTRB],0),MATCH(BC28,ENDUSEALL[End Use to Coincident Peak Demand Factors],0)),"")</f>
        <v/>
      </c>
      <c r="BY28" s="757"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53"/>
      <c r="CA28" s="753"/>
      <c r="CB28" s="753"/>
      <c r="CC28" s="753"/>
    </row>
    <row r="29" spans="1:81" ht="15.95" customHeight="1">
      <c r="B29" s="785"/>
      <c r="C29" s="1012"/>
      <c r="D29" s="1013"/>
      <c r="E29" s="1013"/>
      <c r="F29" s="1013"/>
      <c r="G29" s="1014"/>
      <c r="H29" s="1002"/>
      <c r="I29" s="1002"/>
      <c r="J29" s="1002"/>
      <c r="K29" s="1002"/>
      <c r="L29" s="1002"/>
      <c r="M29" s="1003"/>
      <c r="N29" s="1041"/>
      <c r="O29" s="1013"/>
      <c r="P29" s="1013"/>
      <c r="Q29" s="1013"/>
      <c r="R29" s="1013"/>
      <c r="S29" s="1014"/>
      <c r="T29" s="1034"/>
      <c r="U29" s="1139"/>
      <c r="V29" s="1140"/>
      <c r="W29" s="1041"/>
      <c r="X29" s="1013"/>
      <c r="Y29" s="1013"/>
      <c r="Z29" s="1013"/>
      <c r="AA29" s="1013"/>
      <c r="AB29" s="1014"/>
      <c r="AC29" s="1034"/>
      <c r="AD29" s="1139"/>
      <c r="AE29" s="1140"/>
      <c r="AF29" s="1135"/>
      <c r="AG29" s="1136"/>
      <c r="AH29" s="993"/>
      <c r="AI29" s="993"/>
      <c r="AJ29" s="1083"/>
      <c r="AK29" s="1084"/>
      <c r="AL29" s="1006"/>
      <c r="AM29" s="1007"/>
      <c r="AN29" s="1007"/>
      <c r="AO29" s="1037"/>
      <c r="AP29" s="1037"/>
      <c r="AQ29" s="1037"/>
      <c r="AR29" s="1001"/>
      <c r="AS29" s="1001"/>
      <c r="AT29" s="1001"/>
      <c r="AU29" s="1001"/>
      <c r="AV29" s="37"/>
      <c r="AW29" s="37"/>
      <c r="AX29" s="774"/>
      <c r="AY29" s="760"/>
      <c r="AZ29" s="760"/>
      <c r="BA29" s="772"/>
      <c r="BB29" s="772"/>
      <c r="BC29" s="774"/>
      <c r="BD29" s="758"/>
      <c r="BE29" s="776"/>
      <c r="BF29" s="1099"/>
      <c r="BG29" s="776"/>
      <c r="BH29" s="762"/>
      <c r="BI29" s="762"/>
      <c r="BJ29" s="778"/>
      <c r="BK29" s="768"/>
      <c r="BL29" s="768"/>
      <c r="BM29" s="766"/>
      <c r="BN29" s="764"/>
      <c r="BO29" s="764"/>
      <c r="BP29" s="770"/>
      <c r="BQ29" s="766"/>
      <c r="BR29" s="768"/>
      <c r="BS29" s="766"/>
      <c r="BT29" s="766"/>
      <c r="BU29" s="758"/>
      <c r="BV29" s="768"/>
      <c r="BW29" s="758"/>
      <c r="BX29" s="758"/>
      <c r="BY29" s="758"/>
      <c r="BZ29" s="754"/>
      <c r="CA29" s="754"/>
      <c r="CB29" s="754"/>
      <c r="CC29" s="754"/>
    </row>
    <row r="30" spans="1:81" ht="15.95" customHeight="1">
      <c r="B30" s="785">
        <v>7</v>
      </c>
      <c r="C30" s="1009"/>
      <c r="D30" s="1010"/>
      <c r="E30" s="1010"/>
      <c r="F30" s="1010"/>
      <c r="G30" s="1011"/>
      <c r="H30" s="1002"/>
      <c r="I30" s="1002"/>
      <c r="J30" s="1002"/>
      <c r="K30" s="1002"/>
      <c r="L30" s="1002"/>
      <c r="M30" s="1003"/>
      <c r="N30" s="1040"/>
      <c r="O30" s="1010"/>
      <c r="P30" s="1010"/>
      <c r="Q30" s="1010"/>
      <c r="R30" s="1010"/>
      <c r="S30" s="1011"/>
      <c r="T30" s="1032"/>
      <c r="U30" s="1137"/>
      <c r="V30" s="1138"/>
      <c r="W30" s="1040"/>
      <c r="X30" s="1010"/>
      <c r="Y30" s="1010"/>
      <c r="Z30" s="1010"/>
      <c r="AA30" s="1010"/>
      <c r="AB30" s="1011"/>
      <c r="AC30" s="1032"/>
      <c r="AD30" s="1137"/>
      <c r="AE30" s="1138"/>
      <c r="AF30" s="1135" t="str">
        <f>IFERROR(IF($C30="", "", IF(OR($C30 = "Retrofit existing", $C30 = "Replace in-life equip."), "Total", "Incremental")), "")</f>
        <v/>
      </c>
      <c r="AG30" s="1136"/>
      <c r="AH30" s="993"/>
      <c r="AI30" s="993"/>
      <c r="AJ30" s="1083" t="str">
        <f t="shared" ref="AJ30" si="41">IF(AF30="Incremental",0,"")</f>
        <v/>
      </c>
      <c r="AK30" s="1084"/>
      <c r="AL30" s="1030" t="str">
        <f>IF(OR(C30="",H30="",N30="",T30="",W30="",AC30="",AF30="",AH30="",AJ30=""),"",ROUND(AH30+AJ30,2))</f>
        <v/>
      </c>
      <c r="AM30" s="1031"/>
      <c r="AN30" s="1031"/>
      <c r="AO30" s="1036" t="str">
        <f>IF(OR(C30="",H30="",N30="",T30="",W30="",AC30="",AF30="",AH30="",AJ30=""),"",IF(BA30-BB30&lt;=0,0,ROUND(BA30-BB30,4)))</f>
        <v/>
      </c>
      <c r="AP30" s="1036"/>
      <c r="AQ30" s="1036"/>
      <c r="AR30" s="1000" t="str">
        <f>IF(OR(C30="",H30="",N30="",T30="",W30="",AC30="",AF30="",AH30="",AJ30=""),"",
IF(BY30&lt;&gt;"",BY30,IF(BP30&gt;0,BP30,
IF(AF30="Incremental",
IF(ACTIVEBLOCK="Yes",ROUND(MIN(AL30*INCCOSTCAP,AO30*BLOCKBIDRATE),2),
ROUND(MIN(AL30*INCCOSTCAP,BR30),2)),
IF(ACTIVEBLOCK="Yes",ROUND(MIN(AL30*TOTCOSTCAP,AO30*BLOCKBIDRATE),2),
ROUND(MIN(AL30*TOTCOSTCAP,BR30),2))))))</f>
        <v/>
      </c>
      <c r="AS30" s="1000"/>
      <c r="AT30" s="1000"/>
      <c r="AU30" s="1000"/>
      <c r="AV30" s="37"/>
      <c r="AW30" s="37"/>
      <c r="AX30" s="773" t="str">
        <f>IF(OR(C30="",H30=""),"",INDEX(CMECOMPAIR[Unit of Measure],MATCH(H30,CMECOMPAIR[Proj Desc 1],0)))</f>
        <v/>
      </c>
      <c r="AY30" s="759" t="str">
        <f t="shared" ref="AY30" si="42">IF(AO30&lt;&gt;"","Missing!","")</f>
        <v/>
      </c>
      <c r="AZ30" s="759" t="str">
        <f t="shared" ref="AZ30" si="43">IF(AO30&lt;&gt;"","Missing!","")</f>
        <v/>
      </c>
      <c r="BA30" s="771" t="str">
        <f t="shared" ref="BA30" si="44">IF(OR(C30="",H30="",N30="",T30="",W30="",AC30="",AF30="",AH30="",AJ30=""),"",ROUND(T30,4))</f>
        <v/>
      </c>
      <c r="BB30" s="771" t="str">
        <f t="shared" ref="BB30" si="45">IF(OR(C30="",H30="",N30="",T30="",W30="",AC30="",AF30="",AH30="",AJ30=""),"",ROUND(AC30,4))</f>
        <v/>
      </c>
      <c r="BC30" s="773" t="str">
        <f>IF(OR(C30="",H30=""),"",IF(INDEX(CMECOMPAIR[End Use Category],MATCH(H30,CMECOMPAIR[Proj Desc 1],0))="","",INDEX(CMECOMPAIR[End Use Category],MATCH(H30,CMECOMPAIR[Proj Desc 1],0))))</f>
        <v/>
      </c>
      <c r="BD30" s="757" t="str">
        <f t="shared" ref="BD30" si="46">IF(BE30&lt;&gt;"", "Calculated", "")</f>
        <v/>
      </c>
      <c r="BE30" s="775" t="str">
        <f t="shared" ref="BE30" si="47">IF(AND(BA30&lt;&gt;"", BB30&lt;&gt;""), ROUND(BA30-BB30,4), "")</f>
        <v/>
      </c>
      <c r="BF30" s="1098"/>
      <c r="BG30" s="775" t="str">
        <f>IFERROR(IF(OR(C30="",H30="",N30="",T30="",W30="",AC30="",AF30="",AH30="",AJ30=""),"",ROUND(AO30*INDEX(ENDUSEALL[Factor],MATCH(BC30,ENDUSEALL[End Use to Coincident Peak Demand Factors],0)),4)),"")</f>
        <v/>
      </c>
      <c r="BH30" s="761"/>
      <c r="BI30" s="761"/>
      <c r="BJ30" s="777" t="str">
        <f>IF(OR(C30="",H30=""),"",IF(INDEX(CMECOMPAIR[EUL],MATCH(H30,CMECOMPAIR[Proj Desc 1],0))="","",INDEX(CMECOMPAIR[EUL],MATCH(H30,CMECOMPAIR[Proj Desc 1],0))))</f>
        <v/>
      </c>
      <c r="BK30" s="767" t="str">
        <f>IFERROR(IF(OR(C30="",H30="",N30="",T30="",W30="",AC30="",AF30="",AH30="",AJ30=""),"",
ROUND(((1+ELOSS)*((AO30*INDEX(ELECCB[NPV AEC $/kWh],MATCH(BJ30,ELECCB[Year Number],1)))+(BG30*INDEX(ELECCB[NPV ACC $/kW],MATCH(BJ30,ELECCB[Year Number],1))))),2)),0)</f>
        <v/>
      </c>
      <c r="BL30" s="767" t="str">
        <f t="shared" si="0"/>
        <v/>
      </c>
      <c r="BM30" s="765"/>
      <c r="BN30" s="763" t="str">
        <f t="shared" si="1"/>
        <v/>
      </c>
      <c r="BO30" s="763" t="str">
        <f>IFERROR(IF(BM30 &lt;&gt; "", BM30, BL30) / M02S04F06 / AO30, "")</f>
        <v/>
      </c>
      <c r="BP30" s="769"/>
      <c r="BQ30" s="765"/>
      <c r="BR30" s="767" t="str">
        <f t="shared" ref="BR30" si="48">IFERROR(ROUND(AO30*BV30,2),"")</f>
        <v/>
      </c>
      <c r="BS30" s="765"/>
      <c r="BT30" s="765"/>
      <c r="BU30" s="757"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67"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57" t="str">
        <f>IF(OR(C30="",H30="",N30="",T30="",W30="",AC30="",AF30="",AH30="",AJ30=""),"",IF(BY30&lt;&gt;"",SPILLOVERNUMBER,INDEX(CMECOMPAIR[Measure Number],MATCH(H30,CMECOMPAIR[Proj Desc 1],0))))</f>
        <v/>
      </c>
      <c r="BX30" s="757" t="str" cm="1">
        <f t="array" ref="BX30">IFERROR(INDEX(_xlfn.SWITCH(Program_Banner,"Business Energy Savings",ENDUSEALL[Primary Key WBE],"Small Business / Non-Profit",ENDUSEALL[Primary Key HTRB],0),MATCH(BC30,ENDUSEALL[End Use to Coincident Peak Demand Factors],0)),"")</f>
        <v/>
      </c>
      <c r="BY30" s="757"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53"/>
      <c r="CA30" s="753"/>
      <c r="CB30" s="753"/>
      <c r="CC30" s="753"/>
    </row>
    <row r="31" spans="1:81" ht="15.95" customHeight="1">
      <c r="B31" s="785"/>
      <c r="C31" s="1012"/>
      <c r="D31" s="1013"/>
      <c r="E31" s="1013"/>
      <c r="F31" s="1013"/>
      <c r="G31" s="1014"/>
      <c r="H31" s="1002"/>
      <c r="I31" s="1002"/>
      <c r="J31" s="1002"/>
      <c r="K31" s="1002"/>
      <c r="L31" s="1002"/>
      <c r="M31" s="1003"/>
      <c r="N31" s="1041"/>
      <c r="O31" s="1013"/>
      <c r="P31" s="1013"/>
      <c r="Q31" s="1013"/>
      <c r="R31" s="1013"/>
      <c r="S31" s="1014"/>
      <c r="T31" s="1034"/>
      <c r="U31" s="1139"/>
      <c r="V31" s="1140"/>
      <c r="W31" s="1041"/>
      <c r="X31" s="1013"/>
      <c r="Y31" s="1013"/>
      <c r="Z31" s="1013"/>
      <c r="AA31" s="1013"/>
      <c r="AB31" s="1014"/>
      <c r="AC31" s="1034"/>
      <c r="AD31" s="1139"/>
      <c r="AE31" s="1140"/>
      <c r="AF31" s="1135"/>
      <c r="AG31" s="1136"/>
      <c r="AH31" s="993"/>
      <c r="AI31" s="993"/>
      <c r="AJ31" s="1083"/>
      <c r="AK31" s="1084"/>
      <c r="AL31" s="1006"/>
      <c r="AM31" s="1007"/>
      <c r="AN31" s="1007"/>
      <c r="AO31" s="1037"/>
      <c r="AP31" s="1037"/>
      <c r="AQ31" s="1037"/>
      <c r="AR31" s="1001"/>
      <c r="AS31" s="1001"/>
      <c r="AT31" s="1001"/>
      <c r="AU31" s="1001"/>
      <c r="AV31" s="37"/>
      <c r="AW31" s="37"/>
      <c r="AX31" s="774"/>
      <c r="AY31" s="760"/>
      <c r="AZ31" s="760"/>
      <c r="BA31" s="772"/>
      <c r="BB31" s="772"/>
      <c r="BC31" s="774"/>
      <c r="BD31" s="758"/>
      <c r="BE31" s="776"/>
      <c r="BF31" s="1099"/>
      <c r="BG31" s="776"/>
      <c r="BH31" s="762"/>
      <c r="BI31" s="762"/>
      <c r="BJ31" s="778"/>
      <c r="BK31" s="768"/>
      <c r="BL31" s="768"/>
      <c r="BM31" s="766"/>
      <c r="BN31" s="764"/>
      <c r="BO31" s="764"/>
      <c r="BP31" s="770"/>
      <c r="BQ31" s="766"/>
      <c r="BR31" s="768"/>
      <c r="BS31" s="766"/>
      <c r="BT31" s="766"/>
      <c r="BU31" s="758"/>
      <c r="BV31" s="768"/>
      <c r="BW31" s="758"/>
      <c r="BX31" s="758"/>
      <c r="BY31" s="758"/>
      <c r="BZ31" s="754"/>
      <c r="CA31" s="754"/>
      <c r="CB31" s="754"/>
      <c r="CC31" s="754"/>
    </row>
    <row r="32" spans="1:81" ht="15.95" customHeight="1">
      <c r="B32" s="785">
        <v>8</v>
      </c>
      <c r="C32" s="1009"/>
      <c r="D32" s="1010"/>
      <c r="E32" s="1010"/>
      <c r="F32" s="1010"/>
      <c r="G32" s="1011"/>
      <c r="H32" s="1002"/>
      <c r="I32" s="1002"/>
      <c r="J32" s="1002"/>
      <c r="K32" s="1002"/>
      <c r="L32" s="1002"/>
      <c r="M32" s="1003"/>
      <c r="N32" s="1040"/>
      <c r="O32" s="1010"/>
      <c r="P32" s="1010"/>
      <c r="Q32" s="1010"/>
      <c r="R32" s="1010"/>
      <c r="S32" s="1011"/>
      <c r="T32" s="1032"/>
      <c r="U32" s="1137"/>
      <c r="V32" s="1138"/>
      <c r="W32" s="1040"/>
      <c r="X32" s="1010"/>
      <c r="Y32" s="1010"/>
      <c r="Z32" s="1010"/>
      <c r="AA32" s="1010"/>
      <c r="AB32" s="1011"/>
      <c r="AC32" s="1032"/>
      <c r="AD32" s="1137"/>
      <c r="AE32" s="1138"/>
      <c r="AF32" s="1135" t="str">
        <f>IFERROR(IF($C32="", "", IF(OR($C32 = "Retrofit existing", $C32 = "Replace in-life equip."), "Total", "Incremental")), "")</f>
        <v/>
      </c>
      <c r="AG32" s="1136"/>
      <c r="AH32" s="993"/>
      <c r="AI32" s="993"/>
      <c r="AJ32" s="1083" t="str">
        <f t="shared" ref="AJ32" si="49">IF(AF32="Incremental",0,"")</f>
        <v/>
      </c>
      <c r="AK32" s="1084"/>
      <c r="AL32" s="1030" t="str">
        <f>IF(OR(C32="",H32="",N32="",T32="",W32="",AC32="",AF32="",AH32="",AJ32=""),"",ROUND(AH32+AJ32,2))</f>
        <v/>
      </c>
      <c r="AM32" s="1031"/>
      <c r="AN32" s="1031"/>
      <c r="AO32" s="1036" t="str">
        <f>IF(OR(C32="",H32="",N32="",T32="",W32="",AC32="",AF32="",AH32="",AJ32=""),"",IF(BA32-BB32&lt;=0,0,ROUND(BA32-BB32,4)))</f>
        <v/>
      </c>
      <c r="AP32" s="1036"/>
      <c r="AQ32" s="1036"/>
      <c r="AR32" s="1000" t="str">
        <f>IF(OR(C32="",H32="",N32="",T32="",W32="",AC32="",AF32="",AH32="",AJ32=""),"",
IF(BY32&lt;&gt;"",BY32,IF(BP32&gt;0,BP32,
IF(AF32="Incremental",
IF(ACTIVEBLOCK="Yes",ROUND(MIN(AL32*INCCOSTCAP,AO32*BLOCKBIDRATE),2),
ROUND(MIN(AL32*INCCOSTCAP,BR32),2)),
IF(ACTIVEBLOCK="Yes",ROUND(MIN(AL32*TOTCOSTCAP,AO32*BLOCKBIDRATE),2),
ROUND(MIN(AL32*TOTCOSTCAP,BR32),2))))))</f>
        <v/>
      </c>
      <c r="AS32" s="1000"/>
      <c r="AT32" s="1000"/>
      <c r="AU32" s="1000"/>
      <c r="AV32" s="37"/>
      <c r="AW32" s="37"/>
      <c r="AX32" s="773" t="str">
        <f>IF(OR(C32="",H32=""),"",INDEX(CMECOMPAIR[Unit of Measure],MATCH(H32,CMECOMPAIR[Proj Desc 1],0)))</f>
        <v/>
      </c>
      <c r="AY32" s="759" t="str">
        <f t="shared" ref="AY32" si="50">IF(AO32&lt;&gt;"","Missing!","")</f>
        <v/>
      </c>
      <c r="AZ32" s="759" t="str">
        <f t="shared" ref="AZ32" si="51">IF(AO32&lt;&gt;"","Missing!","")</f>
        <v/>
      </c>
      <c r="BA32" s="771" t="str">
        <f t="shared" ref="BA32" si="52">IF(OR(C32="",H32="",N32="",T32="",W32="",AC32="",AF32="",AH32="",AJ32=""),"",ROUND(T32,4))</f>
        <v/>
      </c>
      <c r="BB32" s="771" t="str">
        <f t="shared" ref="BB32" si="53">IF(OR(C32="",H32="",N32="",T32="",W32="",AC32="",AF32="",AH32="",AJ32=""),"",ROUND(AC32,4))</f>
        <v/>
      </c>
      <c r="BC32" s="773" t="str">
        <f>IF(OR(C32="",H32=""),"",IF(INDEX(CMECOMPAIR[End Use Category],MATCH(H32,CMECOMPAIR[Proj Desc 1],0))="","",INDEX(CMECOMPAIR[End Use Category],MATCH(H32,CMECOMPAIR[Proj Desc 1],0))))</f>
        <v/>
      </c>
      <c r="BD32" s="757" t="str">
        <f t="shared" ref="BD32" si="54">IF(BE32&lt;&gt;"", "Calculated", "")</f>
        <v/>
      </c>
      <c r="BE32" s="775" t="str">
        <f t="shared" ref="BE32" si="55">IF(AND(BA32&lt;&gt;"", BB32&lt;&gt;""), ROUND(BA32-BB32,4), "")</f>
        <v/>
      </c>
      <c r="BF32" s="1098"/>
      <c r="BG32" s="775" t="str">
        <f>IFERROR(IF(OR(C32="",H32="",N32="",T32="",W32="",AC32="",AF32="",AH32="",AJ32=""),"",ROUND(AO32*INDEX(ENDUSEALL[Factor],MATCH(BC32,ENDUSEALL[End Use to Coincident Peak Demand Factors],0)),4)),"")</f>
        <v/>
      </c>
      <c r="BH32" s="761"/>
      <c r="BI32" s="761"/>
      <c r="BJ32" s="777" t="str">
        <f>IF(OR(C32="",H32=""),"",IF(INDEX(CMECOMPAIR[EUL],MATCH(H32,CMECOMPAIR[Proj Desc 1],0))="","",INDEX(CMECOMPAIR[EUL],MATCH(H32,CMECOMPAIR[Proj Desc 1],0))))</f>
        <v/>
      </c>
      <c r="BK32" s="767" t="str">
        <f>IFERROR(IF(OR(C32="",H32="",N32="",T32="",W32="",AC32="",AF32="",AH32="",AJ32=""),"",
ROUND(((1+ELOSS)*((AO32*INDEX(ELECCB[NPV AEC $/kWh],MATCH(BJ32,ELECCB[Year Number],1)))+(BG32*INDEX(ELECCB[NPV ACC $/kW],MATCH(BJ32,ELECCB[Year Number],1))))),2)),0)</f>
        <v/>
      </c>
      <c r="BL32" s="767" t="str">
        <f t="shared" si="0"/>
        <v/>
      </c>
      <c r="BM32" s="765"/>
      <c r="BN32" s="763" t="str">
        <f t="shared" si="1"/>
        <v/>
      </c>
      <c r="BO32" s="763" t="str">
        <f>IFERROR(IF(BM32 &lt;&gt; "", BM32, BL32) / M02S04F06 / AO32, "")</f>
        <v/>
      </c>
      <c r="BP32" s="769"/>
      <c r="BQ32" s="765"/>
      <c r="BR32" s="767" t="str">
        <f t="shared" ref="BR32" si="56">IFERROR(ROUND(AO32*BV32,2),"")</f>
        <v/>
      </c>
      <c r="BS32" s="765"/>
      <c r="BT32" s="765"/>
      <c r="BU32" s="757"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67"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57" t="str">
        <f>IF(OR(C32="",H32="",N32="",T32="",W32="",AC32="",AF32="",AH32="",AJ32=""),"",IF(BY32&lt;&gt;"",SPILLOVERNUMBER,INDEX(CMECOMPAIR[Measure Number],MATCH(H32,CMECOMPAIR[Proj Desc 1],0))))</f>
        <v/>
      </c>
      <c r="BX32" s="757" t="str" cm="1">
        <f t="array" ref="BX32">IFERROR(INDEX(_xlfn.SWITCH(Program_Banner,"Business Energy Savings",ENDUSEALL[Primary Key WBE],"Small Business / Non-Profit",ENDUSEALL[Primary Key HTRB],0),MATCH(BC32,ENDUSEALL[End Use to Coincident Peak Demand Factors],0)),"")</f>
        <v/>
      </c>
      <c r="BY32" s="757"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53"/>
      <c r="CA32" s="753"/>
      <c r="CB32" s="753"/>
      <c r="CC32" s="753"/>
    </row>
    <row r="33" spans="2:81" ht="15.95" customHeight="1">
      <c r="B33" s="785"/>
      <c r="C33" s="1012"/>
      <c r="D33" s="1013"/>
      <c r="E33" s="1013"/>
      <c r="F33" s="1013"/>
      <c r="G33" s="1014"/>
      <c r="H33" s="1002"/>
      <c r="I33" s="1002"/>
      <c r="J33" s="1002"/>
      <c r="K33" s="1002"/>
      <c r="L33" s="1002"/>
      <c r="M33" s="1003"/>
      <c r="N33" s="1041"/>
      <c r="O33" s="1013"/>
      <c r="P33" s="1013"/>
      <c r="Q33" s="1013"/>
      <c r="R33" s="1013"/>
      <c r="S33" s="1014"/>
      <c r="T33" s="1034"/>
      <c r="U33" s="1139"/>
      <c r="V33" s="1140"/>
      <c r="W33" s="1041"/>
      <c r="X33" s="1013"/>
      <c r="Y33" s="1013"/>
      <c r="Z33" s="1013"/>
      <c r="AA33" s="1013"/>
      <c r="AB33" s="1014"/>
      <c r="AC33" s="1034"/>
      <c r="AD33" s="1139"/>
      <c r="AE33" s="1140"/>
      <c r="AF33" s="1135"/>
      <c r="AG33" s="1136"/>
      <c r="AH33" s="993"/>
      <c r="AI33" s="993"/>
      <c r="AJ33" s="1083"/>
      <c r="AK33" s="1084"/>
      <c r="AL33" s="1006"/>
      <c r="AM33" s="1007"/>
      <c r="AN33" s="1007"/>
      <c r="AO33" s="1037"/>
      <c r="AP33" s="1037"/>
      <c r="AQ33" s="1037"/>
      <c r="AR33" s="1001"/>
      <c r="AS33" s="1001"/>
      <c r="AT33" s="1001"/>
      <c r="AU33" s="1001"/>
      <c r="AV33" s="37"/>
      <c r="AW33" s="37"/>
      <c r="AX33" s="774"/>
      <c r="AY33" s="760"/>
      <c r="AZ33" s="760"/>
      <c r="BA33" s="772"/>
      <c r="BB33" s="772"/>
      <c r="BC33" s="774"/>
      <c r="BD33" s="758"/>
      <c r="BE33" s="776"/>
      <c r="BF33" s="1099"/>
      <c r="BG33" s="776"/>
      <c r="BH33" s="762"/>
      <c r="BI33" s="762"/>
      <c r="BJ33" s="778"/>
      <c r="BK33" s="768"/>
      <c r="BL33" s="768"/>
      <c r="BM33" s="766"/>
      <c r="BN33" s="764"/>
      <c r="BO33" s="764"/>
      <c r="BP33" s="770"/>
      <c r="BQ33" s="766"/>
      <c r="BR33" s="768"/>
      <c r="BS33" s="766"/>
      <c r="BT33" s="766"/>
      <c r="BU33" s="758"/>
      <c r="BV33" s="768"/>
      <c r="BW33" s="758"/>
      <c r="BX33" s="758"/>
      <c r="BY33" s="758"/>
      <c r="BZ33" s="754"/>
      <c r="CA33" s="754"/>
      <c r="CB33" s="754"/>
      <c r="CC33" s="754"/>
    </row>
    <row r="34" spans="2:81" ht="15.95" customHeight="1">
      <c r="B34" s="785">
        <v>9</v>
      </c>
      <c r="C34" s="1009"/>
      <c r="D34" s="1010"/>
      <c r="E34" s="1010"/>
      <c r="F34" s="1010"/>
      <c r="G34" s="1011"/>
      <c r="H34" s="1002"/>
      <c r="I34" s="1002"/>
      <c r="J34" s="1002"/>
      <c r="K34" s="1002"/>
      <c r="L34" s="1002"/>
      <c r="M34" s="1003"/>
      <c r="N34" s="1040"/>
      <c r="O34" s="1010"/>
      <c r="P34" s="1010"/>
      <c r="Q34" s="1010"/>
      <c r="R34" s="1010"/>
      <c r="S34" s="1011"/>
      <c r="T34" s="1032"/>
      <c r="U34" s="1137"/>
      <c r="V34" s="1138"/>
      <c r="W34" s="1040"/>
      <c r="X34" s="1010"/>
      <c r="Y34" s="1010"/>
      <c r="Z34" s="1010"/>
      <c r="AA34" s="1010"/>
      <c r="AB34" s="1011"/>
      <c r="AC34" s="1032"/>
      <c r="AD34" s="1137"/>
      <c r="AE34" s="1138"/>
      <c r="AF34" s="1135" t="str">
        <f>IFERROR(IF($C34="", "", IF(OR($C34 = "Retrofit existing", $C34 = "Replace in-life equip."), "Total", "Incremental")), "")</f>
        <v/>
      </c>
      <c r="AG34" s="1136"/>
      <c r="AH34" s="993"/>
      <c r="AI34" s="993"/>
      <c r="AJ34" s="1083" t="str">
        <f t="shared" ref="AJ34" si="57">IF(AF34="Incremental",0,"")</f>
        <v/>
      </c>
      <c r="AK34" s="1084"/>
      <c r="AL34" s="1030" t="str">
        <f>IF(OR(C34="",H34="",N34="",T34="",W34="",AC34="",AF34="",AH34="",AJ34=""),"",ROUND(AH34+AJ34,2))</f>
        <v/>
      </c>
      <c r="AM34" s="1031"/>
      <c r="AN34" s="1031"/>
      <c r="AO34" s="1036" t="str">
        <f>IF(OR(C34="",H34="",N34="",T34="",W34="",AC34="",AF34="",AH34="",AJ34=""),"",IF(BA34-BB34&lt;=0,0,ROUND(BA34-BB34,4)))</f>
        <v/>
      </c>
      <c r="AP34" s="1036"/>
      <c r="AQ34" s="1036"/>
      <c r="AR34" s="1000" t="str">
        <f>IF(OR(C34="",H34="",N34="",T34="",W34="",AC34="",AF34="",AH34="",AJ34=""),"",
IF(BY34&lt;&gt;"",BY34,IF(BP34&gt;0,BP34,
IF(AF34="Incremental",
IF(ACTIVEBLOCK="Yes",ROUND(MIN(AL34*INCCOSTCAP,AO34*BLOCKBIDRATE),2),
ROUND(MIN(AL34*INCCOSTCAP,BR34),2)),
IF(ACTIVEBLOCK="Yes",ROUND(MIN(AL34*TOTCOSTCAP,AO34*BLOCKBIDRATE),2),
ROUND(MIN(AL34*TOTCOSTCAP,BR34),2))))))</f>
        <v/>
      </c>
      <c r="AS34" s="1000"/>
      <c r="AT34" s="1000"/>
      <c r="AU34" s="1000"/>
      <c r="AV34" s="37"/>
      <c r="AW34" s="37"/>
      <c r="AX34" s="773" t="str">
        <f>IF(OR(C34="",H34=""),"",INDEX(CMECOMPAIR[Unit of Measure],MATCH(H34,CMECOMPAIR[Proj Desc 1],0)))</f>
        <v/>
      </c>
      <c r="AY34" s="759" t="str">
        <f t="shared" ref="AY34" si="58">IF(AO34&lt;&gt;"","Missing!","")</f>
        <v/>
      </c>
      <c r="AZ34" s="759" t="str">
        <f t="shared" ref="AZ34" si="59">IF(AO34&lt;&gt;"","Missing!","")</f>
        <v/>
      </c>
      <c r="BA34" s="771" t="str">
        <f t="shared" ref="BA34" si="60">IF(OR(C34="",H34="",N34="",T34="",W34="",AC34="",AF34="",AH34="",AJ34=""),"",ROUND(T34,4))</f>
        <v/>
      </c>
      <c r="BB34" s="771" t="str">
        <f t="shared" ref="BB34" si="61">IF(OR(C34="",H34="",N34="",T34="",W34="",AC34="",AF34="",AH34="",AJ34=""),"",ROUND(AC34,4))</f>
        <v/>
      </c>
      <c r="BC34" s="773" t="str">
        <f>IF(OR(C34="",H34=""),"",IF(INDEX(CMECOMPAIR[End Use Category],MATCH(H34,CMECOMPAIR[Proj Desc 1],0))="","",INDEX(CMECOMPAIR[End Use Category],MATCH(H34,CMECOMPAIR[Proj Desc 1],0))))</f>
        <v/>
      </c>
      <c r="BD34" s="757" t="str">
        <f t="shared" ref="BD34" si="62">IF(BE34&lt;&gt;"", "Calculated", "")</f>
        <v/>
      </c>
      <c r="BE34" s="775" t="str">
        <f t="shared" ref="BE34" si="63">IF(AND(BA34&lt;&gt;"", BB34&lt;&gt;""), ROUND(BA34-BB34,4), "")</f>
        <v/>
      </c>
      <c r="BF34" s="1098"/>
      <c r="BG34" s="775" t="str">
        <f>IFERROR(IF(OR(C34="",H34="",N34="",T34="",W34="",AC34="",AF34="",AH34="",AJ34=""),"",ROUND(AO34*INDEX(ENDUSEALL[Factor],MATCH(BC34,ENDUSEALL[End Use to Coincident Peak Demand Factors],0)),4)),"")</f>
        <v/>
      </c>
      <c r="BH34" s="761"/>
      <c r="BI34" s="761"/>
      <c r="BJ34" s="777" t="str">
        <f>IF(OR(C34="",H34=""),"",IF(INDEX(CMECOMPAIR[EUL],MATCH(H34,CMECOMPAIR[Proj Desc 1],0))="","",INDEX(CMECOMPAIR[EUL],MATCH(H34,CMECOMPAIR[Proj Desc 1],0))))</f>
        <v/>
      </c>
      <c r="BK34" s="767" t="str">
        <f>IFERROR(IF(OR(C34="",H34="",N34="",T34="",W34="",AC34="",AF34="",AH34="",AJ34=""),"",
ROUND(((1+ELOSS)*((AO34*INDEX(ELECCB[NPV AEC $/kWh],MATCH(BJ34,ELECCB[Year Number],1)))+(BG34*INDEX(ELECCB[NPV ACC $/kW],MATCH(BJ34,ELECCB[Year Number],1))))),2)),0)</f>
        <v/>
      </c>
      <c r="BL34" s="767" t="str">
        <f t="shared" si="0"/>
        <v/>
      </c>
      <c r="BM34" s="765"/>
      <c r="BN34" s="763" t="str">
        <f t="shared" si="1"/>
        <v/>
      </c>
      <c r="BO34" s="763" t="str">
        <f>IFERROR(IF(BM34 &lt;&gt; "", BM34, BL34) / M02S04F06 / AO34, "")</f>
        <v/>
      </c>
      <c r="BP34" s="769"/>
      <c r="BQ34" s="765"/>
      <c r="BR34" s="767" t="str">
        <f t="shared" ref="BR34" si="64">IFERROR(ROUND(AO34*BV34,2),"")</f>
        <v/>
      </c>
      <c r="BS34" s="765"/>
      <c r="BT34" s="765"/>
      <c r="BU34" s="757"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67"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57" t="str">
        <f>IF(OR(C34="",H34="",N34="",T34="",W34="",AC34="",AF34="",AH34="",AJ34=""),"",IF(BY34&lt;&gt;"",SPILLOVERNUMBER,INDEX(CMECOMPAIR[Measure Number],MATCH(H34,CMECOMPAIR[Proj Desc 1],0))))</f>
        <v/>
      </c>
      <c r="BX34" s="757" t="str" cm="1">
        <f t="array" ref="BX34">IFERROR(INDEX(_xlfn.SWITCH(Program_Banner,"Business Energy Savings",ENDUSEALL[Primary Key WBE],"Small Business / Non-Profit",ENDUSEALL[Primary Key HTRB],0),MATCH(BC34,ENDUSEALL[End Use to Coincident Peak Demand Factors],0)),"")</f>
        <v/>
      </c>
      <c r="BY34" s="757"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53"/>
      <c r="CA34" s="753"/>
      <c r="CB34" s="753"/>
      <c r="CC34" s="753"/>
    </row>
    <row r="35" spans="2:81" ht="15.95" customHeight="1">
      <c r="B35" s="785"/>
      <c r="C35" s="1012"/>
      <c r="D35" s="1013"/>
      <c r="E35" s="1013"/>
      <c r="F35" s="1013"/>
      <c r="G35" s="1014"/>
      <c r="H35" s="1002"/>
      <c r="I35" s="1002"/>
      <c r="J35" s="1002"/>
      <c r="K35" s="1002"/>
      <c r="L35" s="1002"/>
      <c r="M35" s="1003"/>
      <c r="N35" s="1041"/>
      <c r="O35" s="1013"/>
      <c r="P35" s="1013"/>
      <c r="Q35" s="1013"/>
      <c r="R35" s="1013"/>
      <c r="S35" s="1014"/>
      <c r="T35" s="1034"/>
      <c r="U35" s="1139"/>
      <c r="V35" s="1140"/>
      <c r="W35" s="1041"/>
      <c r="X35" s="1013"/>
      <c r="Y35" s="1013"/>
      <c r="Z35" s="1013"/>
      <c r="AA35" s="1013"/>
      <c r="AB35" s="1014"/>
      <c r="AC35" s="1034"/>
      <c r="AD35" s="1139"/>
      <c r="AE35" s="1140"/>
      <c r="AF35" s="1135"/>
      <c r="AG35" s="1136"/>
      <c r="AH35" s="993"/>
      <c r="AI35" s="993"/>
      <c r="AJ35" s="1083"/>
      <c r="AK35" s="1084"/>
      <c r="AL35" s="1006"/>
      <c r="AM35" s="1007"/>
      <c r="AN35" s="1007"/>
      <c r="AO35" s="1037"/>
      <c r="AP35" s="1037"/>
      <c r="AQ35" s="1037"/>
      <c r="AR35" s="1001"/>
      <c r="AS35" s="1001"/>
      <c r="AT35" s="1001"/>
      <c r="AU35" s="1001"/>
      <c r="AV35" s="37"/>
      <c r="AW35" s="37"/>
      <c r="AX35" s="774"/>
      <c r="AY35" s="760"/>
      <c r="AZ35" s="760"/>
      <c r="BA35" s="772"/>
      <c r="BB35" s="772"/>
      <c r="BC35" s="774"/>
      <c r="BD35" s="758"/>
      <c r="BE35" s="776"/>
      <c r="BF35" s="1099"/>
      <c r="BG35" s="776"/>
      <c r="BH35" s="762"/>
      <c r="BI35" s="762"/>
      <c r="BJ35" s="778"/>
      <c r="BK35" s="768"/>
      <c r="BL35" s="768"/>
      <c r="BM35" s="766"/>
      <c r="BN35" s="764"/>
      <c r="BO35" s="764"/>
      <c r="BP35" s="770"/>
      <c r="BQ35" s="766"/>
      <c r="BR35" s="768"/>
      <c r="BS35" s="766"/>
      <c r="BT35" s="766"/>
      <c r="BU35" s="758"/>
      <c r="BV35" s="768"/>
      <c r="BW35" s="758"/>
      <c r="BX35" s="758"/>
      <c r="BY35" s="758"/>
      <c r="BZ35" s="754"/>
      <c r="CA35" s="754"/>
      <c r="CB35" s="754"/>
      <c r="CC35" s="754"/>
    </row>
    <row r="36" spans="2:81" ht="15.95" customHeight="1">
      <c r="B36" s="785">
        <v>10</v>
      </c>
      <c r="C36" s="1009"/>
      <c r="D36" s="1010"/>
      <c r="E36" s="1010"/>
      <c r="F36" s="1010"/>
      <c r="G36" s="1011"/>
      <c r="H36" s="1002"/>
      <c r="I36" s="1002"/>
      <c r="J36" s="1002"/>
      <c r="K36" s="1002"/>
      <c r="L36" s="1002"/>
      <c r="M36" s="1003"/>
      <c r="N36" s="1040"/>
      <c r="O36" s="1010"/>
      <c r="P36" s="1010"/>
      <c r="Q36" s="1010"/>
      <c r="R36" s="1010"/>
      <c r="S36" s="1011"/>
      <c r="T36" s="1032"/>
      <c r="U36" s="1137"/>
      <c r="V36" s="1138"/>
      <c r="W36" s="1040"/>
      <c r="X36" s="1010"/>
      <c r="Y36" s="1010"/>
      <c r="Z36" s="1010"/>
      <c r="AA36" s="1010"/>
      <c r="AB36" s="1011"/>
      <c r="AC36" s="1032"/>
      <c r="AD36" s="1137"/>
      <c r="AE36" s="1138"/>
      <c r="AF36" s="1135" t="str">
        <f>IFERROR(IF($C36="", "", IF(OR($C36 = "Retrofit existing", $C36 = "Replace in-life equip."), "Total", "Incremental")), "")</f>
        <v/>
      </c>
      <c r="AG36" s="1136"/>
      <c r="AH36" s="993"/>
      <c r="AI36" s="993"/>
      <c r="AJ36" s="1083" t="str">
        <f t="shared" ref="AJ36" si="65">IF(AF36="Incremental",0,"")</f>
        <v/>
      </c>
      <c r="AK36" s="1084"/>
      <c r="AL36" s="1030" t="str">
        <f>IF(OR(C36="",H36="",N36="",T36="",W36="",AC36="",AF36="",AH36="",AJ36=""),"",ROUND(AH36+AJ36,2))</f>
        <v/>
      </c>
      <c r="AM36" s="1031"/>
      <c r="AN36" s="1031"/>
      <c r="AO36" s="1036" t="str">
        <f>IF(OR(C36="",H36="",N36="",T36="",W36="",AC36="",AF36="",AH36="",AJ36=""),"",IF(BA36-BB36&lt;=0,0,ROUND(BA36-BB36,4)))</f>
        <v/>
      </c>
      <c r="AP36" s="1036"/>
      <c r="AQ36" s="1036"/>
      <c r="AR36" s="1000" t="str">
        <f>IF(OR(C36="",H36="",N36="",T36="",W36="",AC36="",AF36="",AH36="",AJ36=""),"",
IF(BY36&lt;&gt;"",BY36,IF(BP36&gt;0,BP36,
IF(AF36="Incremental",
IF(ACTIVEBLOCK="Yes",ROUND(MIN(AL36*INCCOSTCAP,AO36*BLOCKBIDRATE),2),
ROUND(MIN(AL36*INCCOSTCAP,BR36),2)),
IF(ACTIVEBLOCK="Yes",ROUND(MIN(AL36*TOTCOSTCAP,AO36*BLOCKBIDRATE),2),
ROUND(MIN(AL36*TOTCOSTCAP,BR36),2))))))</f>
        <v/>
      </c>
      <c r="AS36" s="1000"/>
      <c r="AT36" s="1000"/>
      <c r="AU36" s="1000"/>
      <c r="AV36" s="37"/>
      <c r="AW36" s="37"/>
      <c r="AX36" s="773" t="str">
        <f>IF(OR(C36="",H36=""),"",INDEX(CMECOMPAIR[Unit of Measure],MATCH(H36,CMECOMPAIR[Proj Desc 1],0)))</f>
        <v/>
      </c>
      <c r="AY36" s="759" t="str">
        <f t="shared" ref="AY36" si="66">IF(AO36&lt;&gt;"","Missing!","")</f>
        <v/>
      </c>
      <c r="AZ36" s="759" t="str">
        <f t="shared" ref="AZ36" si="67">IF(AO36&lt;&gt;"","Missing!","")</f>
        <v/>
      </c>
      <c r="BA36" s="771" t="str">
        <f t="shared" ref="BA36" si="68">IF(OR(C36="",H36="",N36="",T36="",W36="",AC36="",AF36="",AH36="",AJ36=""),"",ROUND(T36,4))</f>
        <v/>
      </c>
      <c r="BB36" s="771" t="str">
        <f t="shared" ref="BB36" si="69">IF(OR(C36="",H36="",N36="",T36="",W36="",AC36="",AF36="",AH36="",AJ36=""),"",ROUND(AC36,4))</f>
        <v/>
      </c>
      <c r="BC36" s="773" t="str">
        <f>IF(OR(C36="",H36=""),"",IF(INDEX(CMECOMPAIR[End Use Category],MATCH(H36,CMECOMPAIR[Proj Desc 1],0))="","",INDEX(CMECOMPAIR[End Use Category],MATCH(H36,CMECOMPAIR[Proj Desc 1],0))))</f>
        <v/>
      </c>
      <c r="BD36" s="757" t="str">
        <f t="shared" ref="BD36" si="70">IF(BE36&lt;&gt;"", "Calculated", "")</f>
        <v/>
      </c>
      <c r="BE36" s="775" t="str">
        <f t="shared" ref="BE36" si="71">IF(AND(BA36&lt;&gt;"", BB36&lt;&gt;""), ROUND(BA36-BB36,4), "")</f>
        <v/>
      </c>
      <c r="BF36" s="1098"/>
      <c r="BG36" s="775" t="str">
        <f>IFERROR(IF(OR(C36="",H36="",N36="",T36="",W36="",AC36="",AF36="",AH36="",AJ36=""),"",ROUND(AO36*INDEX(ENDUSEALL[Factor],MATCH(BC36,ENDUSEALL[End Use to Coincident Peak Demand Factors],0)),4)),"")</f>
        <v/>
      </c>
      <c r="BH36" s="761"/>
      <c r="BI36" s="761"/>
      <c r="BJ36" s="777" t="str">
        <f>IF(OR(C36="",H36=""),"",IF(INDEX(CMECOMPAIR[EUL],MATCH(H36,CMECOMPAIR[Proj Desc 1],0))="","",INDEX(CMECOMPAIR[EUL],MATCH(H36,CMECOMPAIR[Proj Desc 1],0))))</f>
        <v/>
      </c>
      <c r="BK36" s="767" t="str">
        <f>IFERROR(IF(OR(C36="",H36="",N36="",T36="",W36="",AC36="",AF36="",AH36="",AJ36=""),"",
ROUND(((1+ELOSS)*((AO36*INDEX(ELECCB[NPV AEC $/kWh],MATCH(BJ36,ELECCB[Year Number],1)))+(BG36*INDEX(ELECCB[NPV ACC $/kW],MATCH(BJ36,ELECCB[Year Number],1))))),2)),0)</f>
        <v/>
      </c>
      <c r="BL36" s="767" t="str">
        <f t="shared" si="0"/>
        <v/>
      </c>
      <c r="BM36" s="765"/>
      <c r="BN36" s="763" t="str">
        <f t="shared" si="1"/>
        <v/>
      </c>
      <c r="BO36" s="763" t="str">
        <f>IFERROR(IF(BM36 &lt;&gt; "", BM36, BL36) / M02S04F06 / AO36, "")</f>
        <v/>
      </c>
      <c r="BP36" s="769"/>
      <c r="BQ36" s="765"/>
      <c r="BR36" s="767" t="str">
        <f t="shared" ref="BR36" si="72">IFERROR(ROUND(AO36*BV36,2),"")</f>
        <v/>
      </c>
      <c r="BS36" s="765"/>
      <c r="BT36" s="765"/>
      <c r="BU36" s="757"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67"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57" t="str">
        <f>IF(OR(C36="",H36="",N36="",T36="",W36="",AC36="",AF36="",AH36="",AJ36=""),"",IF(BY36&lt;&gt;"",SPILLOVERNUMBER,INDEX(CMECOMPAIR[Measure Number],MATCH(H36,CMECOMPAIR[Proj Desc 1],0))))</f>
        <v/>
      </c>
      <c r="BX36" s="757" t="str" cm="1">
        <f t="array" ref="BX36">IFERROR(INDEX(_xlfn.SWITCH(Program_Banner,"Business Energy Savings",ENDUSEALL[Primary Key WBE],"Small Business / Non-Profit",ENDUSEALL[Primary Key HTRB],0),MATCH(BC36,ENDUSEALL[End Use to Coincident Peak Demand Factors],0)),"")</f>
        <v/>
      </c>
      <c r="BY36" s="757"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53"/>
      <c r="CA36" s="753"/>
      <c r="CB36" s="753"/>
      <c r="CC36" s="753"/>
    </row>
    <row r="37" spans="2:81" ht="15.95" customHeight="1">
      <c r="B37" s="785"/>
      <c r="C37" s="1012"/>
      <c r="D37" s="1013"/>
      <c r="E37" s="1013"/>
      <c r="F37" s="1013"/>
      <c r="G37" s="1014"/>
      <c r="H37" s="1002"/>
      <c r="I37" s="1002"/>
      <c r="J37" s="1002"/>
      <c r="K37" s="1002"/>
      <c r="L37" s="1002"/>
      <c r="M37" s="1003"/>
      <c r="N37" s="1041"/>
      <c r="O37" s="1013"/>
      <c r="P37" s="1013"/>
      <c r="Q37" s="1013"/>
      <c r="R37" s="1013"/>
      <c r="S37" s="1014"/>
      <c r="T37" s="1034"/>
      <c r="U37" s="1139"/>
      <c r="V37" s="1140"/>
      <c r="W37" s="1041"/>
      <c r="X37" s="1013"/>
      <c r="Y37" s="1013"/>
      <c r="Z37" s="1013"/>
      <c r="AA37" s="1013"/>
      <c r="AB37" s="1014"/>
      <c r="AC37" s="1034"/>
      <c r="AD37" s="1139"/>
      <c r="AE37" s="1140"/>
      <c r="AF37" s="1135"/>
      <c r="AG37" s="1136"/>
      <c r="AH37" s="993"/>
      <c r="AI37" s="993"/>
      <c r="AJ37" s="1083"/>
      <c r="AK37" s="1084"/>
      <c r="AL37" s="1006"/>
      <c r="AM37" s="1007"/>
      <c r="AN37" s="1007"/>
      <c r="AO37" s="1037"/>
      <c r="AP37" s="1037"/>
      <c r="AQ37" s="1037"/>
      <c r="AR37" s="1001"/>
      <c r="AS37" s="1001"/>
      <c r="AT37" s="1001"/>
      <c r="AU37" s="1001"/>
      <c r="AV37" s="37"/>
      <c r="AW37" s="37"/>
      <c r="AX37" s="774"/>
      <c r="AY37" s="760"/>
      <c r="AZ37" s="760"/>
      <c r="BA37" s="772"/>
      <c r="BB37" s="772"/>
      <c r="BC37" s="774"/>
      <c r="BD37" s="758"/>
      <c r="BE37" s="776"/>
      <c r="BF37" s="1099"/>
      <c r="BG37" s="776"/>
      <c r="BH37" s="762"/>
      <c r="BI37" s="762"/>
      <c r="BJ37" s="778"/>
      <c r="BK37" s="768"/>
      <c r="BL37" s="768"/>
      <c r="BM37" s="766"/>
      <c r="BN37" s="764"/>
      <c r="BO37" s="764"/>
      <c r="BP37" s="770"/>
      <c r="BQ37" s="766"/>
      <c r="BR37" s="768"/>
      <c r="BS37" s="766"/>
      <c r="BT37" s="766"/>
      <c r="BU37" s="758"/>
      <c r="BV37" s="768"/>
      <c r="BW37" s="758"/>
      <c r="BX37" s="758"/>
      <c r="BY37" s="758"/>
      <c r="BZ37" s="754"/>
      <c r="CA37" s="754"/>
      <c r="CB37" s="754"/>
      <c r="CC37" s="754"/>
    </row>
    <row r="38" spans="2:81" ht="15.95" customHeight="1">
      <c r="B38" s="785"/>
      <c r="C38" s="291"/>
      <c r="D38" s="291"/>
      <c r="E38" s="291"/>
      <c r="F38" s="291"/>
    </row>
    <row r="39" spans="2:81" ht="15.95" hidden="1" customHeight="1">
      <c r="B39" s="785"/>
      <c r="C39" s="291"/>
      <c r="D39" s="291"/>
      <c r="E39" s="291"/>
      <c r="F39" s="291"/>
    </row>
    <row r="40" spans="2:81" ht="15.95" hidden="1" customHeight="1">
      <c r="B40" s="785"/>
      <c r="C40" s="291"/>
      <c r="D40" s="291"/>
      <c r="E40" s="291"/>
      <c r="F40" s="291"/>
    </row>
    <row r="41" spans="2:81" ht="15.95" hidden="1" customHeight="1">
      <c r="B41" s="785"/>
      <c r="C41" s="291"/>
      <c r="D41" s="291"/>
      <c r="E41" s="291"/>
      <c r="F41" s="291"/>
    </row>
    <row r="42" spans="2:81" ht="15.95" hidden="1" customHeight="1">
      <c r="B42" s="785"/>
      <c r="C42" s="291"/>
      <c r="D42" s="291"/>
      <c r="E42" s="291"/>
      <c r="F42" s="291"/>
    </row>
    <row r="43" spans="2:81" ht="15.95" hidden="1" customHeight="1">
      <c r="B43" s="785"/>
      <c r="C43" s="291"/>
      <c r="D43" s="291"/>
      <c r="E43" s="291"/>
      <c r="F43" s="291"/>
    </row>
    <row r="44" spans="2:81" ht="15.95" hidden="1" customHeight="1">
      <c r="B44" s="785"/>
      <c r="C44" s="291"/>
      <c r="D44" s="291"/>
      <c r="E44" s="291"/>
      <c r="F44" s="291"/>
    </row>
    <row r="45" spans="2:81" ht="15.95" hidden="1" customHeight="1">
      <c r="B45" s="785"/>
      <c r="C45" s="291"/>
      <c r="D45" s="291"/>
      <c r="E45" s="291"/>
      <c r="F45" s="291"/>
    </row>
    <row r="46" spans="2:81" ht="15.95" hidden="1" customHeight="1">
      <c r="B46" s="785"/>
      <c r="C46" s="291"/>
      <c r="D46" s="291"/>
      <c r="E46" s="291"/>
      <c r="F46" s="291"/>
    </row>
    <row r="47" spans="2:81" ht="15.95" hidden="1" customHeight="1">
      <c r="B47" s="785"/>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AY200" s="1146">
        <f>IF(OR(COUNTIF(AY18:AZ37,"Missing!")&gt;0,COUNTIF(AY18:AZ37,0)&gt;0,COUNTIFS(AY18:AY37,"",AZ18:AZ37,"",AO18:AO37,"&gt;0")&gt;0),"Missing Units on Custom Compressed Air / Process. ",SUM(AY18:AZ37))</f>
        <v>0</v>
      </c>
      <c r="BA200" s="1061">
        <f>SUM(BA18:BA37)</f>
        <v>0</v>
      </c>
      <c r="BB200" s="1061">
        <f>SUM(BB18:BB37)</f>
        <v>0</v>
      </c>
      <c r="BF200" s="1062">
        <f>SUM(BF18:BF37)</f>
        <v>0</v>
      </c>
      <c r="BG200" s="1062">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AY201" s="1147"/>
      <c r="BA201" s="1061"/>
      <c r="BB201" s="1061"/>
      <c r="BF201" s="1063"/>
      <c r="BG201" s="1063"/>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row r="209" ht="15" hidden="1" customHeight="1"/>
    <row r="210" ht="15" hidden="1" customHeight="1"/>
  </sheetData>
  <sheetProtection algorithmName="SHA-512" hashValue="6tK5uyM09tCoCcB1ImfvjLjKFj2csRCteMiB+vgsDlgGnhDFDT0sJMC8zFWqqNxlph8H4noSbD9PhQAY04zH4A==" saltValue="IKBwaW6fZm3WaetK6SzD6w==" spinCount="100000" sheet="1" objects="1" scenarios="1" selectLockedCells="1"/>
  <mergeCells count="532">
    <mergeCell ref="BW36:BW37"/>
    <mergeCell ref="BU36:BU37"/>
    <mergeCell ref="BY36:BY37"/>
    <mergeCell ref="BK36:BK37"/>
    <mergeCell ref="BP36:BP37"/>
    <mergeCell ref="AY200:AY201"/>
    <mergeCell ref="BA200:BA201"/>
    <mergeCell ref="BB200:BB201"/>
    <mergeCell ref="BG200:BG201"/>
    <mergeCell ref="BF200:BF201"/>
    <mergeCell ref="BG36:BG37"/>
    <mergeCell ref="BF36:BF37"/>
    <mergeCell ref="BR36:BR37"/>
    <mergeCell ref="BN36:BN37"/>
    <mergeCell ref="BO36:BO37"/>
    <mergeCell ref="AX36:AX37"/>
    <mergeCell ref="AY36:AY37"/>
    <mergeCell ref="AZ36:AZ37"/>
    <mergeCell ref="BA36:BA37"/>
    <mergeCell ref="BB36:BB37"/>
    <mergeCell ref="BJ36:BJ37"/>
    <mergeCell ref="BC36:BC37"/>
    <mergeCell ref="BR34:BR35"/>
    <mergeCell ref="BV34:BV35"/>
    <mergeCell ref="BT34:BT35"/>
    <mergeCell ref="AX34:AX35"/>
    <mergeCell ref="AY34:AY35"/>
    <mergeCell ref="AZ34:AZ35"/>
    <mergeCell ref="BA34:BA35"/>
    <mergeCell ref="BB34:BB35"/>
    <mergeCell ref="BC34:BC35"/>
    <mergeCell ref="BF34:BF35"/>
    <mergeCell ref="BV36:BV37"/>
    <mergeCell ref="BT36:BT37"/>
    <mergeCell ref="BW34:BW35"/>
    <mergeCell ref="BU34:BU35"/>
    <mergeCell ref="BY34:BY35"/>
    <mergeCell ref="BK34:BK35"/>
    <mergeCell ref="BP34:BP35"/>
    <mergeCell ref="BG32:BG33"/>
    <mergeCell ref="BR32:BR33"/>
    <mergeCell ref="BV32:BV33"/>
    <mergeCell ref="BN34:BN35"/>
    <mergeCell ref="BO34:BO35"/>
    <mergeCell ref="BJ34:BJ35"/>
    <mergeCell ref="BG34:BG35"/>
    <mergeCell ref="BT32:BT33"/>
    <mergeCell ref="BW32:BW33"/>
    <mergeCell ref="BU32:BU33"/>
    <mergeCell ref="BY32:BY33"/>
    <mergeCell ref="BK32:BK33"/>
    <mergeCell ref="BN32:BN33"/>
    <mergeCell ref="BO32:BO33"/>
    <mergeCell ref="BS34:BS35"/>
    <mergeCell ref="BX34:BX35"/>
    <mergeCell ref="AX32:AX33"/>
    <mergeCell ref="AY32:AY33"/>
    <mergeCell ref="AZ32:AZ33"/>
    <mergeCell ref="BA32:BA33"/>
    <mergeCell ref="BB32:BB33"/>
    <mergeCell ref="BJ32:BJ33"/>
    <mergeCell ref="BC32:BC33"/>
    <mergeCell ref="BP32:BP33"/>
    <mergeCell ref="BF32:BF33"/>
    <mergeCell ref="BT30:BT31"/>
    <mergeCell ref="BW30:BW31"/>
    <mergeCell ref="BU30:BU31"/>
    <mergeCell ref="BY30:BY31"/>
    <mergeCell ref="BK30:BK31"/>
    <mergeCell ref="BP30:BP31"/>
    <mergeCell ref="BG28:BG29"/>
    <mergeCell ref="BR28:BR29"/>
    <mergeCell ref="BV28:BV29"/>
    <mergeCell ref="BN30:BN31"/>
    <mergeCell ref="BO30:BO31"/>
    <mergeCell ref="BT28:BT29"/>
    <mergeCell ref="BW28:BW29"/>
    <mergeCell ref="BU28:BU29"/>
    <mergeCell ref="BY28:BY29"/>
    <mergeCell ref="BK28:BK29"/>
    <mergeCell ref="BN28:BN29"/>
    <mergeCell ref="BO28:BO29"/>
    <mergeCell ref="AX30:AX31"/>
    <mergeCell ref="AY30:AY31"/>
    <mergeCell ref="AZ30:AZ31"/>
    <mergeCell ref="BA30:BA31"/>
    <mergeCell ref="BB30:BB31"/>
    <mergeCell ref="BJ30:BJ31"/>
    <mergeCell ref="BC30:BC31"/>
    <mergeCell ref="BG30:BG31"/>
    <mergeCell ref="BF30:BF31"/>
    <mergeCell ref="BX26:BX27"/>
    <mergeCell ref="AX28:AX29"/>
    <mergeCell ref="AY28:AY29"/>
    <mergeCell ref="AZ28:AZ29"/>
    <mergeCell ref="BA28:BA29"/>
    <mergeCell ref="BB28:BB29"/>
    <mergeCell ref="BJ28:BJ29"/>
    <mergeCell ref="BC28:BC29"/>
    <mergeCell ref="BP28:BP29"/>
    <mergeCell ref="BF28:BF29"/>
    <mergeCell ref="AX26:AX27"/>
    <mergeCell ref="AY26:AY27"/>
    <mergeCell ref="AZ26:AZ27"/>
    <mergeCell ref="BA26:BA27"/>
    <mergeCell ref="BB26:BB27"/>
    <mergeCell ref="BJ26:BJ27"/>
    <mergeCell ref="BC26:BC27"/>
    <mergeCell ref="BG26:BG27"/>
    <mergeCell ref="BF26:BF27"/>
    <mergeCell ref="BI26:BI27"/>
    <mergeCell ref="AX24:AX25"/>
    <mergeCell ref="AY24:AY25"/>
    <mergeCell ref="AZ24:AZ25"/>
    <mergeCell ref="BA24:BA25"/>
    <mergeCell ref="BB24:BB25"/>
    <mergeCell ref="BJ24:BJ25"/>
    <mergeCell ref="BC24:BC25"/>
    <mergeCell ref="BP24:BP25"/>
    <mergeCell ref="BF24:BF25"/>
    <mergeCell ref="BG24:BG25"/>
    <mergeCell ref="BO24:BO25"/>
    <mergeCell ref="AX22:AX23"/>
    <mergeCell ref="AY22:AY23"/>
    <mergeCell ref="AZ22:AZ23"/>
    <mergeCell ref="BA22:BA23"/>
    <mergeCell ref="BB22:BB23"/>
    <mergeCell ref="BJ22:BJ23"/>
    <mergeCell ref="BC22:BC23"/>
    <mergeCell ref="BG22:BG23"/>
    <mergeCell ref="BF22:BF23"/>
    <mergeCell ref="BT20:BT21"/>
    <mergeCell ref="BW20:BW21"/>
    <mergeCell ref="BU20:BU21"/>
    <mergeCell ref="BY20:BY21"/>
    <mergeCell ref="BK20:BK21"/>
    <mergeCell ref="BN20:BN21"/>
    <mergeCell ref="BO20:BO21"/>
    <mergeCell ref="AX20:AX21"/>
    <mergeCell ref="AY20:AY21"/>
    <mergeCell ref="AZ20:AZ21"/>
    <mergeCell ref="BA20:BA21"/>
    <mergeCell ref="BB20:BB21"/>
    <mergeCell ref="BJ20:BJ21"/>
    <mergeCell ref="BC20:BC21"/>
    <mergeCell ref="BP20:BP21"/>
    <mergeCell ref="BG20:BG21"/>
    <mergeCell ref="BF20:BF21"/>
    <mergeCell ref="BR20:BR21"/>
    <mergeCell ref="BV20:BV21"/>
    <mergeCell ref="BT18:BT19"/>
    <mergeCell ref="BW18:BW19"/>
    <mergeCell ref="BU18:BU19"/>
    <mergeCell ref="BY18:BY19"/>
    <mergeCell ref="BK18:BK19"/>
    <mergeCell ref="BP18:BP19"/>
    <mergeCell ref="BG16:BG17"/>
    <mergeCell ref="BR16:BR17"/>
    <mergeCell ref="BV16:BV17"/>
    <mergeCell ref="BS18:BS19"/>
    <mergeCell ref="BX18:BX19"/>
    <mergeCell ref="BR18:BR19"/>
    <mergeCell ref="BV18:BV19"/>
    <mergeCell ref="AX16:AX17"/>
    <mergeCell ref="AY16:AY17"/>
    <mergeCell ref="AZ16:AZ17"/>
    <mergeCell ref="BA16:BA17"/>
    <mergeCell ref="BB16:BB17"/>
    <mergeCell ref="BJ16:BJ17"/>
    <mergeCell ref="BC16:BC17"/>
    <mergeCell ref="BP16:BP17"/>
    <mergeCell ref="BN18:BN19"/>
    <mergeCell ref="BO18:BO19"/>
    <mergeCell ref="AX18:AX19"/>
    <mergeCell ref="AY18:AY19"/>
    <mergeCell ref="AZ18:AZ19"/>
    <mergeCell ref="BA18:BA19"/>
    <mergeCell ref="BB18:BB19"/>
    <mergeCell ref="BJ18:BJ19"/>
    <mergeCell ref="BC18:BC19"/>
    <mergeCell ref="BG18:BG19"/>
    <mergeCell ref="BF18:BF19"/>
    <mergeCell ref="AC32:AE33"/>
    <mergeCell ref="T14:W14"/>
    <mergeCell ref="X14:AA14"/>
    <mergeCell ref="AB14:AE14"/>
    <mergeCell ref="AC18:AE19"/>
    <mergeCell ref="AH9:AK11"/>
    <mergeCell ref="AL9:AO11"/>
    <mergeCell ref="AF20:AG21"/>
    <mergeCell ref="AF18:AG19"/>
    <mergeCell ref="AH18:AI19"/>
    <mergeCell ref="AJ18:AK19"/>
    <mergeCell ref="AL18:AN19"/>
    <mergeCell ref="AO28:AQ29"/>
    <mergeCell ref="AJ22:AK23"/>
    <mergeCell ref="AL22:AN23"/>
    <mergeCell ref="AC22:AE23"/>
    <mergeCell ref="AH20:AI21"/>
    <mergeCell ref="AJ20:AK21"/>
    <mergeCell ref="AF26:AG27"/>
    <mergeCell ref="AH26:AI27"/>
    <mergeCell ref="AF24:AG25"/>
    <mergeCell ref="AH24:AI25"/>
    <mergeCell ref="AC20:AE21"/>
    <mergeCell ref="AF16:AG17"/>
    <mergeCell ref="W34:AB35"/>
    <mergeCell ref="W36:AB37"/>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28:M29"/>
    <mergeCell ref="W20:AB21"/>
    <mergeCell ref="W22:AB23"/>
    <mergeCell ref="W24:AB25"/>
    <mergeCell ref="W26:AB27"/>
    <mergeCell ref="W28:AB29"/>
    <mergeCell ref="W30:AB31"/>
    <mergeCell ref="W32:AB33"/>
    <mergeCell ref="A4:E6"/>
    <mergeCell ref="A7:E8"/>
    <mergeCell ref="C16:G17"/>
    <mergeCell ref="C18:G19"/>
    <mergeCell ref="C20:G21"/>
    <mergeCell ref="C22:G23"/>
    <mergeCell ref="C24:G25"/>
    <mergeCell ref="C26:G27"/>
    <mergeCell ref="C28:G29"/>
    <mergeCell ref="B18:B19"/>
    <mergeCell ref="H18:M19"/>
    <mergeCell ref="H16:M17"/>
    <mergeCell ref="AC34:AE35"/>
    <mergeCell ref="AC36:AE37"/>
    <mergeCell ref="AF30:AG31"/>
    <mergeCell ref="AO22:AQ23"/>
    <mergeCell ref="AO20:AQ21"/>
    <mergeCell ref="AO26:AQ27"/>
    <mergeCell ref="AR26:AU27"/>
    <mergeCell ref="T26:V27"/>
    <mergeCell ref="AH17:AI17"/>
    <mergeCell ref="AJ17:AK17"/>
    <mergeCell ref="AJ24:AK25"/>
    <mergeCell ref="AO36:AQ37"/>
    <mergeCell ref="AR36:AU37"/>
    <mergeCell ref="W18:AB19"/>
    <mergeCell ref="AF28:AG29"/>
    <mergeCell ref="AF22:AG23"/>
    <mergeCell ref="AH22:AI23"/>
    <mergeCell ref="AJ28:AK29"/>
    <mergeCell ref="AJ26:AK27"/>
    <mergeCell ref="T18:V19"/>
    <mergeCell ref="AC24:AE25"/>
    <mergeCell ref="AC26:AE27"/>
    <mergeCell ref="O200:AI201"/>
    <mergeCell ref="AH28:AI29"/>
    <mergeCell ref="AH30:AI31"/>
    <mergeCell ref="AJ30:AK31"/>
    <mergeCell ref="AL30:AN31"/>
    <mergeCell ref="AO30:AQ31"/>
    <mergeCell ref="AR32:AU33"/>
    <mergeCell ref="AF32:AG33"/>
    <mergeCell ref="AF34:AG35"/>
    <mergeCell ref="T30:V31"/>
    <mergeCell ref="AC30:AE31"/>
    <mergeCell ref="T32:V33"/>
    <mergeCell ref="T34:V35"/>
    <mergeCell ref="T36:V37"/>
    <mergeCell ref="T28:V29"/>
    <mergeCell ref="AL28:AN29"/>
    <mergeCell ref="AF36:AG37"/>
    <mergeCell ref="AH36:AI37"/>
    <mergeCell ref="AH32:AI33"/>
    <mergeCell ref="AJ34:AK35"/>
    <mergeCell ref="AJ36:AK37"/>
    <mergeCell ref="AH34:AI35"/>
    <mergeCell ref="AL36:AN37"/>
    <mergeCell ref="AJ32:AK33"/>
    <mergeCell ref="B46:B47"/>
    <mergeCell ref="B44:B45"/>
    <mergeCell ref="B42:B43"/>
    <mergeCell ref="B40:B41"/>
    <mergeCell ref="B38:B39"/>
    <mergeCell ref="B36:B37"/>
    <mergeCell ref="B34:B35"/>
    <mergeCell ref="B32:B33"/>
    <mergeCell ref="H36:M37"/>
    <mergeCell ref="H32:M33"/>
    <mergeCell ref="H34:M35"/>
    <mergeCell ref="B30:B31"/>
    <mergeCell ref="B28:B29"/>
    <mergeCell ref="B26:B27"/>
    <mergeCell ref="B20:B21"/>
    <mergeCell ref="H24:M25"/>
    <mergeCell ref="H22:M23"/>
    <mergeCell ref="B24:B25"/>
    <mergeCell ref="B22:B23"/>
    <mergeCell ref="H26:M27"/>
    <mergeCell ref="H20:M21"/>
    <mergeCell ref="H30:M31"/>
    <mergeCell ref="C30:G31"/>
    <mergeCell ref="F1:I3"/>
    <mergeCell ref="J1:M3"/>
    <mergeCell ref="AL1:AO3"/>
    <mergeCell ref="J9:M11"/>
    <mergeCell ref="N9:Q11"/>
    <mergeCell ref="R9:U11"/>
    <mergeCell ref="V9:Y11"/>
    <mergeCell ref="Z9:AC11"/>
    <mergeCell ref="AD9:AG11"/>
    <mergeCell ref="N1:T3"/>
    <mergeCell ref="U1:AK3"/>
    <mergeCell ref="AS5:AW6"/>
    <mergeCell ref="AS7:AW7"/>
    <mergeCell ref="AS8:AW8"/>
    <mergeCell ref="T12:W13"/>
    <mergeCell ref="X12:AA13"/>
    <mergeCell ref="AB12:AE13"/>
    <mergeCell ref="AM13:AU14"/>
    <mergeCell ref="AO16:AQ17"/>
    <mergeCell ref="AC16:AE17"/>
    <mergeCell ref="T16:V17"/>
    <mergeCell ref="W16:AB17"/>
    <mergeCell ref="AH16:AK16"/>
    <mergeCell ref="AC28:AE29"/>
    <mergeCell ref="T20:V21"/>
    <mergeCell ref="T22:V23"/>
    <mergeCell ref="T24:V25"/>
    <mergeCell ref="AT1:AW3"/>
    <mergeCell ref="AO34:AQ35"/>
    <mergeCell ref="AR28:AU29"/>
    <mergeCell ref="AR20:AU21"/>
    <mergeCell ref="AR22:AU23"/>
    <mergeCell ref="AL24:AN25"/>
    <mergeCell ref="AO24:AQ25"/>
    <mergeCell ref="AR24:AU25"/>
    <mergeCell ref="AL26:AN27"/>
    <mergeCell ref="AR30:AU31"/>
    <mergeCell ref="AR34:AU35"/>
    <mergeCell ref="AL34:AN35"/>
    <mergeCell ref="AL32:AN33"/>
    <mergeCell ref="AO32:AQ33"/>
    <mergeCell ref="AR16:AU17"/>
    <mergeCell ref="AO18:AQ19"/>
    <mergeCell ref="AR18:AU19"/>
    <mergeCell ref="AL16:AN17"/>
    <mergeCell ref="AL20:AN21"/>
    <mergeCell ref="AP1:AS3"/>
    <mergeCell ref="BZ16:BZ17"/>
    <mergeCell ref="CA16:CA17"/>
    <mergeCell ref="CB16:CB17"/>
    <mergeCell ref="CC16:CC17"/>
    <mergeCell ref="BE16:BF16"/>
    <mergeCell ref="BD16:BD17"/>
    <mergeCell ref="BL16:BL17"/>
    <mergeCell ref="BM16:BM17"/>
    <mergeCell ref="BQ16:BQ17"/>
    <mergeCell ref="BS16:BS17"/>
    <mergeCell ref="BX16:BX17"/>
    <mergeCell ref="BH16:BH17"/>
    <mergeCell ref="BI16:BI17"/>
    <mergeCell ref="BT16:BT17"/>
    <mergeCell ref="BW16:BW17"/>
    <mergeCell ref="BU16:BU17"/>
    <mergeCell ref="BY16:BY17"/>
    <mergeCell ref="BK16:BK17"/>
    <mergeCell ref="BN16:BN17"/>
    <mergeCell ref="BO16:BO17"/>
    <mergeCell ref="BZ18:BZ19"/>
    <mergeCell ref="CA18:CA19"/>
    <mergeCell ref="CB18:CB19"/>
    <mergeCell ref="CC18:CC19"/>
    <mergeCell ref="BD20:BD21"/>
    <mergeCell ref="BE20:BE21"/>
    <mergeCell ref="BH20:BH21"/>
    <mergeCell ref="BI20:BI21"/>
    <mergeCell ref="BL20:BL21"/>
    <mergeCell ref="BM20:BM21"/>
    <mergeCell ref="BQ20:BQ21"/>
    <mergeCell ref="BS20:BS21"/>
    <mergeCell ref="BX20:BX21"/>
    <mergeCell ref="BZ20:BZ21"/>
    <mergeCell ref="CA20:CA21"/>
    <mergeCell ref="CB20:CB21"/>
    <mergeCell ref="CC20:CC21"/>
    <mergeCell ref="BH18:BH19"/>
    <mergeCell ref="BI18:BI19"/>
    <mergeCell ref="BQ18:BQ19"/>
    <mergeCell ref="BD18:BD19"/>
    <mergeCell ref="BE18:BE19"/>
    <mergeCell ref="BL18:BL19"/>
    <mergeCell ref="BM18:BM19"/>
    <mergeCell ref="CC22:CC23"/>
    <mergeCell ref="BD24:BD25"/>
    <mergeCell ref="BE24:BE25"/>
    <mergeCell ref="BH24:BH25"/>
    <mergeCell ref="BI24:BI25"/>
    <mergeCell ref="BL24:BL25"/>
    <mergeCell ref="BM24:BM25"/>
    <mergeCell ref="BQ24:BQ25"/>
    <mergeCell ref="BS24:BS25"/>
    <mergeCell ref="BX24:BX25"/>
    <mergeCell ref="BZ24:BZ25"/>
    <mergeCell ref="CA24:CA25"/>
    <mergeCell ref="CB24:CB25"/>
    <mergeCell ref="CC24:CC25"/>
    <mergeCell ref="BD22:BD23"/>
    <mergeCell ref="BE22:BE23"/>
    <mergeCell ref="BH22:BH23"/>
    <mergeCell ref="BI22:BI23"/>
    <mergeCell ref="BL22:BL23"/>
    <mergeCell ref="BM22:BM23"/>
    <mergeCell ref="BQ22:BQ23"/>
    <mergeCell ref="BS22:BS23"/>
    <mergeCell ref="BX22:BX23"/>
    <mergeCell ref="BN22:BN23"/>
    <mergeCell ref="BZ22:BZ23"/>
    <mergeCell ref="CA22:CA23"/>
    <mergeCell ref="CB22:CB23"/>
    <mergeCell ref="BO22:BO23"/>
    <mergeCell ref="BR22:BR23"/>
    <mergeCell ref="BV22:BV23"/>
    <mergeCell ref="BT22:BT23"/>
    <mergeCell ref="BW22:BW23"/>
    <mergeCell ref="BU22:BU23"/>
    <mergeCell ref="BY22:BY23"/>
    <mergeCell ref="BK22:BK23"/>
    <mergeCell ref="BP22:BP23"/>
    <mergeCell ref="BT24:BT25"/>
    <mergeCell ref="BW24:BW25"/>
    <mergeCell ref="BU24:BU25"/>
    <mergeCell ref="BY24:BY25"/>
    <mergeCell ref="BK24:BK25"/>
    <mergeCell ref="BN24:BN25"/>
    <mergeCell ref="BM30:BM31"/>
    <mergeCell ref="BQ30:BQ31"/>
    <mergeCell ref="BS30:BS31"/>
    <mergeCell ref="BX30:BX31"/>
    <mergeCell ref="BR26:BR27"/>
    <mergeCell ref="BV26:BV27"/>
    <mergeCell ref="BT26:BT27"/>
    <mergeCell ref="BW26:BW27"/>
    <mergeCell ref="BU26:BU27"/>
    <mergeCell ref="BY26:BY27"/>
    <mergeCell ref="BK26:BK27"/>
    <mergeCell ref="BP26:BP27"/>
    <mergeCell ref="BR24:BR25"/>
    <mergeCell ref="BV24:BV25"/>
    <mergeCell ref="BN26:BN27"/>
    <mergeCell ref="BO26:BO27"/>
    <mergeCell ref="BZ26:BZ27"/>
    <mergeCell ref="CA26:CA27"/>
    <mergeCell ref="CB26:CB27"/>
    <mergeCell ref="CC26:CC27"/>
    <mergeCell ref="BD28:BD29"/>
    <mergeCell ref="BE28:BE29"/>
    <mergeCell ref="BH28:BH29"/>
    <mergeCell ref="BI28:BI29"/>
    <mergeCell ref="BL28:BL29"/>
    <mergeCell ref="BM28:BM29"/>
    <mergeCell ref="BQ28:BQ29"/>
    <mergeCell ref="BS28:BS29"/>
    <mergeCell ref="BX28:BX29"/>
    <mergeCell ref="BZ28:BZ29"/>
    <mergeCell ref="CA28:CA29"/>
    <mergeCell ref="CB28:CB29"/>
    <mergeCell ref="CC28:CC29"/>
    <mergeCell ref="BD26:BD27"/>
    <mergeCell ref="BE26:BE27"/>
    <mergeCell ref="BH26:BH27"/>
    <mergeCell ref="BL26:BL27"/>
    <mergeCell ref="BM26:BM27"/>
    <mergeCell ref="BQ26:BQ27"/>
    <mergeCell ref="BS26:BS27"/>
    <mergeCell ref="BZ30:BZ31"/>
    <mergeCell ref="CA30:CA31"/>
    <mergeCell ref="CB30:CB31"/>
    <mergeCell ref="CC30:CC31"/>
    <mergeCell ref="BD32:BD33"/>
    <mergeCell ref="BE32:BE33"/>
    <mergeCell ref="BH32:BH33"/>
    <mergeCell ref="BI32:BI33"/>
    <mergeCell ref="BL32:BL33"/>
    <mergeCell ref="BM32:BM33"/>
    <mergeCell ref="BQ32:BQ33"/>
    <mergeCell ref="BS32:BS33"/>
    <mergeCell ref="BX32:BX33"/>
    <mergeCell ref="BZ32:BZ33"/>
    <mergeCell ref="CA32:CA33"/>
    <mergeCell ref="CB32:CB33"/>
    <mergeCell ref="CC32:CC33"/>
    <mergeCell ref="BD30:BD31"/>
    <mergeCell ref="BE30:BE31"/>
    <mergeCell ref="BH30:BH31"/>
    <mergeCell ref="BI30:BI31"/>
    <mergeCell ref="BL30:BL31"/>
    <mergeCell ref="BR30:BR31"/>
    <mergeCell ref="BV30:BV31"/>
    <mergeCell ref="BZ34:BZ35"/>
    <mergeCell ref="CA34:CA35"/>
    <mergeCell ref="CB34:CB35"/>
    <mergeCell ref="CC34:CC35"/>
    <mergeCell ref="BD36:BD37"/>
    <mergeCell ref="BE36:BE37"/>
    <mergeCell ref="BH36:BH37"/>
    <mergeCell ref="BI36:BI37"/>
    <mergeCell ref="BL36:BL37"/>
    <mergeCell ref="BM36:BM37"/>
    <mergeCell ref="BQ36:BQ37"/>
    <mergeCell ref="BS36:BS37"/>
    <mergeCell ref="BX36:BX37"/>
    <mergeCell ref="BZ36:BZ37"/>
    <mergeCell ref="CA36:CA37"/>
    <mergeCell ref="CB36:CB37"/>
    <mergeCell ref="CC36:CC37"/>
    <mergeCell ref="BD34:BD35"/>
    <mergeCell ref="BE34:BE35"/>
    <mergeCell ref="BH34:BH35"/>
    <mergeCell ref="BI34:BI35"/>
    <mergeCell ref="BL34:BL35"/>
    <mergeCell ref="BM34:BM35"/>
    <mergeCell ref="BQ34:BQ35"/>
  </mergeCells>
  <conditionalFormatting sqref="N18 T18 W18 AC18 H18:M19 AF18:AK37 H20:N20 T20 W20 AC20 H21:M37 N22 T22 W22 AC22 N24 T24 W24 AC24 N26 T26 W26 AC26 N28 T28 W28 AC28 N30 T30 W30 AC30 N32 T32 W32 AC32 N34 T34 W34 AC34 N36 T36 W36 AC36">
    <cfRule type="expression" dxfId="73" priority="1433">
      <formula>AND(ISBLANK($C18)=FALSE,OR(ISBLANK(H18)=TRUE,H18=""))</formula>
    </cfRule>
  </conditionalFormatting>
  <conditionalFormatting sqref="AR18:AU37">
    <cfRule type="expression" dxfId="72" priority="1445" stopIfTrue="1">
      <formula>ISNUMBER($AR18)=FALSE</formula>
    </cfRule>
    <cfRule type="expression" dxfId="71" priority="1446">
      <formula>$AR18 &lt;&gt; $BR18</formula>
    </cfRule>
  </conditionalFormatting>
  <conditionalFormatting sqref="AS8:AW8">
    <cfRule type="expression" dxfId="70" priority="16">
      <formula>IF($AS$8=PROJSTATMEASURE,FALSE,TRUE)</formula>
    </cfRule>
  </conditionalFormatting>
  <dataValidations count="7">
    <dataValidation type="decimal" allowBlank="1" showInputMessage="1" showErrorMessage="1" promptTitle="Incremental Cost" prompt="This is the difference between actual cost of installed Equipment and the cost of the hypothetical baseline." sqref="AH18:AI37" xr:uid="{35E44F95-D7A6-4E6D-9907-11F3ED7E7D47}">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37"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73F890A-D923-44EE-85AF-EC9C882B0E4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3A1DB3D2-2B83-47A2-A76F-4725BE1A1C1C}">
      <formula1>IF($H18="",CUSTOMPROJECTTYPE,"")</formula1>
    </dataValidation>
    <dataValidation type="list" allowBlank="1" showInputMessage="1" showErrorMessage="1" sqref="H18:M37" xr:uid="{70A19DEB-0709-46D5-8638-41575DAC7DC1}">
      <formula1>CMECOMPAIRDESC</formula1>
    </dataValidation>
    <dataValidation type="whole" operator="greaterThanOrEqual" allowBlank="1" showInputMessage="1" showErrorMessage="1" errorTitle="Invalid Entry" error="Value must be a whole number." sqref="T18:V37 AC18:AE37" xr:uid="{A99A8503-EE3D-4233-9B2D-DD9938665201}">
      <formula1>0</formula1>
    </dataValidation>
    <dataValidation type="list" allowBlank="1" showInputMessage="1" showErrorMessage="1" sqref="BC18:BC37" xr:uid="{AE1CAF51-5868-4FA9-8C2F-2A0EC2F718EB}">
      <formula1>ENDUSECAT</formula1>
    </dataValidation>
  </dataValidations>
  <hyperlinks>
    <hyperlink ref="B202" r:id="rId1" display="businessrebates@evergy.com" xr:uid="{49246C66-B1F3-4A2B-B59C-BAF852CCC120}"/>
    <hyperlink ref="J1:M3" location="'M01-S02'!J1" tooltip="Instructions" display="'M01-S02'!J1" xr:uid="{2B410951-AE18-4985-ADAA-0E7242D1B23A}"/>
    <hyperlink ref="AP1:AS3" location="'M05-S05'!AL1" tooltip=" " display="'M05-S05'!AL1" xr:uid="{3C3BDA09-FE8F-4EF1-A2B7-DD372EE5B704}"/>
    <hyperlink ref="AL1:AO3" location="'M05-S04'!AH1" tooltip=" " display="'M05-S04'!AH1" xr:uid="{EFB80CC3-694D-42A8-B82B-8214AD94D8C6}"/>
    <hyperlink ref="AT1:AW3" location="'M01-S03'!AP1" tooltip="Contact" display="'M01-S03'!AP1" xr:uid="{3E4E8242-A85D-45F3-8E6D-4FD2BDD5E0D6}"/>
    <hyperlink ref="N9:Q11" location="'M04-S03'!A1" tooltip="Lighting Controls" display="'M04-S03'!A1" xr:uid="{D91B9DA7-8A02-42DE-A7B2-4E82683281AA}"/>
    <hyperlink ref="R9:U11" location="'M04-S04'!A1" tooltip="Refrigeration" display="'M04-S04'!A1" xr:uid="{9456C0D1-8F0D-41F1-A3E4-D0AD202F191B}"/>
    <hyperlink ref="V9:Y11" location="'M04-S05'!A1" tooltip="HVAC" display="'M04-S05'!A1" xr:uid="{BCABE93C-DCB8-440F-9711-F40F041F293D}"/>
    <hyperlink ref="AD9:AG11" location="'M04-S06'!A1" tooltip="Compressed Air / Process" display="'M04-S06'!A1" xr:uid="{36A4A238-620B-4345-A559-345150592891}"/>
    <hyperlink ref="AH9:AK11" location="'M04-S07'!A1" tooltip="Water Heating / Cooking" display="'M04-S07'!A1" xr:uid="{A4638878-B163-42FE-8736-1CE7ECDD409D}"/>
    <hyperlink ref="Z9:AC11" location="'M04-S08'!A1" tooltip="Motors and Drives" display="'M04-S08'!A1" xr:uid="{FCDBAE8F-8804-43E4-89A1-853964B1F27E}"/>
    <hyperlink ref="AL9:AO11" location="'M04-S09'!A1" tooltip="Miscellaneous" display="'M04-S09'!A1" xr:uid="{CB38CF3E-312C-455E-89D5-54D32693B6E4}"/>
    <hyperlink ref="J9:M11" location="'M04-S02'!A1" tooltip="Lighting" display="'M04-S02'!A1" xr:uid="{89774CD5-E681-4197-8305-8655CF44438B}"/>
  </hyperlinks>
  <printOptions horizontalCentered="1"/>
  <pageMargins left="0" right="0" top="0" bottom="0" header="0" footer="0"/>
  <pageSetup scale="43"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8" tint="0.59999389629810485"/>
    <pageSetUpPr fitToPage="1"/>
  </sheetPr>
  <dimension ref="A1:CW210"/>
  <sheetViews>
    <sheetView showGridLines="0" showRowColHeaders="0" zoomScale="85" zoomScaleNormal="85" workbookViewId="0">
      <selection activeCell="BJ18" sqref="BJ18:BJ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4"/>
      <c r="G5" s="374"/>
      <c r="H5" s="374"/>
      <c r="I5" s="374"/>
      <c r="AS5" s="988">
        <f ca="1">PROGRESSSTATUS</f>
        <v>0</v>
      </c>
      <c r="AT5" s="988"/>
      <c r="AU5" s="988"/>
      <c r="AV5" s="988"/>
      <c r="AW5" s="988"/>
      <c r="AX5" s="17"/>
      <c r="AY5" s="108" t="s">
        <v>933</v>
      </c>
      <c r="AZ5" s="108" t="s">
        <v>325</v>
      </c>
      <c r="BA5" s="45"/>
      <c r="BB5" s="45"/>
    </row>
    <row r="6" spans="1:81" ht="15.95" customHeight="1">
      <c r="A6" s="692"/>
      <c r="B6" s="692"/>
      <c r="C6" s="692"/>
      <c r="D6" s="692"/>
      <c r="E6" s="692"/>
      <c r="F6" s="374"/>
      <c r="G6" s="374"/>
      <c r="H6" s="374"/>
      <c r="I6" s="374"/>
      <c r="AS6" s="988"/>
      <c r="AT6" s="988"/>
      <c r="AU6" s="988"/>
      <c r="AV6" s="988"/>
      <c r="AW6" s="988"/>
      <c r="AX6" s="107" t="s">
        <v>938</v>
      </c>
      <c r="AY6" s="106" t="str">
        <f>CBPRESE</f>
        <v>NA</v>
      </c>
      <c r="AZ6" s="165" t="str">
        <f>PAYPRESE</f>
        <v>NA</v>
      </c>
      <c r="BA6" s="45"/>
      <c r="BB6" s="45"/>
    </row>
    <row r="7" spans="1:81" ht="15.95" customHeight="1">
      <c r="A7" s="662" t="s">
        <v>83</v>
      </c>
      <c r="B7" s="662"/>
      <c r="C7" s="662"/>
      <c r="D7" s="662"/>
      <c r="E7" s="662"/>
      <c r="F7" s="75"/>
      <c r="G7" s="75"/>
      <c r="H7" s="75"/>
      <c r="I7" s="75"/>
      <c r="AS7" s="662" t="s">
        <v>299</v>
      </c>
      <c r="AT7" s="662"/>
      <c r="AU7" s="662"/>
      <c r="AV7" s="662"/>
      <c r="AW7" s="662"/>
      <c r="AX7" s="107" t="s">
        <v>135</v>
      </c>
      <c r="AY7" s="106" t="str">
        <f>CBCUSE</f>
        <v>NA</v>
      </c>
      <c r="AZ7" s="165" t="str">
        <f>PAYCUSE</f>
        <v>NA</v>
      </c>
      <c r="BA7" s="45"/>
      <c r="BB7" s="45"/>
    </row>
    <row r="8" spans="1:81" ht="15.95" customHeight="1" thickBot="1">
      <c r="A8" s="665"/>
      <c r="B8" s="665"/>
      <c r="C8" s="665"/>
      <c r="D8" s="665"/>
      <c r="E8" s="665"/>
      <c r="F8" s="373"/>
      <c r="G8" s="373"/>
      <c r="H8" s="373"/>
      <c r="I8" s="75"/>
      <c r="AS8" s="661" t="str">
        <f ca="1">PROJSTATUS</f>
        <v>Enter Measures</v>
      </c>
      <c r="AT8" s="661"/>
      <c r="AU8" s="661"/>
      <c r="AV8" s="661"/>
      <c r="AW8" s="661"/>
      <c r="AX8" s="107" t="s">
        <v>596</v>
      </c>
      <c r="AY8" s="106" t="str">
        <f>CBALL</f>
        <v>NA</v>
      </c>
      <c r="AZ8" s="165" t="str">
        <f>PAYALL</f>
        <v>NA</v>
      </c>
      <c r="BA8" s="45"/>
      <c r="BB8" s="45"/>
    </row>
    <row r="9" spans="1:81" s="78" customFormat="1" ht="15.95" customHeight="1">
      <c r="B9" s="99"/>
      <c r="C9" s="99"/>
      <c r="D9" s="99"/>
      <c r="E9" s="99"/>
      <c r="F9" s="99"/>
      <c r="G9" s="99"/>
      <c r="H9" s="100"/>
      <c r="I9" s="100"/>
      <c r="J9" s="829" t="str">
        <f>M3S2</f>
        <v>Lighting</v>
      </c>
      <c r="K9" s="830"/>
      <c r="L9" s="830"/>
      <c r="M9" s="830"/>
      <c r="N9" s="829" t="str">
        <f>M3S3</f>
        <v>Lighting Controls</v>
      </c>
      <c r="O9" s="830"/>
      <c r="P9" s="830"/>
      <c r="Q9" s="830"/>
      <c r="R9" s="829" t="str">
        <f>M3S4</f>
        <v>Refrigeration</v>
      </c>
      <c r="S9" s="830"/>
      <c r="T9" s="830"/>
      <c r="U9" s="830"/>
      <c r="V9" s="829" t="str">
        <f>M3S5</f>
        <v>HVAC</v>
      </c>
      <c r="W9" s="830"/>
      <c r="X9" s="830"/>
      <c r="Y9" s="830"/>
      <c r="Z9" s="829" t="str">
        <f>M4S8</f>
        <v>Motors and Drives</v>
      </c>
      <c r="AA9" s="830"/>
      <c r="AB9" s="830"/>
      <c r="AC9" s="830"/>
      <c r="AD9" s="829" t="str">
        <f>M3S6</f>
        <v>Compressed Air / Process</v>
      </c>
      <c r="AE9" s="830"/>
      <c r="AF9" s="830"/>
      <c r="AG9" s="830"/>
      <c r="AH9" s="842" t="str">
        <f>M3S7</f>
        <v>Water Heating / Food Services</v>
      </c>
      <c r="AI9" s="842"/>
      <c r="AJ9" s="842"/>
      <c r="AK9" s="842"/>
      <c r="AL9" s="829" t="str">
        <f>M4S9</f>
        <v>Miscellaneous</v>
      </c>
      <c r="AM9" s="830"/>
      <c r="AN9" s="830"/>
      <c r="AO9" s="830"/>
      <c r="AP9" s="101"/>
      <c r="AQ9" s="101"/>
      <c r="AR9" s="101"/>
      <c r="AS9" s="101"/>
      <c r="AT9"/>
      <c r="AU9" s="99"/>
      <c r="AV9" s="99"/>
    </row>
    <row r="10" spans="1:81" s="78" customFormat="1" ht="15.95" customHeight="1">
      <c r="B10" s="79"/>
      <c r="C10" s="79"/>
      <c r="D10" s="79"/>
      <c r="E10" s="79"/>
      <c r="F10" s="79"/>
      <c r="G10" s="79"/>
      <c r="J10" s="831"/>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843"/>
      <c r="AI10" s="843"/>
      <c r="AJ10" s="843"/>
      <c r="AK10" s="843"/>
      <c r="AL10" s="831"/>
      <c r="AM10" s="831"/>
      <c r="AN10" s="831"/>
      <c r="AO10" s="831"/>
      <c r="AP10"/>
      <c r="AQ10"/>
      <c r="AR10"/>
      <c r="AS10"/>
      <c r="AT10"/>
      <c r="AU10" s="79"/>
      <c r="AV10" s="79"/>
    </row>
    <row r="11" spans="1:81" ht="15.95" customHeight="1">
      <c r="B11" s="96"/>
      <c r="C11" s="96"/>
      <c r="D11" s="96"/>
      <c r="E11" s="96"/>
      <c r="F11" s="96"/>
      <c r="G11" s="96"/>
      <c r="J11" s="831"/>
      <c r="K11" s="831"/>
      <c r="L11" s="831"/>
      <c r="M11" s="831"/>
      <c r="N11" s="831"/>
      <c r="O11" s="831"/>
      <c r="P11" s="831"/>
      <c r="Q11" s="831"/>
      <c r="R11" s="831"/>
      <c r="S11" s="831"/>
      <c r="T11" s="831"/>
      <c r="U11" s="831"/>
      <c r="V11" s="831"/>
      <c r="W11" s="831"/>
      <c r="X11" s="831"/>
      <c r="Y11" s="831"/>
      <c r="Z11" s="831"/>
      <c r="AA11" s="831"/>
      <c r="AB11" s="831"/>
      <c r="AC11" s="831"/>
      <c r="AD11" s="831"/>
      <c r="AE11" s="831"/>
      <c r="AF11" s="831"/>
      <c r="AG11" s="831"/>
      <c r="AH11" s="843"/>
      <c r="AI11" s="843"/>
      <c r="AJ11" s="843"/>
      <c r="AK11" s="843"/>
      <c r="AL11" s="831"/>
      <c r="AM11" s="831"/>
      <c r="AN11" s="831"/>
      <c r="AO11" s="831"/>
      <c r="AU11" s="96"/>
      <c r="AV11" s="96"/>
    </row>
    <row r="12" spans="1:81" ht="15.95" customHeight="1">
      <c r="A12" s="76"/>
      <c r="B12" s="76"/>
      <c r="C12" s="76"/>
      <c r="D12" s="76"/>
      <c r="E12" s="76"/>
      <c r="F12" s="76"/>
      <c r="G12" s="76"/>
      <c r="T12" s="837">
        <f>SUM(AR18:AU184)</f>
        <v>0</v>
      </c>
      <c r="U12" s="837"/>
      <c r="V12" s="837"/>
      <c r="W12" s="837"/>
      <c r="X12" s="837">
        <f ca="1">SUMIF(AR18:AU184,"&gt;0",AL18:AN184)</f>
        <v>0</v>
      </c>
      <c r="Y12" s="837"/>
      <c r="Z12" s="837"/>
      <c r="AA12" s="837"/>
      <c r="AB12" s="836">
        <f ca="1">SUMIF(AR18:AU184,"&gt;0",AO18:AQ184)</f>
        <v>0</v>
      </c>
      <c r="AC12" s="836"/>
      <c r="AD12" s="836"/>
      <c r="AE12" s="836"/>
    </row>
    <row r="13" spans="1:81" ht="15.95" customHeight="1">
      <c r="A13" s="76"/>
      <c r="B13" s="76"/>
      <c r="C13" s="76"/>
      <c r="D13" s="76"/>
      <c r="T13" s="837"/>
      <c r="U13" s="837"/>
      <c r="V13" s="837"/>
      <c r="W13" s="837"/>
      <c r="X13" s="837"/>
      <c r="Y13" s="837"/>
      <c r="Z13" s="837"/>
      <c r="AA13" s="837"/>
      <c r="AB13" s="836"/>
      <c r="AC13" s="836"/>
      <c r="AD13" s="836"/>
      <c r="AE13" s="836"/>
      <c r="AM13" s="839" t="str">
        <f>IF(OR(IFERROR(MATCH("75% Total Cost",BU18, 0), FALSE), IFERROR(MATCH("100% Incremental Cost",BU18,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BD14" s="542" t="s">
        <v>2112</v>
      </c>
      <c r="BE14" s="542" t="s">
        <v>2112</v>
      </c>
      <c r="BL14" s="542" t="s">
        <v>2112</v>
      </c>
      <c r="BO14" s="51" t="s">
        <v>3048</v>
      </c>
      <c r="BX14" s="542" t="s">
        <v>2112</v>
      </c>
    </row>
    <row r="15" spans="1:81" ht="15.95" customHeight="1"/>
    <row r="16" spans="1:81" ht="15.95" customHeight="1">
      <c r="B16" s="17"/>
      <c r="C16" s="832" t="s">
        <v>927</v>
      </c>
      <c r="D16" s="832"/>
      <c r="E16" s="832"/>
      <c r="F16" s="832"/>
      <c r="G16" s="832"/>
      <c r="H16" s="832" t="s">
        <v>859</v>
      </c>
      <c r="I16" s="832"/>
      <c r="J16" s="832"/>
      <c r="K16" s="832"/>
      <c r="L16" s="832"/>
      <c r="M16" s="832"/>
      <c r="N16" s="832" t="s">
        <v>928</v>
      </c>
      <c r="O16" s="832"/>
      <c r="P16" s="832"/>
      <c r="Q16" s="832"/>
      <c r="R16" s="832"/>
      <c r="S16" s="832"/>
      <c r="T16" s="832" t="s">
        <v>1851</v>
      </c>
      <c r="U16" s="832"/>
      <c r="V16" s="832"/>
      <c r="W16" s="832" t="s">
        <v>929</v>
      </c>
      <c r="X16" s="832"/>
      <c r="Y16" s="832"/>
      <c r="Z16" s="832"/>
      <c r="AA16" s="832"/>
      <c r="AB16" s="832"/>
      <c r="AC16" s="832" t="s">
        <v>1852</v>
      </c>
      <c r="AD16" s="832"/>
      <c r="AE16" s="832"/>
      <c r="AF16" s="832" t="s">
        <v>930</v>
      </c>
      <c r="AG16" s="832"/>
      <c r="AH16" s="860" t="s">
        <v>876</v>
      </c>
      <c r="AI16" s="860"/>
      <c r="AJ16" s="860"/>
      <c r="AK16" s="860"/>
      <c r="AL16" s="832" t="s">
        <v>923</v>
      </c>
      <c r="AM16" s="832"/>
      <c r="AN16" s="832"/>
      <c r="AO16" s="832" t="s">
        <v>735</v>
      </c>
      <c r="AP16" s="832"/>
      <c r="AQ16" s="832"/>
      <c r="AR16" s="832" t="s">
        <v>83</v>
      </c>
      <c r="AS16" s="832"/>
      <c r="AT16" s="832"/>
      <c r="AU16" s="832"/>
      <c r="AV16" s="59"/>
      <c r="AW16" s="59"/>
      <c r="AX16" s="779" t="s">
        <v>743</v>
      </c>
      <c r="AY16" s="779" t="s">
        <v>1985</v>
      </c>
      <c r="AZ16" s="779" t="s">
        <v>942</v>
      </c>
      <c r="BA16" s="779" t="s">
        <v>635</v>
      </c>
      <c r="BB16" s="779" t="s">
        <v>875</v>
      </c>
      <c r="BC16" s="779" t="s">
        <v>924</v>
      </c>
      <c r="BD16" s="781" t="s">
        <v>1701</v>
      </c>
      <c r="BE16" s="783" t="s">
        <v>874</v>
      </c>
      <c r="BF16" s="783"/>
      <c r="BG16" s="779" t="s">
        <v>926</v>
      </c>
      <c r="BH16" s="600"/>
      <c r="BI16" s="600"/>
      <c r="BJ16" s="779" t="s">
        <v>88</v>
      </c>
      <c r="BK16" s="781" t="s">
        <v>1619</v>
      </c>
      <c r="BL16" s="783" t="s">
        <v>876</v>
      </c>
      <c r="BM16" s="783"/>
      <c r="BN16" s="779" t="s">
        <v>132</v>
      </c>
      <c r="BO16" s="779" t="s">
        <v>325</v>
      </c>
      <c r="BP16" s="781" t="s">
        <v>1833</v>
      </c>
      <c r="BQ16" s="600"/>
      <c r="BR16" s="781" t="s">
        <v>1614</v>
      </c>
      <c r="BS16" s="783"/>
      <c r="BT16" s="779"/>
      <c r="BU16" s="779" t="s">
        <v>925</v>
      </c>
      <c r="BV16" s="781" t="s">
        <v>691</v>
      </c>
      <c r="BW16" s="779" t="s">
        <v>85</v>
      </c>
      <c r="BX16" s="783" t="s">
        <v>840</v>
      </c>
      <c r="BY16" s="779" t="s">
        <v>309</v>
      </c>
      <c r="BZ16" s="755"/>
      <c r="CA16" s="755"/>
      <c r="CB16" s="755"/>
      <c r="CC16" s="755"/>
    </row>
    <row r="17" spans="1:81" ht="15.95" customHeight="1" thickBot="1">
      <c r="B17" s="17"/>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t="s">
        <v>862</v>
      </c>
      <c r="AI17" s="833"/>
      <c r="AJ17" s="833" t="s">
        <v>863</v>
      </c>
      <c r="AK17" s="833"/>
      <c r="AL17" s="833"/>
      <c r="AM17" s="833"/>
      <c r="AN17" s="833"/>
      <c r="AO17" s="833"/>
      <c r="AP17" s="833"/>
      <c r="AQ17" s="833"/>
      <c r="AR17" s="833"/>
      <c r="AS17" s="833"/>
      <c r="AT17" s="833"/>
      <c r="AU17" s="833"/>
      <c r="AV17" s="37"/>
      <c r="AW17" s="37"/>
      <c r="AX17" s="780"/>
      <c r="AY17" s="780"/>
      <c r="AZ17" s="780"/>
      <c r="BA17" s="780"/>
      <c r="BB17" s="780"/>
      <c r="BC17" s="780"/>
      <c r="BD17" s="782"/>
      <c r="BE17" s="540" t="s">
        <v>871</v>
      </c>
      <c r="BF17" s="541" t="s">
        <v>872</v>
      </c>
      <c r="BG17" s="780"/>
      <c r="BH17" s="1097"/>
      <c r="BI17" s="1097"/>
      <c r="BJ17" s="780"/>
      <c r="BK17" s="782"/>
      <c r="BL17" s="784"/>
      <c r="BM17" s="784"/>
      <c r="BN17" s="780"/>
      <c r="BO17" s="780"/>
      <c r="BP17" s="782"/>
      <c r="BQ17" s="1097"/>
      <c r="BR17" s="782"/>
      <c r="BS17" s="784"/>
      <c r="BT17" s="780"/>
      <c r="BU17" s="780"/>
      <c r="BV17" s="782"/>
      <c r="BW17" s="780"/>
      <c r="BX17" s="784"/>
      <c r="BY17" s="780"/>
      <c r="BZ17" s="756"/>
      <c r="CA17" s="756"/>
      <c r="CB17" s="756"/>
      <c r="CC17" s="756"/>
    </row>
    <row r="18" spans="1:81" ht="15.95" customHeight="1">
      <c r="B18" s="785">
        <v>1</v>
      </c>
      <c r="C18" s="1056"/>
      <c r="D18" s="877"/>
      <c r="E18" s="877"/>
      <c r="F18" s="877"/>
      <c r="G18" s="1058"/>
      <c r="H18" s="1050"/>
      <c r="I18" s="1050"/>
      <c r="J18" s="1050"/>
      <c r="K18" s="1050"/>
      <c r="L18" s="1050"/>
      <c r="M18" s="1012"/>
      <c r="N18" s="1124"/>
      <c r="O18" s="877"/>
      <c r="P18" s="877"/>
      <c r="Q18" s="877"/>
      <c r="R18" s="877"/>
      <c r="S18" s="1058"/>
      <c r="T18" s="1141"/>
      <c r="U18" s="1142"/>
      <c r="V18" s="1143"/>
      <c r="W18" s="1124"/>
      <c r="X18" s="877"/>
      <c r="Y18" s="877"/>
      <c r="Z18" s="877"/>
      <c r="AA18" s="877"/>
      <c r="AB18" s="1058"/>
      <c r="AC18" s="1141"/>
      <c r="AD18" s="1142"/>
      <c r="AE18" s="1143"/>
      <c r="AF18" s="1135" t="str">
        <f>IFERROR(IF($C18="", "", IF(OR($C18 = "Retrofit existing", $C18 = "Replace in-life equip."), "Total", "Incremental")), "")</f>
        <v/>
      </c>
      <c r="AG18" s="1136"/>
      <c r="AH18" s="993"/>
      <c r="AI18" s="993"/>
      <c r="AJ18" s="1083" t="str">
        <f>IF(AF18="Incremental",0,"")</f>
        <v/>
      </c>
      <c r="AK18" s="1084"/>
      <c r="AL18" s="1030" t="str">
        <f>IF(OR(C18="",H18="",N18="",T18="",W18="",AC18="",AF18="",AH18="",AJ18=""),"",ROUND(AH18+AJ18,2))</f>
        <v/>
      </c>
      <c r="AM18" s="1031"/>
      <c r="AN18" s="1031"/>
      <c r="AO18" s="1036" t="str">
        <f>IF(OR(C18="",H18="",N18="",T18="",W18="",AC18="",AF18="",AH18="",AJ18=""),"",IF(BA18-BB18&lt;=0,0,ROUND(BA18-BB18,4)))</f>
        <v/>
      </c>
      <c r="AP18" s="1036"/>
      <c r="AQ18" s="1036"/>
      <c r="AR18" s="1000" t="str">
        <f>IF(OR(C18="",H18="",N18="",T18="",W18="",AC18="",AF18="",AH18="",AJ18=""),"",
IF(BY18&lt;&gt;"",BY18,IF(BP18&gt;0,BP18,
IF(AF18="Incremental",
IF(ACTIVEBLOCK="Yes",ROUND(MIN(AL18*INCCOSTCAP,AO18*BLOCKBIDRATE),2),
ROUND(MIN(AL18*INCCOSTCAP,BR18),2)),
IF(ACTIVEBLOCK="Yes",ROUND(MIN(AL18*TOTCOSTCAP,AO18*BLOCKBIDRATE),2),
ROUND(MIN(AL18*TOTCOSTCAP,BR18),2))))))</f>
        <v/>
      </c>
      <c r="AS18" s="1000"/>
      <c r="AT18" s="1000"/>
      <c r="AU18" s="1000"/>
      <c r="AV18" s="37"/>
      <c r="AW18" s="37"/>
      <c r="AX18" s="773" t="str">
        <f>IF(OR(C18="",H18=""),"",INDEX(CMECOOK[Unit of Measure],MATCH(H18,CMECOOK[Proj Desc 1],0)))</f>
        <v/>
      </c>
      <c r="AY18" s="759" t="str">
        <f>IF(AO18&lt;&gt;"","Missing!","")</f>
        <v/>
      </c>
      <c r="AZ18" s="759" t="str">
        <f>IF(AO18&lt;&gt;"","Missing!","")</f>
        <v/>
      </c>
      <c r="BA18" s="771" t="str">
        <f>IF(OR(C18="",H18="",N18="",T18="",W18="",AC18="",AF18="",AH18="",AJ18=""),"",ROUND(T18,4))</f>
        <v/>
      </c>
      <c r="BB18" s="771" t="str">
        <f>IF(OR(C18="",H18="",N18="",T18="",W18="",AC18="",AF18="",AH18="",AJ18=""),"",ROUND(AC18,4))</f>
        <v/>
      </c>
      <c r="BC18" s="773" t="str">
        <f>IF(OR(C18="",H18=""),"",IF(INDEX(CMECOOK[End Use Category],MATCH(H18,CMECOOK[Proj Desc 1],0))="","",INDEX(CMECOOK[End Use Category],MATCH(H18,CMECOOK[Proj Desc 1],0))))</f>
        <v/>
      </c>
      <c r="BD18" s="757" t="str">
        <f>IF(BE18&lt;&gt;"", "Calculated", "")</f>
        <v/>
      </c>
      <c r="BE18" s="775" t="str">
        <f>IF(AND(BA18&lt;&gt;"", BB18&lt;&gt;""), ROUND(BA18-BB18,4), "")</f>
        <v/>
      </c>
      <c r="BF18" s="1098"/>
      <c r="BG18" s="775" t="str">
        <f>IFERROR(IF(OR(C18="",H18="",N18="",T18="",W18="",AC18="",AF18="",AH18="",AJ18=""),"",ROUND(AO18*INDEX(ENDUSEALL[Factor],MATCH(BC18,ENDUSEALL[End Use to Coincident Peak Demand Factors],0)),4)),"")</f>
        <v/>
      </c>
      <c r="BH18" s="761"/>
      <c r="BI18" s="761"/>
      <c r="BJ18" s="777" t="str">
        <f>IF(OR(C18="",H18=""),"",IF(INDEX(CMECOOK[EUL],MATCH(H18,CMECOOK[Proj Desc 1],0))="","",INDEX(CMECOOK[EUL],MATCH(H18,CMECOOK[Proj Desc 1],0))))</f>
        <v/>
      </c>
      <c r="BK18" s="767" t="str">
        <f>IFERROR(IF(OR(C18="",H18="",N18="",T18="",W18="",AC18="",AF18="",AH18="",AJ18=""),"",
ROUND(((1+ELOSS)*((AO18*INDEX(ELECCB[NPV AEC $/kWh],MATCH(BJ18,ELECCB[Year Number],1)))+(BG18*INDEX(ELECCB[NPV ACC $/kW],MATCH(BJ18,ELECCB[Year Number],1))))),2)),0)</f>
        <v/>
      </c>
      <c r="BL18" s="767" t="str">
        <f t="shared" ref="BL18:BL36" si="0">IF(OR(AH18="", AJ18=""), "", AH18+AJ18)</f>
        <v/>
      </c>
      <c r="BM18" s="765"/>
      <c r="BN18" s="763" t="str">
        <f t="shared" ref="BN18:BN36" si="1">IFERROR( BK18 / IF(BM18 &lt;&gt; "", BM18, BL18), "")</f>
        <v/>
      </c>
      <c r="BO18" s="763" t="str">
        <f>IFERROR(IF(BM18 &lt;&gt; "", BM18, BL18) / M02S04F06 / AO18, "")</f>
        <v/>
      </c>
      <c r="BP18" s="769"/>
      <c r="BQ18" s="765"/>
      <c r="BR18" s="767" t="str">
        <f>IFERROR(ROUND(AO18*BV18,2),"")</f>
        <v/>
      </c>
      <c r="BS18" s="765"/>
      <c r="BT18" s="765"/>
      <c r="BU18" s="757"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67"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57" t="str">
        <f>IF(OR(C18="",H18="",N18="",T18="",W18="",AC18="",AF18="",AH18="",AJ18=""),"",IF(BY18&lt;&gt;"",SPILLOVERNUMBER,INDEX(CMECOOK[Measure Number],MATCH(H18,CMECOOK[Proj Desc 1],0))))</f>
        <v/>
      </c>
      <c r="BX18" s="757" t="str" cm="1">
        <f t="array" ref="BX18">IFERROR(INDEX(_xlfn.SWITCH(Program_Banner,"Business Energy Savings",ENDUSEALL[Primary Key WBE],"Small Business / Non-Profit",ENDUSEALL[Primary Key HTRB],0),MATCH(BC18,ENDUSEALL[End Use to Coincident Peak Demand Factors],0)),"")</f>
        <v/>
      </c>
      <c r="BY18" s="757"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53"/>
      <c r="CA18" s="753"/>
      <c r="CB18" s="753"/>
      <c r="CC18" s="753"/>
    </row>
    <row r="19" spans="1:81" ht="15.95" customHeight="1">
      <c r="B19" s="785"/>
      <c r="C19" s="1012"/>
      <c r="D19" s="1013"/>
      <c r="E19" s="1013"/>
      <c r="F19" s="1013"/>
      <c r="G19" s="1014"/>
      <c r="H19" s="1002"/>
      <c r="I19" s="1002"/>
      <c r="J19" s="1002"/>
      <c r="K19" s="1002"/>
      <c r="L19" s="1002"/>
      <c r="M19" s="1003"/>
      <c r="N19" s="1041"/>
      <c r="O19" s="1013"/>
      <c r="P19" s="1013"/>
      <c r="Q19" s="1013"/>
      <c r="R19" s="1013"/>
      <c r="S19" s="1014"/>
      <c r="T19" s="1034"/>
      <c r="U19" s="1139"/>
      <c r="V19" s="1140"/>
      <c r="W19" s="1041"/>
      <c r="X19" s="1013"/>
      <c r="Y19" s="1013"/>
      <c r="Z19" s="1013"/>
      <c r="AA19" s="1013"/>
      <c r="AB19" s="1014"/>
      <c r="AC19" s="1034"/>
      <c r="AD19" s="1139"/>
      <c r="AE19" s="1140"/>
      <c r="AF19" s="1135"/>
      <c r="AG19" s="1136"/>
      <c r="AH19" s="993"/>
      <c r="AI19" s="993"/>
      <c r="AJ19" s="1083"/>
      <c r="AK19" s="1084"/>
      <c r="AL19" s="1006"/>
      <c r="AM19" s="1007"/>
      <c r="AN19" s="1007"/>
      <c r="AO19" s="1037"/>
      <c r="AP19" s="1037"/>
      <c r="AQ19" s="1037"/>
      <c r="AR19" s="1001"/>
      <c r="AS19" s="1001"/>
      <c r="AT19" s="1001"/>
      <c r="AU19" s="1001"/>
      <c r="AV19" s="37"/>
      <c r="AW19" s="37"/>
      <c r="AX19" s="774"/>
      <c r="AY19" s="760"/>
      <c r="AZ19" s="760"/>
      <c r="BA19" s="772"/>
      <c r="BB19" s="772"/>
      <c r="BC19" s="774"/>
      <c r="BD19" s="758"/>
      <c r="BE19" s="776"/>
      <c r="BF19" s="1099"/>
      <c r="BG19" s="776"/>
      <c r="BH19" s="762"/>
      <c r="BI19" s="762"/>
      <c r="BJ19" s="778"/>
      <c r="BK19" s="768"/>
      <c r="BL19" s="768"/>
      <c r="BM19" s="766"/>
      <c r="BN19" s="764"/>
      <c r="BO19" s="764"/>
      <c r="BP19" s="770"/>
      <c r="BQ19" s="766"/>
      <c r="BR19" s="768"/>
      <c r="BS19" s="766"/>
      <c r="BT19" s="766"/>
      <c r="BU19" s="758"/>
      <c r="BV19" s="768"/>
      <c r="BW19" s="758"/>
      <c r="BX19" s="758"/>
      <c r="BY19" s="758"/>
      <c r="BZ19" s="754"/>
      <c r="CA19" s="754"/>
      <c r="CB19" s="754"/>
      <c r="CC19" s="754"/>
    </row>
    <row r="20" spans="1:81" ht="15.95" customHeight="1">
      <c r="A20" s="75"/>
      <c r="B20" s="785">
        <v>2</v>
      </c>
      <c r="C20" s="1009"/>
      <c r="D20" s="1010"/>
      <c r="E20" s="1010"/>
      <c r="F20" s="1010"/>
      <c r="G20" s="1011"/>
      <c r="H20" s="1002"/>
      <c r="I20" s="1002"/>
      <c r="J20" s="1002"/>
      <c r="K20" s="1002"/>
      <c r="L20" s="1002"/>
      <c r="M20" s="1003"/>
      <c r="N20" s="1040"/>
      <c r="O20" s="1010"/>
      <c r="P20" s="1010"/>
      <c r="Q20" s="1010"/>
      <c r="R20" s="1010"/>
      <c r="S20" s="1011"/>
      <c r="T20" s="1032"/>
      <c r="U20" s="1137"/>
      <c r="V20" s="1138"/>
      <c r="W20" s="1040"/>
      <c r="X20" s="1010"/>
      <c r="Y20" s="1010"/>
      <c r="Z20" s="1010"/>
      <c r="AA20" s="1010"/>
      <c r="AB20" s="1011"/>
      <c r="AC20" s="1032"/>
      <c r="AD20" s="1137"/>
      <c r="AE20" s="1138"/>
      <c r="AF20" s="1135" t="str">
        <f>IFERROR(IF($C20="", "", IF(OR($C20 = "Retrofit existing", $C20 = "Replace in-life equip."), "Total", "Incremental")), "")</f>
        <v/>
      </c>
      <c r="AG20" s="1136"/>
      <c r="AH20" s="993"/>
      <c r="AI20" s="993"/>
      <c r="AJ20" s="1083" t="str">
        <f>IF(AF20="Incremental",0,"")</f>
        <v/>
      </c>
      <c r="AK20" s="1084"/>
      <c r="AL20" s="1030" t="str">
        <f>IF(OR(C20="",H20="",N20="",T20="",W20="",AC20="",AF20="",AH20="",AJ20=""),"",ROUND(AH20+AJ20,2))</f>
        <v/>
      </c>
      <c r="AM20" s="1031"/>
      <c r="AN20" s="1031"/>
      <c r="AO20" s="1036" t="str">
        <f>IF(OR(C20="",H20="",N20="",T20="",W20="",AC20="",AF20="",AH20="",AJ20=""),"",IF(BA20-BB20&lt;=0,0,ROUND(BA20-BB20,4)))</f>
        <v/>
      </c>
      <c r="AP20" s="1036"/>
      <c r="AQ20" s="1036"/>
      <c r="AR20" s="1072" t="str">
        <f>IF(OR(C20="",H20="",N20="",T20="",W20="",AC20="",AF20="",AH20="",AJ20=""),"",
IF(BY20&lt;&gt;"",BY20,IF(BP20&gt;0,BP20,
IF(AF20="Incremental",
IF(ACTIVEBLOCK="Yes",ROUND(MIN(AL20*INCCOSTCAP,AO20*BLOCKBIDRATE),2),
ROUND(MIN(AL20*INCCOSTCAP,BR20),2)),
IF(ACTIVEBLOCK="Yes",ROUND(MIN(AL20*TOTCOSTCAP,AO20*BLOCKBIDRATE),2),
ROUND(MIN(AL20*TOTCOSTCAP,BR20),2))))))</f>
        <v/>
      </c>
      <c r="AS20" s="1073"/>
      <c r="AT20" s="1073"/>
      <c r="AU20" s="1074"/>
      <c r="AV20" s="37"/>
      <c r="AW20" s="37"/>
      <c r="AX20" s="773" t="str">
        <f>IF(OR(C20="",H20=""),"",INDEX(CMECOOK[Unit of Measure],MATCH(H20,CMECOOK[Proj Desc 1],0)))</f>
        <v/>
      </c>
      <c r="AY20" s="759" t="str">
        <f t="shared" ref="AY20" si="2">IF(AO20&lt;&gt;"","Missing!","")</f>
        <v/>
      </c>
      <c r="AZ20" s="759" t="str">
        <f t="shared" ref="AZ20" si="3">IF(AO20&lt;&gt;"","Missing!","")</f>
        <v/>
      </c>
      <c r="BA20" s="771" t="str">
        <f t="shared" ref="BA20" si="4">IF(OR(C20="",H20="",N20="",T20="",W20="",AC20="",AF20="",AH20="",AJ20=""),"",ROUND(T20,4))</f>
        <v/>
      </c>
      <c r="BB20" s="771" t="str">
        <f t="shared" ref="BB20" si="5">IF(OR(C20="",H20="",N20="",T20="",W20="",AC20="",AF20="",AH20="",AJ20=""),"",ROUND(AC20,4))</f>
        <v/>
      </c>
      <c r="BC20" s="773" t="str">
        <f>IF(OR(C20="",H20=""),"",IF(INDEX(CMECOOK[End Use Category],MATCH(H20,CMECOOK[Proj Desc 1],0))="","",INDEX(CMECOOK[End Use Category],MATCH(H20,CMECOOK[Proj Desc 1],0))))</f>
        <v/>
      </c>
      <c r="BD20" s="757" t="str">
        <f t="shared" ref="BD20" si="6">IF(BE20&lt;&gt;"", "Calculated", "")</f>
        <v/>
      </c>
      <c r="BE20" s="775" t="str">
        <f t="shared" ref="BE20" si="7">IF(AND(BA20&lt;&gt;"", BB20&lt;&gt;""), ROUND(BA20-BB20,4), "")</f>
        <v/>
      </c>
      <c r="BF20" s="1098"/>
      <c r="BG20" s="775" t="str">
        <f>IFERROR(IF(OR(C20="",H20="",N20="",T20="",W20="",AC20="",AF20="",AH20="",AJ20=""),"",ROUND(AO20*INDEX(ENDUSEALL[Factor],MATCH(BC20,ENDUSEALL[End Use to Coincident Peak Demand Factors],0)),4)),"")</f>
        <v/>
      </c>
      <c r="BH20" s="761"/>
      <c r="BI20" s="761"/>
      <c r="BJ20" s="777" t="str">
        <f>IF(OR(C20="",H20=""),"",IF(INDEX(CMECOOK[EUL],MATCH(H20,CMECOOK[Proj Desc 1],0))="","",INDEX(CMECOOK[EUL],MATCH(H20,CMECOOK[Proj Desc 1],0))))</f>
        <v/>
      </c>
      <c r="BK20" s="767" t="str">
        <f>IFERROR(IF(OR(C20="",H20="",N20="",T20="",W20="",AC20="",AF20="",AH20="",AJ20=""),"",
ROUND(((1+ELOSS)*((AO20*INDEX(ELECCB[NPV AEC $/kWh],MATCH(BJ20,ELECCB[Year Number],1)))+(BG20*INDEX(ELECCB[NPV ACC $/kW],MATCH(BJ20,ELECCB[Year Number],1))))),2)),0)</f>
        <v/>
      </c>
      <c r="BL20" s="767" t="str">
        <f t="shared" si="0"/>
        <v/>
      </c>
      <c r="BM20" s="765"/>
      <c r="BN20" s="763" t="str">
        <f t="shared" si="1"/>
        <v/>
      </c>
      <c r="BO20" s="763" t="str">
        <f>IFERROR(IF(BM20 &lt;&gt; "", BM20, BL20) / M02S04F06 / AO20, "")</f>
        <v/>
      </c>
      <c r="BP20" s="769"/>
      <c r="BQ20" s="765"/>
      <c r="BR20" s="767" t="str">
        <f t="shared" ref="BR20" si="8">IFERROR(ROUND(AO20*BV20,2),"")</f>
        <v/>
      </c>
      <c r="BS20" s="765"/>
      <c r="BT20" s="765"/>
      <c r="BU20" s="757"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67"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57" t="str">
        <f>IF(OR(C20="",H20="",N20="",T20="",W20="",AC20="",AF20="",AH20="",AJ20=""),"",IF(BY20&lt;&gt;"",SPILLOVERNUMBER,INDEX(CMECOOK[Measure Number],MATCH(H20,CMECOOK[Proj Desc 1],0))))</f>
        <v/>
      </c>
      <c r="BX20" s="757" t="str" cm="1">
        <f t="array" ref="BX20">IFERROR(INDEX(_xlfn.SWITCH(Program_Banner,"Business Energy Savings",ENDUSEALL[Primary Key WBE],"Small Business / Non-Profit",ENDUSEALL[Primary Key HTRB],0),MATCH(BC20,ENDUSEALL[End Use to Coincident Peak Demand Factors],0)),"")</f>
        <v/>
      </c>
      <c r="BY20" s="757"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53"/>
      <c r="CA20" s="753"/>
      <c r="CB20" s="753"/>
      <c r="CC20" s="753"/>
    </row>
    <row r="21" spans="1:81" ht="15.95" customHeight="1">
      <c r="B21" s="785"/>
      <c r="C21" s="1012"/>
      <c r="D21" s="1013"/>
      <c r="E21" s="1013"/>
      <c r="F21" s="1013"/>
      <c r="G21" s="1014"/>
      <c r="H21" s="1002"/>
      <c r="I21" s="1002"/>
      <c r="J21" s="1002"/>
      <c r="K21" s="1002"/>
      <c r="L21" s="1002"/>
      <c r="M21" s="1003"/>
      <c r="N21" s="1041"/>
      <c r="O21" s="1013"/>
      <c r="P21" s="1013"/>
      <c r="Q21" s="1013"/>
      <c r="R21" s="1013"/>
      <c r="S21" s="1014"/>
      <c r="T21" s="1034"/>
      <c r="U21" s="1139"/>
      <c r="V21" s="1140"/>
      <c r="W21" s="1041"/>
      <c r="X21" s="1013"/>
      <c r="Y21" s="1013"/>
      <c r="Z21" s="1013"/>
      <c r="AA21" s="1013"/>
      <c r="AB21" s="1014"/>
      <c r="AC21" s="1034"/>
      <c r="AD21" s="1139"/>
      <c r="AE21" s="1140"/>
      <c r="AF21" s="1135"/>
      <c r="AG21" s="1136"/>
      <c r="AH21" s="993"/>
      <c r="AI21" s="993"/>
      <c r="AJ21" s="1083"/>
      <c r="AK21" s="1084"/>
      <c r="AL21" s="1006"/>
      <c r="AM21" s="1007"/>
      <c r="AN21" s="1007"/>
      <c r="AO21" s="1037"/>
      <c r="AP21" s="1037"/>
      <c r="AQ21" s="1037"/>
      <c r="AR21" s="1075"/>
      <c r="AS21" s="1076"/>
      <c r="AT21" s="1076"/>
      <c r="AU21" s="1077"/>
      <c r="AV21" s="37"/>
      <c r="AW21" s="37"/>
      <c r="AX21" s="774"/>
      <c r="AY21" s="760"/>
      <c r="AZ21" s="760"/>
      <c r="BA21" s="772"/>
      <c r="BB21" s="772"/>
      <c r="BC21" s="774"/>
      <c r="BD21" s="758"/>
      <c r="BE21" s="776"/>
      <c r="BF21" s="1099"/>
      <c r="BG21" s="776"/>
      <c r="BH21" s="762"/>
      <c r="BI21" s="762"/>
      <c r="BJ21" s="778"/>
      <c r="BK21" s="768"/>
      <c r="BL21" s="768"/>
      <c r="BM21" s="766"/>
      <c r="BN21" s="764"/>
      <c r="BO21" s="764"/>
      <c r="BP21" s="770"/>
      <c r="BQ21" s="766"/>
      <c r="BR21" s="768"/>
      <c r="BS21" s="766"/>
      <c r="BT21" s="766"/>
      <c r="BU21" s="758"/>
      <c r="BV21" s="768"/>
      <c r="BW21" s="758"/>
      <c r="BX21" s="758"/>
      <c r="BY21" s="758"/>
      <c r="BZ21" s="754"/>
      <c r="CA21" s="754"/>
      <c r="CB21" s="754"/>
      <c r="CC21" s="754"/>
    </row>
    <row r="22" spans="1:81" s="17" customFormat="1" ht="15.95" customHeight="1">
      <c r="A22" s="109"/>
      <c r="B22" s="785">
        <v>3</v>
      </c>
      <c r="C22" s="1009"/>
      <c r="D22" s="1010"/>
      <c r="E22" s="1010"/>
      <c r="F22" s="1010"/>
      <c r="G22" s="1011"/>
      <c r="H22" s="1002"/>
      <c r="I22" s="1002"/>
      <c r="J22" s="1002"/>
      <c r="K22" s="1002"/>
      <c r="L22" s="1002"/>
      <c r="M22" s="1003"/>
      <c r="N22" s="1040"/>
      <c r="O22" s="1010"/>
      <c r="P22" s="1010"/>
      <c r="Q22" s="1010"/>
      <c r="R22" s="1010"/>
      <c r="S22" s="1011"/>
      <c r="T22" s="1032"/>
      <c r="U22" s="1137"/>
      <c r="V22" s="1138"/>
      <c r="W22" s="1040"/>
      <c r="X22" s="1010"/>
      <c r="Y22" s="1010"/>
      <c r="Z22" s="1010"/>
      <c r="AA22" s="1010"/>
      <c r="AB22" s="1011"/>
      <c r="AC22" s="1032"/>
      <c r="AD22" s="1137"/>
      <c r="AE22" s="1138"/>
      <c r="AF22" s="1135" t="str">
        <f>IFERROR(IF($C22="", "", IF(OR($C22 = "Retrofit existing", $C22 = "Replace in-life equip."), "Total", "Incremental")), "")</f>
        <v/>
      </c>
      <c r="AG22" s="1136"/>
      <c r="AH22" s="993"/>
      <c r="AI22" s="993"/>
      <c r="AJ22" s="1083" t="str">
        <f t="shared" ref="AJ22" si="9">IF(AF22="Incremental",0,"")</f>
        <v/>
      </c>
      <c r="AK22" s="1084"/>
      <c r="AL22" s="1030" t="str">
        <f>IF(OR(C22="",H22="",N22="",T22="",W22="",AC22="",AF22="",AH22="",AJ22=""),"",ROUND(AH22+AJ22,2))</f>
        <v/>
      </c>
      <c r="AM22" s="1031"/>
      <c r="AN22" s="1031"/>
      <c r="AO22" s="1036" t="str">
        <f>IF(OR(C22="",H22="",N22="",T22="",W22="",AC22="",AF22="",AH22="",AJ22=""),"",IF(BA22-BB22&lt;=0,0,ROUND(BA22-BB22,4)))</f>
        <v/>
      </c>
      <c r="AP22" s="1036"/>
      <c r="AQ22" s="1036"/>
      <c r="AR22" s="1072" t="str">
        <f>IF(OR(C22="",H22="",N22="",T22="",W22="",AC22="",AF22="",AH22="",AJ22=""),"",
IF(BY22&lt;&gt;"",BY22,IF(BP22&gt;0,BP22,
IF(AF22="Incremental",
IF(ACTIVEBLOCK="Yes",ROUND(MIN(AL22*INCCOSTCAP,AO22*BLOCKBIDRATE),2),
ROUND(MIN(AL22*INCCOSTCAP,BR22),2)),
IF(ACTIVEBLOCK="Yes",ROUND(MIN(AL22*TOTCOSTCAP,AO22*BLOCKBIDRATE),2),
ROUND(MIN(AL22*TOTCOSTCAP,BR22),2))))))</f>
        <v/>
      </c>
      <c r="AS22" s="1073"/>
      <c r="AT22" s="1073"/>
      <c r="AU22" s="1074"/>
      <c r="AV22" s="59"/>
      <c r="AW22" s="59"/>
      <c r="AX22" s="773" t="str">
        <f>IF(OR(C22="",H22=""),"",INDEX(CMECOOK[Unit of Measure],MATCH(H22,CMECOOK[Proj Desc 1],0)))</f>
        <v/>
      </c>
      <c r="AY22" s="759" t="str">
        <f t="shared" ref="AY22" si="10">IF(AO22&lt;&gt;"","Missing!","")</f>
        <v/>
      </c>
      <c r="AZ22" s="759" t="str">
        <f t="shared" ref="AZ22" si="11">IF(AO22&lt;&gt;"","Missing!","")</f>
        <v/>
      </c>
      <c r="BA22" s="771" t="str">
        <f t="shared" ref="BA22" si="12">IF(OR(C22="",H22="",N22="",T22="",W22="",AC22="",AF22="",AH22="",AJ22=""),"",ROUND(T22,4))</f>
        <v/>
      </c>
      <c r="BB22" s="771" t="str">
        <f t="shared" ref="BB22" si="13">IF(OR(C22="",H22="",N22="",T22="",W22="",AC22="",AF22="",AH22="",AJ22=""),"",ROUND(AC22,4))</f>
        <v/>
      </c>
      <c r="BC22" s="773" t="str">
        <f>IF(OR(C22="",H22=""),"",IF(INDEX(CMECOOK[End Use Category],MATCH(H22,CMECOOK[Proj Desc 1],0))="","",INDEX(CMECOOK[End Use Category],MATCH(H22,CMECOOK[Proj Desc 1],0))))</f>
        <v/>
      </c>
      <c r="BD22" s="757" t="str">
        <f t="shared" ref="BD22" si="14">IF(BE22&lt;&gt;"", "Calculated", "")</f>
        <v/>
      </c>
      <c r="BE22" s="775" t="str">
        <f t="shared" ref="BE22" si="15">IF(AND(BA22&lt;&gt;"", BB22&lt;&gt;""), ROUND(BA22-BB22,4), "")</f>
        <v/>
      </c>
      <c r="BF22" s="1098"/>
      <c r="BG22" s="775" t="str">
        <f>IFERROR(IF(OR(C22="",H22="",N22="",T22="",W22="",AC22="",AF22="",AH22="",AJ22=""),"",ROUND(AO22*INDEX(ENDUSEALL[Factor],MATCH(BC22,ENDUSEALL[End Use to Coincident Peak Demand Factors],0)),4)),"")</f>
        <v/>
      </c>
      <c r="BH22" s="761"/>
      <c r="BI22" s="761"/>
      <c r="BJ22" s="777" t="str">
        <f>IF(OR(C22="",H22=""),"",IF(INDEX(CMECOOK[EUL],MATCH(H22,CMECOOK[Proj Desc 1],0))="","",INDEX(CMECOOK[EUL],MATCH(H22,CMECOOK[Proj Desc 1],0))))</f>
        <v/>
      </c>
      <c r="BK22" s="767" t="str">
        <f>IFERROR(IF(OR(C22="",H22="",N22="",T22="",W22="",AC22="",AF22="",AH22="",AJ22=""),"",
ROUND(((1+ELOSS)*((AO22*INDEX(ELECCB[NPV AEC $/kWh],MATCH(BJ22,ELECCB[Year Number],1)))+(BG22*INDEX(ELECCB[NPV ACC $/kW],MATCH(BJ22,ELECCB[Year Number],1))))),2)),0)</f>
        <v/>
      </c>
      <c r="BL22" s="767" t="str">
        <f t="shared" si="0"/>
        <v/>
      </c>
      <c r="BM22" s="765"/>
      <c r="BN22" s="763" t="str">
        <f t="shared" si="1"/>
        <v/>
      </c>
      <c r="BO22" s="763" t="str">
        <f>IFERROR(IF(BM22 &lt;&gt; "", BM22, BL22) / M02S04F06 / AO22, "")</f>
        <v/>
      </c>
      <c r="BP22" s="769"/>
      <c r="BQ22" s="765"/>
      <c r="BR22" s="767" t="str">
        <f t="shared" ref="BR22" si="16">IFERROR(ROUND(AO22*BV22,2),"")</f>
        <v/>
      </c>
      <c r="BS22" s="765"/>
      <c r="BT22" s="765"/>
      <c r="BU22" s="757"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67"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57" t="str">
        <f>IF(OR(C22="",H22="",N22="",T22="",W22="",AC22="",AF22="",AH22="",AJ22=""),"",IF(BY22&lt;&gt;"",SPILLOVERNUMBER,INDEX(CMECOOK[Measure Number],MATCH(H22,CMECOOK[Proj Desc 1],0))))</f>
        <v/>
      </c>
      <c r="BX22" s="757" t="str" cm="1">
        <f t="array" ref="BX22">IFERROR(INDEX(_xlfn.SWITCH(Program_Banner,"Business Energy Savings",ENDUSEALL[Primary Key WBE],"Small Business / Non-Profit",ENDUSEALL[Primary Key HTRB],0),MATCH(BC22,ENDUSEALL[End Use to Coincident Peak Demand Factors],0)),"")</f>
        <v/>
      </c>
      <c r="BY22" s="757"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53"/>
      <c r="CA22" s="753"/>
      <c r="CB22" s="753"/>
      <c r="CC22" s="753"/>
    </row>
    <row r="23" spans="1:81" s="17" customFormat="1" ht="15.95" customHeight="1">
      <c r="A23" s="109"/>
      <c r="B23" s="785"/>
      <c r="C23" s="1012"/>
      <c r="D23" s="1013"/>
      <c r="E23" s="1013"/>
      <c r="F23" s="1013"/>
      <c r="G23" s="1014"/>
      <c r="H23" s="1002"/>
      <c r="I23" s="1002"/>
      <c r="J23" s="1002"/>
      <c r="K23" s="1002"/>
      <c r="L23" s="1002"/>
      <c r="M23" s="1003"/>
      <c r="N23" s="1041"/>
      <c r="O23" s="1013"/>
      <c r="P23" s="1013"/>
      <c r="Q23" s="1013"/>
      <c r="R23" s="1013"/>
      <c r="S23" s="1014"/>
      <c r="T23" s="1034"/>
      <c r="U23" s="1139"/>
      <c r="V23" s="1140"/>
      <c r="W23" s="1041"/>
      <c r="X23" s="1013"/>
      <c r="Y23" s="1013"/>
      <c r="Z23" s="1013"/>
      <c r="AA23" s="1013"/>
      <c r="AB23" s="1014"/>
      <c r="AC23" s="1034"/>
      <c r="AD23" s="1139"/>
      <c r="AE23" s="1140"/>
      <c r="AF23" s="1135"/>
      <c r="AG23" s="1136"/>
      <c r="AH23" s="993"/>
      <c r="AI23" s="993"/>
      <c r="AJ23" s="1083"/>
      <c r="AK23" s="1084"/>
      <c r="AL23" s="1006"/>
      <c r="AM23" s="1007"/>
      <c r="AN23" s="1007"/>
      <c r="AO23" s="1037"/>
      <c r="AP23" s="1037"/>
      <c r="AQ23" s="1037"/>
      <c r="AR23" s="1075"/>
      <c r="AS23" s="1076"/>
      <c r="AT23" s="1076"/>
      <c r="AU23" s="1077"/>
      <c r="AV23" s="59"/>
      <c r="AW23" s="59"/>
      <c r="AX23" s="774"/>
      <c r="AY23" s="760"/>
      <c r="AZ23" s="760"/>
      <c r="BA23" s="772"/>
      <c r="BB23" s="772"/>
      <c r="BC23" s="774"/>
      <c r="BD23" s="758"/>
      <c r="BE23" s="776"/>
      <c r="BF23" s="1099"/>
      <c r="BG23" s="776"/>
      <c r="BH23" s="762"/>
      <c r="BI23" s="762"/>
      <c r="BJ23" s="778"/>
      <c r="BK23" s="768"/>
      <c r="BL23" s="768"/>
      <c r="BM23" s="766"/>
      <c r="BN23" s="764"/>
      <c r="BO23" s="764"/>
      <c r="BP23" s="770"/>
      <c r="BQ23" s="766"/>
      <c r="BR23" s="768"/>
      <c r="BS23" s="766"/>
      <c r="BT23" s="766"/>
      <c r="BU23" s="758"/>
      <c r="BV23" s="768"/>
      <c r="BW23" s="758"/>
      <c r="BX23" s="758"/>
      <c r="BY23" s="758"/>
      <c r="BZ23" s="754"/>
      <c r="CA23" s="754"/>
      <c r="CB23" s="754"/>
      <c r="CC23" s="754"/>
    </row>
    <row r="24" spans="1:81" ht="15.95" customHeight="1">
      <c r="B24" s="785">
        <v>4</v>
      </c>
      <c r="C24" s="1009"/>
      <c r="D24" s="1010"/>
      <c r="E24" s="1010"/>
      <c r="F24" s="1010"/>
      <c r="G24" s="1011"/>
      <c r="H24" s="1002"/>
      <c r="I24" s="1002"/>
      <c r="J24" s="1002"/>
      <c r="K24" s="1002"/>
      <c r="L24" s="1002"/>
      <c r="M24" s="1003"/>
      <c r="N24" s="1040"/>
      <c r="O24" s="1010"/>
      <c r="P24" s="1010"/>
      <c r="Q24" s="1010"/>
      <c r="R24" s="1010"/>
      <c r="S24" s="1011"/>
      <c r="T24" s="1032"/>
      <c r="U24" s="1137"/>
      <c r="V24" s="1138"/>
      <c r="W24" s="1040"/>
      <c r="X24" s="1010"/>
      <c r="Y24" s="1010"/>
      <c r="Z24" s="1010"/>
      <c r="AA24" s="1010"/>
      <c r="AB24" s="1011"/>
      <c r="AC24" s="1032"/>
      <c r="AD24" s="1137"/>
      <c r="AE24" s="1138"/>
      <c r="AF24" s="1135" t="str">
        <f>IFERROR(IF($C24="", "", IF(OR($C24 = "Retrofit existing", $C24 = "Replace in-life equip."), "Total", "Incremental")), "")</f>
        <v/>
      </c>
      <c r="AG24" s="1136"/>
      <c r="AH24" s="993"/>
      <c r="AI24" s="993"/>
      <c r="AJ24" s="1083" t="str">
        <f t="shared" ref="AJ24" si="17">IF(AF24="Incremental",0,"")</f>
        <v/>
      </c>
      <c r="AK24" s="1084"/>
      <c r="AL24" s="1030" t="str">
        <f>IF(OR(C24="",H24="",N24="",T24="",W24="",AC24="",AF24="",AH24="",AJ24=""),"",ROUND(AH24+AJ24,2))</f>
        <v/>
      </c>
      <c r="AM24" s="1031"/>
      <c r="AN24" s="1031"/>
      <c r="AO24" s="1036" t="str">
        <f>IF(OR(C24="",H24="",N24="",T24="",W24="",AC24="",AF24="",AH24="",AJ24=""),"",IF(BA24-BB24&lt;=0,0,ROUND(BA24-BB24,4)))</f>
        <v/>
      </c>
      <c r="AP24" s="1036"/>
      <c r="AQ24" s="1036"/>
      <c r="AR24" s="1072" t="str">
        <f>IF(OR(C24="",H24="",N24="",T24="",W24="",AC24="",AF24="",AH24="",AJ24=""),"",
IF(BY24&lt;&gt;"",BY24,IF(BP24&gt;0,BP24,
IF(AF24="Incremental",
IF(ACTIVEBLOCK="Yes",ROUND(MIN(AL24*INCCOSTCAP,AO24*BLOCKBIDRATE),2),
ROUND(MIN(AL24*INCCOSTCAP,BR24),2)),
IF(ACTIVEBLOCK="Yes",ROUND(MIN(AL24*TOTCOSTCAP,AO24*BLOCKBIDRATE),2),
ROUND(MIN(AL24*TOTCOSTCAP,BR24),2))))))</f>
        <v/>
      </c>
      <c r="AS24" s="1073"/>
      <c r="AT24" s="1073"/>
      <c r="AU24" s="1074"/>
      <c r="AV24" s="37"/>
      <c r="AW24" s="37"/>
      <c r="AX24" s="773" t="str">
        <f>IF(OR(C24="",H24=""),"",INDEX(CMECOOK[Unit of Measure],MATCH(H24,CMECOOK[Proj Desc 1],0)))</f>
        <v/>
      </c>
      <c r="AY24" s="759" t="str">
        <f t="shared" ref="AY24" si="18">IF(AO24&lt;&gt;"","Missing!","")</f>
        <v/>
      </c>
      <c r="AZ24" s="759" t="str">
        <f t="shared" ref="AZ24" si="19">IF(AO24&lt;&gt;"","Missing!","")</f>
        <v/>
      </c>
      <c r="BA24" s="771" t="str">
        <f t="shared" ref="BA24" si="20">IF(OR(C24="",H24="",N24="",T24="",W24="",AC24="",AF24="",AH24="",AJ24=""),"",ROUND(T24,4))</f>
        <v/>
      </c>
      <c r="BB24" s="771" t="str">
        <f t="shared" ref="BB24" si="21">IF(OR(C24="",H24="",N24="",T24="",W24="",AC24="",AF24="",AH24="",AJ24=""),"",ROUND(AC24,4))</f>
        <v/>
      </c>
      <c r="BC24" s="773" t="str">
        <f>IF(OR(C24="",H24=""),"",IF(INDEX(CMECOOK[End Use Category],MATCH(H24,CMECOOK[Proj Desc 1],0))="","",INDEX(CMECOOK[End Use Category],MATCH(H24,CMECOOK[Proj Desc 1],0))))</f>
        <v/>
      </c>
      <c r="BD24" s="757" t="str">
        <f t="shared" ref="BD24" si="22">IF(BE24&lt;&gt;"", "Calculated", "")</f>
        <v/>
      </c>
      <c r="BE24" s="775" t="str">
        <f t="shared" ref="BE24" si="23">IF(AND(BA24&lt;&gt;"", BB24&lt;&gt;""), ROUND(BA24-BB24,4), "")</f>
        <v/>
      </c>
      <c r="BF24" s="1098"/>
      <c r="BG24" s="775" t="str">
        <f>IFERROR(IF(OR(C24="",H24="",N24="",T24="",W24="",AC24="",AF24="",AH24="",AJ24=""),"",ROUND(AO24*INDEX(ENDUSEALL[Factor],MATCH(BC24,ENDUSEALL[End Use to Coincident Peak Demand Factors],0)),4)),"")</f>
        <v/>
      </c>
      <c r="BH24" s="761"/>
      <c r="BI24" s="761"/>
      <c r="BJ24" s="777" t="str">
        <f>IF(OR(C24="",H24=""),"",IF(INDEX(CMECOOK[EUL],MATCH(H24,CMECOOK[Proj Desc 1],0))="","",INDEX(CMECOOK[EUL],MATCH(H24,CMECOOK[Proj Desc 1],0))))</f>
        <v/>
      </c>
      <c r="BK24" s="767" t="str">
        <f>IFERROR(IF(OR(C24="",H24="",N24="",T24="",W24="",AC24="",AF24="",AH24="",AJ24=""),"",
ROUND(((1+ELOSS)*((AO24*INDEX(ELECCB[NPV AEC $/kWh],MATCH(BJ24,ELECCB[Year Number],1)))+(BG24*INDEX(ELECCB[NPV ACC $/kW],MATCH(BJ24,ELECCB[Year Number],1))))),2)),0)</f>
        <v/>
      </c>
      <c r="BL24" s="767" t="str">
        <f t="shared" si="0"/>
        <v/>
      </c>
      <c r="BM24" s="765"/>
      <c r="BN24" s="763" t="str">
        <f t="shared" si="1"/>
        <v/>
      </c>
      <c r="BO24" s="763" t="str">
        <f>IFERROR(IF(BM24 &lt;&gt; "", BM24, BL24) / M02S04F06 / AO24, "")</f>
        <v/>
      </c>
      <c r="BP24" s="769"/>
      <c r="BQ24" s="765"/>
      <c r="BR24" s="767" t="str">
        <f t="shared" ref="BR24" si="24">IFERROR(ROUND(AO24*BV24,2),"")</f>
        <v/>
      </c>
      <c r="BS24" s="765"/>
      <c r="BT24" s="765"/>
      <c r="BU24" s="757"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67"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57" t="str">
        <f>IF(OR(C24="",H24="",N24="",T24="",W24="",AC24="",AF24="",AH24="",AJ24=""),"",IF(BY24&lt;&gt;"",SPILLOVERNUMBER,INDEX(CMECOOK[Measure Number],MATCH(H24,CMECOOK[Proj Desc 1],0))))</f>
        <v/>
      </c>
      <c r="BX24" s="757" t="str" cm="1">
        <f t="array" ref="BX24">IFERROR(INDEX(_xlfn.SWITCH(Program_Banner,"Business Energy Savings",ENDUSEALL[Primary Key WBE],"Small Business / Non-Profit",ENDUSEALL[Primary Key HTRB],0),MATCH(BC24,ENDUSEALL[End Use to Coincident Peak Demand Factors],0)),"")</f>
        <v/>
      </c>
      <c r="BY24" s="757"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53"/>
      <c r="CA24" s="753"/>
      <c r="CB24" s="753"/>
      <c r="CC24" s="753"/>
    </row>
    <row r="25" spans="1:81" ht="15.95" customHeight="1">
      <c r="A25" s="75"/>
      <c r="B25" s="785"/>
      <c r="C25" s="1012"/>
      <c r="D25" s="1013"/>
      <c r="E25" s="1013"/>
      <c r="F25" s="1013"/>
      <c r="G25" s="1014"/>
      <c r="H25" s="1002"/>
      <c r="I25" s="1002"/>
      <c r="J25" s="1002"/>
      <c r="K25" s="1002"/>
      <c r="L25" s="1002"/>
      <c r="M25" s="1003"/>
      <c r="N25" s="1041"/>
      <c r="O25" s="1013"/>
      <c r="P25" s="1013"/>
      <c r="Q25" s="1013"/>
      <c r="R25" s="1013"/>
      <c r="S25" s="1014"/>
      <c r="T25" s="1034"/>
      <c r="U25" s="1139"/>
      <c r="V25" s="1140"/>
      <c r="W25" s="1041"/>
      <c r="X25" s="1013"/>
      <c r="Y25" s="1013"/>
      <c r="Z25" s="1013"/>
      <c r="AA25" s="1013"/>
      <c r="AB25" s="1014"/>
      <c r="AC25" s="1034"/>
      <c r="AD25" s="1139"/>
      <c r="AE25" s="1140"/>
      <c r="AF25" s="1135"/>
      <c r="AG25" s="1136"/>
      <c r="AH25" s="993"/>
      <c r="AI25" s="993"/>
      <c r="AJ25" s="1083"/>
      <c r="AK25" s="1084"/>
      <c r="AL25" s="1006"/>
      <c r="AM25" s="1007"/>
      <c r="AN25" s="1007"/>
      <c r="AO25" s="1037"/>
      <c r="AP25" s="1037"/>
      <c r="AQ25" s="1037"/>
      <c r="AR25" s="1075"/>
      <c r="AS25" s="1076"/>
      <c r="AT25" s="1076"/>
      <c r="AU25" s="1077"/>
      <c r="AV25" s="37"/>
      <c r="AW25" s="37"/>
      <c r="AX25" s="774"/>
      <c r="AY25" s="760"/>
      <c r="AZ25" s="760"/>
      <c r="BA25" s="772"/>
      <c r="BB25" s="772"/>
      <c r="BC25" s="774"/>
      <c r="BD25" s="758"/>
      <c r="BE25" s="776"/>
      <c r="BF25" s="1099"/>
      <c r="BG25" s="776"/>
      <c r="BH25" s="762"/>
      <c r="BI25" s="762"/>
      <c r="BJ25" s="778"/>
      <c r="BK25" s="768"/>
      <c r="BL25" s="768"/>
      <c r="BM25" s="766"/>
      <c r="BN25" s="764"/>
      <c r="BO25" s="764"/>
      <c r="BP25" s="770"/>
      <c r="BQ25" s="766"/>
      <c r="BR25" s="768"/>
      <c r="BS25" s="766"/>
      <c r="BT25" s="766"/>
      <c r="BU25" s="758"/>
      <c r="BV25" s="768"/>
      <c r="BW25" s="758"/>
      <c r="BX25" s="758"/>
      <c r="BY25" s="758"/>
      <c r="BZ25" s="754"/>
      <c r="CA25" s="754"/>
      <c r="CB25" s="754"/>
      <c r="CC25" s="754"/>
    </row>
    <row r="26" spans="1:81" ht="15.95" customHeight="1">
      <c r="B26" s="785">
        <v>5</v>
      </c>
      <c r="C26" s="1009"/>
      <c r="D26" s="1010"/>
      <c r="E26" s="1010"/>
      <c r="F26" s="1010"/>
      <c r="G26" s="1011"/>
      <c r="H26" s="1002"/>
      <c r="I26" s="1002"/>
      <c r="J26" s="1002"/>
      <c r="K26" s="1002"/>
      <c r="L26" s="1002"/>
      <c r="M26" s="1003"/>
      <c r="N26" s="1040"/>
      <c r="O26" s="1010"/>
      <c r="P26" s="1010"/>
      <c r="Q26" s="1010"/>
      <c r="R26" s="1010"/>
      <c r="S26" s="1011"/>
      <c r="T26" s="1032"/>
      <c r="U26" s="1137"/>
      <c r="V26" s="1138"/>
      <c r="W26" s="1040"/>
      <c r="X26" s="1010"/>
      <c r="Y26" s="1010"/>
      <c r="Z26" s="1010"/>
      <c r="AA26" s="1010"/>
      <c r="AB26" s="1011"/>
      <c r="AC26" s="1032"/>
      <c r="AD26" s="1137"/>
      <c r="AE26" s="1138"/>
      <c r="AF26" s="1135" t="str">
        <f>IFERROR(IF($C26="", "", IF(OR($C26 = "Retrofit existing", $C26 = "Replace in-life equip."), "Total", "Incremental")), "")</f>
        <v/>
      </c>
      <c r="AG26" s="1136"/>
      <c r="AH26" s="993"/>
      <c r="AI26" s="993"/>
      <c r="AJ26" s="1083" t="str">
        <f t="shared" ref="AJ26" si="25">IF(AF26="Incremental",0,"")</f>
        <v/>
      </c>
      <c r="AK26" s="1084"/>
      <c r="AL26" s="1030" t="str">
        <f>IF(OR(C26="",H26="",N26="",T26="",W26="",AC26="",AF26="",AH26="",AJ26=""),"",ROUND(AH26+AJ26,2))</f>
        <v/>
      </c>
      <c r="AM26" s="1031"/>
      <c r="AN26" s="1031"/>
      <c r="AO26" s="1036" t="str">
        <f>IF(OR(C26="",H26="",N26="",T26="",W26="",AC26="",AF26="",AH26="",AJ26=""),"",IF(BA26-BB26&lt;=0,0,ROUND(BA26-BB26,4)))</f>
        <v/>
      </c>
      <c r="AP26" s="1036"/>
      <c r="AQ26" s="1036"/>
      <c r="AR26" s="1072" t="str">
        <f>IF(OR(C26="",H26="",N26="",T26="",W26="",AC26="",AF26="",AH26="",AJ26=""),"",
IF(BY26&lt;&gt;"",BY26,IF(BP26&gt;0,BP26,
IF(AF26="Incremental",
IF(ACTIVEBLOCK="Yes",ROUND(MIN(AL26*INCCOSTCAP,AO26*BLOCKBIDRATE),2),
ROUND(MIN(AL26*INCCOSTCAP,BR26),2)),
IF(ACTIVEBLOCK="Yes",ROUND(MIN(AL26*TOTCOSTCAP,AO26*BLOCKBIDRATE),2),
ROUND(MIN(AL26*TOTCOSTCAP,BR26),2))))))</f>
        <v/>
      </c>
      <c r="AS26" s="1073"/>
      <c r="AT26" s="1073"/>
      <c r="AU26" s="1074"/>
      <c r="AV26" s="37"/>
      <c r="AW26" s="37"/>
      <c r="AX26" s="773" t="str">
        <f>IF(OR(C26="",H26=""),"",INDEX(CMECOOK[Unit of Measure],MATCH(H26,CMECOOK[Proj Desc 1],0)))</f>
        <v/>
      </c>
      <c r="AY26" s="759" t="str">
        <f t="shared" ref="AY26" si="26">IF(AO26&lt;&gt;"","Missing!","")</f>
        <v/>
      </c>
      <c r="AZ26" s="759" t="str">
        <f t="shared" ref="AZ26" si="27">IF(AO26&lt;&gt;"","Missing!","")</f>
        <v/>
      </c>
      <c r="BA26" s="771" t="str">
        <f t="shared" ref="BA26" si="28">IF(OR(C26="",H26="",N26="",T26="",W26="",AC26="",AF26="",AH26="",AJ26=""),"",ROUND(T26,4))</f>
        <v/>
      </c>
      <c r="BB26" s="771" t="str">
        <f t="shared" ref="BB26" si="29">IF(OR(C26="",H26="",N26="",T26="",W26="",AC26="",AF26="",AH26="",AJ26=""),"",ROUND(AC26,4))</f>
        <v/>
      </c>
      <c r="BC26" s="773" t="str">
        <f>IF(OR(C26="",H26=""),"",IF(INDEX(CMECOOK[End Use Category],MATCH(H26,CMECOOK[Proj Desc 1],0))="","",INDEX(CMECOOK[End Use Category],MATCH(H26,CMECOOK[Proj Desc 1],0))))</f>
        <v/>
      </c>
      <c r="BD26" s="757" t="str">
        <f t="shared" ref="BD26" si="30">IF(BE26&lt;&gt;"", "Calculated", "")</f>
        <v/>
      </c>
      <c r="BE26" s="775" t="str">
        <f t="shared" ref="BE26" si="31">IF(AND(BA26&lt;&gt;"", BB26&lt;&gt;""), ROUND(BA26-BB26,4), "")</f>
        <v/>
      </c>
      <c r="BF26" s="1098"/>
      <c r="BG26" s="775" t="str">
        <f>IFERROR(IF(OR(C26="",H26="",N26="",T26="",W26="",AC26="",AF26="",AH26="",AJ26=""),"",ROUND(AO26*INDEX(ENDUSEALL[Factor],MATCH(BC26,ENDUSEALL[End Use to Coincident Peak Demand Factors],0)),4)),"")</f>
        <v/>
      </c>
      <c r="BH26" s="761"/>
      <c r="BI26" s="761"/>
      <c r="BJ26" s="777" t="str">
        <f>IF(OR(C26="",H26=""),"",IF(INDEX(CMECOOK[EUL],MATCH(H26,CMECOOK[Proj Desc 1],0))="","",INDEX(CMECOOK[EUL],MATCH(H26,CMECOOK[Proj Desc 1],0))))</f>
        <v/>
      </c>
      <c r="BK26" s="767" t="str">
        <f>IFERROR(IF(OR(C26="",H26="",N26="",T26="",W26="",AC26="",AF26="",AH26="",AJ26=""),"",
ROUND(((1+ELOSS)*((AO26*INDEX(ELECCB[NPV AEC $/kWh],MATCH(BJ26,ELECCB[Year Number],1)))+(BG26*INDEX(ELECCB[NPV ACC $/kW],MATCH(BJ26,ELECCB[Year Number],1))))),2)),0)</f>
        <v/>
      </c>
      <c r="BL26" s="767" t="str">
        <f t="shared" si="0"/>
        <v/>
      </c>
      <c r="BM26" s="765"/>
      <c r="BN26" s="763" t="str">
        <f t="shared" si="1"/>
        <v/>
      </c>
      <c r="BO26" s="763" t="str">
        <f>IFERROR(IF(BM26 &lt;&gt; "", BM26, BL26) / M02S04F06 / AO26, "")</f>
        <v/>
      </c>
      <c r="BP26" s="769"/>
      <c r="BQ26" s="765"/>
      <c r="BR26" s="767" t="str">
        <f t="shared" ref="BR26" si="32">IFERROR(ROUND(AO26*BV26,2),"")</f>
        <v/>
      </c>
      <c r="BS26" s="765"/>
      <c r="BT26" s="765"/>
      <c r="BU26" s="757"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67"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57" t="str">
        <f>IF(OR(C26="",H26="",N26="",T26="",W26="",AC26="",AF26="",AH26="",AJ26=""),"",IF(BY26&lt;&gt;"",SPILLOVERNUMBER,INDEX(CMECOOK[Measure Number],MATCH(H26,CMECOOK[Proj Desc 1],0))))</f>
        <v/>
      </c>
      <c r="BX26" s="757" t="str" cm="1">
        <f t="array" ref="BX26">IFERROR(INDEX(_xlfn.SWITCH(Program_Banner,"Business Energy Savings",ENDUSEALL[Primary Key WBE],"Small Business / Non-Profit",ENDUSEALL[Primary Key HTRB],0),MATCH(BC26,ENDUSEALL[End Use to Coincident Peak Demand Factors],0)),"")</f>
        <v/>
      </c>
      <c r="BY26" s="757"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53"/>
      <c r="CA26" s="753"/>
      <c r="CB26" s="753"/>
      <c r="CC26" s="753"/>
    </row>
    <row r="27" spans="1:81" ht="15.95" customHeight="1">
      <c r="B27" s="785"/>
      <c r="C27" s="1012"/>
      <c r="D27" s="1013"/>
      <c r="E27" s="1013"/>
      <c r="F27" s="1013"/>
      <c r="G27" s="1014"/>
      <c r="H27" s="1002"/>
      <c r="I27" s="1002"/>
      <c r="J27" s="1002"/>
      <c r="K27" s="1002"/>
      <c r="L27" s="1002"/>
      <c r="M27" s="1003"/>
      <c r="N27" s="1041"/>
      <c r="O27" s="1013"/>
      <c r="P27" s="1013"/>
      <c r="Q27" s="1013"/>
      <c r="R27" s="1013"/>
      <c r="S27" s="1014"/>
      <c r="T27" s="1034"/>
      <c r="U27" s="1139"/>
      <c r="V27" s="1140"/>
      <c r="W27" s="1041"/>
      <c r="X27" s="1013"/>
      <c r="Y27" s="1013"/>
      <c r="Z27" s="1013"/>
      <c r="AA27" s="1013"/>
      <c r="AB27" s="1014"/>
      <c r="AC27" s="1034"/>
      <c r="AD27" s="1139"/>
      <c r="AE27" s="1140"/>
      <c r="AF27" s="1135"/>
      <c r="AG27" s="1136"/>
      <c r="AH27" s="993"/>
      <c r="AI27" s="993"/>
      <c r="AJ27" s="1083"/>
      <c r="AK27" s="1084"/>
      <c r="AL27" s="1006"/>
      <c r="AM27" s="1007"/>
      <c r="AN27" s="1007"/>
      <c r="AO27" s="1037"/>
      <c r="AP27" s="1037"/>
      <c r="AQ27" s="1037"/>
      <c r="AR27" s="1075"/>
      <c r="AS27" s="1076"/>
      <c r="AT27" s="1076"/>
      <c r="AU27" s="1077"/>
      <c r="AV27" s="37"/>
      <c r="AW27" s="37"/>
      <c r="AX27" s="774"/>
      <c r="AY27" s="760"/>
      <c r="AZ27" s="760"/>
      <c r="BA27" s="772"/>
      <c r="BB27" s="772"/>
      <c r="BC27" s="774"/>
      <c r="BD27" s="758"/>
      <c r="BE27" s="776"/>
      <c r="BF27" s="1099"/>
      <c r="BG27" s="776"/>
      <c r="BH27" s="762"/>
      <c r="BI27" s="762"/>
      <c r="BJ27" s="778"/>
      <c r="BK27" s="768"/>
      <c r="BL27" s="768"/>
      <c r="BM27" s="766"/>
      <c r="BN27" s="764"/>
      <c r="BO27" s="764"/>
      <c r="BP27" s="770"/>
      <c r="BQ27" s="766"/>
      <c r="BR27" s="768"/>
      <c r="BS27" s="766"/>
      <c r="BT27" s="766"/>
      <c r="BU27" s="758"/>
      <c r="BV27" s="768"/>
      <c r="BW27" s="758"/>
      <c r="BX27" s="758"/>
      <c r="BY27" s="758"/>
      <c r="BZ27" s="754"/>
      <c r="CA27" s="754"/>
      <c r="CB27" s="754"/>
      <c r="CC27" s="754"/>
    </row>
    <row r="28" spans="1:81" ht="15.95" customHeight="1">
      <c r="B28" s="785">
        <v>6</v>
      </c>
      <c r="C28" s="1009"/>
      <c r="D28" s="1010"/>
      <c r="E28" s="1010"/>
      <c r="F28" s="1010"/>
      <c r="G28" s="1011"/>
      <c r="H28" s="1002"/>
      <c r="I28" s="1002"/>
      <c r="J28" s="1002"/>
      <c r="K28" s="1002"/>
      <c r="L28" s="1002"/>
      <c r="M28" s="1003"/>
      <c r="N28" s="1040"/>
      <c r="O28" s="1010"/>
      <c r="P28" s="1010"/>
      <c r="Q28" s="1010"/>
      <c r="R28" s="1010"/>
      <c r="S28" s="1011"/>
      <c r="T28" s="1032"/>
      <c r="U28" s="1137"/>
      <c r="V28" s="1138"/>
      <c r="W28" s="1040"/>
      <c r="X28" s="1010"/>
      <c r="Y28" s="1010"/>
      <c r="Z28" s="1010"/>
      <c r="AA28" s="1010"/>
      <c r="AB28" s="1011"/>
      <c r="AC28" s="1032"/>
      <c r="AD28" s="1137"/>
      <c r="AE28" s="1138"/>
      <c r="AF28" s="1135" t="str">
        <f>IFERROR(IF($C28="", "", IF(OR($C28 = "Retrofit existing", $C28 = "Replace in-life equip."), "Total", "Incremental")), "")</f>
        <v/>
      </c>
      <c r="AG28" s="1136"/>
      <c r="AH28" s="993"/>
      <c r="AI28" s="993"/>
      <c r="AJ28" s="1083" t="str">
        <f t="shared" ref="AJ28" si="33">IF(AF28="Incremental",0,"")</f>
        <v/>
      </c>
      <c r="AK28" s="1084"/>
      <c r="AL28" s="1030" t="str">
        <f>IF(OR(C28="",H28="",N28="",T28="",W28="",AC28="",AF28="",AH28="",AJ28=""),"",ROUND(AH28+AJ28,2))</f>
        <v/>
      </c>
      <c r="AM28" s="1031"/>
      <c r="AN28" s="1031"/>
      <c r="AO28" s="1036" t="str">
        <f>IF(OR(C28="",H28="",N28="",T28="",W28="",AC28="",AF28="",AH28="",AJ28=""),"",IF(BA28-BB28&lt;=0,0,ROUND(BA28-BB28,4)))</f>
        <v/>
      </c>
      <c r="AP28" s="1036"/>
      <c r="AQ28" s="1036"/>
      <c r="AR28" s="1072" t="str">
        <f>IF(OR(C28="",H28="",N28="",T28="",W28="",AC28="",AF28="",AH28="",AJ28=""),"",
IF(BY28&lt;&gt;"",BY28,IF(BP28&gt;0,BP28,
IF(AF28="Incremental",
IF(ACTIVEBLOCK="Yes",ROUND(MIN(AL28*INCCOSTCAP,AO28*BLOCKBIDRATE),2),
ROUND(MIN(AL28*INCCOSTCAP,BR28),2)),
IF(ACTIVEBLOCK="Yes",ROUND(MIN(AL28*TOTCOSTCAP,AO28*BLOCKBIDRATE),2),
ROUND(MIN(AL28*TOTCOSTCAP,BR28),2))))))</f>
        <v/>
      </c>
      <c r="AS28" s="1073"/>
      <c r="AT28" s="1073"/>
      <c r="AU28" s="1074"/>
      <c r="AV28" s="37"/>
      <c r="AW28" s="37"/>
      <c r="AX28" s="773" t="str">
        <f>IF(OR(C28="",H28=""),"",INDEX(CMECOOK[Unit of Measure],MATCH(H28,CMECOOK[Proj Desc 1],0)))</f>
        <v/>
      </c>
      <c r="AY28" s="759" t="str">
        <f t="shared" ref="AY28" si="34">IF(AO28&lt;&gt;"","Missing!","")</f>
        <v/>
      </c>
      <c r="AZ28" s="759" t="str">
        <f t="shared" ref="AZ28" si="35">IF(AO28&lt;&gt;"","Missing!","")</f>
        <v/>
      </c>
      <c r="BA28" s="771" t="str">
        <f t="shared" ref="BA28" si="36">IF(OR(C28="",H28="",N28="",T28="",W28="",AC28="",AF28="",AH28="",AJ28=""),"",ROUND(T28,4))</f>
        <v/>
      </c>
      <c r="BB28" s="771" t="str">
        <f t="shared" ref="BB28" si="37">IF(OR(C28="",H28="",N28="",T28="",W28="",AC28="",AF28="",AH28="",AJ28=""),"",ROUND(AC28,4))</f>
        <v/>
      </c>
      <c r="BC28" s="773" t="str">
        <f>IF(OR(C28="",H28=""),"",IF(INDEX(CMECOOK[End Use Category],MATCH(H28,CMECOOK[Proj Desc 1],0))="","",INDEX(CMECOOK[End Use Category],MATCH(H28,CMECOOK[Proj Desc 1],0))))</f>
        <v/>
      </c>
      <c r="BD28" s="757" t="str">
        <f t="shared" ref="BD28" si="38">IF(BE28&lt;&gt;"", "Calculated", "")</f>
        <v/>
      </c>
      <c r="BE28" s="775" t="str">
        <f t="shared" ref="BE28" si="39">IF(AND(BA28&lt;&gt;"", BB28&lt;&gt;""), ROUND(BA28-BB28,4), "")</f>
        <v/>
      </c>
      <c r="BF28" s="1098"/>
      <c r="BG28" s="775" t="str">
        <f>IFERROR(IF(OR(C28="",H28="",N28="",T28="",W28="",AC28="",AF28="",AH28="",AJ28=""),"",ROUND(AO28*INDEX(ENDUSEALL[Factor],MATCH(BC28,ENDUSEALL[End Use to Coincident Peak Demand Factors],0)),4)),"")</f>
        <v/>
      </c>
      <c r="BH28" s="761"/>
      <c r="BI28" s="761"/>
      <c r="BJ28" s="777" t="str">
        <f>IF(OR(C28="",H28=""),"",IF(INDEX(CMECOOK[EUL],MATCH(H28,CMECOOK[Proj Desc 1],0))="","",INDEX(CMECOOK[EUL],MATCH(H28,CMECOOK[Proj Desc 1],0))))</f>
        <v/>
      </c>
      <c r="BK28" s="767" t="str">
        <f>IFERROR(IF(OR(C28="",H28="",N28="",T28="",W28="",AC28="",AF28="",AH28="",AJ28=""),"",
ROUND(((1+ELOSS)*((AO28*INDEX(ELECCB[NPV AEC $/kWh],MATCH(BJ28,ELECCB[Year Number],1)))+(BG28*INDEX(ELECCB[NPV ACC $/kW],MATCH(BJ28,ELECCB[Year Number],1))))),2)),0)</f>
        <v/>
      </c>
      <c r="BL28" s="767" t="str">
        <f t="shared" si="0"/>
        <v/>
      </c>
      <c r="BM28" s="765"/>
      <c r="BN28" s="763" t="str">
        <f t="shared" si="1"/>
        <v/>
      </c>
      <c r="BO28" s="763" t="str">
        <f>IFERROR(IF(BM28 &lt;&gt; "", BM28, BL28) / M02S04F06 / AO28, "")</f>
        <v/>
      </c>
      <c r="BP28" s="769"/>
      <c r="BQ28" s="765"/>
      <c r="BR28" s="767" t="str">
        <f t="shared" ref="BR28" si="40">IFERROR(ROUND(AO28*BV28,2),"")</f>
        <v/>
      </c>
      <c r="BS28" s="765"/>
      <c r="BT28" s="765"/>
      <c r="BU28" s="757"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67"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57" t="str">
        <f>IF(OR(C28="",H28="",N28="",T28="",W28="",AC28="",AF28="",AH28="",AJ28=""),"",IF(BY28&lt;&gt;"",SPILLOVERNUMBER,INDEX(CMECOOK[Measure Number],MATCH(H28,CMECOOK[Proj Desc 1],0))))</f>
        <v/>
      </c>
      <c r="BX28" s="757" t="str" cm="1">
        <f t="array" ref="BX28">IFERROR(INDEX(_xlfn.SWITCH(Program_Banner,"Business Energy Savings",ENDUSEALL[Primary Key WBE],"Small Business / Non-Profit",ENDUSEALL[Primary Key HTRB],0),MATCH(BC28,ENDUSEALL[End Use to Coincident Peak Demand Factors],0)),"")</f>
        <v/>
      </c>
      <c r="BY28" s="757"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53"/>
      <c r="CA28" s="753"/>
      <c r="CB28" s="753"/>
      <c r="CC28" s="753"/>
    </row>
    <row r="29" spans="1:81" ht="15.95" customHeight="1">
      <c r="B29" s="785"/>
      <c r="C29" s="1012"/>
      <c r="D29" s="1013"/>
      <c r="E29" s="1013"/>
      <c r="F29" s="1013"/>
      <c r="G29" s="1014"/>
      <c r="H29" s="1002"/>
      <c r="I29" s="1002"/>
      <c r="J29" s="1002"/>
      <c r="K29" s="1002"/>
      <c r="L29" s="1002"/>
      <c r="M29" s="1003"/>
      <c r="N29" s="1041"/>
      <c r="O29" s="1013"/>
      <c r="P29" s="1013"/>
      <c r="Q29" s="1013"/>
      <c r="R29" s="1013"/>
      <c r="S29" s="1014"/>
      <c r="T29" s="1034"/>
      <c r="U29" s="1139"/>
      <c r="V29" s="1140"/>
      <c r="W29" s="1041"/>
      <c r="X29" s="1013"/>
      <c r="Y29" s="1013"/>
      <c r="Z29" s="1013"/>
      <c r="AA29" s="1013"/>
      <c r="AB29" s="1014"/>
      <c r="AC29" s="1034"/>
      <c r="AD29" s="1139"/>
      <c r="AE29" s="1140"/>
      <c r="AF29" s="1135"/>
      <c r="AG29" s="1136"/>
      <c r="AH29" s="993"/>
      <c r="AI29" s="993"/>
      <c r="AJ29" s="1083"/>
      <c r="AK29" s="1084"/>
      <c r="AL29" s="1006"/>
      <c r="AM29" s="1007"/>
      <c r="AN29" s="1007"/>
      <c r="AO29" s="1037"/>
      <c r="AP29" s="1037"/>
      <c r="AQ29" s="1037"/>
      <c r="AR29" s="1075"/>
      <c r="AS29" s="1076"/>
      <c r="AT29" s="1076"/>
      <c r="AU29" s="1077"/>
      <c r="AV29" s="37"/>
      <c r="AW29" s="37"/>
      <c r="AX29" s="774"/>
      <c r="AY29" s="760"/>
      <c r="AZ29" s="760"/>
      <c r="BA29" s="772"/>
      <c r="BB29" s="772"/>
      <c r="BC29" s="774"/>
      <c r="BD29" s="758"/>
      <c r="BE29" s="776"/>
      <c r="BF29" s="1099"/>
      <c r="BG29" s="776"/>
      <c r="BH29" s="762"/>
      <c r="BI29" s="762"/>
      <c r="BJ29" s="778"/>
      <c r="BK29" s="768"/>
      <c r="BL29" s="768"/>
      <c r="BM29" s="766"/>
      <c r="BN29" s="764"/>
      <c r="BO29" s="764"/>
      <c r="BP29" s="770"/>
      <c r="BQ29" s="766"/>
      <c r="BR29" s="768"/>
      <c r="BS29" s="766"/>
      <c r="BT29" s="766"/>
      <c r="BU29" s="758"/>
      <c r="BV29" s="768"/>
      <c r="BW29" s="758"/>
      <c r="BX29" s="758"/>
      <c r="BY29" s="758"/>
      <c r="BZ29" s="754"/>
      <c r="CA29" s="754"/>
      <c r="CB29" s="754"/>
      <c r="CC29" s="754"/>
    </row>
    <row r="30" spans="1:81" ht="15.95" customHeight="1">
      <c r="B30" s="785">
        <v>7</v>
      </c>
      <c r="C30" s="1009"/>
      <c r="D30" s="1010"/>
      <c r="E30" s="1010"/>
      <c r="F30" s="1010"/>
      <c r="G30" s="1011"/>
      <c r="H30" s="1002"/>
      <c r="I30" s="1002"/>
      <c r="J30" s="1002"/>
      <c r="K30" s="1002"/>
      <c r="L30" s="1002"/>
      <c r="M30" s="1003"/>
      <c r="N30" s="1040"/>
      <c r="O30" s="1010"/>
      <c r="P30" s="1010"/>
      <c r="Q30" s="1010"/>
      <c r="R30" s="1010"/>
      <c r="S30" s="1011"/>
      <c r="T30" s="1032"/>
      <c r="U30" s="1137"/>
      <c r="V30" s="1138"/>
      <c r="W30" s="1040"/>
      <c r="X30" s="1010"/>
      <c r="Y30" s="1010"/>
      <c r="Z30" s="1010"/>
      <c r="AA30" s="1010"/>
      <c r="AB30" s="1011"/>
      <c r="AC30" s="1032"/>
      <c r="AD30" s="1137"/>
      <c r="AE30" s="1138"/>
      <c r="AF30" s="1135" t="str">
        <f>IFERROR(IF($C30="", "", IF(OR($C30 = "Retrofit existing", $C30 = "Replace in-life equip."), "Total", "Incremental")), "")</f>
        <v/>
      </c>
      <c r="AG30" s="1136"/>
      <c r="AH30" s="993"/>
      <c r="AI30" s="993"/>
      <c r="AJ30" s="1083" t="str">
        <f t="shared" ref="AJ30" si="41">IF(AF30="Incremental",0,"")</f>
        <v/>
      </c>
      <c r="AK30" s="1084"/>
      <c r="AL30" s="1030" t="str">
        <f>IF(OR(C30="",H30="",N30="",T30="",W30="",AC30="",AF30="",AH30="",AJ30=""),"",ROUND(AH30+AJ30,2))</f>
        <v/>
      </c>
      <c r="AM30" s="1031"/>
      <c r="AN30" s="1031"/>
      <c r="AO30" s="1036" t="str">
        <f>IF(OR(C30="",H30="",N30="",T30="",W30="",AC30="",AF30="",AH30="",AJ30=""),"",IF(BA30-BB30&lt;=0,0,ROUND(BA30-BB30,4)))</f>
        <v/>
      </c>
      <c r="AP30" s="1036"/>
      <c r="AQ30" s="1036"/>
      <c r="AR30" s="1072" t="str">
        <f>IF(OR(C30="",H30="",N30="",T30="",W30="",AC30="",AF30="",AH30="",AJ30=""),"",
IF(BY30&lt;&gt;"",BY30,IF(BP30&gt;0,BP30,
IF(AF30="Incremental",
IF(ACTIVEBLOCK="Yes",ROUND(MIN(AL30*INCCOSTCAP,AO30*BLOCKBIDRATE),2),
ROUND(MIN(AL30*INCCOSTCAP,BR30),2)),
IF(ACTIVEBLOCK="Yes",ROUND(MIN(AL30*TOTCOSTCAP,AO30*BLOCKBIDRATE),2),
ROUND(MIN(AL30*TOTCOSTCAP,BR30),2))))))</f>
        <v/>
      </c>
      <c r="AS30" s="1073"/>
      <c r="AT30" s="1073"/>
      <c r="AU30" s="1074"/>
      <c r="AV30" s="37"/>
      <c r="AW30" s="37"/>
      <c r="AX30" s="773" t="str">
        <f>IF(OR(C30="",H30=""),"",INDEX(CMECOOK[Unit of Measure],MATCH(H30,CMECOOK[Proj Desc 1],0)))</f>
        <v/>
      </c>
      <c r="AY30" s="759" t="str">
        <f t="shared" ref="AY30" si="42">IF(AO30&lt;&gt;"","Missing!","")</f>
        <v/>
      </c>
      <c r="AZ30" s="759" t="str">
        <f t="shared" ref="AZ30" si="43">IF(AO30&lt;&gt;"","Missing!","")</f>
        <v/>
      </c>
      <c r="BA30" s="771" t="str">
        <f t="shared" ref="BA30" si="44">IF(OR(C30="",H30="",N30="",T30="",W30="",AC30="",AF30="",AH30="",AJ30=""),"",ROUND(T30,4))</f>
        <v/>
      </c>
      <c r="BB30" s="771" t="str">
        <f t="shared" ref="BB30" si="45">IF(OR(C30="",H30="",N30="",T30="",W30="",AC30="",AF30="",AH30="",AJ30=""),"",ROUND(AC30,4))</f>
        <v/>
      </c>
      <c r="BC30" s="773" t="str">
        <f>IF(OR(C30="",H30=""),"",IF(INDEX(CMECOOK[End Use Category],MATCH(H30,CMECOOK[Proj Desc 1],0))="","",INDEX(CMECOOK[End Use Category],MATCH(H30,CMECOOK[Proj Desc 1],0))))</f>
        <v/>
      </c>
      <c r="BD30" s="757" t="str">
        <f t="shared" ref="BD30" si="46">IF(BE30&lt;&gt;"", "Calculated", "")</f>
        <v/>
      </c>
      <c r="BE30" s="775" t="str">
        <f t="shared" ref="BE30" si="47">IF(AND(BA30&lt;&gt;"", BB30&lt;&gt;""), ROUND(BA30-BB30,4), "")</f>
        <v/>
      </c>
      <c r="BF30" s="1098"/>
      <c r="BG30" s="775" t="str">
        <f>IFERROR(IF(OR(C30="",H30="",N30="",T30="",W30="",AC30="",AF30="",AH30="",AJ30=""),"",ROUND(AO30*INDEX(ENDUSEALL[Factor],MATCH(BC30,ENDUSEALL[End Use to Coincident Peak Demand Factors],0)),4)),"")</f>
        <v/>
      </c>
      <c r="BH30" s="761"/>
      <c r="BI30" s="761"/>
      <c r="BJ30" s="777" t="str">
        <f>IF(OR(C30="",H30=""),"",IF(INDEX(CMECOOK[EUL],MATCH(H30,CMECOOK[Proj Desc 1],0))="","",INDEX(CMECOOK[EUL],MATCH(H30,CMECOOK[Proj Desc 1],0))))</f>
        <v/>
      </c>
      <c r="BK30" s="767" t="str">
        <f>IFERROR(IF(OR(C30="",H30="",N30="",T30="",W30="",AC30="",AF30="",AH30="",AJ30=""),"",
ROUND(((1+ELOSS)*((AO30*INDEX(ELECCB[NPV AEC $/kWh],MATCH(BJ30,ELECCB[Year Number],1)))+(BG30*INDEX(ELECCB[NPV ACC $/kW],MATCH(BJ30,ELECCB[Year Number],1))))),2)),0)</f>
        <v/>
      </c>
      <c r="BL30" s="767" t="str">
        <f t="shared" si="0"/>
        <v/>
      </c>
      <c r="BM30" s="765"/>
      <c r="BN30" s="763" t="str">
        <f t="shared" si="1"/>
        <v/>
      </c>
      <c r="BO30" s="763" t="str">
        <f>IFERROR(IF(BM30 &lt;&gt; "", BM30, BL30) / M02S04F06 / AO30, "")</f>
        <v/>
      </c>
      <c r="BP30" s="769"/>
      <c r="BQ30" s="765"/>
      <c r="BR30" s="767" t="str">
        <f t="shared" ref="BR30" si="48">IFERROR(ROUND(AO30*BV30,2),"")</f>
        <v/>
      </c>
      <c r="BS30" s="765"/>
      <c r="BT30" s="765"/>
      <c r="BU30" s="757"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67"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57" t="str">
        <f>IF(OR(C30="",H30="",N30="",T30="",W30="",AC30="",AF30="",AH30="",AJ30=""),"",IF(BY30&lt;&gt;"",SPILLOVERNUMBER,INDEX(CMECOOK[Measure Number],MATCH(H30,CMECOOK[Proj Desc 1],0))))</f>
        <v/>
      </c>
      <c r="BX30" s="757" t="str" cm="1">
        <f t="array" ref="BX30">IFERROR(INDEX(_xlfn.SWITCH(Program_Banner,"Business Energy Savings",ENDUSEALL[Primary Key WBE],"Small Business / Non-Profit",ENDUSEALL[Primary Key HTRB],0),MATCH(BC30,ENDUSEALL[End Use to Coincident Peak Demand Factors],0)),"")</f>
        <v/>
      </c>
      <c r="BY30" s="757"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53"/>
      <c r="CA30" s="753"/>
      <c r="CB30" s="753"/>
      <c r="CC30" s="753"/>
    </row>
    <row r="31" spans="1:81" ht="15.95" customHeight="1">
      <c r="B31" s="785"/>
      <c r="C31" s="1012"/>
      <c r="D31" s="1013"/>
      <c r="E31" s="1013"/>
      <c r="F31" s="1013"/>
      <c r="G31" s="1014"/>
      <c r="H31" s="1002"/>
      <c r="I31" s="1002"/>
      <c r="J31" s="1002"/>
      <c r="K31" s="1002"/>
      <c r="L31" s="1002"/>
      <c r="M31" s="1003"/>
      <c r="N31" s="1041"/>
      <c r="O31" s="1013"/>
      <c r="P31" s="1013"/>
      <c r="Q31" s="1013"/>
      <c r="R31" s="1013"/>
      <c r="S31" s="1014"/>
      <c r="T31" s="1034"/>
      <c r="U31" s="1139"/>
      <c r="V31" s="1140"/>
      <c r="W31" s="1041"/>
      <c r="X31" s="1013"/>
      <c r="Y31" s="1013"/>
      <c r="Z31" s="1013"/>
      <c r="AA31" s="1013"/>
      <c r="AB31" s="1014"/>
      <c r="AC31" s="1034"/>
      <c r="AD31" s="1139"/>
      <c r="AE31" s="1140"/>
      <c r="AF31" s="1135"/>
      <c r="AG31" s="1136"/>
      <c r="AH31" s="993"/>
      <c r="AI31" s="993"/>
      <c r="AJ31" s="1083"/>
      <c r="AK31" s="1084"/>
      <c r="AL31" s="1006"/>
      <c r="AM31" s="1007"/>
      <c r="AN31" s="1007"/>
      <c r="AO31" s="1037"/>
      <c r="AP31" s="1037"/>
      <c r="AQ31" s="1037"/>
      <c r="AR31" s="1075"/>
      <c r="AS31" s="1076"/>
      <c r="AT31" s="1076"/>
      <c r="AU31" s="1077"/>
      <c r="AV31" s="37"/>
      <c r="AW31" s="37"/>
      <c r="AX31" s="774"/>
      <c r="AY31" s="760"/>
      <c r="AZ31" s="760"/>
      <c r="BA31" s="772"/>
      <c r="BB31" s="772"/>
      <c r="BC31" s="774"/>
      <c r="BD31" s="758"/>
      <c r="BE31" s="776"/>
      <c r="BF31" s="1099"/>
      <c r="BG31" s="776"/>
      <c r="BH31" s="762"/>
      <c r="BI31" s="762"/>
      <c r="BJ31" s="778"/>
      <c r="BK31" s="768"/>
      <c r="BL31" s="768"/>
      <c r="BM31" s="766"/>
      <c r="BN31" s="764"/>
      <c r="BO31" s="764"/>
      <c r="BP31" s="770"/>
      <c r="BQ31" s="766"/>
      <c r="BR31" s="768"/>
      <c r="BS31" s="766"/>
      <c r="BT31" s="766"/>
      <c r="BU31" s="758"/>
      <c r="BV31" s="768"/>
      <c r="BW31" s="758"/>
      <c r="BX31" s="758"/>
      <c r="BY31" s="758"/>
      <c r="BZ31" s="754"/>
      <c r="CA31" s="754"/>
      <c r="CB31" s="754"/>
      <c r="CC31" s="754"/>
    </row>
    <row r="32" spans="1:81" ht="15.95" customHeight="1">
      <c r="B32" s="785">
        <v>8</v>
      </c>
      <c r="C32" s="1009"/>
      <c r="D32" s="1010"/>
      <c r="E32" s="1010"/>
      <c r="F32" s="1010"/>
      <c r="G32" s="1011"/>
      <c r="H32" s="1002"/>
      <c r="I32" s="1002"/>
      <c r="J32" s="1002"/>
      <c r="K32" s="1002"/>
      <c r="L32" s="1002"/>
      <c r="M32" s="1003"/>
      <c r="N32" s="1040"/>
      <c r="O32" s="1010"/>
      <c r="P32" s="1010"/>
      <c r="Q32" s="1010"/>
      <c r="R32" s="1010"/>
      <c r="S32" s="1011"/>
      <c r="T32" s="1032"/>
      <c r="U32" s="1137"/>
      <c r="V32" s="1138"/>
      <c r="W32" s="1040"/>
      <c r="X32" s="1010"/>
      <c r="Y32" s="1010"/>
      <c r="Z32" s="1010"/>
      <c r="AA32" s="1010"/>
      <c r="AB32" s="1011"/>
      <c r="AC32" s="1032"/>
      <c r="AD32" s="1137"/>
      <c r="AE32" s="1138"/>
      <c r="AF32" s="1135" t="str">
        <f>IFERROR(IF($C32="", "", IF(OR($C32 = "Retrofit existing", $C32 = "Replace in-life equip."), "Total", "Incremental")), "")</f>
        <v/>
      </c>
      <c r="AG32" s="1136"/>
      <c r="AH32" s="993"/>
      <c r="AI32" s="993"/>
      <c r="AJ32" s="1083" t="str">
        <f t="shared" ref="AJ32" si="49">IF(AF32="Incremental",0,"")</f>
        <v/>
      </c>
      <c r="AK32" s="1084"/>
      <c r="AL32" s="1030" t="str">
        <f>IF(OR(C32="",H32="",N32="",T32="",W32="",AC32="",AF32="",AH32="",AJ32=""),"",ROUND(AH32+AJ32,2))</f>
        <v/>
      </c>
      <c r="AM32" s="1031"/>
      <c r="AN32" s="1031"/>
      <c r="AO32" s="1036" t="str">
        <f>IF(OR(C32="",H32="",N32="",T32="",W32="",AC32="",AF32="",AH32="",AJ32=""),"",IF(BA32-BB32&lt;=0,0,ROUND(BA32-BB32,4)))</f>
        <v/>
      </c>
      <c r="AP32" s="1036"/>
      <c r="AQ32" s="1036"/>
      <c r="AR32" s="1072" t="str">
        <f>IF(OR(C32="",H32="",N32="",T32="",W32="",AC32="",AF32="",AH32="",AJ32=""),"",
IF(BY32&lt;&gt;"",BY32,IF(BP32&gt;0,BP32,
IF(AF32="Incremental",
IF(ACTIVEBLOCK="Yes",ROUND(MIN(AL32*INCCOSTCAP,AO32*BLOCKBIDRATE),2),
ROUND(MIN(AL32*INCCOSTCAP,BR32),2)),
IF(ACTIVEBLOCK="Yes",ROUND(MIN(AL32*TOTCOSTCAP,AO32*BLOCKBIDRATE),2),
ROUND(MIN(AL32*TOTCOSTCAP,BR32),2))))))</f>
        <v/>
      </c>
      <c r="AS32" s="1073"/>
      <c r="AT32" s="1073"/>
      <c r="AU32" s="1074"/>
      <c r="AV32" s="37"/>
      <c r="AW32" s="37"/>
      <c r="AX32" s="773" t="str">
        <f>IF(OR(C32="",H32=""),"",INDEX(CMECOOK[Unit of Measure],MATCH(H32,CMECOOK[Proj Desc 1],0)))</f>
        <v/>
      </c>
      <c r="AY32" s="759" t="str">
        <f t="shared" ref="AY32" si="50">IF(AO32&lt;&gt;"","Missing!","")</f>
        <v/>
      </c>
      <c r="AZ32" s="759" t="str">
        <f t="shared" ref="AZ32" si="51">IF(AO32&lt;&gt;"","Missing!","")</f>
        <v/>
      </c>
      <c r="BA32" s="771" t="str">
        <f t="shared" ref="BA32" si="52">IF(OR(C32="",H32="",N32="",T32="",W32="",AC32="",AF32="",AH32="",AJ32=""),"",ROUND(T32,4))</f>
        <v/>
      </c>
      <c r="BB32" s="771" t="str">
        <f t="shared" ref="BB32" si="53">IF(OR(C32="",H32="",N32="",T32="",W32="",AC32="",AF32="",AH32="",AJ32=""),"",ROUND(AC32,4))</f>
        <v/>
      </c>
      <c r="BC32" s="773" t="str">
        <f>IF(OR(C32="",H32=""),"",IF(INDEX(CMECOOK[End Use Category],MATCH(H32,CMECOOK[Proj Desc 1],0))="","",INDEX(CMECOOK[End Use Category],MATCH(H32,CMECOOK[Proj Desc 1],0))))</f>
        <v/>
      </c>
      <c r="BD32" s="757" t="str">
        <f t="shared" ref="BD32" si="54">IF(BE32&lt;&gt;"", "Calculated", "")</f>
        <v/>
      </c>
      <c r="BE32" s="775" t="str">
        <f t="shared" ref="BE32" si="55">IF(AND(BA32&lt;&gt;"", BB32&lt;&gt;""), ROUND(BA32-BB32,4), "")</f>
        <v/>
      </c>
      <c r="BF32" s="1098"/>
      <c r="BG32" s="775" t="str">
        <f>IFERROR(IF(OR(C32="",H32="",N32="",T32="",W32="",AC32="",AF32="",AH32="",AJ32=""),"",ROUND(AO32*INDEX(ENDUSEALL[Factor],MATCH(BC32,ENDUSEALL[End Use to Coincident Peak Demand Factors],0)),4)),"")</f>
        <v/>
      </c>
      <c r="BH32" s="761"/>
      <c r="BI32" s="761"/>
      <c r="BJ32" s="777" t="str">
        <f>IF(OR(C32="",H32=""),"",IF(INDEX(CMECOOK[EUL],MATCH(H32,CMECOOK[Proj Desc 1],0))="","",INDEX(CMECOOK[EUL],MATCH(H32,CMECOOK[Proj Desc 1],0))))</f>
        <v/>
      </c>
      <c r="BK32" s="767" t="str">
        <f>IFERROR(IF(OR(C32="",H32="",N32="",T32="",W32="",AC32="",AF32="",AH32="",AJ32=""),"",
ROUND(((1+ELOSS)*((AO32*INDEX(ELECCB[NPV AEC $/kWh],MATCH(BJ32,ELECCB[Year Number],1)))+(BG32*INDEX(ELECCB[NPV ACC $/kW],MATCH(BJ32,ELECCB[Year Number],1))))),2)),0)</f>
        <v/>
      </c>
      <c r="BL32" s="767" t="str">
        <f t="shared" si="0"/>
        <v/>
      </c>
      <c r="BM32" s="765"/>
      <c r="BN32" s="763" t="str">
        <f t="shared" si="1"/>
        <v/>
      </c>
      <c r="BO32" s="763" t="str">
        <f>IFERROR(IF(BM32 &lt;&gt; "", BM32, BL32) / M02S04F06 / AO32, "")</f>
        <v/>
      </c>
      <c r="BP32" s="769"/>
      <c r="BQ32" s="765"/>
      <c r="BR32" s="767" t="str">
        <f t="shared" ref="BR32" si="56">IFERROR(ROUND(AO32*BV32,2),"")</f>
        <v/>
      </c>
      <c r="BS32" s="765"/>
      <c r="BT32" s="765"/>
      <c r="BU32" s="757"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67"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57" t="str">
        <f>IF(OR(C32="",H32="",N32="",T32="",W32="",AC32="",AF32="",AH32="",AJ32=""),"",IF(BY32&lt;&gt;"",SPILLOVERNUMBER,INDEX(CMECOOK[Measure Number],MATCH(H32,CMECOOK[Proj Desc 1],0))))</f>
        <v/>
      </c>
      <c r="BX32" s="757" t="str" cm="1">
        <f t="array" ref="BX32">IFERROR(INDEX(_xlfn.SWITCH(Program_Banner,"Business Energy Savings",ENDUSEALL[Primary Key WBE],"Small Business / Non-Profit",ENDUSEALL[Primary Key HTRB],0),MATCH(BC32,ENDUSEALL[End Use to Coincident Peak Demand Factors],0)),"")</f>
        <v/>
      </c>
      <c r="BY32" s="757"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53"/>
      <c r="CA32" s="753"/>
      <c r="CB32" s="753"/>
      <c r="CC32" s="753"/>
    </row>
    <row r="33" spans="2:81" ht="15.95" customHeight="1">
      <c r="B33" s="785"/>
      <c r="C33" s="1012"/>
      <c r="D33" s="1013"/>
      <c r="E33" s="1013"/>
      <c r="F33" s="1013"/>
      <c r="G33" s="1014"/>
      <c r="H33" s="1002"/>
      <c r="I33" s="1002"/>
      <c r="J33" s="1002"/>
      <c r="K33" s="1002"/>
      <c r="L33" s="1002"/>
      <c r="M33" s="1003"/>
      <c r="N33" s="1041"/>
      <c r="O33" s="1013"/>
      <c r="P33" s="1013"/>
      <c r="Q33" s="1013"/>
      <c r="R33" s="1013"/>
      <c r="S33" s="1014"/>
      <c r="T33" s="1034"/>
      <c r="U33" s="1139"/>
      <c r="V33" s="1140"/>
      <c r="W33" s="1041"/>
      <c r="X33" s="1013"/>
      <c r="Y33" s="1013"/>
      <c r="Z33" s="1013"/>
      <c r="AA33" s="1013"/>
      <c r="AB33" s="1014"/>
      <c r="AC33" s="1034"/>
      <c r="AD33" s="1139"/>
      <c r="AE33" s="1140"/>
      <c r="AF33" s="1135"/>
      <c r="AG33" s="1136"/>
      <c r="AH33" s="993"/>
      <c r="AI33" s="993"/>
      <c r="AJ33" s="1083"/>
      <c r="AK33" s="1084"/>
      <c r="AL33" s="1006"/>
      <c r="AM33" s="1007"/>
      <c r="AN33" s="1007"/>
      <c r="AO33" s="1037"/>
      <c r="AP33" s="1037"/>
      <c r="AQ33" s="1037"/>
      <c r="AR33" s="1075"/>
      <c r="AS33" s="1076"/>
      <c r="AT33" s="1076"/>
      <c r="AU33" s="1077"/>
      <c r="AV33" s="37"/>
      <c r="AW33" s="37"/>
      <c r="AX33" s="774"/>
      <c r="AY33" s="760"/>
      <c r="AZ33" s="760"/>
      <c r="BA33" s="772"/>
      <c r="BB33" s="772"/>
      <c r="BC33" s="774"/>
      <c r="BD33" s="758"/>
      <c r="BE33" s="776"/>
      <c r="BF33" s="1099"/>
      <c r="BG33" s="776"/>
      <c r="BH33" s="762"/>
      <c r="BI33" s="762"/>
      <c r="BJ33" s="778"/>
      <c r="BK33" s="768"/>
      <c r="BL33" s="768"/>
      <c r="BM33" s="766"/>
      <c r="BN33" s="764"/>
      <c r="BO33" s="764"/>
      <c r="BP33" s="770"/>
      <c r="BQ33" s="766"/>
      <c r="BR33" s="768"/>
      <c r="BS33" s="766"/>
      <c r="BT33" s="766"/>
      <c r="BU33" s="758"/>
      <c r="BV33" s="768"/>
      <c r="BW33" s="758"/>
      <c r="BX33" s="758"/>
      <c r="BY33" s="758"/>
      <c r="BZ33" s="754"/>
      <c r="CA33" s="754"/>
      <c r="CB33" s="754"/>
      <c r="CC33" s="754"/>
    </row>
    <row r="34" spans="2:81" ht="15.95" customHeight="1">
      <c r="B34" s="785">
        <v>9</v>
      </c>
      <c r="C34" s="1009"/>
      <c r="D34" s="1010"/>
      <c r="E34" s="1010"/>
      <c r="F34" s="1010"/>
      <c r="G34" s="1011"/>
      <c r="H34" s="1002"/>
      <c r="I34" s="1002"/>
      <c r="J34" s="1002"/>
      <c r="K34" s="1002"/>
      <c r="L34" s="1002"/>
      <c r="M34" s="1003"/>
      <c r="N34" s="1040"/>
      <c r="O34" s="1010"/>
      <c r="P34" s="1010"/>
      <c r="Q34" s="1010"/>
      <c r="R34" s="1010"/>
      <c r="S34" s="1011"/>
      <c r="T34" s="1032"/>
      <c r="U34" s="1137"/>
      <c r="V34" s="1138"/>
      <c r="W34" s="1040"/>
      <c r="X34" s="1010"/>
      <c r="Y34" s="1010"/>
      <c r="Z34" s="1010"/>
      <c r="AA34" s="1010"/>
      <c r="AB34" s="1011"/>
      <c r="AC34" s="1032"/>
      <c r="AD34" s="1137"/>
      <c r="AE34" s="1138"/>
      <c r="AF34" s="1135" t="str">
        <f>IFERROR(IF($C34="", "", IF(OR($C34 = "Retrofit existing", $C34 = "Replace in-life equip."), "Total", "Incremental")), "")</f>
        <v/>
      </c>
      <c r="AG34" s="1136"/>
      <c r="AH34" s="993"/>
      <c r="AI34" s="993"/>
      <c r="AJ34" s="1083" t="str">
        <f t="shared" ref="AJ34" si="57">IF(AF34="Incremental",0,"")</f>
        <v/>
      </c>
      <c r="AK34" s="1084"/>
      <c r="AL34" s="1030" t="str">
        <f>IF(OR(C34="",H34="",N34="",T34="",W34="",AC34="",AF34="",AH34="",AJ34=""),"",ROUND(AH34+AJ34,2))</f>
        <v/>
      </c>
      <c r="AM34" s="1031"/>
      <c r="AN34" s="1031"/>
      <c r="AO34" s="1036" t="str">
        <f>IF(OR(C34="",H34="",N34="",T34="",W34="",AC34="",AF34="",AH34="",AJ34=""),"",IF(BA34-BB34&lt;=0,0,ROUND(BA34-BB34,4)))</f>
        <v/>
      </c>
      <c r="AP34" s="1036"/>
      <c r="AQ34" s="1036"/>
      <c r="AR34" s="1072" t="str">
        <f>IF(OR(C34="",H34="",N34="",T34="",W34="",AC34="",AF34="",AH34="",AJ34=""),"",
IF(BY34&lt;&gt;"",BY34,IF(BP34&gt;0,BP34,
IF(AF34="Incremental",
IF(ACTIVEBLOCK="Yes",ROUND(MIN(AL34*INCCOSTCAP,AO34*BLOCKBIDRATE),2),
ROUND(MIN(AL34*INCCOSTCAP,BR34),2)),
IF(ACTIVEBLOCK="Yes",ROUND(MIN(AL34*TOTCOSTCAP,AO34*BLOCKBIDRATE),2),
ROUND(MIN(AL34*TOTCOSTCAP,BR34),2))))))</f>
        <v/>
      </c>
      <c r="AS34" s="1073"/>
      <c r="AT34" s="1073"/>
      <c r="AU34" s="1074"/>
      <c r="AV34" s="37"/>
      <c r="AW34" s="37"/>
      <c r="AX34" s="773" t="str">
        <f>IF(OR(C34="",H34=""),"",INDEX(CMECOOK[Unit of Measure],MATCH(H34,CMECOOK[Proj Desc 1],0)))</f>
        <v/>
      </c>
      <c r="AY34" s="759" t="str">
        <f t="shared" ref="AY34" si="58">IF(AO34&lt;&gt;"","Missing!","")</f>
        <v/>
      </c>
      <c r="AZ34" s="759" t="str">
        <f t="shared" ref="AZ34" si="59">IF(AO34&lt;&gt;"","Missing!","")</f>
        <v/>
      </c>
      <c r="BA34" s="771" t="str">
        <f t="shared" ref="BA34" si="60">IF(OR(C34="",H34="",N34="",T34="",W34="",AC34="",AF34="",AH34="",AJ34=""),"",ROUND(T34,4))</f>
        <v/>
      </c>
      <c r="BB34" s="771" t="str">
        <f t="shared" ref="BB34" si="61">IF(OR(C34="",H34="",N34="",T34="",W34="",AC34="",AF34="",AH34="",AJ34=""),"",ROUND(AC34,4))</f>
        <v/>
      </c>
      <c r="BC34" s="773" t="str">
        <f>IF(OR(C34="",H34=""),"",IF(INDEX(CMECOOK[End Use Category],MATCH(H34,CMECOOK[Proj Desc 1],0))="","",INDEX(CMECOOK[End Use Category],MATCH(H34,CMECOOK[Proj Desc 1],0))))</f>
        <v/>
      </c>
      <c r="BD34" s="757" t="str">
        <f t="shared" ref="BD34" si="62">IF(BE34&lt;&gt;"", "Calculated", "")</f>
        <v/>
      </c>
      <c r="BE34" s="775" t="str">
        <f t="shared" ref="BE34" si="63">IF(AND(BA34&lt;&gt;"", BB34&lt;&gt;""), ROUND(BA34-BB34,4), "")</f>
        <v/>
      </c>
      <c r="BF34" s="1098"/>
      <c r="BG34" s="775" t="str">
        <f>IFERROR(IF(OR(C34="",H34="",N34="",T34="",W34="",AC34="",AF34="",AH34="",AJ34=""),"",ROUND(AO34*INDEX(ENDUSEALL[Factor],MATCH(BC34,ENDUSEALL[End Use to Coincident Peak Demand Factors],0)),4)),"")</f>
        <v/>
      </c>
      <c r="BH34" s="761"/>
      <c r="BI34" s="761"/>
      <c r="BJ34" s="777" t="str">
        <f>IF(OR(C34="",H34=""),"",IF(INDEX(CMECOOK[EUL],MATCH(H34,CMECOOK[Proj Desc 1],0))="","",INDEX(CMECOOK[EUL],MATCH(H34,CMECOOK[Proj Desc 1],0))))</f>
        <v/>
      </c>
      <c r="BK34" s="767" t="str">
        <f>IFERROR(IF(OR(C34="",H34="",N34="",T34="",W34="",AC34="",AF34="",AH34="",AJ34=""),"",
ROUND(((1+ELOSS)*((AO34*INDEX(ELECCB[NPV AEC $/kWh],MATCH(BJ34,ELECCB[Year Number],1)))+(BG34*INDEX(ELECCB[NPV ACC $/kW],MATCH(BJ34,ELECCB[Year Number],1))))),2)),0)</f>
        <v/>
      </c>
      <c r="BL34" s="767" t="str">
        <f t="shared" si="0"/>
        <v/>
      </c>
      <c r="BM34" s="765"/>
      <c r="BN34" s="763" t="str">
        <f t="shared" si="1"/>
        <v/>
      </c>
      <c r="BO34" s="763" t="str">
        <f>IFERROR(IF(BM34 &lt;&gt; "", BM34, BL34) / M02S04F06 / AO34, "")</f>
        <v/>
      </c>
      <c r="BP34" s="769"/>
      <c r="BQ34" s="765"/>
      <c r="BR34" s="767" t="str">
        <f t="shared" ref="BR34" si="64">IFERROR(ROUND(AO34*BV34,2),"")</f>
        <v/>
      </c>
      <c r="BS34" s="765"/>
      <c r="BT34" s="765"/>
      <c r="BU34" s="757"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67"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57" t="str">
        <f>IF(OR(C34="",H34="",N34="",T34="",W34="",AC34="",AF34="",AH34="",AJ34=""),"",IF(BY34&lt;&gt;"",SPILLOVERNUMBER,INDEX(CMECOOK[Measure Number],MATCH(H34,CMECOOK[Proj Desc 1],0))))</f>
        <v/>
      </c>
      <c r="BX34" s="757" t="str" cm="1">
        <f t="array" ref="BX34">IFERROR(INDEX(_xlfn.SWITCH(Program_Banner,"Business Energy Savings",ENDUSEALL[Primary Key WBE],"Small Business / Non-Profit",ENDUSEALL[Primary Key HTRB],0),MATCH(BC34,ENDUSEALL[End Use to Coincident Peak Demand Factors],0)),"")</f>
        <v/>
      </c>
      <c r="BY34" s="757"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53"/>
      <c r="CA34" s="753"/>
      <c r="CB34" s="753"/>
      <c r="CC34" s="753"/>
    </row>
    <row r="35" spans="2:81" ht="15.95" customHeight="1">
      <c r="B35" s="785"/>
      <c r="C35" s="1012"/>
      <c r="D35" s="1013"/>
      <c r="E35" s="1013"/>
      <c r="F35" s="1013"/>
      <c r="G35" s="1014"/>
      <c r="H35" s="1002"/>
      <c r="I35" s="1002"/>
      <c r="J35" s="1002"/>
      <c r="K35" s="1002"/>
      <c r="L35" s="1002"/>
      <c r="M35" s="1003"/>
      <c r="N35" s="1041"/>
      <c r="O35" s="1013"/>
      <c r="P35" s="1013"/>
      <c r="Q35" s="1013"/>
      <c r="R35" s="1013"/>
      <c r="S35" s="1014"/>
      <c r="T35" s="1034"/>
      <c r="U35" s="1139"/>
      <c r="V35" s="1140"/>
      <c r="W35" s="1041"/>
      <c r="X35" s="1013"/>
      <c r="Y35" s="1013"/>
      <c r="Z35" s="1013"/>
      <c r="AA35" s="1013"/>
      <c r="AB35" s="1014"/>
      <c r="AC35" s="1034"/>
      <c r="AD35" s="1139"/>
      <c r="AE35" s="1140"/>
      <c r="AF35" s="1135"/>
      <c r="AG35" s="1136"/>
      <c r="AH35" s="993"/>
      <c r="AI35" s="993"/>
      <c r="AJ35" s="1083"/>
      <c r="AK35" s="1084"/>
      <c r="AL35" s="1006"/>
      <c r="AM35" s="1007"/>
      <c r="AN35" s="1007"/>
      <c r="AO35" s="1037"/>
      <c r="AP35" s="1037"/>
      <c r="AQ35" s="1037"/>
      <c r="AR35" s="1075"/>
      <c r="AS35" s="1076"/>
      <c r="AT35" s="1076"/>
      <c r="AU35" s="1077"/>
      <c r="AV35" s="37"/>
      <c r="AW35" s="37"/>
      <c r="AX35" s="774"/>
      <c r="AY35" s="760"/>
      <c r="AZ35" s="760"/>
      <c r="BA35" s="772"/>
      <c r="BB35" s="772"/>
      <c r="BC35" s="774"/>
      <c r="BD35" s="758"/>
      <c r="BE35" s="776"/>
      <c r="BF35" s="1099"/>
      <c r="BG35" s="776"/>
      <c r="BH35" s="762"/>
      <c r="BI35" s="762"/>
      <c r="BJ35" s="778"/>
      <c r="BK35" s="768"/>
      <c r="BL35" s="768"/>
      <c r="BM35" s="766"/>
      <c r="BN35" s="764"/>
      <c r="BO35" s="764"/>
      <c r="BP35" s="770"/>
      <c r="BQ35" s="766"/>
      <c r="BR35" s="768"/>
      <c r="BS35" s="766"/>
      <c r="BT35" s="766"/>
      <c r="BU35" s="758"/>
      <c r="BV35" s="768"/>
      <c r="BW35" s="758"/>
      <c r="BX35" s="758"/>
      <c r="BY35" s="758"/>
      <c r="BZ35" s="754"/>
      <c r="CA35" s="754"/>
      <c r="CB35" s="754"/>
      <c r="CC35" s="754"/>
    </row>
    <row r="36" spans="2:81" ht="15.95" customHeight="1">
      <c r="B36" s="785">
        <v>10</v>
      </c>
      <c r="C36" s="1009"/>
      <c r="D36" s="1010"/>
      <c r="E36" s="1010"/>
      <c r="F36" s="1010"/>
      <c r="G36" s="1011"/>
      <c r="H36" s="1002"/>
      <c r="I36" s="1002"/>
      <c r="J36" s="1002"/>
      <c r="K36" s="1002"/>
      <c r="L36" s="1002"/>
      <c r="M36" s="1003"/>
      <c r="N36" s="1040"/>
      <c r="O36" s="1010"/>
      <c r="P36" s="1010"/>
      <c r="Q36" s="1010"/>
      <c r="R36" s="1010"/>
      <c r="S36" s="1011"/>
      <c r="T36" s="1032"/>
      <c r="U36" s="1137"/>
      <c r="V36" s="1138"/>
      <c r="W36" s="1040"/>
      <c r="X36" s="1010"/>
      <c r="Y36" s="1010"/>
      <c r="Z36" s="1010"/>
      <c r="AA36" s="1010"/>
      <c r="AB36" s="1011"/>
      <c r="AC36" s="1032"/>
      <c r="AD36" s="1137"/>
      <c r="AE36" s="1138"/>
      <c r="AF36" s="1135" t="str">
        <f>IFERROR(IF($C36="", "", IF(OR($C36 = "Retrofit existing", $C36 = "Replace in-life equip."), "Total", "Incremental")), "")</f>
        <v/>
      </c>
      <c r="AG36" s="1136"/>
      <c r="AH36" s="993"/>
      <c r="AI36" s="993"/>
      <c r="AJ36" s="1083" t="str">
        <f t="shared" ref="AJ36" si="65">IF(AF36="Incremental",0,"")</f>
        <v/>
      </c>
      <c r="AK36" s="1084"/>
      <c r="AL36" s="1030" t="str">
        <f>IF(OR(C36="",H36="",N36="",T36="",W36="",AC36="",AF36="",AH36="",AJ36=""),"",ROUND(AH36+AJ36,2))</f>
        <v/>
      </c>
      <c r="AM36" s="1031"/>
      <c r="AN36" s="1031"/>
      <c r="AO36" s="1036" t="str">
        <f>IF(OR(C36="",H36="",N36="",T36="",W36="",AC36="",AF36="",AH36="",AJ36=""),"",IF(BA36-BB36&lt;=0,0,ROUND(BA36-BB36,4)))</f>
        <v/>
      </c>
      <c r="AP36" s="1036"/>
      <c r="AQ36" s="1036"/>
      <c r="AR36" s="1072" t="str">
        <f>IF(OR(C36="",H36="",N36="",T36="",W36="",AC36="",AF36="",AH36="",AJ36=""),"",
IF(BY36&lt;&gt;"",BY36,IF(BP36&gt;0,BP36,
IF(AF36="Incremental",
IF(ACTIVEBLOCK="Yes",ROUND(MIN(AL36*INCCOSTCAP,AO36*BLOCKBIDRATE),2),
ROUND(MIN(AL36*INCCOSTCAP,BR36),2)),
IF(ACTIVEBLOCK="Yes",ROUND(MIN(AL36*TOTCOSTCAP,AO36*BLOCKBIDRATE),2),
ROUND(MIN(AL36*TOTCOSTCAP,BR36),2))))))</f>
        <v/>
      </c>
      <c r="AS36" s="1073"/>
      <c r="AT36" s="1073"/>
      <c r="AU36" s="1074"/>
      <c r="AV36" s="37"/>
      <c r="AW36" s="37"/>
      <c r="AX36" s="773" t="str">
        <f>IF(OR(C36="",H36=""),"",INDEX(CMECOOK[Unit of Measure],MATCH(H36,CMECOOK[Proj Desc 1],0)))</f>
        <v/>
      </c>
      <c r="AY36" s="759" t="str">
        <f t="shared" ref="AY36" si="66">IF(AO36&lt;&gt;"","Missing!","")</f>
        <v/>
      </c>
      <c r="AZ36" s="759" t="str">
        <f t="shared" ref="AZ36" si="67">IF(AO36&lt;&gt;"","Missing!","")</f>
        <v/>
      </c>
      <c r="BA36" s="771" t="str">
        <f t="shared" ref="BA36" si="68">IF(OR(C36="",H36="",N36="",T36="",W36="",AC36="",AF36="",AH36="",AJ36=""),"",ROUND(T36,4))</f>
        <v/>
      </c>
      <c r="BB36" s="771" t="str">
        <f t="shared" ref="BB36" si="69">IF(OR(C36="",H36="",N36="",T36="",W36="",AC36="",AF36="",AH36="",AJ36=""),"",ROUND(AC36,4))</f>
        <v/>
      </c>
      <c r="BC36" s="773" t="str">
        <f>IF(OR(C36="",H36=""),"",IF(INDEX(CMECOOK[End Use Category],MATCH(H36,CMECOOK[Proj Desc 1],0))="","",INDEX(CMECOOK[End Use Category],MATCH(H36,CMECOOK[Proj Desc 1],0))))</f>
        <v/>
      </c>
      <c r="BD36" s="757" t="str">
        <f t="shared" ref="BD36" si="70">IF(BE36&lt;&gt;"", "Calculated", "")</f>
        <v/>
      </c>
      <c r="BE36" s="775" t="str">
        <f t="shared" ref="BE36" si="71">IF(AND(BA36&lt;&gt;"", BB36&lt;&gt;""), ROUND(BA36-BB36,4), "")</f>
        <v/>
      </c>
      <c r="BF36" s="1098"/>
      <c r="BG36" s="775" t="str">
        <f>IFERROR(IF(OR(C36="",H36="",N36="",T36="",W36="",AC36="",AF36="",AH36="",AJ36=""),"",ROUND(AO36*INDEX(ENDUSEALL[Factor],MATCH(BC36,ENDUSEALL[End Use to Coincident Peak Demand Factors],0)),4)),"")</f>
        <v/>
      </c>
      <c r="BH36" s="761"/>
      <c r="BI36" s="761"/>
      <c r="BJ36" s="777" t="str">
        <f>IF(OR(C36="",H36=""),"",IF(INDEX(CMECOOK[EUL],MATCH(H36,CMECOOK[Proj Desc 1],0))="","",INDEX(CMECOOK[EUL],MATCH(H36,CMECOOK[Proj Desc 1],0))))</f>
        <v/>
      </c>
      <c r="BK36" s="767" t="str">
        <f>IFERROR(IF(OR(C36="",H36="",N36="",T36="",W36="",AC36="",AF36="",AH36="",AJ36=""),"",
ROUND(((1+ELOSS)*((AO36*INDEX(ELECCB[NPV AEC $/kWh],MATCH(BJ36,ELECCB[Year Number],1)))+(BG36*INDEX(ELECCB[NPV ACC $/kW],MATCH(BJ36,ELECCB[Year Number],1))))),2)),0)</f>
        <v/>
      </c>
      <c r="BL36" s="767" t="str">
        <f t="shared" si="0"/>
        <v/>
      </c>
      <c r="BM36" s="765"/>
      <c r="BN36" s="763" t="str">
        <f t="shared" si="1"/>
        <v/>
      </c>
      <c r="BO36" s="763" t="str">
        <f>IFERROR(IF(BM36 &lt;&gt; "", BM36, BL36) / M02S04F06 / AO36, "")</f>
        <v/>
      </c>
      <c r="BP36" s="769"/>
      <c r="BQ36" s="765"/>
      <c r="BR36" s="767" t="str">
        <f t="shared" ref="BR36" si="72">IFERROR(ROUND(AO36*BV36,2),"")</f>
        <v/>
      </c>
      <c r="BS36" s="765"/>
      <c r="BT36" s="765"/>
      <c r="BU36" s="757"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67"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57" t="str">
        <f>IF(OR(C36="",H36="",N36="",T36="",W36="",AC36="",AF36="",AH36="",AJ36=""),"",IF(BY36&lt;&gt;"",SPILLOVERNUMBER,INDEX(CMECOOK[Measure Number],MATCH(H36,CMECOOK[Proj Desc 1],0))))</f>
        <v/>
      </c>
      <c r="BX36" s="757" t="str" cm="1">
        <f t="array" ref="BX36">IFERROR(INDEX(_xlfn.SWITCH(Program_Banner,"Business Energy Savings",ENDUSEALL[Primary Key WBE],"Small Business / Non-Profit",ENDUSEALL[Primary Key HTRB],0),MATCH(BC36,ENDUSEALL[End Use to Coincident Peak Demand Factors],0)),"")</f>
        <v/>
      </c>
      <c r="BY36" s="757"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53"/>
      <c r="CA36" s="753"/>
      <c r="CB36" s="753"/>
      <c r="CC36" s="753"/>
    </row>
    <row r="37" spans="2:81" ht="15.95" customHeight="1">
      <c r="B37" s="785"/>
      <c r="C37" s="1012"/>
      <c r="D37" s="1013"/>
      <c r="E37" s="1013"/>
      <c r="F37" s="1013"/>
      <c r="G37" s="1014"/>
      <c r="H37" s="1002"/>
      <c r="I37" s="1002"/>
      <c r="J37" s="1002"/>
      <c r="K37" s="1002"/>
      <c r="L37" s="1002"/>
      <c r="M37" s="1003"/>
      <c r="N37" s="1041"/>
      <c r="O37" s="1013"/>
      <c r="P37" s="1013"/>
      <c r="Q37" s="1013"/>
      <c r="R37" s="1013"/>
      <c r="S37" s="1014"/>
      <c r="T37" s="1034"/>
      <c r="U37" s="1139"/>
      <c r="V37" s="1140"/>
      <c r="W37" s="1041"/>
      <c r="X37" s="1013"/>
      <c r="Y37" s="1013"/>
      <c r="Z37" s="1013"/>
      <c r="AA37" s="1013"/>
      <c r="AB37" s="1014"/>
      <c r="AC37" s="1034"/>
      <c r="AD37" s="1139"/>
      <c r="AE37" s="1140"/>
      <c r="AF37" s="1135"/>
      <c r="AG37" s="1136"/>
      <c r="AH37" s="993"/>
      <c r="AI37" s="993"/>
      <c r="AJ37" s="1083"/>
      <c r="AK37" s="1084"/>
      <c r="AL37" s="1006"/>
      <c r="AM37" s="1007"/>
      <c r="AN37" s="1007"/>
      <c r="AO37" s="1037"/>
      <c r="AP37" s="1037"/>
      <c r="AQ37" s="1037"/>
      <c r="AR37" s="1075"/>
      <c r="AS37" s="1076"/>
      <c r="AT37" s="1076"/>
      <c r="AU37" s="1077"/>
      <c r="AV37" s="37"/>
      <c r="AW37" s="37"/>
      <c r="AX37" s="774"/>
      <c r="AY37" s="760"/>
      <c r="AZ37" s="760"/>
      <c r="BA37" s="772"/>
      <c r="BB37" s="772"/>
      <c r="BC37" s="774"/>
      <c r="BD37" s="758"/>
      <c r="BE37" s="776"/>
      <c r="BF37" s="1099"/>
      <c r="BG37" s="776"/>
      <c r="BH37" s="762"/>
      <c r="BI37" s="762"/>
      <c r="BJ37" s="778"/>
      <c r="BK37" s="768"/>
      <c r="BL37" s="768"/>
      <c r="BM37" s="766"/>
      <c r="BN37" s="764"/>
      <c r="BO37" s="764"/>
      <c r="BP37" s="770"/>
      <c r="BQ37" s="766"/>
      <c r="BR37" s="768"/>
      <c r="BS37" s="766"/>
      <c r="BT37" s="766"/>
      <c r="BU37" s="758"/>
      <c r="BV37" s="768"/>
      <c r="BW37" s="758"/>
      <c r="BX37" s="758"/>
      <c r="BY37" s="758"/>
      <c r="BZ37" s="754"/>
      <c r="CA37" s="754"/>
      <c r="CB37" s="754"/>
      <c r="CC37" s="754"/>
    </row>
    <row r="38" spans="2:81" ht="15.95" customHeight="1">
      <c r="B38" s="785"/>
      <c r="C38" s="291"/>
      <c r="D38" s="291"/>
      <c r="E38" s="291"/>
      <c r="F38" s="291"/>
    </row>
    <row r="39" spans="2:81" ht="15.95" hidden="1" customHeight="1">
      <c r="B39" s="785"/>
      <c r="C39" s="291"/>
      <c r="D39" s="291"/>
      <c r="E39" s="291"/>
      <c r="F39" s="291"/>
    </row>
    <row r="40" spans="2:81" ht="15.95" hidden="1" customHeight="1">
      <c r="B40" s="785"/>
      <c r="C40" s="291"/>
      <c r="D40" s="291"/>
      <c r="E40" s="291"/>
      <c r="F40" s="291"/>
    </row>
    <row r="41" spans="2:81" ht="15.95" hidden="1" customHeight="1">
      <c r="B41" s="785"/>
      <c r="C41" s="291"/>
      <c r="D41" s="291"/>
      <c r="E41" s="291"/>
      <c r="F41" s="291"/>
    </row>
    <row r="42" spans="2:81" ht="15.95" hidden="1" customHeight="1">
      <c r="B42" s="785"/>
      <c r="C42" s="291"/>
      <c r="D42" s="291"/>
      <c r="E42" s="291"/>
      <c r="F42" s="291"/>
    </row>
    <row r="43" spans="2:81" ht="15.95" hidden="1" customHeight="1">
      <c r="B43" s="785"/>
      <c r="C43" s="291"/>
      <c r="D43" s="291"/>
      <c r="E43" s="291"/>
      <c r="F43" s="291"/>
    </row>
    <row r="44" spans="2:81" ht="15.95" hidden="1" customHeight="1">
      <c r="B44" s="785"/>
      <c r="C44" s="291"/>
      <c r="D44" s="291"/>
      <c r="E44" s="291"/>
      <c r="F44" s="291"/>
    </row>
    <row r="45" spans="2:81" ht="15.95" hidden="1" customHeight="1">
      <c r="B45" s="785"/>
      <c r="C45" s="291"/>
      <c r="D45" s="291"/>
      <c r="E45" s="291"/>
      <c r="F45" s="291"/>
    </row>
    <row r="46" spans="2:81" ht="15.95" hidden="1" customHeight="1">
      <c r="B46" s="785"/>
      <c r="C46" s="291"/>
      <c r="D46" s="291"/>
      <c r="E46" s="291"/>
      <c r="F46" s="291"/>
    </row>
    <row r="47" spans="2:81" ht="15.95" hidden="1" customHeight="1">
      <c r="B47" s="785"/>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AY200" s="1148">
        <f>IF(OR(COUNTIF(AY18:AZ37,"Missing!")&gt;0,COUNTIF(AY18:AZ37,0)&gt;0,COUNTIFS(AY18:AY37,"",AZ18:AZ37,"",AO18:AO37,"&gt;0")&gt;0),"Missing Units on Custom Water Heating / Food Services. ",SUM(AY18:AZ37))</f>
        <v>0</v>
      </c>
      <c r="BA200" s="1061">
        <f>SUM(BA18:BA37)</f>
        <v>0</v>
      </c>
      <c r="BB200" s="1061">
        <f>SUM(BB18:BB37)</f>
        <v>0</v>
      </c>
      <c r="BF200" s="1062">
        <f>SUM(BF18:BF37)</f>
        <v>0</v>
      </c>
      <c r="BG200" s="1062">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AY201" s="1149"/>
      <c r="BA201" s="1061"/>
      <c r="BB201" s="1061"/>
      <c r="BF201" s="1063"/>
      <c r="BG201" s="1063"/>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row r="209" ht="15" hidden="1" customHeight="1"/>
    <row r="210" ht="15" hidden="1" customHeight="1"/>
  </sheetData>
  <sheetProtection algorithmName="SHA-512" hashValue="uHykTgc88hI/RDr3383yiLPF72aiNG+ATULo7R3YQDuNHDkCNuUOD14CbtmBw7F1ke9WUv9i4CozONjnaaf6QQ==" saltValue="kdFQrRh2YihznpNWIzutHQ==" spinCount="100000" sheet="1" objects="1" scenarios="1" selectLockedCells="1"/>
  <mergeCells count="532">
    <mergeCell ref="BY36:BY37"/>
    <mergeCell ref="BK36:BK37"/>
    <mergeCell ref="BG34:BG35"/>
    <mergeCell ref="BF34:BF35"/>
    <mergeCell ref="BR34:BR35"/>
    <mergeCell ref="BV34:BV35"/>
    <mergeCell ref="AY200:AY201"/>
    <mergeCell ref="BA200:BA201"/>
    <mergeCell ref="BB200:BB201"/>
    <mergeCell ref="BG200:BG201"/>
    <mergeCell ref="BF200:BF201"/>
    <mergeCell ref="BG36:BG37"/>
    <mergeCell ref="BF36:BF37"/>
    <mergeCell ref="BR36:BR37"/>
    <mergeCell ref="BV36:BV37"/>
    <mergeCell ref="BB34:BB35"/>
    <mergeCell ref="BJ34:BJ35"/>
    <mergeCell ref="BC34:BC35"/>
    <mergeCell ref="BX34:BX35"/>
    <mergeCell ref="BP34:BP35"/>
    <mergeCell ref="BT34:BT35"/>
    <mergeCell ref="BD34:BD35"/>
    <mergeCell ref="BE34:BE35"/>
    <mergeCell ref="BH34:BH35"/>
    <mergeCell ref="AX36:AX37"/>
    <mergeCell ref="AY36:AY37"/>
    <mergeCell ref="AZ36:AZ37"/>
    <mergeCell ref="BA36:BA37"/>
    <mergeCell ref="BB36:BB37"/>
    <mergeCell ref="BJ36:BJ37"/>
    <mergeCell ref="BC36:BC37"/>
    <mergeCell ref="BP36:BP37"/>
    <mergeCell ref="BT36:BT37"/>
    <mergeCell ref="BG32:BG33"/>
    <mergeCell ref="BF32:BF33"/>
    <mergeCell ref="BR32:BR33"/>
    <mergeCell ref="BV32:BV33"/>
    <mergeCell ref="BO32:BO33"/>
    <mergeCell ref="AX32:AX33"/>
    <mergeCell ref="AY32:AY33"/>
    <mergeCell ref="AZ32:AZ33"/>
    <mergeCell ref="BA32:BA33"/>
    <mergeCell ref="BB32:BB33"/>
    <mergeCell ref="BJ32:BJ33"/>
    <mergeCell ref="BC32:BC33"/>
    <mergeCell ref="BN32:BN33"/>
    <mergeCell ref="BI34:BI35"/>
    <mergeCell ref="BL34:BL35"/>
    <mergeCell ref="BM34:BM35"/>
    <mergeCell ref="BQ34:BQ35"/>
    <mergeCell ref="BS34:BS35"/>
    <mergeCell ref="BK34:BK35"/>
    <mergeCell ref="BN34:BN35"/>
    <mergeCell ref="BO34:BO35"/>
    <mergeCell ref="AX34:AX35"/>
    <mergeCell ref="AY34:AY35"/>
    <mergeCell ref="AZ34:AZ35"/>
    <mergeCell ref="BA34:BA35"/>
    <mergeCell ref="BP30:BP31"/>
    <mergeCell ref="BG28:BG29"/>
    <mergeCell ref="BF28:BF29"/>
    <mergeCell ref="BR28:BR29"/>
    <mergeCell ref="BV28:BV29"/>
    <mergeCell ref="BT32:BT33"/>
    <mergeCell ref="BW32:BW33"/>
    <mergeCell ref="BU32:BU33"/>
    <mergeCell ref="BY32:BY33"/>
    <mergeCell ref="BK32:BK33"/>
    <mergeCell ref="BP32:BP33"/>
    <mergeCell ref="BG30:BG31"/>
    <mergeCell ref="BF30:BF31"/>
    <mergeCell ref="BR30:BR31"/>
    <mergeCell ref="BV30:BV31"/>
    <mergeCell ref="BT30:BT31"/>
    <mergeCell ref="BW30:BW31"/>
    <mergeCell ref="BU30:BU31"/>
    <mergeCell ref="BY30:BY31"/>
    <mergeCell ref="BK30:BK31"/>
    <mergeCell ref="BT28:BT29"/>
    <mergeCell ref="BW28:BW29"/>
    <mergeCell ref="BU28:BU29"/>
    <mergeCell ref="BY28:BY29"/>
    <mergeCell ref="AX30:AX31"/>
    <mergeCell ref="AY30:AY31"/>
    <mergeCell ref="AZ30:AZ31"/>
    <mergeCell ref="BA30:BA31"/>
    <mergeCell ref="BB30:BB31"/>
    <mergeCell ref="BJ30:BJ31"/>
    <mergeCell ref="BC30:BC31"/>
    <mergeCell ref="BD30:BD31"/>
    <mergeCell ref="BE30:BE31"/>
    <mergeCell ref="BH30:BH31"/>
    <mergeCell ref="BI30:BI31"/>
    <mergeCell ref="BK26:BK27"/>
    <mergeCell ref="BQ26:BQ27"/>
    <mergeCell ref="BS26:BS27"/>
    <mergeCell ref="BX26:BX27"/>
    <mergeCell ref="BO28:BO29"/>
    <mergeCell ref="AX28:AX29"/>
    <mergeCell ref="AY28:AY29"/>
    <mergeCell ref="AZ28:AZ29"/>
    <mergeCell ref="BA28:BA29"/>
    <mergeCell ref="BB28:BB29"/>
    <mergeCell ref="BJ28:BJ29"/>
    <mergeCell ref="BC28:BC29"/>
    <mergeCell ref="BN26:BN27"/>
    <mergeCell ref="BN28:BN29"/>
    <mergeCell ref="BR24:BR25"/>
    <mergeCell ref="BV24:BV25"/>
    <mergeCell ref="BT24:BT25"/>
    <mergeCell ref="BW24:BW25"/>
    <mergeCell ref="BU24:BU25"/>
    <mergeCell ref="BY24:BY25"/>
    <mergeCell ref="BO26:BO27"/>
    <mergeCell ref="AX26:AX27"/>
    <mergeCell ref="AY26:AY27"/>
    <mergeCell ref="AZ26:AZ27"/>
    <mergeCell ref="BA26:BA27"/>
    <mergeCell ref="BB26:BB27"/>
    <mergeCell ref="BJ26:BJ27"/>
    <mergeCell ref="BC26:BC27"/>
    <mergeCell ref="BP26:BP27"/>
    <mergeCell ref="BD26:BD27"/>
    <mergeCell ref="BE26:BE27"/>
    <mergeCell ref="BH26:BH27"/>
    <mergeCell ref="BI26:BI27"/>
    <mergeCell ref="BL26:BL27"/>
    <mergeCell ref="BM26:BM27"/>
    <mergeCell ref="BG26:BG27"/>
    <mergeCell ref="BF26:BF27"/>
    <mergeCell ref="BR26:BR27"/>
    <mergeCell ref="BN24:BN25"/>
    <mergeCell ref="BO24:BO25"/>
    <mergeCell ref="AX24:AX25"/>
    <mergeCell ref="AY24:AY25"/>
    <mergeCell ref="AZ24:AZ25"/>
    <mergeCell ref="BA24:BA25"/>
    <mergeCell ref="BB24:BB25"/>
    <mergeCell ref="BJ24:BJ25"/>
    <mergeCell ref="BC24:BC25"/>
    <mergeCell ref="BG24:BG25"/>
    <mergeCell ref="BF24:BF25"/>
    <mergeCell ref="BR20:BR21"/>
    <mergeCell ref="BV20:BV21"/>
    <mergeCell ref="BG22:BG23"/>
    <mergeCell ref="BF22:BF23"/>
    <mergeCell ref="BR22:BR23"/>
    <mergeCell ref="BV22:BV23"/>
    <mergeCell ref="BP20:BP21"/>
    <mergeCell ref="BU20:BU21"/>
    <mergeCell ref="BY20:BY21"/>
    <mergeCell ref="BK20:BK21"/>
    <mergeCell ref="BT20:BT21"/>
    <mergeCell ref="BW20:BW21"/>
    <mergeCell ref="BQ22:BQ23"/>
    <mergeCell ref="BS22:BS23"/>
    <mergeCell ref="BX22:BX23"/>
    <mergeCell ref="BY18:BY19"/>
    <mergeCell ref="BU16:BU17"/>
    <mergeCell ref="BT16:BT17"/>
    <mergeCell ref="BW16:BW17"/>
    <mergeCell ref="BY16:BY17"/>
    <mergeCell ref="BK16:BK17"/>
    <mergeCell ref="BK18:BK19"/>
    <mergeCell ref="BQ18:BQ19"/>
    <mergeCell ref="BS18:BS19"/>
    <mergeCell ref="BX18:BX19"/>
    <mergeCell ref="BP16:BP17"/>
    <mergeCell ref="BX16:BX17"/>
    <mergeCell ref="BR18:BR19"/>
    <mergeCell ref="BV18:BV19"/>
    <mergeCell ref="BR16:BR17"/>
    <mergeCell ref="BV16:BV17"/>
    <mergeCell ref="BP18:BP19"/>
    <mergeCell ref="BT18:BT19"/>
    <mergeCell ref="BS16:BS17"/>
    <mergeCell ref="BW18:BW19"/>
    <mergeCell ref="BU18:BU19"/>
    <mergeCell ref="BC18:BC19"/>
    <mergeCell ref="BJ16:BJ17"/>
    <mergeCell ref="BC16:BC17"/>
    <mergeCell ref="BO16:BO17"/>
    <mergeCell ref="AX16:AX17"/>
    <mergeCell ref="AY16:AY17"/>
    <mergeCell ref="AZ16:AZ17"/>
    <mergeCell ref="BA16:BA17"/>
    <mergeCell ref="BB16:BB17"/>
    <mergeCell ref="BN16:BN17"/>
    <mergeCell ref="BN18:BN19"/>
    <mergeCell ref="BE16:BF16"/>
    <mergeCell ref="BD16:BD17"/>
    <mergeCell ref="BL16:BL17"/>
    <mergeCell ref="BM16:BM17"/>
    <mergeCell ref="BG18:BG19"/>
    <mergeCell ref="BF18:BF19"/>
    <mergeCell ref="BG16:BG17"/>
    <mergeCell ref="BC22:BC23"/>
    <mergeCell ref="BN20:BN21"/>
    <mergeCell ref="BO20:BO21"/>
    <mergeCell ref="AX20:AX21"/>
    <mergeCell ref="AY20:AY21"/>
    <mergeCell ref="AZ20:AZ21"/>
    <mergeCell ref="BA20:BA21"/>
    <mergeCell ref="BB20:BB21"/>
    <mergeCell ref="BJ20:BJ21"/>
    <mergeCell ref="BC20:BC21"/>
    <mergeCell ref="BN22:BN23"/>
    <mergeCell ref="BH22:BH23"/>
    <mergeCell ref="BI22:BI23"/>
    <mergeCell ref="BL22:BL23"/>
    <mergeCell ref="BM22:BM23"/>
    <mergeCell ref="BK22:BK23"/>
    <mergeCell ref="BG20:BG21"/>
    <mergeCell ref="BF20:BF21"/>
    <mergeCell ref="AJ18:AK19"/>
    <mergeCell ref="AJ22:AK23"/>
    <mergeCell ref="BO22:BO23"/>
    <mergeCell ref="AX22:AX23"/>
    <mergeCell ref="AY22:AY23"/>
    <mergeCell ref="AZ22:AZ23"/>
    <mergeCell ref="BA22:BA23"/>
    <mergeCell ref="BB22:BB23"/>
    <mergeCell ref="BJ22:BJ23"/>
    <mergeCell ref="BO18:BO19"/>
    <mergeCell ref="AX18:AX19"/>
    <mergeCell ref="AY18:AY19"/>
    <mergeCell ref="AZ18:AZ19"/>
    <mergeCell ref="BA18:BA19"/>
    <mergeCell ref="BB18:BB19"/>
    <mergeCell ref="BJ18:BJ19"/>
    <mergeCell ref="BD18:BD19"/>
    <mergeCell ref="BE18:BE19"/>
    <mergeCell ref="BH18:BH19"/>
    <mergeCell ref="BI18:BI19"/>
    <mergeCell ref="BL18:BL19"/>
    <mergeCell ref="BM18:BM19"/>
    <mergeCell ref="BD22:BD23"/>
    <mergeCell ref="BE22:BE23"/>
    <mergeCell ref="AO16:AQ17"/>
    <mergeCell ref="AR16:AU17"/>
    <mergeCell ref="AL26:AN27"/>
    <mergeCell ref="AO18:AQ19"/>
    <mergeCell ref="AR18:AU19"/>
    <mergeCell ref="AR26:AU27"/>
    <mergeCell ref="AR34:AU35"/>
    <mergeCell ref="AL34:AN35"/>
    <mergeCell ref="AO34:AQ35"/>
    <mergeCell ref="AL32:AN33"/>
    <mergeCell ref="AO32:AQ33"/>
    <mergeCell ref="AL22:AN23"/>
    <mergeCell ref="AO30:AQ31"/>
    <mergeCell ref="AR32:AU33"/>
    <mergeCell ref="AO22:AQ23"/>
    <mergeCell ref="AR22:AU23"/>
    <mergeCell ref="AR24:AU25"/>
    <mergeCell ref="AO26:AQ27"/>
    <mergeCell ref="AO24:AQ25"/>
    <mergeCell ref="AR20:AU21"/>
    <mergeCell ref="AO28:AQ29"/>
    <mergeCell ref="C16:G17"/>
    <mergeCell ref="C18:G19"/>
    <mergeCell ref="C20:G21"/>
    <mergeCell ref="C22:G23"/>
    <mergeCell ref="C24:G25"/>
    <mergeCell ref="AL18:AN19"/>
    <mergeCell ref="H20:M21"/>
    <mergeCell ref="C26:G27"/>
    <mergeCell ref="C28:G29"/>
    <mergeCell ref="W22:AB23"/>
    <mergeCell ref="AJ26:AK27"/>
    <mergeCell ref="T24:V25"/>
    <mergeCell ref="AC16:AE17"/>
    <mergeCell ref="T16:V17"/>
    <mergeCell ref="W16:AB17"/>
    <mergeCell ref="N16:S17"/>
    <mergeCell ref="N18:S19"/>
    <mergeCell ref="N20:S21"/>
    <mergeCell ref="N22:S23"/>
    <mergeCell ref="N24:S25"/>
    <mergeCell ref="N26:S27"/>
    <mergeCell ref="AC18:AE19"/>
    <mergeCell ref="T18:V19"/>
    <mergeCell ref="T20:V21"/>
    <mergeCell ref="T22:V23"/>
    <mergeCell ref="W20:AB21"/>
    <mergeCell ref="W18:AB19"/>
    <mergeCell ref="AH22:AI23"/>
    <mergeCell ref="AF20:AG21"/>
    <mergeCell ref="AH20:AI21"/>
    <mergeCell ref="AC20:AE21"/>
    <mergeCell ref="AC22:AE23"/>
    <mergeCell ref="AC24:AE25"/>
    <mergeCell ref="AF18:AG19"/>
    <mergeCell ref="AH18:AI19"/>
    <mergeCell ref="O200:AI201"/>
    <mergeCell ref="AH28:AI29"/>
    <mergeCell ref="AH30:AI31"/>
    <mergeCell ref="N28:S29"/>
    <mergeCell ref="N30:S31"/>
    <mergeCell ref="N32:S33"/>
    <mergeCell ref="AH26:AI27"/>
    <mergeCell ref="N34:S35"/>
    <mergeCell ref="AC36:AE37"/>
    <mergeCell ref="W28:AB29"/>
    <mergeCell ref="W36:AB37"/>
    <mergeCell ref="T36:V37"/>
    <mergeCell ref="N36:S37"/>
    <mergeCell ref="AH34:AI35"/>
    <mergeCell ref="W32:AB33"/>
    <mergeCell ref="W34:AB35"/>
    <mergeCell ref="AH36:AI37"/>
    <mergeCell ref="AH32:AI33"/>
    <mergeCell ref="AF30:AG31"/>
    <mergeCell ref="AC28:AE29"/>
    <mergeCell ref="AC30:AE31"/>
    <mergeCell ref="AR36:AU37"/>
    <mergeCell ref="AO20:AQ21"/>
    <mergeCell ref="AJ20:AK21"/>
    <mergeCell ref="AL36:AN37"/>
    <mergeCell ref="AO36:AQ37"/>
    <mergeCell ref="AR28:AU29"/>
    <mergeCell ref="AR30:AU31"/>
    <mergeCell ref="AL30:AN31"/>
    <mergeCell ref="AL28:AN29"/>
    <mergeCell ref="AJ30:AK31"/>
    <mergeCell ref="AJ28:AK29"/>
    <mergeCell ref="AJ34:AK35"/>
    <mergeCell ref="AJ32:AK33"/>
    <mergeCell ref="AJ24:AK25"/>
    <mergeCell ref="AL24:AN25"/>
    <mergeCell ref="AJ36:AK37"/>
    <mergeCell ref="B46:B47"/>
    <mergeCell ref="B44:B45"/>
    <mergeCell ref="B42:B43"/>
    <mergeCell ref="B40:B41"/>
    <mergeCell ref="B38:B39"/>
    <mergeCell ref="B36:B37"/>
    <mergeCell ref="H36:M37"/>
    <mergeCell ref="H32:M33"/>
    <mergeCell ref="AF32:AG33"/>
    <mergeCell ref="AC32:AE33"/>
    <mergeCell ref="AC34:AE35"/>
    <mergeCell ref="T32:V33"/>
    <mergeCell ref="T34:V35"/>
    <mergeCell ref="H34:M35"/>
    <mergeCell ref="AF34:AG35"/>
    <mergeCell ref="C36:G37"/>
    <mergeCell ref="AF36:AG37"/>
    <mergeCell ref="B26:B27"/>
    <mergeCell ref="H26:M27"/>
    <mergeCell ref="AF26:AG27"/>
    <mergeCell ref="W26:AB27"/>
    <mergeCell ref="B34:B35"/>
    <mergeCell ref="B32:B33"/>
    <mergeCell ref="B30:B31"/>
    <mergeCell ref="B28:B29"/>
    <mergeCell ref="H28:M29"/>
    <mergeCell ref="AF28:AG29"/>
    <mergeCell ref="T26:V27"/>
    <mergeCell ref="T28:V29"/>
    <mergeCell ref="AC26:AE27"/>
    <mergeCell ref="C30:G31"/>
    <mergeCell ref="C32:G33"/>
    <mergeCell ref="H30:M31"/>
    <mergeCell ref="C34:G35"/>
    <mergeCell ref="T30:V31"/>
    <mergeCell ref="W30:AB31"/>
    <mergeCell ref="AP1:AS3"/>
    <mergeCell ref="AT1:AW3"/>
    <mergeCell ref="T12:W13"/>
    <mergeCell ref="X12:AA13"/>
    <mergeCell ref="AB12:AE13"/>
    <mergeCell ref="F1:I3"/>
    <mergeCell ref="J1:M3"/>
    <mergeCell ref="AL1:AO3"/>
    <mergeCell ref="J9:M11"/>
    <mergeCell ref="N9:Q11"/>
    <mergeCell ref="R9:U11"/>
    <mergeCell ref="V9:Y11"/>
    <mergeCell ref="Z9:AC11"/>
    <mergeCell ref="AD9:AG11"/>
    <mergeCell ref="AH9:AK11"/>
    <mergeCell ref="AL9:AO11"/>
    <mergeCell ref="AS5:AW6"/>
    <mergeCell ref="AS7:AW7"/>
    <mergeCell ref="AS8:AW8"/>
    <mergeCell ref="N1:T3"/>
    <mergeCell ref="U1:AK3"/>
    <mergeCell ref="A4:E6"/>
    <mergeCell ref="A7:E8"/>
    <mergeCell ref="B24:B25"/>
    <mergeCell ref="B22:B23"/>
    <mergeCell ref="AL16:AN17"/>
    <mergeCell ref="B20:B21"/>
    <mergeCell ref="H24:M25"/>
    <mergeCell ref="X14:AA14"/>
    <mergeCell ref="AB14:AE14"/>
    <mergeCell ref="AF24:AG25"/>
    <mergeCell ref="AH24:AI25"/>
    <mergeCell ref="B18:B19"/>
    <mergeCell ref="H16:M17"/>
    <mergeCell ref="AF16:AG17"/>
    <mergeCell ref="AH16:AK16"/>
    <mergeCell ref="T14:W14"/>
    <mergeCell ref="H22:M23"/>
    <mergeCell ref="AF22:AG23"/>
    <mergeCell ref="AM13:AU14"/>
    <mergeCell ref="AH17:AI17"/>
    <mergeCell ref="AJ17:AK17"/>
    <mergeCell ref="H18:M19"/>
    <mergeCell ref="W24:AB25"/>
    <mergeCell ref="AL20:AN21"/>
    <mergeCell ref="BZ18:BZ19"/>
    <mergeCell ref="CA18:CA19"/>
    <mergeCell ref="CB18:CB19"/>
    <mergeCell ref="CC18:CC19"/>
    <mergeCell ref="BH16:BH17"/>
    <mergeCell ref="BI16:BI17"/>
    <mergeCell ref="BQ16:BQ17"/>
    <mergeCell ref="BD20:BD21"/>
    <mergeCell ref="BE20:BE21"/>
    <mergeCell ref="BH20:BH21"/>
    <mergeCell ref="BI20:BI21"/>
    <mergeCell ref="BL20:BL21"/>
    <mergeCell ref="BM20:BM21"/>
    <mergeCell ref="BQ20:BQ21"/>
    <mergeCell ref="BS20:BS21"/>
    <mergeCell ref="BX20:BX21"/>
    <mergeCell ref="BZ20:BZ21"/>
    <mergeCell ref="CA20:CA21"/>
    <mergeCell ref="CB20:CB21"/>
    <mergeCell ref="CC20:CC21"/>
    <mergeCell ref="BZ16:BZ17"/>
    <mergeCell ref="CA16:CA17"/>
    <mergeCell ref="CB16:CB17"/>
    <mergeCell ref="CC16:CC17"/>
    <mergeCell ref="BZ22:BZ23"/>
    <mergeCell ref="CA22:CA23"/>
    <mergeCell ref="CB22:CB23"/>
    <mergeCell ref="CC22:CC23"/>
    <mergeCell ref="BD24:BD25"/>
    <mergeCell ref="BE24:BE25"/>
    <mergeCell ref="BH24:BH25"/>
    <mergeCell ref="BI24:BI25"/>
    <mergeCell ref="BL24:BL25"/>
    <mergeCell ref="BM24:BM25"/>
    <mergeCell ref="BQ24:BQ25"/>
    <mergeCell ref="BS24:BS25"/>
    <mergeCell ref="BX24:BX25"/>
    <mergeCell ref="BZ24:BZ25"/>
    <mergeCell ref="CA24:CA25"/>
    <mergeCell ref="CB24:CB25"/>
    <mergeCell ref="CC24:CC25"/>
    <mergeCell ref="BT22:BT23"/>
    <mergeCell ref="BW22:BW23"/>
    <mergeCell ref="BU22:BU23"/>
    <mergeCell ref="BY22:BY23"/>
    <mergeCell ref="BP22:BP23"/>
    <mergeCell ref="BK24:BK25"/>
    <mergeCell ref="BP24:BP25"/>
    <mergeCell ref="BZ26:BZ27"/>
    <mergeCell ref="CA26:CA27"/>
    <mergeCell ref="CB26:CB27"/>
    <mergeCell ref="CC26:CC27"/>
    <mergeCell ref="BD28:BD29"/>
    <mergeCell ref="BE28:BE29"/>
    <mergeCell ref="BH28:BH29"/>
    <mergeCell ref="BI28:BI29"/>
    <mergeCell ref="BL28:BL29"/>
    <mergeCell ref="BM28:BM29"/>
    <mergeCell ref="BQ28:BQ29"/>
    <mergeCell ref="BS28:BS29"/>
    <mergeCell ref="BX28:BX29"/>
    <mergeCell ref="BZ28:BZ29"/>
    <mergeCell ref="CA28:CA29"/>
    <mergeCell ref="CB28:CB29"/>
    <mergeCell ref="CC28:CC29"/>
    <mergeCell ref="BK28:BK29"/>
    <mergeCell ref="BP28:BP29"/>
    <mergeCell ref="BV26:BV27"/>
    <mergeCell ref="BT26:BT27"/>
    <mergeCell ref="BW26:BW27"/>
    <mergeCell ref="BU26:BU27"/>
    <mergeCell ref="BY26:BY27"/>
    <mergeCell ref="BQ30:BQ31"/>
    <mergeCell ref="BS30:BS31"/>
    <mergeCell ref="BX30:BX31"/>
    <mergeCell ref="BZ30:BZ31"/>
    <mergeCell ref="CA30:CA31"/>
    <mergeCell ref="CB30:CB31"/>
    <mergeCell ref="CC30:CC31"/>
    <mergeCell ref="BD32:BD33"/>
    <mergeCell ref="BE32:BE33"/>
    <mergeCell ref="BH32:BH33"/>
    <mergeCell ref="BI32:BI33"/>
    <mergeCell ref="BL32:BL33"/>
    <mergeCell ref="BM32:BM33"/>
    <mergeCell ref="BQ32:BQ33"/>
    <mergeCell ref="BS32:BS33"/>
    <mergeCell ref="BX32:BX33"/>
    <mergeCell ref="BZ32:BZ33"/>
    <mergeCell ref="CA32:CA33"/>
    <mergeCell ref="CB32:CB33"/>
    <mergeCell ref="CC32:CC33"/>
    <mergeCell ref="BN30:BN31"/>
    <mergeCell ref="BO30:BO31"/>
    <mergeCell ref="BL30:BL31"/>
    <mergeCell ref="BM30:BM31"/>
    <mergeCell ref="BZ34:BZ35"/>
    <mergeCell ref="CA34:CA35"/>
    <mergeCell ref="CB34:CB35"/>
    <mergeCell ref="CC34:CC35"/>
    <mergeCell ref="BD36:BD37"/>
    <mergeCell ref="BE36:BE37"/>
    <mergeCell ref="BH36:BH37"/>
    <mergeCell ref="BI36:BI37"/>
    <mergeCell ref="BL36:BL37"/>
    <mergeCell ref="BM36:BM37"/>
    <mergeCell ref="BQ36:BQ37"/>
    <mergeCell ref="BS36:BS37"/>
    <mergeCell ref="BX36:BX37"/>
    <mergeCell ref="BZ36:BZ37"/>
    <mergeCell ref="CA36:CA37"/>
    <mergeCell ref="CB36:CB37"/>
    <mergeCell ref="CC36:CC37"/>
    <mergeCell ref="BW34:BW35"/>
    <mergeCell ref="BU34:BU35"/>
    <mergeCell ref="BY34:BY35"/>
    <mergeCell ref="BN36:BN37"/>
    <mergeCell ref="BO36:BO37"/>
    <mergeCell ref="BW36:BW37"/>
    <mergeCell ref="BU36:BU37"/>
  </mergeCells>
  <conditionalFormatting sqref="N18 T18 W18 AC18 H18:M19 AF18:AK37 H20:N20 T20 W20 AC20 H21:M37 N22 T22 W22 AC22 N24 T24 W24 AC24 N26 T26 W26 AC26 N28 T28 W28 AC28 N30 T30 W30 AC30 N32 T32 W32 AC32 N34 T34 W34 AC34 N36 T36 W36 AC36">
    <cfRule type="expression" dxfId="69" priority="1450">
      <formula>AND(ISBLANK($C18)=FALSE,OR(ISBLANK(H18)=TRUE,H18=""))</formula>
    </cfRule>
  </conditionalFormatting>
  <conditionalFormatting sqref="AR18:AU37">
    <cfRule type="expression" dxfId="68" priority="1462" stopIfTrue="1">
      <formula>ISNUMBER($AR18)=FALSE</formula>
    </cfRule>
    <cfRule type="expression" dxfId="67" priority="1463">
      <formula>$AR18 &lt;&gt; #REF!</formula>
    </cfRule>
  </conditionalFormatting>
  <conditionalFormatting sqref="AS8:AW8">
    <cfRule type="expression" dxfId="66" priority="19">
      <formula>IF($AS$8=PROJSTATMEASURE,FALSE,TRUE)</formula>
    </cfRule>
  </conditionalFormatting>
  <dataValidations count="7">
    <dataValidation type="list" allowBlank="1" showInputMessage="1" showErrorMessage="1" sqref="H18:M37" xr:uid="{6C51751A-4B4C-407A-A586-EF36F944A8BB}">
      <formula1>CMECOOKDESC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C20764FA-32EC-4D84-AAF3-9F419E36EBB0}">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CFCB7C10-3C60-429B-9B3D-51B4DF439F78}">
      <formula1>COSTTYPELIST</formula1>
    </dataValidation>
    <dataValidation type="decimal" allowBlank="1" showInputMessage="1" showErrorMessage="1" promptTitle="Incremental Cost" prompt="This is the difference between the actual cost of installed Labor and the cost of the hypothetical baseline." sqref="AJ18:AK37" xr:uid="{7FBA2E00-ADBC-4931-80BD-AE3A70EFEA7A}">
      <formula1>0</formula1>
      <formula2>999999999</formula2>
    </dataValidation>
    <dataValidation type="decimal" allowBlank="1" showInputMessage="1" showErrorMessage="1" promptTitle="Incremental Cost" prompt="This is the difference between actual cost of installed Equipment and the cost of the hypothetical baseline." sqref="AH18:AI37" xr:uid="{4F57DDBF-B202-4BD4-9EDB-B38E361EC309}">
      <formula1>0</formula1>
      <formula2>999999999</formula2>
    </dataValidation>
    <dataValidation type="whole" operator="greaterThanOrEqual" allowBlank="1" showInputMessage="1" showErrorMessage="1" errorTitle="Invalid Entry" error="Value must be a whole number." sqref="T18:V37 AC18:AE37" xr:uid="{29E4E8DD-54FD-4B23-B69B-0DB2C3B92237}">
      <formula1>0</formula1>
    </dataValidation>
    <dataValidation type="list" allowBlank="1" showInputMessage="1" showErrorMessage="1" sqref="BC18:BC37" xr:uid="{19EB9F8C-1962-4CCE-AEFE-35DDAC4473EF}">
      <formula1>ENDUSECAT</formula1>
    </dataValidation>
  </dataValidations>
  <hyperlinks>
    <hyperlink ref="B202" r:id="rId1" display="businessrebates@evergy.com" xr:uid="{FF1C3A61-9798-4D6B-8CFE-DAA4BB03327F}"/>
    <hyperlink ref="J1:M3" location="'M01-S02'!J1" tooltip="Instructions" display="'M01-S02'!J1" xr:uid="{9CBC8E77-49D1-44EE-AC7B-FC204934ECCB}"/>
    <hyperlink ref="AP1:AS3" location="'M05-S05'!AL1" tooltip=" " display="'M05-S05'!AL1" xr:uid="{E266DA0B-BD31-48D1-B476-D584582477B2}"/>
    <hyperlink ref="AL1:AO3" location="'M05-S04'!AH1" tooltip=" " display="'M05-S04'!AH1" xr:uid="{3D1438CA-73C0-4527-BF61-3C287CB20AC8}"/>
    <hyperlink ref="AT1:AW3" location="'M01-S03'!AP1" tooltip="Contact" display="'M01-S03'!AP1" xr:uid="{C9764570-2BAE-45E8-81AA-0CF942A5EB15}"/>
    <hyperlink ref="N9:Q11" location="'M04-S03'!A1" tooltip="Lighting Controls" display="'M04-S03'!A1" xr:uid="{9B2A99D5-01E6-4080-99BE-DD07D011074C}"/>
    <hyperlink ref="R9:U11" location="'M04-S04'!A1" tooltip="Refrigeration" display="'M04-S04'!A1" xr:uid="{3A8B33DA-FC42-4D67-8917-D31BD01C6EDE}"/>
    <hyperlink ref="V9:Y11" location="'M04-S05'!A1" tooltip="HVAC" display="'M04-S05'!A1" xr:uid="{AFF99E75-D3BC-4C68-B52A-068A032690C3}"/>
    <hyperlink ref="AD9:AG11" location="'M04-S06'!A1" tooltip="Compressed Air / Process" display="'M04-S06'!A1" xr:uid="{B2276F80-6037-4871-8CB7-800DAEAA4E63}"/>
    <hyperlink ref="AH9:AK11" location="'M04-S07'!A1" tooltip="Water Heating / Cooking" display="'M04-S07'!A1" xr:uid="{3451C7C6-07ED-405C-AAEF-6196BCA7D7C3}"/>
    <hyperlink ref="Z9:AC11" location="'M04-S08'!A1" tooltip="Motors and Drives" display="'M04-S08'!A1" xr:uid="{DDF27C83-0763-41B3-A2FC-CEA4395642EA}"/>
    <hyperlink ref="AL9:AO11" location="'M04-S09'!A1" tooltip="Miscellaneous" display="'M04-S09'!A1" xr:uid="{D14B73B5-AAE9-44B0-9105-FD9C35A94B81}"/>
    <hyperlink ref="J9:M11" location="'M04-S02'!A1" tooltip="Lighting" display="'M04-S02'!A1" xr:uid="{FE85D387-5760-47C6-8557-F440DEB084F3}"/>
  </hyperlinks>
  <printOptions horizontalCentered="1"/>
  <pageMargins left="0" right="0" top="0" bottom="0" header="0" footer="0"/>
  <pageSetup scale="43"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theme="8" tint="0.59999389629810485"/>
    <pageSetUpPr fitToPage="1"/>
  </sheetPr>
  <dimension ref="A1:CW206"/>
  <sheetViews>
    <sheetView showGridLines="0" showRowColHeaders="0" zoomScale="85" zoomScaleNormal="85" workbookViewId="0">
      <selection activeCell="C18" sqref="C18:G19"/>
    </sheetView>
  </sheetViews>
  <sheetFormatPr defaultColWidth="0" defaultRowHeight="0" customHeight="1" zeroHeight="1"/>
  <cols>
    <col min="1" max="49" width="4.7109375" style="17" customWidth="1"/>
    <col min="50" max="55" width="11.7109375" style="17" hidden="1"/>
    <col min="56" max="56" width="13.85546875" style="17" hidden="1"/>
    <col min="57" max="64" width="11.7109375" style="17" hidden="1"/>
    <col min="65" max="65" width="13.28515625" style="17" hidden="1"/>
    <col min="66" max="72" width="11.7109375" style="17" hidden="1"/>
    <col min="73" max="74" width="8.85546875" style="17" hidden="1"/>
    <col min="75" max="75" width="10.42578125" style="17" hidden="1"/>
    <col min="76" max="76" width="8.85546875" style="17" hidden="1"/>
    <col min="77" max="77" width="12.7109375" style="17" hidden="1"/>
    <col min="78" max="81" width="13.7109375" style="17" hidden="1"/>
    <col min="82" max="101" width="8.85546875" style="17" hidden="1"/>
    <col min="102" max="16384" width="4.7109375" style="17" hidden="1"/>
  </cols>
  <sheetData>
    <row r="1" spans="1:81" customFormat="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customFormat="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customFormat="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c r="Y4"/>
      <c r="Z4"/>
      <c r="AA4"/>
      <c r="AB4"/>
      <c r="AC4"/>
      <c r="AS4"/>
      <c r="AT4"/>
      <c r="AU4"/>
      <c r="AV4"/>
      <c r="AW4"/>
    </row>
    <row r="5" spans="1:81" ht="15.95" customHeight="1">
      <c r="A5" s="692"/>
      <c r="B5" s="692"/>
      <c r="C5" s="692"/>
      <c r="D5" s="692"/>
      <c r="E5" s="692"/>
      <c r="F5" s="374"/>
      <c r="G5" s="374"/>
      <c r="H5" s="374"/>
      <c r="I5" s="374"/>
      <c r="J5"/>
      <c r="K5"/>
      <c r="L5"/>
      <c r="M5"/>
      <c r="N5"/>
      <c r="O5"/>
      <c r="P5"/>
      <c r="Q5"/>
      <c r="R5"/>
      <c r="S5"/>
      <c r="T5"/>
      <c r="U5"/>
      <c r="V5"/>
      <c r="W5"/>
      <c r="X5"/>
      <c r="Y5"/>
      <c r="Z5"/>
      <c r="AA5"/>
      <c r="AB5"/>
      <c r="AC5"/>
      <c r="AD5"/>
      <c r="AE5"/>
      <c r="AF5"/>
      <c r="AG5"/>
      <c r="AH5"/>
      <c r="AI5"/>
      <c r="AJ5"/>
      <c r="AK5"/>
      <c r="AL5"/>
      <c r="AM5"/>
      <c r="AN5"/>
      <c r="AO5"/>
      <c r="AP5"/>
      <c r="AQ5"/>
      <c r="AR5"/>
      <c r="AS5" s="988">
        <f ca="1">PROGRESSSTATUS</f>
        <v>0</v>
      </c>
      <c r="AT5" s="988"/>
      <c r="AU5" s="988"/>
      <c r="AV5" s="988"/>
      <c r="AW5" s="988"/>
      <c r="AY5" s="108" t="s">
        <v>933</v>
      </c>
      <c r="AZ5" s="108" t="s">
        <v>325</v>
      </c>
      <c r="BA5" s="45"/>
      <c r="BB5" s="45"/>
    </row>
    <row r="6" spans="1:81" ht="15.95" customHeight="1">
      <c r="A6" s="692"/>
      <c r="B6" s="692"/>
      <c r="C6" s="692"/>
      <c r="D6" s="692"/>
      <c r="E6" s="692"/>
      <c r="F6" s="374"/>
      <c r="G6" s="374"/>
      <c r="H6" s="374"/>
      <c r="I6" s="374"/>
      <c r="J6"/>
      <c r="K6"/>
      <c r="L6"/>
      <c r="M6"/>
      <c r="N6"/>
      <c r="O6"/>
      <c r="P6"/>
      <c r="Q6"/>
      <c r="R6"/>
      <c r="S6"/>
      <c r="T6"/>
      <c r="U6"/>
      <c r="V6"/>
      <c r="W6"/>
      <c r="X6"/>
      <c r="Y6"/>
      <c r="Z6"/>
      <c r="AA6"/>
      <c r="AB6"/>
      <c r="AC6"/>
      <c r="AD6"/>
      <c r="AE6"/>
      <c r="AF6"/>
      <c r="AG6"/>
      <c r="AH6"/>
      <c r="AI6"/>
      <c r="AJ6"/>
      <c r="AK6"/>
      <c r="AL6"/>
      <c r="AM6"/>
      <c r="AN6"/>
      <c r="AO6"/>
      <c r="AP6"/>
      <c r="AQ6"/>
      <c r="AR6"/>
      <c r="AS6" s="988"/>
      <c r="AT6" s="988"/>
      <c r="AU6" s="988"/>
      <c r="AV6" s="988"/>
      <c r="AW6" s="988"/>
      <c r="AX6" s="107" t="s">
        <v>938</v>
      </c>
      <c r="AY6" s="106" t="str">
        <f>CBPRESE</f>
        <v>NA</v>
      </c>
      <c r="AZ6" s="165" t="str">
        <f>PAYPRESE</f>
        <v>NA</v>
      </c>
      <c r="BA6" s="45"/>
      <c r="BB6" s="45"/>
    </row>
    <row r="7" spans="1:81" ht="15.95" customHeight="1">
      <c r="A7" s="662" t="s">
        <v>83</v>
      </c>
      <c r="B7" s="662"/>
      <c r="C7" s="662"/>
      <c r="D7" s="662"/>
      <c r="E7" s="662"/>
      <c r="F7" s="75"/>
      <c r="G7" s="75"/>
      <c r="H7" s="75"/>
      <c r="I7" s="75"/>
      <c r="J7"/>
      <c r="K7"/>
      <c r="L7"/>
      <c r="M7"/>
      <c r="N7"/>
      <c r="O7"/>
      <c r="P7"/>
      <c r="Q7"/>
      <c r="R7"/>
      <c r="S7"/>
      <c r="T7"/>
      <c r="U7"/>
      <c r="V7"/>
      <c r="W7"/>
      <c r="X7"/>
      <c r="Y7"/>
      <c r="Z7"/>
      <c r="AA7"/>
      <c r="AB7"/>
      <c r="AC7"/>
      <c r="AD7"/>
      <c r="AE7"/>
      <c r="AF7"/>
      <c r="AG7"/>
      <c r="AH7"/>
      <c r="AI7"/>
      <c r="AJ7"/>
      <c r="AK7"/>
      <c r="AL7"/>
      <c r="AM7"/>
      <c r="AN7"/>
      <c r="AO7"/>
      <c r="AP7"/>
      <c r="AQ7"/>
      <c r="AR7"/>
      <c r="AS7" s="662" t="s">
        <v>299</v>
      </c>
      <c r="AT7" s="662"/>
      <c r="AU7" s="662"/>
      <c r="AV7" s="662"/>
      <c r="AW7" s="662"/>
      <c r="AX7" s="107" t="s">
        <v>135</v>
      </c>
      <c r="AY7" s="106" t="str">
        <f>CBCUSE</f>
        <v>NA</v>
      </c>
      <c r="AZ7" s="165" t="str">
        <f>PAYCUSE</f>
        <v>NA</v>
      </c>
      <c r="BA7" s="45"/>
      <c r="BB7" s="45"/>
      <c r="BC7" s="105"/>
    </row>
    <row r="8" spans="1:81" ht="15.95" customHeight="1" thickBot="1">
      <c r="A8" s="665"/>
      <c r="B8" s="665"/>
      <c r="C8" s="665"/>
      <c r="D8" s="665"/>
      <c r="E8" s="665"/>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61" t="str">
        <f ca="1">PROJSTATUS</f>
        <v>Enter Measures</v>
      </c>
      <c r="AT8" s="661"/>
      <c r="AU8" s="661"/>
      <c r="AV8" s="661"/>
      <c r="AW8" s="661"/>
      <c r="AX8" s="107" t="s">
        <v>596</v>
      </c>
      <c r="AY8" s="106" t="str">
        <f>CBALL</f>
        <v>NA</v>
      </c>
      <c r="AZ8" s="165" t="str">
        <f>PAYALL</f>
        <v>NA</v>
      </c>
      <c r="BA8" s="45"/>
      <c r="BB8" s="45"/>
    </row>
    <row r="9" spans="1:81" s="102" customFormat="1" ht="15.95" customHeight="1">
      <c r="B9" s="79"/>
      <c r="C9" s="79"/>
      <c r="D9" s="79"/>
      <c r="E9" s="79"/>
      <c r="F9" s="79"/>
      <c r="I9" s="78"/>
      <c r="J9" s="829" t="str">
        <f>M3S2</f>
        <v>Lighting</v>
      </c>
      <c r="K9" s="830"/>
      <c r="L9" s="830"/>
      <c r="M9" s="830"/>
      <c r="N9" s="829" t="str">
        <f>M3S3</f>
        <v>Lighting Controls</v>
      </c>
      <c r="O9" s="830"/>
      <c r="P9" s="830"/>
      <c r="Q9" s="830"/>
      <c r="R9" s="829" t="str">
        <f>M3S4</f>
        <v>Refrigeration</v>
      </c>
      <c r="S9" s="830"/>
      <c r="T9" s="830"/>
      <c r="U9" s="830"/>
      <c r="V9" s="829" t="str">
        <f>M3S5</f>
        <v>HVAC</v>
      </c>
      <c r="W9" s="830"/>
      <c r="X9" s="830"/>
      <c r="Y9" s="830"/>
      <c r="Z9" s="829" t="str">
        <f>M4S8</f>
        <v>Motors and Drives</v>
      </c>
      <c r="AA9" s="830"/>
      <c r="AB9" s="830"/>
      <c r="AC9" s="830"/>
      <c r="AD9" s="829" t="str">
        <f>M3S6</f>
        <v>Compressed Air / Process</v>
      </c>
      <c r="AE9" s="830"/>
      <c r="AF9" s="830"/>
      <c r="AG9" s="830"/>
      <c r="AH9" s="829" t="str">
        <f>M3S7</f>
        <v>Water Heating / Food Services</v>
      </c>
      <c r="AI9" s="830"/>
      <c r="AJ9" s="830"/>
      <c r="AK9" s="830"/>
      <c r="AL9" s="842" t="str">
        <f>M4S9</f>
        <v>Miscellaneous</v>
      </c>
      <c r="AM9" s="842"/>
      <c r="AN9" s="842"/>
      <c r="AO9" s="842"/>
      <c r="AP9" s="79"/>
      <c r="AQ9" s="79"/>
      <c r="AR9" s="79"/>
      <c r="AS9" s="17"/>
      <c r="AT9" s="17"/>
      <c r="AU9" s="79"/>
      <c r="AV9" s="79"/>
    </row>
    <row r="10" spans="1:81" s="102" customFormat="1" ht="15.95" customHeight="1">
      <c r="B10" s="79"/>
      <c r="C10" s="79"/>
      <c r="D10" s="79"/>
      <c r="E10" s="79"/>
      <c r="F10" s="79"/>
      <c r="I10" s="78"/>
      <c r="J10" s="831"/>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831"/>
      <c r="AI10" s="831"/>
      <c r="AJ10" s="831"/>
      <c r="AK10" s="831"/>
      <c r="AL10" s="843"/>
      <c r="AM10" s="843"/>
      <c r="AN10" s="843"/>
      <c r="AO10" s="843"/>
      <c r="AP10" s="79"/>
      <c r="AQ10" s="79"/>
      <c r="AR10" s="79"/>
      <c r="AS10" s="17"/>
      <c r="AT10" s="17"/>
      <c r="AU10" s="79"/>
      <c r="AV10" s="79"/>
    </row>
    <row r="11" spans="1:81" ht="15.95" customHeight="1">
      <c r="B11" s="96"/>
      <c r="C11" s="96"/>
      <c r="D11" s="96"/>
      <c r="E11" s="96"/>
      <c r="F11" s="96"/>
      <c r="I11"/>
      <c r="J11" s="831"/>
      <c r="K11" s="831"/>
      <c r="L11" s="831"/>
      <c r="M11" s="831"/>
      <c r="N11" s="831"/>
      <c r="O11" s="831"/>
      <c r="P11" s="831"/>
      <c r="Q11" s="831"/>
      <c r="R11" s="831"/>
      <c r="S11" s="831"/>
      <c r="T11" s="831"/>
      <c r="U11" s="831"/>
      <c r="V11" s="831"/>
      <c r="W11" s="831"/>
      <c r="X11" s="831"/>
      <c r="Y11" s="831"/>
      <c r="Z11" s="831"/>
      <c r="AA11" s="831"/>
      <c r="AB11" s="831"/>
      <c r="AC11" s="831"/>
      <c r="AD11" s="831"/>
      <c r="AE11" s="831"/>
      <c r="AF11" s="831"/>
      <c r="AG11" s="831"/>
      <c r="AH11" s="831"/>
      <c r="AI11" s="831"/>
      <c r="AJ11" s="831"/>
      <c r="AK11" s="831"/>
      <c r="AL11" s="843"/>
      <c r="AM11" s="843"/>
      <c r="AN11" s="843"/>
      <c r="AO11" s="843"/>
      <c r="AP11" s="96"/>
      <c r="AQ11" s="96"/>
      <c r="AR11" s="96"/>
      <c r="AU11" s="96"/>
      <c r="AV11" s="96"/>
      <c r="AX11"/>
      <c r="AY11"/>
      <c r="AZ11"/>
      <c r="BA11"/>
      <c r="BB11"/>
      <c r="BC11"/>
      <c r="BD11"/>
      <c r="BE11"/>
      <c r="BF11"/>
      <c r="BG11"/>
      <c r="BH11"/>
      <c r="BI11"/>
      <c r="BJ11"/>
      <c r="BK11"/>
      <c r="BL11"/>
      <c r="BM11"/>
      <c r="BN11"/>
      <c r="BO11"/>
      <c r="BP11"/>
      <c r="BQ11"/>
      <c r="BR11"/>
      <c r="BS11"/>
      <c r="BT11"/>
      <c r="BU11"/>
      <c r="BV11"/>
      <c r="BW11"/>
      <c r="BX11"/>
      <c r="BY11"/>
      <c r="BZ11"/>
      <c r="CA11"/>
      <c r="CB11"/>
      <c r="CC11"/>
    </row>
    <row r="12" spans="1:81" ht="15.95" customHeight="1">
      <c r="A12" s="76"/>
      <c r="B12" s="76"/>
      <c r="C12" s="76"/>
      <c r="D12" s="76"/>
      <c r="E12" s="76"/>
      <c r="F12" s="76"/>
      <c r="G12" s="76"/>
      <c r="T12" s="837">
        <f>SUM(AR18:AU195)</f>
        <v>0</v>
      </c>
      <c r="U12" s="837"/>
      <c r="V12" s="837"/>
      <c r="W12" s="837"/>
      <c r="X12" s="837">
        <f ca="1">SUMIF(AR18:AU195,"&gt;0",AL18:AN195)</f>
        <v>0</v>
      </c>
      <c r="Y12" s="837"/>
      <c r="Z12" s="837"/>
      <c r="AA12" s="837"/>
      <c r="AB12" s="836">
        <f ca="1">SUMIF(AR18:AU195,"&gt;0",AO18:AQ195)</f>
        <v>0</v>
      </c>
      <c r="AC12" s="836"/>
      <c r="AD12" s="836"/>
      <c r="AE12" s="836"/>
      <c r="AX12"/>
      <c r="AY12"/>
      <c r="AZ12"/>
      <c r="BA12"/>
      <c r="BB12"/>
      <c r="BC12"/>
      <c r="BD12"/>
      <c r="BE12"/>
      <c r="BF12"/>
      <c r="BG12"/>
      <c r="BH12"/>
      <c r="BI12"/>
      <c r="BJ12"/>
      <c r="BK12"/>
      <c r="BL12"/>
      <c r="BM12"/>
      <c r="BN12"/>
      <c r="BO12"/>
      <c r="BP12"/>
      <c r="BQ12"/>
      <c r="BR12"/>
      <c r="BS12"/>
      <c r="BT12"/>
      <c r="BU12"/>
      <c r="BV12"/>
      <c r="BW12"/>
      <c r="BX12"/>
      <c r="BY12"/>
      <c r="BZ12"/>
      <c r="CA12"/>
      <c r="CB12"/>
      <c r="CC12"/>
    </row>
    <row r="13" spans="1:81" ht="15.95" customHeight="1">
      <c r="A13" s="76"/>
      <c r="B13" s="76"/>
      <c r="C13" s="76"/>
      <c r="D13" s="76"/>
      <c r="E13"/>
      <c r="F13"/>
      <c r="G13"/>
      <c r="H13"/>
      <c r="I13"/>
      <c r="J13"/>
      <c r="K13"/>
      <c r="L13"/>
      <c r="M13"/>
      <c r="N13"/>
      <c r="O13"/>
      <c r="P13"/>
      <c r="Q13"/>
      <c r="R13"/>
      <c r="T13" s="837"/>
      <c r="U13" s="837"/>
      <c r="V13" s="837"/>
      <c r="W13" s="837"/>
      <c r="X13" s="837"/>
      <c r="Y13" s="837"/>
      <c r="Z13" s="837"/>
      <c r="AA13" s="837"/>
      <c r="AB13" s="836"/>
      <c r="AC13" s="836"/>
      <c r="AD13" s="836"/>
      <c r="AE13" s="836"/>
      <c r="AM13" s="839" t="str">
        <f>IF(OR(IFERROR(MATCH("75% Total Cost", BM:BM, 0), FALSE), IFERROR(MATCH("100% Incremental Cost", BM:BM, 0), FALSE)), "The incentive for one or more measures is capped due to measure cost.", "")</f>
        <v/>
      </c>
      <c r="AN13" s="839"/>
      <c r="AO13" s="839"/>
      <c r="AP13" s="839"/>
      <c r="AQ13" s="839"/>
      <c r="AR13" s="839"/>
      <c r="AS13" s="839"/>
      <c r="AT13" s="839"/>
      <c r="AU13" s="839"/>
      <c r="AX13"/>
      <c r="AY13"/>
      <c r="AZ13"/>
      <c r="BA13"/>
      <c r="BB13"/>
      <c r="BC13"/>
      <c r="BD13"/>
      <c r="BE13"/>
      <c r="BF13"/>
      <c r="BG13"/>
      <c r="BH13"/>
      <c r="BI13"/>
      <c r="BJ13"/>
      <c r="BK13"/>
      <c r="BL13"/>
      <c r="BM13"/>
      <c r="BN13"/>
      <c r="BO13"/>
      <c r="BP13"/>
      <c r="BQ13"/>
      <c r="BR13"/>
      <c r="BS13"/>
      <c r="BT13"/>
      <c r="BU13"/>
      <c r="BV13"/>
      <c r="BW13"/>
      <c r="BX13"/>
      <c r="BY13"/>
      <c r="BZ13"/>
      <c r="CA13"/>
      <c r="CB13"/>
      <c r="CC13"/>
    </row>
    <row r="14" spans="1:81" ht="15.95" customHeight="1">
      <c r="E14"/>
      <c r="F14"/>
      <c r="G14"/>
      <c r="H14"/>
      <c r="I14"/>
      <c r="J14"/>
      <c r="K14"/>
      <c r="L14"/>
      <c r="M14"/>
      <c r="N14"/>
      <c r="O14"/>
      <c r="P14"/>
      <c r="Q14"/>
      <c r="R14"/>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X14"/>
      <c r="AY14"/>
      <c r="AZ14"/>
      <c r="BA14"/>
      <c r="BB14"/>
      <c r="BC14"/>
      <c r="BD14" s="542" t="s">
        <v>2112</v>
      </c>
      <c r="BE14" s="542" t="s">
        <v>2112</v>
      </c>
      <c r="BF14"/>
      <c r="BG14"/>
      <c r="BH14"/>
      <c r="BI14"/>
      <c r="BJ14"/>
      <c r="BK14"/>
      <c r="BL14" s="542" t="s">
        <v>2112</v>
      </c>
      <c r="BM14"/>
      <c r="BN14"/>
      <c r="BO14" s="51" t="s">
        <v>3048</v>
      </c>
      <c r="BP14"/>
      <c r="BQ14"/>
      <c r="BR14"/>
      <c r="BS14"/>
      <c r="BT14"/>
      <c r="BU14"/>
      <c r="BV14"/>
      <c r="BW14"/>
      <c r="BX14" s="542" t="s">
        <v>2112</v>
      </c>
      <c r="BY14"/>
      <c r="BZ14"/>
      <c r="CA14"/>
      <c r="CB14"/>
      <c r="CC14"/>
    </row>
    <row r="15" spans="1:81" ht="15.95" customHeight="1">
      <c r="BM15"/>
      <c r="BS15"/>
      <c r="BT15"/>
    </row>
    <row r="16" spans="1:81" ht="15.95" customHeight="1">
      <c r="C16" s="832" t="s">
        <v>927</v>
      </c>
      <c r="D16" s="832"/>
      <c r="E16" s="832"/>
      <c r="F16" s="832"/>
      <c r="G16" s="832"/>
      <c r="H16" s="832" t="s">
        <v>859</v>
      </c>
      <c r="I16" s="832"/>
      <c r="J16" s="832"/>
      <c r="K16" s="832"/>
      <c r="L16" s="832"/>
      <c r="M16" s="832"/>
      <c r="N16" s="832" t="s">
        <v>928</v>
      </c>
      <c r="O16" s="832"/>
      <c r="P16" s="832"/>
      <c r="Q16" s="832"/>
      <c r="R16" s="832"/>
      <c r="S16" s="832"/>
      <c r="T16" s="832" t="s">
        <v>1851</v>
      </c>
      <c r="U16" s="832"/>
      <c r="V16" s="832"/>
      <c r="W16" s="832" t="s">
        <v>929</v>
      </c>
      <c r="X16" s="832"/>
      <c r="Y16" s="832"/>
      <c r="Z16" s="832"/>
      <c r="AA16" s="832"/>
      <c r="AB16" s="832"/>
      <c r="AC16" s="832" t="s">
        <v>1852</v>
      </c>
      <c r="AD16" s="832"/>
      <c r="AE16" s="832"/>
      <c r="AF16" s="832" t="s">
        <v>930</v>
      </c>
      <c r="AG16" s="832"/>
      <c r="AH16" s="860" t="s">
        <v>876</v>
      </c>
      <c r="AI16" s="860"/>
      <c r="AJ16" s="860"/>
      <c r="AK16" s="860"/>
      <c r="AL16" s="832" t="s">
        <v>923</v>
      </c>
      <c r="AM16" s="832"/>
      <c r="AN16" s="832"/>
      <c r="AO16" s="832" t="s">
        <v>735</v>
      </c>
      <c r="AP16" s="832"/>
      <c r="AQ16" s="832"/>
      <c r="AR16" s="832" t="s">
        <v>83</v>
      </c>
      <c r="AS16" s="832"/>
      <c r="AT16" s="832"/>
      <c r="AU16" s="832"/>
      <c r="AV16" s="59"/>
      <c r="AW16" s="59"/>
      <c r="AX16" s="779" t="s">
        <v>743</v>
      </c>
      <c r="AY16" s="779" t="s">
        <v>1985</v>
      </c>
      <c r="AZ16" s="779" t="s">
        <v>942</v>
      </c>
      <c r="BA16" s="779" t="s">
        <v>635</v>
      </c>
      <c r="BB16" s="779" t="s">
        <v>875</v>
      </c>
      <c r="BC16" s="779" t="s">
        <v>924</v>
      </c>
      <c r="BD16" s="781" t="s">
        <v>1701</v>
      </c>
      <c r="BE16" s="783" t="s">
        <v>874</v>
      </c>
      <c r="BF16" s="783"/>
      <c r="BG16" s="779" t="s">
        <v>926</v>
      </c>
      <c r="BH16" s="600"/>
      <c r="BI16" s="600"/>
      <c r="BJ16" s="779" t="s">
        <v>88</v>
      </c>
      <c r="BK16" s="781" t="s">
        <v>1619</v>
      </c>
      <c r="BL16" s="783" t="s">
        <v>876</v>
      </c>
      <c r="BM16" s="783"/>
      <c r="BN16" s="779" t="s">
        <v>132</v>
      </c>
      <c r="BO16" s="779" t="s">
        <v>325</v>
      </c>
      <c r="BP16" s="781" t="s">
        <v>1833</v>
      </c>
      <c r="BQ16" s="600"/>
      <c r="BR16" s="781" t="s">
        <v>1614</v>
      </c>
      <c r="BS16" s="783"/>
      <c r="BT16" s="779"/>
      <c r="BU16" s="779" t="s">
        <v>925</v>
      </c>
      <c r="BV16" s="781" t="s">
        <v>691</v>
      </c>
      <c r="BW16" s="779" t="s">
        <v>85</v>
      </c>
      <c r="BX16" s="783" t="s">
        <v>840</v>
      </c>
      <c r="BY16" s="779" t="s">
        <v>309</v>
      </c>
      <c r="BZ16" s="755"/>
      <c r="CA16" s="755"/>
      <c r="CB16" s="755"/>
      <c r="CC16" s="755"/>
    </row>
    <row r="17" spans="1:81" ht="15.95" customHeight="1" thickBot="1">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t="s">
        <v>862</v>
      </c>
      <c r="AI17" s="833"/>
      <c r="AJ17" s="833" t="s">
        <v>863</v>
      </c>
      <c r="AK17" s="833"/>
      <c r="AL17" s="833"/>
      <c r="AM17" s="833"/>
      <c r="AN17" s="833"/>
      <c r="AO17" s="833"/>
      <c r="AP17" s="833"/>
      <c r="AQ17" s="833"/>
      <c r="AR17" s="833"/>
      <c r="AS17" s="833"/>
      <c r="AT17" s="833"/>
      <c r="AU17" s="833"/>
      <c r="AV17" s="37"/>
      <c r="AW17" s="37"/>
      <c r="AX17" s="780"/>
      <c r="AY17" s="780"/>
      <c r="AZ17" s="780"/>
      <c r="BA17" s="780"/>
      <c r="BB17" s="780"/>
      <c r="BC17" s="780"/>
      <c r="BD17" s="782"/>
      <c r="BE17" s="540" t="s">
        <v>871</v>
      </c>
      <c r="BF17" s="541" t="s">
        <v>872</v>
      </c>
      <c r="BG17" s="780"/>
      <c r="BH17" s="1097"/>
      <c r="BI17" s="1097"/>
      <c r="BJ17" s="780"/>
      <c r="BK17" s="782"/>
      <c r="BL17" s="784"/>
      <c r="BM17" s="784"/>
      <c r="BN17" s="780"/>
      <c r="BO17" s="780"/>
      <c r="BP17" s="782"/>
      <c r="BQ17" s="1097"/>
      <c r="BR17" s="782"/>
      <c r="BS17" s="784"/>
      <c r="BT17" s="780"/>
      <c r="BU17" s="780"/>
      <c r="BV17" s="782"/>
      <c r="BW17" s="780"/>
      <c r="BX17" s="784"/>
      <c r="BY17" s="780"/>
      <c r="BZ17" s="756"/>
      <c r="CA17" s="756"/>
      <c r="CB17" s="756"/>
      <c r="CC17" s="756"/>
    </row>
    <row r="18" spans="1:81" ht="15.95" customHeight="1">
      <c r="B18" s="785">
        <v>1</v>
      </c>
      <c r="C18" s="1056"/>
      <c r="D18" s="877"/>
      <c r="E18" s="877"/>
      <c r="F18" s="877"/>
      <c r="G18" s="1058"/>
      <c r="H18" s="1050"/>
      <c r="I18" s="1050"/>
      <c r="J18" s="1050"/>
      <c r="K18" s="1050"/>
      <c r="L18" s="1050"/>
      <c r="M18" s="1012"/>
      <c r="N18" s="1124"/>
      <c r="O18" s="877"/>
      <c r="P18" s="877"/>
      <c r="Q18" s="877"/>
      <c r="R18" s="877"/>
      <c r="S18" s="1058"/>
      <c r="T18" s="1141"/>
      <c r="U18" s="1142"/>
      <c r="V18" s="1143"/>
      <c r="W18" s="1124"/>
      <c r="X18" s="877"/>
      <c r="Y18" s="877"/>
      <c r="Z18" s="877"/>
      <c r="AA18" s="877"/>
      <c r="AB18" s="1058"/>
      <c r="AC18" s="1141"/>
      <c r="AD18" s="1142"/>
      <c r="AE18" s="1143"/>
      <c r="AF18" s="1135" t="str">
        <f>IFERROR(IF($C18="", "", IF(OR($C18 = "Retrofit existing", $C18 = "Replace in-life equip."), "Total", "Incremental")), "")</f>
        <v/>
      </c>
      <c r="AG18" s="1136"/>
      <c r="AH18" s="993"/>
      <c r="AI18" s="993"/>
      <c r="AJ18" s="1083" t="str">
        <f t="shared" ref="AJ18" si="0">IF(AF18="Incremental",0,"")</f>
        <v/>
      </c>
      <c r="AK18" s="1084"/>
      <c r="AL18" s="1030" t="str">
        <f>IF(OR(C18="",H18="",N18="",T18="",W18="",AC18="",AF18="",AH18="",AJ18=""),"",ROUND(AH18+AJ18,2))</f>
        <v/>
      </c>
      <c r="AM18" s="1031"/>
      <c r="AN18" s="1031"/>
      <c r="AO18" s="1036" t="str">
        <f>IF(OR(C18="",H18="",N18="",T18="",W18="",AC18="",AF18="",AH18="",AJ18=""),"",IF(BA18-BB18&lt;=0,0,ROUND(BA18-BB18,4)))</f>
        <v/>
      </c>
      <c r="AP18" s="1036"/>
      <c r="AQ18" s="1036"/>
      <c r="AR18" s="1000" t="str">
        <f>IF(OR(C18="",H18="",N18="",T18="",W18="",AC18="",AF18="",AH18="",AJ18=""),"", IF(BY18&lt;&gt;"",BY18,IF(BP18&gt;0,BP18,IF(AF18="Incremental",IF(ACTIVEBLOCK="Yes", ROUND(MIN(AL18*INCCOSTCAP,AO18*BLOCKBIDRATE),2),ROUND(MIN(AL18*INCCOSTCAP,BR18),2)), IF(ACTIVEBLOCK="Yes",ROUND(MIN(AL18*TOTCOSTCAP,AO18*BLOCKBIDRATE),2), ROUND(MIN(AL18*TOTCOSTCAP,BR18),2))))))</f>
        <v/>
      </c>
      <c r="AS18" s="1000"/>
      <c r="AT18" s="1000"/>
      <c r="AU18" s="1000"/>
      <c r="AV18" s="37"/>
      <c r="AW18" s="37"/>
      <c r="AX18" s="773" t="str">
        <f>IF(OR(C18="",H18=""),"",INDEX(CMEMISC[Unit of Measure],MATCH(H18,CMEMISC[Proj Desc 1],0)))</f>
        <v/>
      </c>
      <c r="AY18" s="759" t="str">
        <f>IF(AO18&lt;&gt;"","Missing!","")</f>
        <v/>
      </c>
      <c r="AZ18" s="759" t="str">
        <f>IF(AO18&lt;&gt;"","Missing!","")</f>
        <v/>
      </c>
      <c r="BA18" s="771" t="str">
        <f>IF(OR(C18="",H18="",N18="",T18="",W18="",AC18="",AF18="",AH18="",AJ18=""),"",ROUND(T18,4))</f>
        <v/>
      </c>
      <c r="BB18" s="771" t="str">
        <f>IF(OR(C18="",H18="",N18="",T18="",W18="",AC18="",AF18="",AH18="",AJ18=""),"",ROUND(AC18,4))</f>
        <v/>
      </c>
      <c r="BC18" s="773" t="str">
        <f>IF(OR(C18="",H18=""),"",IF(INDEX(CMEMISC[End Use Category],MATCH(H18,CMEMISC[Proj Desc 1],0))="","",INDEX(CMEMISC[End Use Category],MATCH(H18,CMEMISC[Proj Desc 1],0))))</f>
        <v/>
      </c>
      <c r="BD18" s="757" t="str">
        <f>IF(BE18&lt;&gt;"", "Calculated", "")</f>
        <v/>
      </c>
      <c r="BE18" s="775" t="str">
        <f>IF(AND(BA18&lt;&gt;"", BB18&lt;&gt;""), ROUND(BA18-BB18,4), "")</f>
        <v/>
      </c>
      <c r="BF18" s="1098"/>
      <c r="BG18" s="775" t="str">
        <f>IFERROR(IF(OR(C18="",H18="",N18="",T18="",W18="",AC18="",AF18="",AH18="",AJ18=""),"",ROUND(AO18*INDEX(ENDUSEALL[Factor],MATCH(BC18,ENDUSEALL[End Use to Coincident Peak Demand Factors],0)),4)),"")</f>
        <v/>
      </c>
      <c r="BH18" s="761"/>
      <c r="BI18" s="761"/>
      <c r="BJ18" s="777" t="str">
        <f>IF(OR(C18="",H18=""),"",IF(INDEX(CMEMISC[EUL],MATCH(H18,CMEMISC[Proj Desc 1],0))="","",INDEX(CMEMISC[EUL],MATCH(H18,CMEMISC[Proj Desc 1],0))))</f>
        <v/>
      </c>
      <c r="BK18" s="767" t="str">
        <f>IFERROR(IF(OR(C18="",H18="",N18="",T18="",W18="",AC18="",AF18="",AH18="",AJ18=""),"",
ROUND(((1+ELOSS)*((AO18*INDEX(ELECCB[NPV AEC $/kWh],MATCH(BJ18,ELECCB[Year Number],1)))+(BG18*INDEX(ELECCB[NPV ACC $/kW],MATCH(BJ18,ELECCB[Year Number],1))))),2)),0)</f>
        <v/>
      </c>
      <c r="BL18" s="767" t="str">
        <f t="shared" ref="BL18:BL24" si="1">IF(OR(AH18="", AJ18=""), "", AH18+AJ18)</f>
        <v/>
      </c>
      <c r="BM18" s="765"/>
      <c r="BN18" s="763" t="str">
        <f t="shared" ref="BN18:BN24" si="2">IFERROR( BK18 / IF(BM18 &lt;&gt; "", BM18, BL18), "")</f>
        <v/>
      </c>
      <c r="BO18" s="763" t="str">
        <f>IFERROR(IF(BM18 &lt;&gt; "", BM18, BL18) / M02S04F06 / AO18, "")</f>
        <v/>
      </c>
      <c r="BP18" s="769"/>
      <c r="BQ18" s="765"/>
      <c r="BR18" s="767" t="str">
        <f>IFERROR(ROUND(AO18*BV18,2),"")</f>
        <v/>
      </c>
      <c r="BS18" s="765"/>
      <c r="BT18" s="765"/>
      <c r="BU18" s="757"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67"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57" t="str">
        <f>IF(OR(C18="",H18="",N18="",T18="",W18="",AC18="",AF18="",AH18="",AJ18=""),"",IF(BY18&lt;&gt;"",SPILLOVERNUMBER,INDEX(CMEMISC[Measure Number],MATCH(H18,CMEMISC[Proj Desc 1],0))))</f>
        <v/>
      </c>
      <c r="BX18" s="757" t="str" cm="1">
        <f t="array" ref="BX18">IFERROR(INDEX(_xlfn.SWITCH(Program_Banner,"Business Energy Savings",ENDUSEALL[Primary Key WBE],"Small Business / Non-Profit",ENDUSEALL[Primary Key HTRB],0),MATCH(BC18,ENDUSEALL[End Use to Coincident Peak Demand Factors],0)),"")</f>
        <v/>
      </c>
      <c r="BY18" s="757"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53"/>
      <c r="CA18" s="753"/>
      <c r="CB18" s="753"/>
      <c r="CC18" s="753"/>
    </row>
    <row r="19" spans="1:81" ht="15.95" customHeight="1">
      <c r="B19" s="785"/>
      <c r="C19" s="1012"/>
      <c r="D19" s="1013"/>
      <c r="E19" s="1013"/>
      <c r="F19" s="1013"/>
      <c r="G19" s="1014"/>
      <c r="H19" s="1002"/>
      <c r="I19" s="1002"/>
      <c r="J19" s="1002"/>
      <c r="K19" s="1002"/>
      <c r="L19" s="1002"/>
      <c r="M19" s="1003"/>
      <c r="N19" s="1041"/>
      <c r="O19" s="1013"/>
      <c r="P19" s="1013"/>
      <c r="Q19" s="1013"/>
      <c r="R19" s="1013"/>
      <c r="S19" s="1014"/>
      <c r="T19" s="1034"/>
      <c r="U19" s="1139"/>
      <c r="V19" s="1140"/>
      <c r="W19" s="1041"/>
      <c r="X19" s="1013"/>
      <c r="Y19" s="1013"/>
      <c r="Z19" s="1013"/>
      <c r="AA19" s="1013"/>
      <c r="AB19" s="1014"/>
      <c r="AC19" s="1034"/>
      <c r="AD19" s="1139"/>
      <c r="AE19" s="1140"/>
      <c r="AF19" s="1135"/>
      <c r="AG19" s="1136"/>
      <c r="AH19" s="993"/>
      <c r="AI19" s="993"/>
      <c r="AJ19" s="1083"/>
      <c r="AK19" s="1084"/>
      <c r="AL19" s="1006"/>
      <c r="AM19" s="1007"/>
      <c r="AN19" s="1007"/>
      <c r="AO19" s="1037"/>
      <c r="AP19" s="1037"/>
      <c r="AQ19" s="1037"/>
      <c r="AR19" s="1001"/>
      <c r="AS19" s="1001"/>
      <c r="AT19" s="1001"/>
      <c r="AU19" s="1001"/>
      <c r="AV19" s="37"/>
      <c r="AW19" s="37"/>
      <c r="AX19" s="774"/>
      <c r="AY19" s="760"/>
      <c r="AZ19" s="760"/>
      <c r="BA19" s="772"/>
      <c r="BB19" s="772"/>
      <c r="BC19" s="774"/>
      <c r="BD19" s="758"/>
      <c r="BE19" s="776"/>
      <c r="BF19" s="1099"/>
      <c r="BG19" s="776"/>
      <c r="BH19" s="762"/>
      <c r="BI19" s="762"/>
      <c r="BJ19" s="778"/>
      <c r="BK19" s="768"/>
      <c r="BL19" s="768"/>
      <c r="BM19" s="766"/>
      <c r="BN19" s="764"/>
      <c r="BO19" s="764"/>
      <c r="BP19" s="770"/>
      <c r="BQ19" s="766"/>
      <c r="BR19" s="768"/>
      <c r="BS19" s="766"/>
      <c r="BT19" s="766"/>
      <c r="BU19" s="758"/>
      <c r="BV19" s="768"/>
      <c r="BW19" s="758"/>
      <c r="BX19" s="758"/>
      <c r="BY19" s="758"/>
      <c r="BZ19" s="754"/>
      <c r="CA19" s="754"/>
      <c r="CB19" s="754"/>
      <c r="CC19" s="754"/>
    </row>
    <row r="20" spans="1:81" ht="15.95" customHeight="1">
      <c r="A20" s="75"/>
      <c r="B20" s="785">
        <v>2</v>
      </c>
      <c r="C20" s="1009"/>
      <c r="D20" s="1010"/>
      <c r="E20" s="1010"/>
      <c r="F20" s="1010"/>
      <c r="G20" s="1011"/>
      <c r="H20" s="1002"/>
      <c r="I20" s="1002"/>
      <c r="J20" s="1002"/>
      <c r="K20" s="1002"/>
      <c r="L20" s="1002"/>
      <c r="M20" s="1003"/>
      <c r="N20" s="1040"/>
      <c r="O20" s="1010"/>
      <c r="P20" s="1010"/>
      <c r="Q20" s="1010"/>
      <c r="R20" s="1010"/>
      <c r="S20" s="1011"/>
      <c r="T20" s="1032"/>
      <c r="U20" s="1137"/>
      <c r="V20" s="1138"/>
      <c r="W20" s="1040"/>
      <c r="X20" s="1010"/>
      <c r="Y20" s="1010"/>
      <c r="Z20" s="1010"/>
      <c r="AA20" s="1010"/>
      <c r="AB20" s="1011"/>
      <c r="AC20" s="1032"/>
      <c r="AD20" s="1137"/>
      <c r="AE20" s="1138"/>
      <c r="AF20" s="1135" t="str">
        <f>IFERROR(IF($C20="", "", IF(OR($C20 = "Retrofit existing", $C20 = "Replace in-life equip."), "Total", "Incremental")), "")</f>
        <v/>
      </c>
      <c r="AG20" s="1136"/>
      <c r="AH20" s="993"/>
      <c r="AI20" s="993"/>
      <c r="AJ20" s="1083" t="str">
        <f t="shared" ref="AJ20" si="3">IF(AF20="Incremental",0,"")</f>
        <v/>
      </c>
      <c r="AK20" s="1084"/>
      <c r="AL20" s="1030" t="str">
        <f>IF(OR(C20="",H20="",N20="",T20="",W20="",AC20="",AF20="",AH20="",AJ20=""),"",ROUND(AH20+AJ20,2))</f>
        <v/>
      </c>
      <c r="AM20" s="1031"/>
      <c r="AN20" s="1031"/>
      <c r="AO20" s="1036" t="str">
        <f>IF(OR(C20="",H20="",N20="",T20="",W20="",AC20="",AF20="",AH20="",AJ20=""),"",IF(BA20-BB20&lt;=0,0,ROUND(BA20-BB20,4)))</f>
        <v/>
      </c>
      <c r="AP20" s="1036"/>
      <c r="AQ20" s="1036"/>
      <c r="AR20" s="1072" t="str">
        <f>IF(OR(C20="",H20="",N20="",T20="",W20="",AC20="",AF20="",AH20="",AJ20=""),"", IF(BY20&lt;&gt;"",BY20,IF(BP20&gt;0,BP20,IF(AF20="Incremental",IF(ACTIVEBLOCK="Yes", ROUND(MIN(AL20*INCCOSTCAP,AO20*BLOCKBIDRATE),2),ROUND(MIN(AL20*INCCOSTCAP,BR20),2)), IF(ACTIVEBLOCK="Yes",ROUND(MIN(AL20*TOTCOSTCAP,AO20*BLOCKBIDRATE),2), ROUND(MIN(AL20*TOTCOSTCAP,BR20),2))))))</f>
        <v/>
      </c>
      <c r="AS20" s="1073"/>
      <c r="AT20" s="1073"/>
      <c r="AU20" s="1074"/>
      <c r="AV20" s="37"/>
      <c r="AW20" s="37"/>
      <c r="AX20" s="773" t="str">
        <f>IF(OR(C20="",H20=""),"",INDEX(CMEMISC[Unit of Measure],MATCH(H20,CMEMISC[Proj Desc 1],0)))</f>
        <v/>
      </c>
      <c r="AY20" s="759" t="str">
        <f t="shared" ref="AY20" si="4">IF(AO20&lt;&gt;"","Missing!","")</f>
        <v/>
      </c>
      <c r="AZ20" s="759" t="str">
        <f t="shared" ref="AZ20" si="5">IF(AO20&lt;&gt;"","Missing!","")</f>
        <v/>
      </c>
      <c r="BA20" s="771" t="str">
        <f t="shared" ref="BA20" si="6">IF(OR(C20="",H20="",N20="",T20="",W20="",AC20="",AF20="",AH20="",AJ20=""),"",ROUND(T20,4))</f>
        <v/>
      </c>
      <c r="BB20" s="771" t="str">
        <f t="shared" ref="BB20" si="7">IF(OR(C20="",H20="",N20="",T20="",W20="",AC20="",AF20="",AH20="",AJ20=""),"",ROUND(AC20,4))</f>
        <v/>
      </c>
      <c r="BC20" s="773" t="str">
        <f>IF(OR(C20="",H20=""),"",IF(INDEX(CMEMISC[End Use Category],MATCH(H20,CMEMISC[Proj Desc 1],0))="","",INDEX(CMEMISC[End Use Category],MATCH(H20,CMEMISC[Proj Desc 1],0))))</f>
        <v/>
      </c>
      <c r="BD20" s="757" t="str">
        <f t="shared" ref="BD20" si="8">IF(BE20&lt;&gt;"", "Calculated", "")</f>
        <v/>
      </c>
      <c r="BE20" s="775" t="str">
        <f t="shared" ref="BE20" si="9">IF(AND(BA20&lt;&gt;"", BB20&lt;&gt;""), ROUND(BA20-BB20,4), "")</f>
        <v/>
      </c>
      <c r="BF20" s="1098"/>
      <c r="BG20" s="775" t="str">
        <f>IFERROR(IF(OR(C20="",H20="",N20="",T20="",W20="",AC20="",AF20="",AH20="",AJ20=""),"",ROUND(AO20*INDEX(ENDUSEALL[Factor],MATCH(BC20,ENDUSEALL[End Use to Coincident Peak Demand Factors],0)),4)),"")</f>
        <v/>
      </c>
      <c r="BH20" s="761"/>
      <c r="BI20" s="761"/>
      <c r="BJ20" s="777" t="str">
        <f>IF(OR(C20="",H20=""),"",IF(INDEX(CMEMISC[EUL],MATCH(H20,CMEMISC[Proj Desc 1],0))="","",INDEX(CMEMISC[EUL],MATCH(H20,CMEMISC[Proj Desc 1],0))))</f>
        <v/>
      </c>
      <c r="BK20" s="767" t="str">
        <f>IFERROR(IF(OR(C20="",H20="",N20="",T20="",W20="",AC20="",AF20="",AH20="",AJ20=""),"",
ROUND(((1+ELOSS)*((AO20*INDEX(ELECCB[NPV AEC $/kWh],MATCH(BJ20,ELECCB[Year Number],1)))+(BG20*INDEX(ELECCB[NPV ACC $/kW],MATCH(BJ20,ELECCB[Year Number],1))))),2)),0)</f>
        <v/>
      </c>
      <c r="BL20" s="767" t="str">
        <f t="shared" si="1"/>
        <v/>
      </c>
      <c r="BM20" s="765"/>
      <c r="BN20" s="763" t="str">
        <f t="shared" si="2"/>
        <v/>
      </c>
      <c r="BO20" s="763" t="str">
        <f>IFERROR(IF(BM20 &lt;&gt; "", BM20, BL20) / M02S04F06 / AO20, "")</f>
        <v/>
      </c>
      <c r="BP20" s="769"/>
      <c r="BQ20" s="765"/>
      <c r="BR20" s="767" t="str">
        <f t="shared" ref="BR20" si="10">IFERROR(ROUND(AO20*BV20,2),"")</f>
        <v/>
      </c>
      <c r="BS20" s="765"/>
      <c r="BT20" s="765"/>
      <c r="BU20" s="757"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67"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57" t="str">
        <f>IF(OR(C20="",H20="",N20="",T20="",W20="",AC20="",AF20="",AH20="",AJ20=""),"",IF(BY20&lt;&gt;"",SPILLOVERNUMBER,INDEX(CMEMISC[Measure Number],MATCH(H20,CMEMISC[Proj Desc 1],0))))</f>
        <v/>
      </c>
      <c r="BX20" s="757" t="str" cm="1">
        <f t="array" ref="BX20">IFERROR(INDEX(_xlfn.SWITCH(Program_Banner,"Business Energy Savings",ENDUSEALL[Primary Key WBE],"Small Business / Non-Profit",ENDUSEALL[Primary Key HTRB],0),MATCH(BC20,ENDUSEALL[End Use to Coincident Peak Demand Factors],0)),"")</f>
        <v/>
      </c>
      <c r="BY20" s="757"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53"/>
      <c r="CA20" s="753"/>
      <c r="CB20" s="753"/>
      <c r="CC20" s="753"/>
    </row>
    <row r="21" spans="1:81" ht="15.95" customHeight="1">
      <c r="B21" s="785"/>
      <c r="C21" s="1012"/>
      <c r="D21" s="1013"/>
      <c r="E21" s="1013"/>
      <c r="F21" s="1013"/>
      <c r="G21" s="1014"/>
      <c r="H21" s="1002"/>
      <c r="I21" s="1002"/>
      <c r="J21" s="1002"/>
      <c r="K21" s="1002"/>
      <c r="L21" s="1002"/>
      <c r="M21" s="1003"/>
      <c r="N21" s="1041"/>
      <c r="O21" s="1013"/>
      <c r="P21" s="1013"/>
      <c r="Q21" s="1013"/>
      <c r="R21" s="1013"/>
      <c r="S21" s="1014"/>
      <c r="T21" s="1034"/>
      <c r="U21" s="1139"/>
      <c r="V21" s="1140"/>
      <c r="W21" s="1041"/>
      <c r="X21" s="1013"/>
      <c r="Y21" s="1013"/>
      <c r="Z21" s="1013"/>
      <c r="AA21" s="1013"/>
      <c r="AB21" s="1014"/>
      <c r="AC21" s="1034"/>
      <c r="AD21" s="1139"/>
      <c r="AE21" s="1140"/>
      <c r="AF21" s="1135"/>
      <c r="AG21" s="1136"/>
      <c r="AH21" s="993"/>
      <c r="AI21" s="993"/>
      <c r="AJ21" s="1083"/>
      <c r="AK21" s="1084"/>
      <c r="AL21" s="1006"/>
      <c r="AM21" s="1007"/>
      <c r="AN21" s="1007"/>
      <c r="AO21" s="1037"/>
      <c r="AP21" s="1037"/>
      <c r="AQ21" s="1037"/>
      <c r="AR21" s="1075"/>
      <c r="AS21" s="1076"/>
      <c r="AT21" s="1076"/>
      <c r="AU21" s="1077"/>
      <c r="AV21" s="37"/>
      <c r="AW21" s="37"/>
      <c r="AX21" s="774"/>
      <c r="AY21" s="760"/>
      <c r="AZ21" s="760"/>
      <c r="BA21" s="772"/>
      <c r="BB21" s="772"/>
      <c r="BC21" s="774"/>
      <c r="BD21" s="758"/>
      <c r="BE21" s="776"/>
      <c r="BF21" s="1099"/>
      <c r="BG21" s="776"/>
      <c r="BH21" s="762"/>
      <c r="BI21" s="762"/>
      <c r="BJ21" s="778"/>
      <c r="BK21" s="768"/>
      <c r="BL21" s="768"/>
      <c r="BM21" s="766"/>
      <c r="BN21" s="764"/>
      <c r="BO21" s="764"/>
      <c r="BP21" s="770"/>
      <c r="BQ21" s="766"/>
      <c r="BR21" s="768"/>
      <c r="BS21" s="766"/>
      <c r="BT21" s="766"/>
      <c r="BU21" s="758"/>
      <c r="BV21" s="768"/>
      <c r="BW21" s="758"/>
      <c r="BX21" s="758"/>
      <c r="BY21" s="758"/>
      <c r="BZ21" s="754"/>
      <c r="CA21" s="754"/>
      <c r="CB21" s="754"/>
      <c r="CC21" s="754"/>
    </row>
    <row r="22" spans="1:81" ht="15.95" customHeight="1">
      <c r="B22" s="785">
        <v>3</v>
      </c>
      <c r="C22" s="1009"/>
      <c r="D22" s="1010"/>
      <c r="E22" s="1010"/>
      <c r="F22" s="1010"/>
      <c r="G22" s="1011"/>
      <c r="H22" s="1002"/>
      <c r="I22" s="1002"/>
      <c r="J22" s="1002"/>
      <c r="K22" s="1002"/>
      <c r="L22" s="1002"/>
      <c r="M22" s="1003"/>
      <c r="N22" s="1040"/>
      <c r="O22" s="1010"/>
      <c r="P22" s="1010"/>
      <c r="Q22" s="1010"/>
      <c r="R22" s="1010"/>
      <c r="S22" s="1011"/>
      <c r="T22" s="1032"/>
      <c r="U22" s="1137"/>
      <c r="V22" s="1138"/>
      <c r="W22" s="1040"/>
      <c r="X22" s="1010"/>
      <c r="Y22" s="1010"/>
      <c r="Z22" s="1010"/>
      <c r="AA22" s="1010"/>
      <c r="AB22" s="1011"/>
      <c r="AC22" s="1032"/>
      <c r="AD22" s="1137"/>
      <c r="AE22" s="1138"/>
      <c r="AF22" s="1135" t="str">
        <f>IFERROR(IF($C22="", "", IF(OR($C22 = "Retrofit existing", $C22 = "Replace in-life equip."), "Total", "Incremental")), "")</f>
        <v/>
      </c>
      <c r="AG22" s="1136"/>
      <c r="AH22" s="993"/>
      <c r="AI22" s="993"/>
      <c r="AJ22" s="1083" t="str">
        <f t="shared" ref="AJ22" si="11">IF(AF22="Incremental",0,"")</f>
        <v/>
      </c>
      <c r="AK22" s="1084"/>
      <c r="AL22" s="1030" t="str">
        <f>IF(OR(C22="",H22="",N22="",T22="",W22="",AC22="",AF22="",AH22="",AJ22=""),"",ROUND(AH22+AJ22,2))</f>
        <v/>
      </c>
      <c r="AM22" s="1031"/>
      <c r="AN22" s="1031"/>
      <c r="AO22" s="1036" t="str">
        <f>IF(OR(C22="",H22="",N22="",T22="",W22="",AC22="",AF22="",AH22="",AJ22=""),"",IF(BA22-BB22&lt;=0,0,ROUND(BA22-BB22,4)))</f>
        <v/>
      </c>
      <c r="AP22" s="1036"/>
      <c r="AQ22" s="1036"/>
      <c r="AR22" s="1072" t="str">
        <f>IF(OR(C22="",H22="",N22="",T22="",W22="",AC22="",AF22="",AH22="",AJ22=""),"", IF(BY22&lt;&gt;"",BY22,IF(BP22&gt;0,BP22,IF(AF22="Incremental",IF(ACTIVEBLOCK="Yes", ROUND(MIN(AL22*INCCOSTCAP,AO22*BLOCKBIDRATE),2),ROUND(MIN(AL22*INCCOSTCAP,BR22),2)), IF(ACTIVEBLOCK="Yes",ROUND(MIN(AL22*TOTCOSTCAP,AO22*BLOCKBIDRATE),2), ROUND(MIN(AL22*TOTCOSTCAP,BR22),2))))))</f>
        <v/>
      </c>
      <c r="AS22" s="1073"/>
      <c r="AT22" s="1073"/>
      <c r="AU22" s="1074"/>
      <c r="AV22" s="37"/>
      <c r="AW22" s="37"/>
      <c r="AX22" s="773" t="str">
        <f>IF(OR(C22="",H22=""),"",INDEX(CMEMISC[Unit of Measure],MATCH(H22,CMEMISC[Proj Desc 1],0)))</f>
        <v/>
      </c>
      <c r="AY22" s="759" t="str">
        <f t="shared" ref="AY22" si="12">IF(AO22&lt;&gt;"","Missing!","")</f>
        <v/>
      </c>
      <c r="AZ22" s="759" t="str">
        <f t="shared" ref="AZ22" si="13">IF(AO22&lt;&gt;"","Missing!","")</f>
        <v/>
      </c>
      <c r="BA22" s="771" t="str">
        <f t="shared" ref="BA22" si="14">IF(OR(C22="",H22="",N22="",T22="",W22="",AC22="",AF22="",AH22="",AJ22=""),"",ROUND(T22,4))</f>
        <v/>
      </c>
      <c r="BB22" s="771" t="str">
        <f t="shared" ref="BB22" si="15">IF(OR(C22="",H22="",N22="",T22="",W22="",AC22="",AF22="",AH22="",AJ22=""),"",ROUND(AC22,4))</f>
        <v/>
      </c>
      <c r="BC22" s="773" t="str">
        <f>IF(OR(C22="",H22=""),"",IF(INDEX(CMEMISC[End Use Category],MATCH(H22,CMEMISC[Proj Desc 1],0))="","",INDEX(CMEMISC[End Use Category],MATCH(H22,CMEMISC[Proj Desc 1],0))))</f>
        <v/>
      </c>
      <c r="BD22" s="757" t="str">
        <f t="shared" ref="BD22" si="16">IF(BE22&lt;&gt;"", "Calculated", "")</f>
        <v/>
      </c>
      <c r="BE22" s="775" t="str">
        <f t="shared" ref="BE22" si="17">IF(AND(BA22&lt;&gt;"", BB22&lt;&gt;""), ROUND(BA22-BB22,4), "")</f>
        <v/>
      </c>
      <c r="BF22" s="1098"/>
      <c r="BG22" s="775" t="str">
        <f>IFERROR(IF(OR(C22="",H22="",N22="",T22="",W22="",AC22="",AF22="",AH22="",AJ22=""),"",ROUND(AO22*INDEX(ENDUSEALL[Factor],MATCH(BC22,ENDUSEALL[End Use to Coincident Peak Demand Factors],0)),4)),"")</f>
        <v/>
      </c>
      <c r="BH22" s="761"/>
      <c r="BI22" s="761"/>
      <c r="BJ22" s="777" t="str">
        <f>IF(OR(C22="",H22=""),"",IF(INDEX(CMEMISC[EUL],MATCH(H22,CMEMISC[Proj Desc 1],0))="","",INDEX(CMEMISC[EUL],MATCH(H22,CMEMISC[Proj Desc 1],0))))</f>
        <v/>
      </c>
      <c r="BK22" s="767" t="str">
        <f>IFERROR(IF(OR(C22="",H22="",N22="",T22="",W22="",AC22="",AF22="",AH22="",AJ22=""),"",
ROUND(((1+ELOSS)*((AO22*INDEX(ELECCB[NPV AEC $/kWh],MATCH(BJ22,ELECCB[Year Number],1)))+(BG22*INDEX(ELECCB[NPV ACC $/kW],MATCH(BJ22,ELECCB[Year Number],1))))),2)),0)</f>
        <v/>
      </c>
      <c r="BL22" s="767" t="str">
        <f t="shared" si="1"/>
        <v/>
      </c>
      <c r="BM22" s="765"/>
      <c r="BN22" s="763" t="str">
        <f t="shared" si="2"/>
        <v/>
      </c>
      <c r="BO22" s="763" t="str">
        <f>IFERROR(IF(BM22 &lt;&gt; "", BM22, BL22) / M02S04F06 / AO22, "")</f>
        <v/>
      </c>
      <c r="BP22" s="769"/>
      <c r="BQ22" s="765"/>
      <c r="BR22" s="767" t="str">
        <f t="shared" ref="BR22" si="18">IFERROR(ROUND(AO22*BV22,2),"")</f>
        <v/>
      </c>
      <c r="BS22" s="765"/>
      <c r="BT22" s="765"/>
      <c r="BU22" s="757"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67"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57" t="str">
        <f>IF(OR(C22="",H22="",N22="",T22="",W22="",AC22="",AF22="",AH22="",AJ22=""),"",IF(BY22&lt;&gt;"",SPILLOVERNUMBER,INDEX(CMEMISC[Measure Number],MATCH(H22,CMEMISC[Proj Desc 1],0))))</f>
        <v/>
      </c>
      <c r="BX22" s="757" t="str" cm="1">
        <f t="array" ref="BX22">IFERROR(INDEX(_xlfn.SWITCH(Program_Banner,"Business Energy Savings",ENDUSEALL[Primary Key WBE],"Small Business / Non-Profit",ENDUSEALL[Primary Key HTRB],0),MATCH(BC22,ENDUSEALL[End Use to Coincident Peak Demand Factors],0)),"")</f>
        <v/>
      </c>
      <c r="BY22" s="757"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53"/>
      <c r="CA22" s="753"/>
      <c r="CB22" s="753"/>
      <c r="CC22" s="753"/>
    </row>
    <row r="23" spans="1:81" ht="15.95" customHeight="1">
      <c r="A23" s="75"/>
      <c r="B23" s="785"/>
      <c r="C23" s="1012"/>
      <c r="D23" s="1013"/>
      <c r="E23" s="1013"/>
      <c r="F23" s="1013"/>
      <c r="G23" s="1014"/>
      <c r="H23" s="1002"/>
      <c r="I23" s="1002"/>
      <c r="J23" s="1002"/>
      <c r="K23" s="1002"/>
      <c r="L23" s="1002"/>
      <c r="M23" s="1003"/>
      <c r="N23" s="1041"/>
      <c r="O23" s="1013"/>
      <c r="P23" s="1013"/>
      <c r="Q23" s="1013"/>
      <c r="R23" s="1013"/>
      <c r="S23" s="1014"/>
      <c r="T23" s="1034"/>
      <c r="U23" s="1139"/>
      <c r="V23" s="1140"/>
      <c r="W23" s="1041"/>
      <c r="X23" s="1013"/>
      <c r="Y23" s="1013"/>
      <c r="Z23" s="1013"/>
      <c r="AA23" s="1013"/>
      <c r="AB23" s="1014"/>
      <c r="AC23" s="1034"/>
      <c r="AD23" s="1139"/>
      <c r="AE23" s="1140"/>
      <c r="AF23" s="1135"/>
      <c r="AG23" s="1136"/>
      <c r="AH23" s="993"/>
      <c r="AI23" s="993"/>
      <c r="AJ23" s="1083"/>
      <c r="AK23" s="1084"/>
      <c r="AL23" s="1006"/>
      <c r="AM23" s="1007"/>
      <c r="AN23" s="1007"/>
      <c r="AO23" s="1037"/>
      <c r="AP23" s="1037"/>
      <c r="AQ23" s="1037"/>
      <c r="AR23" s="1075"/>
      <c r="AS23" s="1076"/>
      <c r="AT23" s="1076"/>
      <c r="AU23" s="1077"/>
      <c r="AV23" s="37"/>
      <c r="AW23" s="37"/>
      <c r="AX23" s="774"/>
      <c r="AY23" s="760"/>
      <c r="AZ23" s="760"/>
      <c r="BA23" s="772"/>
      <c r="BB23" s="772"/>
      <c r="BC23" s="774"/>
      <c r="BD23" s="758"/>
      <c r="BE23" s="776"/>
      <c r="BF23" s="1099"/>
      <c r="BG23" s="776"/>
      <c r="BH23" s="762"/>
      <c r="BI23" s="762"/>
      <c r="BJ23" s="778"/>
      <c r="BK23" s="768"/>
      <c r="BL23" s="768"/>
      <c r="BM23" s="766"/>
      <c r="BN23" s="764"/>
      <c r="BO23" s="764"/>
      <c r="BP23" s="770"/>
      <c r="BQ23" s="766"/>
      <c r="BR23" s="768"/>
      <c r="BS23" s="766"/>
      <c r="BT23" s="766"/>
      <c r="BU23" s="758"/>
      <c r="BV23" s="768"/>
      <c r="BW23" s="758"/>
      <c r="BX23" s="758"/>
      <c r="BY23" s="758"/>
      <c r="BZ23" s="754"/>
      <c r="CA23" s="754"/>
      <c r="CB23" s="754"/>
      <c r="CC23" s="754"/>
    </row>
    <row r="24" spans="1:81" ht="15.95" customHeight="1">
      <c r="B24" s="785">
        <v>4</v>
      </c>
      <c r="C24" s="1009"/>
      <c r="D24" s="1010"/>
      <c r="E24" s="1010"/>
      <c r="F24" s="1010"/>
      <c r="G24" s="1011"/>
      <c r="H24" s="1002"/>
      <c r="I24" s="1002"/>
      <c r="J24" s="1002"/>
      <c r="K24" s="1002"/>
      <c r="L24" s="1002"/>
      <c r="M24" s="1003"/>
      <c r="N24" s="1040"/>
      <c r="O24" s="1010"/>
      <c r="P24" s="1010"/>
      <c r="Q24" s="1010"/>
      <c r="R24" s="1010"/>
      <c r="S24" s="1011"/>
      <c r="T24" s="1032"/>
      <c r="U24" s="1137"/>
      <c r="V24" s="1138"/>
      <c r="W24" s="1040"/>
      <c r="X24" s="1010"/>
      <c r="Y24" s="1010"/>
      <c r="Z24" s="1010"/>
      <c r="AA24" s="1010"/>
      <c r="AB24" s="1011"/>
      <c r="AC24" s="1032"/>
      <c r="AD24" s="1137"/>
      <c r="AE24" s="1138"/>
      <c r="AF24" s="1135" t="str">
        <f>IFERROR(IF($C24="", "", IF(OR($C24 = "Retrofit existing", $C24 = "Replace in-life equip."), "Total", "Incremental")), "")</f>
        <v/>
      </c>
      <c r="AG24" s="1136"/>
      <c r="AH24" s="993"/>
      <c r="AI24" s="993"/>
      <c r="AJ24" s="1083" t="str">
        <f t="shared" ref="AJ24" si="19">IF(AF24="Incremental",0,"")</f>
        <v/>
      </c>
      <c r="AK24" s="1084"/>
      <c r="AL24" s="1030" t="str">
        <f>IF(OR(C24="",H24="",N24="",T24="",W24="",AC24="",AF24="",AH24="",AJ24=""),"",ROUND(AH24+AJ24,2))</f>
        <v/>
      </c>
      <c r="AM24" s="1031"/>
      <c r="AN24" s="1031"/>
      <c r="AO24" s="1036" t="str">
        <f>IF(OR(C24="",H24="",N24="",T24="",W24="",AC24="",AF24="",AH24="",AJ24=""),"",IF(BA24-BB24&lt;=0,0,ROUND(BA24-BB24,4)))</f>
        <v/>
      </c>
      <c r="AP24" s="1036"/>
      <c r="AQ24" s="1036"/>
      <c r="AR24" s="1072" t="str">
        <f>IF(OR(C24="",H24="",N24="",T24="",W24="",AC24="",AF24="",AH24="",AJ24=""),"", IF(BY24&lt;&gt;"",BY24,IF(BP24&gt;0,BP24,IF(AF24="Incremental",IF(ACTIVEBLOCK="Yes", ROUND(MIN(AL24*INCCOSTCAP,AO24*BLOCKBIDRATE),2),ROUND(MIN(AL24*INCCOSTCAP,BR24),2)), IF(ACTIVEBLOCK="Yes",ROUND(MIN(AL24*TOTCOSTCAP,AO24*BLOCKBIDRATE),2), ROUND(MIN(AL24*TOTCOSTCAP,BR24),2))))))</f>
        <v/>
      </c>
      <c r="AS24" s="1073"/>
      <c r="AT24" s="1073"/>
      <c r="AU24" s="1074"/>
      <c r="AV24" s="37"/>
      <c r="AW24" s="37"/>
      <c r="AX24" s="773" t="str">
        <f>IF(OR(C24="",H24=""),"",INDEX(CMEMISC[Unit of Measure],MATCH(H24,CMEMISC[Proj Desc 1],0)))</f>
        <v/>
      </c>
      <c r="AY24" s="759" t="str">
        <f t="shared" ref="AY24" si="20">IF(AO24&lt;&gt;"","Missing!","")</f>
        <v/>
      </c>
      <c r="AZ24" s="759" t="str">
        <f t="shared" ref="AZ24" si="21">IF(AO24&lt;&gt;"","Missing!","")</f>
        <v/>
      </c>
      <c r="BA24" s="771" t="str">
        <f t="shared" ref="BA24" si="22">IF(OR(C24="",H24="",N24="",T24="",W24="",AC24="",AF24="",AH24="",AJ24=""),"",ROUND(T24,4))</f>
        <v/>
      </c>
      <c r="BB24" s="771" t="str">
        <f t="shared" ref="BB24" si="23">IF(OR(C24="",H24="",N24="",T24="",W24="",AC24="",AF24="",AH24="",AJ24=""),"",ROUND(AC24,4))</f>
        <v/>
      </c>
      <c r="BC24" s="773" t="str">
        <f>IF(OR(C24="",H24=""),"",IF(INDEX(CMEMISC[End Use Category],MATCH(H24,CMEMISC[Proj Desc 1],0))="","",INDEX(CMEMISC[End Use Category],MATCH(H24,CMEMISC[Proj Desc 1],0))))</f>
        <v/>
      </c>
      <c r="BD24" s="757" t="str">
        <f t="shared" ref="BD24" si="24">IF(BE24&lt;&gt;"", "Calculated", "")</f>
        <v/>
      </c>
      <c r="BE24" s="775" t="str">
        <f t="shared" ref="BE24" si="25">IF(AND(BA24&lt;&gt;"", BB24&lt;&gt;""), ROUND(BA24-BB24,4), "")</f>
        <v/>
      </c>
      <c r="BF24" s="1098"/>
      <c r="BG24" s="775" t="str">
        <f>IFERROR(IF(OR(C24="",H24="",N24="",T24="",W24="",AC24="",AF24="",AH24="",AJ24=""),"",ROUND(AO24*INDEX(ENDUSEALL[Factor],MATCH(BC24,ENDUSEALL[End Use to Coincident Peak Demand Factors],0)),4)),"")</f>
        <v/>
      </c>
      <c r="BH24" s="761"/>
      <c r="BI24" s="761"/>
      <c r="BJ24" s="777" t="str">
        <f>IF(OR(C24="",H24=""),"",IF(INDEX(CMEMISC[EUL],MATCH(H24,CMEMISC[Proj Desc 1],0))="","",INDEX(CMEMISC[EUL],MATCH(H24,CMEMISC[Proj Desc 1],0))))</f>
        <v/>
      </c>
      <c r="BK24" s="767" t="str">
        <f>IFERROR(IF(OR(C24="",H24="",N24="",T24="",W24="",AC24="",AF24="",AH24="",AJ24=""),"",
ROUND(((1+ELOSS)*((AO24*INDEX(ELECCB[NPV AEC $/kWh],MATCH(BJ24,ELECCB[Year Number],1)))+(BG24*INDEX(ELECCB[NPV ACC $/kW],MATCH(BJ24,ELECCB[Year Number],1))))),2)),0)</f>
        <v/>
      </c>
      <c r="BL24" s="767" t="str">
        <f t="shared" si="1"/>
        <v/>
      </c>
      <c r="BM24" s="765"/>
      <c r="BN24" s="763" t="str">
        <f t="shared" si="2"/>
        <v/>
      </c>
      <c r="BO24" s="763" t="str">
        <f>IFERROR(IF(BM24 &lt;&gt; "", BM24, BL24) / M02S04F06 / AO24, "")</f>
        <v/>
      </c>
      <c r="BP24" s="769"/>
      <c r="BQ24" s="765"/>
      <c r="BR24" s="767" t="str">
        <f t="shared" ref="BR24" si="26">IFERROR(ROUND(AO24*BV24,2),"")</f>
        <v/>
      </c>
      <c r="BS24" s="765"/>
      <c r="BT24" s="765"/>
      <c r="BU24" s="757"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67"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57" t="str">
        <f>IF(OR(C24="",H24="",N24="",T24="",W24="",AC24="",AF24="",AH24="",AJ24=""),"",IF(BY24&lt;&gt;"",SPILLOVERNUMBER,INDEX(CMEMISC[Measure Number],MATCH(H24,CMEMISC[Proj Desc 1],0))))</f>
        <v/>
      </c>
      <c r="BX24" s="757" t="str" cm="1">
        <f t="array" ref="BX24">IFERROR(INDEX(_xlfn.SWITCH(Program_Banner,"Business Energy Savings",ENDUSEALL[Primary Key WBE],"Small Business / Non-Profit",ENDUSEALL[Primary Key HTRB],0),MATCH(BC24,ENDUSEALL[End Use to Coincident Peak Demand Factors],0)),"")</f>
        <v/>
      </c>
      <c r="BY24" s="757"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53"/>
      <c r="CA24" s="753"/>
      <c r="CB24" s="753"/>
      <c r="CC24" s="753"/>
    </row>
    <row r="25" spans="1:81" ht="15.95" customHeight="1">
      <c r="B25" s="785"/>
      <c r="C25" s="1012"/>
      <c r="D25" s="1013"/>
      <c r="E25" s="1013"/>
      <c r="F25" s="1013"/>
      <c r="G25" s="1014"/>
      <c r="H25" s="1002"/>
      <c r="I25" s="1002"/>
      <c r="J25" s="1002"/>
      <c r="K25" s="1002"/>
      <c r="L25" s="1002"/>
      <c r="M25" s="1003"/>
      <c r="N25" s="1041"/>
      <c r="O25" s="1013"/>
      <c r="P25" s="1013"/>
      <c r="Q25" s="1013"/>
      <c r="R25" s="1013"/>
      <c r="S25" s="1014"/>
      <c r="T25" s="1034"/>
      <c r="U25" s="1139"/>
      <c r="V25" s="1140"/>
      <c r="W25" s="1041"/>
      <c r="X25" s="1013"/>
      <c r="Y25" s="1013"/>
      <c r="Z25" s="1013"/>
      <c r="AA25" s="1013"/>
      <c r="AB25" s="1014"/>
      <c r="AC25" s="1034"/>
      <c r="AD25" s="1139"/>
      <c r="AE25" s="1140"/>
      <c r="AF25" s="1135"/>
      <c r="AG25" s="1136"/>
      <c r="AH25" s="993"/>
      <c r="AI25" s="993"/>
      <c r="AJ25" s="1083"/>
      <c r="AK25" s="1084"/>
      <c r="AL25" s="1006"/>
      <c r="AM25" s="1007"/>
      <c r="AN25" s="1007"/>
      <c r="AO25" s="1037"/>
      <c r="AP25" s="1037"/>
      <c r="AQ25" s="1037"/>
      <c r="AR25" s="1075"/>
      <c r="AS25" s="1076"/>
      <c r="AT25" s="1076"/>
      <c r="AU25" s="1077"/>
      <c r="AV25" s="37"/>
      <c r="AW25" s="37"/>
      <c r="AX25" s="774"/>
      <c r="AY25" s="760"/>
      <c r="AZ25" s="760"/>
      <c r="BA25" s="772"/>
      <c r="BB25" s="772"/>
      <c r="BC25" s="774"/>
      <c r="BD25" s="758"/>
      <c r="BE25" s="776"/>
      <c r="BF25" s="1099"/>
      <c r="BG25" s="776"/>
      <c r="BH25" s="762"/>
      <c r="BI25" s="762"/>
      <c r="BJ25" s="778"/>
      <c r="BK25" s="768"/>
      <c r="BL25" s="768"/>
      <c r="BM25" s="766"/>
      <c r="BN25" s="764"/>
      <c r="BO25" s="764"/>
      <c r="BP25" s="770"/>
      <c r="BQ25" s="766"/>
      <c r="BR25" s="768"/>
      <c r="BS25" s="766"/>
      <c r="BT25" s="766"/>
      <c r="BU25" s="758"/>
      <c r="BV25" s="768"/>
      <c r="BW25" s="758"/>
      <c r="BX25" s="758"/>
      <c r="BY25" s="758"/>
      <c r="BZ25" s="754"/>
      <c r="CA25" s="754"/>
      <c r="CB25" s="754"/>
      <c r="CC25" s="754"/>
    </row>
    <row r="26" spans="1:81" customFormat="1" ht="15.95" customHeight="1">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63"/>
      <c r="AZ26" s="194"/>
      <c r="BA26" s="194"/>
      <c r="BC26" s="194"/>
      <c r="BD26" s="17"/>
      <c r="BE26" s="17"/>
      <c r="BF26" s="194"/>
      <c r="BH26" s="17"/>
      <c r="BI26" s="17"/>
      <c r="BL26" s="17"/>
      <c r="BM26" s="17"/>
      <c r="BR26" s="194"/>
      <c r="BS26" s="17"/>
      <c r="BT26" s="194"/>
      <c r="BV26" s="194"/>
      <c r="BW26" s="194"/>
    </row>
    <row r="27" spans="1:81" customFormat="1" ht="15.95" customHeight="1">
      <c r="C27" s="375" t="s">
        <v>2173</v>
      </c>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Z27" s="194"/>
      <c r="BA27" s="194"/>
      <c r="BC27" s="194"/>
      <c r="BD27" s="17"/>
      <c r="BE27" s="17"/>
      <c r="BF27" s="194"/>
      <c r="BH27" s="17"/>
      <c r="BI27" s="17"/>
      <c r="BL27" s="17"/>
      <c r="BM27" s="17"/>
      <c r="BR27" s="194"/>
      <c r="BS27" s="17"/>
      <c r="BT27" s="194"/>
      <c r="BV27" s="194"/>
      <c r="BW27" s="194"/>
    </row>
    <row r="28" spans="1:81" customFormat="1" ht="15.95" customHeight="1">
      <c r="C28" s="832" t="s">
        <v>859</v>
      </c>
      <c r="D28" s="832"/>
      <c r="E28" s="832"/>
      <c r="F28" s="832"/>
      <c r="G28" s="832"/>
      <c r="H28" s="832" t="s">
        <v>1688</v>
      </c>
      <c r="I28" s="832"/>
      <c r="J28" s="832"/>
      <c r="K28" s="783" t="s">
        <v>1689</v>
      </c>
      <c r="L28" s="783"/>
      <c r="M28" s="783"/>
      <c r="N28" s="832" t="s">
        <v>928</v>
      </c>
      <c r="O28" s="832"/>
      <c r="P28" s="832"/>
      <c r="Q28" s="832"/>
      <c r="R28" s="832"/>
      <c r="S28" s="832"/>
      <c r="T28" s="832" t="s">
        <v>1851</v>
      </c>
      <c r="U28" s="832"/>
      <c r="V28" s="832"/>
      <c r="W28" s="1190" t="s">
        <v>929</v>
      </c>
      <c r="X28" s="1190"/>
      <c r="Y28" s="1190"/>
      <c r="Z28" s="1190"/>
      <c r="AA28" s="1190"/>
      <c r="AB28" s="1190"/>
      <c r="AC28" s="832" t="s">
        <v>1852</v>
      </c>
      <c r="AD28" s="832"/>
      <c r="AE28" s="832"/>
      <c r="AF28" s="832" t="s">
        <v>930</v>
      </c>
      <c r="AG28" s="832"/>
      <c r="AH28" s="860" t="s">
        <v>876</v>
      </c>
      <c r="AI28" s="860"/>
      <c r="AJ28" s="860"/>
      <c r="AK28" s="860"/>
      <c r="AL28" s="832" t="s">
        <v>923</v>
      </c>
      <c r="AM28" s="832"/>
      <c r="AN28" s="832"/>
      <c r="AO28" s="832" t="s">
        <v>735</v>
      </c>
      <c r="AP28" s="832"/>
      <c r="AQ28" s="832"/>
      <c r="AR28" s="832" t="s">
        <v>83</v>
      </c>
      <c r="AS28" s="832"/>
      <c r="AT28" s="832"/>
      <c r="AU28" s="832"/>
      <c r="AX28" s="779" t="s">
        <v>743</v>
      </c>
      <c r="AY28" s="779" t="s">
        <v>1079</v>
      </c>
      <c r="AZ28" s="779" t="s">
        <v>1853</v>
      </c>
      <c r="BA28" s="779" t="s">
        <v>635</v>
      </c>
      <c r="BB28" s="779" t="s">
        <v>875</v>
      </c>
      <c r="BC28" s="779"/>
      <c r="BD28" s="781" t="s">
        <v>1701</v>
      </c>
      <c r="BE28" s="783" t="s">
        <v>874</v>
      </c>
      <c r="BF28" s="779"/>
      <c r="BG28" s="1169" t="s">
        <v>872</v>
      </c>
      <c r="BH28" s="600"/>
      <c r="BI28" s="600"/>
      <c r="BJ28" s="779" t="s">
        <v>88</v>
      </c>
      <c r="BK28" s="781" t="s">
        <v>1619</v>
      </c>
      <c r="BL28" s="783" t="s">
        <v>876</v>
      </c>
      <c r="BM28" s="783"/>
      <c r="BN28" s="779" t="s">
        <v>132</v>
      </c>
      <c r="BO28" s="779" t="s">
        <v>325</v>
      </c>
      <c r="BP28" s="781" t="s">
        <v>1833</v>
      </c>
      <c r="BQ28" s="600"/>
      <c r="BR28" s="1163" t="s">
        <v>1228</v>
      </c>
      <c r="BS28" s="783" t="s">
        <v>2175</v>
      </c>
      <c r="BT28" s="779" t="s">
        <v>1276</v>
      </c>
      <c r="BU28" s="779" t="s">
        <v>925</v>
      </c>
      <c r="BV28" s="1163" t="s">
        <v>1691</v>
      </c>
      <c r="BW28" s="779" t="s">
        <v>85</v>
      </c>
      <c r="BX28" s="783" t="s">
        <v>840</v>
      </c>
      <c r="BY28" s="779" t="s">
        <v>309</v>
      </c>
      <c r="BZ28" s="755"/>
      <c r="CA28" s="755"/>
      <c r="CB28" s="755"/>
      <c r="CC28" s="755"/>
    </row>
    <row r="29" spans="1:81" customFormat="1" ht="15.95" customHeight="1" thickBot="1">
      <c r="C29" s="833"/>
      <c r="D29" s="833"/>
      <c r="E29" s="833"/>
      <c r="F29" s="833"/>
      <c r="G29" s="833"/>
      <c r="H29" s="833"/>
      <c r="I29" s="833"/>
      <c r="J29" s="833"/>
      <c r="K29" s="784"/>
      <c r="L29" s="784"/>
      <c r="M29" s="784"/>
      <c r="N29" s="833"/>
      <c r="O29" s="833"/>
      <c r="P29" s="833"/>
      <c r="Q29" s="833"/>
      <c r="R29" s="833"/>
      <c r="S29" s="833"/>
      <c r="T29" s="833"/>
      <c r="U29" s="833"/>
      <c r="V29" s="833"/>
      <c r="W29" s="1191"/>
      <c r="X29" s="1191"/>
      <c r="Y29" s="1191"/>
      <c r="Z29" s="1191"/>
      <c r="AA29" s="1191"/>
      <c r="AB29" s="1191"/>
      <c r="AC29" s="833"/>
      <c r="AD29" s="833"/>
      <c r="AE29" s="833"/>
      <c r="AF29" s="833"/>
      <c r="AG29" s="833"/>
      <c r="AH29" s="833" t="s">
        <v>862</v>
      </c>
      <c r="AI29" s="833"/>
      <c r="AJ29" s="833" t="s">
        <v>863</v>
      </c>
      <c r="AK29" s="833"/>
      <c r="AL29" s="833"/>
      <c r="AM29" s="833"/>
      <c r="AN29" s="833"/>
      <c r="AO29" s="833"/>
      <c r="AP29" s="833"/>
      <c r="AQ29" s="833"/>
      <c r="AR29" s="833"/>
      <c r="AS29" s="833"/>
      <c r="AT29" s="833"/>
      <c r="AU29" s="833"/>
      <c r="AX29" s="780"/>
      <c r="AY29" s="780"/>
      <c r="AZ29" s="780"/>
      <c r="BA29" s="780"/>
      <c r="BB29" s="780"/>
      <c r="BC29" s="780"/>
      <c r="BD29" s="782"/>
      <c r="BE29" s="784"/>
      <c r="BF29" s="780"/>
      <c r="BG29" s="1170"/>
      <c r="BH29" s="1097"/>
      <c r="BI29" s="1097"/>
      <c r="BJ29" s="780"/>
      <c r="BK29" s="782"/>
      <c r="BL29" s="784"/>
      <c r="BM29" s="784"/>
      <c r="BN29" s="780"/>
      <c r="BO29" s="780"/>
      <c r="BP29" s="782"/>
      <c r="BQ29" s="1097"/>
      <c r="BR29" s="1164"/>
      <c r="BS29" s="784"/>
      <c r="BT29" s="780"/>
      <c r="BU29" s="780"/>
      <c r="BV29" s="1164"/>
      <c r="BW29" s="780"/>
      <c r="BX29" s="784"/>
      <c r="BY29" s="780"/>
      <c r="BZ29" s="756"/>
      <c r="CA29" s="756"/>
      <c r="CB29" s="756"/>
      <c r="CC29" s="756"/>
    </row>
    <row r="30" spans="1:81" ht="15.75" customHeight="1">
      <c r="B30" s="785">
        <v>1</v>
      </c>
      <c r="C30" s="1056"/>
      <c r="D30" s="877"/>
      <c r="E30" s="877"/>
      <c r="F30" s="877"/>
      <c r="G30" s="877"/>
      <c r="H30" s="1155"/>
      <c r="I30" s="1156"/>
      <c r="J30" s="1156"/>
      <c r="K30" s="1225"/>
      <c r="L30" s="1226"/>
      <c r="M30" s="1227"/>
      <c r="N30" s="1124"/>
      <c r="O30" s="877"/>
      <c r="P30" s="877"/>
      <c r="Q30" s="877"/>
      <c r="R30" s="877"/>
      <c r="S30" s="1058"/>
      <c r="T30" s="1141"/>
      <c r="U30" s="1142"/>
      <c r="V30" s="1143"/>
      <c r="W30" s="1124"/>
      <c r="X30" s="877"/>
      <c r="Y30" s="877"/>
      <c r="Z30" s="877"/>
      <c r="AA30" s="877"/>
      <c r="AB30" s="1058"/>
      <c r="AC30" s="1141"/>
      <c r="AD30" s="1142"/>
      <c r="AE30" s="1143"/>
      <c r="AF30" s="1197"/>
      <c r="AG30" s="1198"/>
      <c r="AH30" s="1038"/>
      <c r="AI30" s="1038"/>
      <c r="AJ30" s="1127"/>
      <c r="AK30" s="1128"/>
      <c r="AL30" s="1193" t="str">
        <f>IF(OR(C30="",N30="",T30="",W30="",AC30="",H30="",K30="",AF30="",AH30="",AJ30=""),"",ROUND(AH30+AJ30,2))</f>
        <v/>
      </c>
      <c r="AM30" s="1194"/>
      <c r="AN30" s="1194"/>
      <c r="AO30" s="1159" t="str">
        <f>IF(OR(C30="",N30="",T30="",W30="",AC30="",H30="",K30="",AF30="",AH30="",AJ30=""),"",ROUND(BA30-BB30,0))</f>
        <v/>
      </c>
      <c r="AP30" s="1159"/>
      <c r="AQ30" s="1159"/>
      <c r="AR30" s="1161" t="str">
        <f>IF(OR(C30="",N30="",T30="",W30="",AC30="",H30="",K30="",AF30="",AH30="",AJ30=""),"", IF(BY30&lt;&gt;"",BY30,IF(BP30&gt;0,BP30,IF(AF30="Incremental",IF(ACTIVEBLOCK="Yes", ROUND(MIN(AL30*INCCOSTCAP,AO30*BLOCKBIDRATE),2),ROUND(MIN(AL30*INCCOSTCAP,BR30),2)), IF(ACTIVEBLOCK="Yes",ROUND(MIN(AL30*TOTCOSTCAP,AO30*BLOCKBIDRATE),2), ROUND(MIN(AL30*TOTCOSTCAP,BR30),2))))))</f>
        <v/>
      </c>
      <c r="AS30" s="1161"/>
      <c r="AT30" s="1161"/>
      <c r="AU30" s="1161"/>
      <c r="AV30" s="37"/>
      <c r="AW30" s="37"/>
      <c r="AX30" s="773" t="str">
        <f>IF(C30="","",INDEX(CMEMISC2[Unit of Measure],MATCH(C30,CMEMISC2[Proj Desc 1],0)))</f>
        <v/>
      </c>
      <c r="AY30" s="759" t="str">
        <f>IF(AO30&lt;&gt;"","Missing!","")</f>
        <v/>
      </c>
      <c r="AZ30" s="759" t="str">
        <f>IF(AO30&lt;&gt;"","Missing!","")</f>
        <v/>
      </c>
      <c r="BA30" s="771" t="str">
        <f>IF(OR(C30="",N30="",T30="",W30="",AC30="",H30="",K30="",AF30="",AH30="",AJ30=""),"",ROUND(T30,0))</f>
        <v/>
      </c>
      <c r="BB30" s="771" t="str">
        <f>IF(OR(C30="",N30="",T30="",W30="",AC30="",H30="",K30="",AF30="",AH30="",AJ30=""),"",ROUND(AC30,0))</f>
        <v/>
      </c>
      <c r="BC30" s="1165"/>
      <c r="BD30" s="757" t="str">
        <f t="shared" ref="BD30" si="27">IF(BF30&lt;&gt;"", "Calculated", "")</f>
        <v/>
      </c>
      <c r="BE30" s="775" t="str">
        <f>IF(AND(BA30&lt;&gt;"", BB30&lt;&gt;""), ROUND(BA30-BB30,4), "")</f>
        <v/>
      </c>
      <c r="BF30" s="761"/>
      <c r="BG30" s="1167">
        <f>H30</f>
        <v>0</v>
      </c>
      <c r="BH30" s="761"/>
      <c r="BI30" s="761"/>
      <c r="BJ30" s="777" t="str">
        <f>IF(C30="","",IF(INDEX(CMEMISC2[EUL],MATCH(C30,CMEMISC2[Proj Desc 1],0))="","",INDEX(CMEMISC2[EUL],MATCH(C30,CMEMISC2[Proj Desc 1],0))))</f>
        <v/>
      </c>
      <c r="BK30" s="767" t="str">
        <f>IFERROR(IF(OR(C30="",N30="",T30="",W30="",AC30="",H30="",K30="",AF30="",AH30="",AJ30=""),"",
ROUND(((1+ELOSS)*((AO30*INDEX(ELECCB[NPV AEC $/kWh],MATCH(BJ30,ELECCB[Year Number],1)))+(BG30*INDEX(ELECCB[NPV ACC $/kW],MATCH(BJ30,ELECCB[Year Number],1))))),2)),0)</f>
        <v/>
      </c>
      <c r="BL30" s="767" t="str">
        <f t="shared" ref="BL30" si="28">IF(OR(AH30="", AJ30=""), "", AH30+AJ30)</f>
        <v/>
      </c>
      <c r="BM30" s="765"/>
      <c r="BN30" s="763" t="str">
        <f t="shared" ref="BN30" si="29">IFERROR( BK30 / IF(BM30 &lt;&gt; "", BM30, BL30), "")</f>
        <v/>
      </c>
      <c r="BO30" s="763" t="str">
        <f>IFERROR(IF(BM30 &lt;&gt; "", BM30, BL30) / M02S04F06 / AO30, "")</f>
        <v/>
      </c>
      <c r="BP30" s="769"/>
      <c r="BQ30" s="765"/>
      <c r="BR30" s="767">
        <f>BV30*BG30</f>
        <v>0</v>
      </c>
      <c r="BS30" s="765"/>
      <c r="BT30" s="765"/>
      <c r="BU30" s="757" t="str">
        <f>IFERROR(IF(BP30="", IF(AND(AF30="Total",ROUND(AR30/AL30,2)=TOTCOSTCAP,BR30/AL30&gt;TOTCOSTCAP),"75% Total Cost",
IF(AND(AF30="Incremental",ROUND(AR30/AL30,2)=INCCOSTCAP,BR30/AL30&gt;INCCOSTCAP),"100% Incremental Cost",
IF(BV30&lt;KWHRATEMIN, "kWh Incentive Rate Min",
IF(BV30&gt;KWHRATEMAX,"kWh Incentive Rate Cap",
IF(AR30=BT30,"Bonus Incentive", "kW Incentive"))))),""), "")</f>
        <v/>
      </c>
      <c r="BV30" s="767"/>
      <c r="BW30" s="757" t="str">
        <f>IF(OR(C30="",N30="",T30="",W30="",AC30="",H30="",K30="",AF30="",AH30="",AJ30=""),"",IF(BY30&lt;&gt;"",SPILLOVERNUMBER,INDEX(CMEMISC2[Measure Number],MATCH(C30,CMEMISC2[Proj Desc 1],0))))</f>
        <v/>
      </c>
      <c r="BX30" s="757" t="str" cm="1">
        <f t="array" ref="BX30">IFERROR(INDEX(_xlfn.SWITCH(Program_Banner,"Business Energy Savings",ENDUSEALL[Primary Key WBE],"Small Business / Non-Profit",ENDUSEALL[Primary Key HTRB],0),MATCH(BC30,ENDUSEALL[End Use to Coincident Peak Demand Factors],0)),"")</f>
        <v/>
      </c>
      <c r="BY30" s="757" t="str">
        <f ca="1">IFERROR(IF(EXPIRATION&lt;&gt;"",PROJSTATEXP,
IF(H30&lt;=0,MEASURESAV,
IF(OR(M02S04F06="",M02S04F06="Select Rate Code",M02S04F06=0),MEASURERATE,
IF(ISNUMBER(SEARCH("Other",C30)),MEASURESUBMIT,
 IF(BO30&lt;PAYBACKREQ,PROJECTSTATPAYBACK,
IF(BN30&lt;CBREQ,PROJECTSTATCB,"")))))),MEASURESUBMIT)</f>
        <v>Submit for Review</v>
      </c>
      <c r="BZ30" s="753"/>
      <c r="CA30" s="753"/>
      <c r="CB30" s="753"/>
      <c r="CC30" s="753"/>
    </row>
    <row r="31" spans="1:81" ht="15.75" customHeight="1">
      <c r="B31" s="785"/>
      <c r="C31" s="1012"/>
      <c r="D31" s="1013"/>
      <c r="E31" s="1013"/>
      <c r="F31" s="1013"/>
      <c r="G31" s="1013"/>
      <c r="H31" s="1157"/>
      <c r="I31" s="1158"/>
      <c r="J31" s="1158"/>
      <c r="K31" s="1228"/>
      <c r="L31" s="1229"/>
      <c r="M31" s="1230"/>
      <c r="N31" s="1041"/>
      <c r="O31" s="1013"/>
      <c r="P31" s="1013"/>
      <c r="Q31" s="1013"/>
      <c r="R31" s="1013"/>
      <c r="S31" s="1014"/>
      <c r="T31" s="1034"/>
      <c r="U31" s="1139"/>
      <c r="V31" s="1140"/>
      <c r="W31" s="1041"/>
      <c r="X31" s="1013"/>
      <c r="Y31" s="1013"/>
      <c r="Z31" s="1013"/>
      <c r="AA31" s="1013"/>
      <c r="AB31" s="1014"/>
      <c r="AC31" s="1034"/>
      <c r="AD31" s="1139"/>
      <c r="AE31" s="1140"/>
      <c r="AF31" s="1199"/>
      <c r="AG31" s="1200"/>
      <c r="AH31" s="993"/>
      <c r="AI31" s="993"/>
      <c r="AJ31" s="1083"/>
      <c r="AK31" s="1084"/>
      <c r="AL31" s="1195"/>
      <c r="AM31" s="1196"/>
      <c r="AN31" s="1196"/>
      <c r="AO31" s="1160"/>
      <c r="AP31" s="1160"/>
      <c r="AQ31" s="1160"/>
      <c r="AR31" s="1162"/>
      <c r="AS31" s="1162"/>
      <c r="AT31" s="1162"/>
      <c r="AU31" s="1162"/>
      <c r="AV31" s="37"/>
      <c r="AW31" s="37"/>
      <c r="AX31" s="774"/>
      <c r="AY31" s="760"/>
      <c r="AZ31" s="760"/>
      <c r="BA31" s="772"/>
      <c r="BB31" s="772"/>
      <c r="BC31" s="1166"/>
      <c r="BD31" s="758"/>
      <c r="BE31" s="776"/>
      <c r="BF31" s="762"/>
      <c r="BG31" s="1168"/>
      <c r="BH31" s="762"/>
      <c r="BI31" s="762"/>
      <c r="BJ31" s="778"/>
      <c r="BK31" s="768"/>
      <c r="BL31" s="768"/>
      <c r="BM31" s="766"/>
      <c r="BN31" s="764"/>
      <c r="BO31" s="764"/>
      <c r="BP31" s="770"/>
      <c r="BQ31" s="766"/>
      <c r="BR31" s="768"/>
      <c r="BS31" s="766"/>
      <c r="BT31" s="766"/>
      <c r="BU31" s="758"/>
      <c r="BV31" s="768"/>
      <c r="BW31" s="758"/>
      <c r="BX31" s="758"/>
      <c r="BY31" s="758"/>
      <c r="BZ31" s="754"/>
      <c r="CA31" s="754"/>
      <c r="CB31" s="754"/>
      <c r="CC31" s="754"/>
    </row>
    <row r="32" spans="1:81" customFormat="1" ht="15.95" customHeight="1">
      <c r="AY32" s="17"/>
      <c r="AZ32" s="17"/>
      <c r="BA32" s="194"/>
      <c r="BB32" s="194"/>
      <c r="BD32" s="17"/>
      <c r="BE32" s="17"/>
      <c r="BG32" s="194"/>
      <c r="BH32" s="17"/>
      <c r="BI32" s="17"/>
      <c r="BL32" s="17"/>
      <c r="BM32" s="17"/>
      <c r="BQ32" s="17"/>
      <c r="BR32" s="194"/>
      <c r="BS32" s="17"/>
      <c r="BT32" s="194"/>
      <c r="BU32" s="194"/>
      <c r="BV32" s="194"/>
      <c r="BW32" s="194"/>
    </row>
    <row r="33" spans="2:81" customFormat="1" ht="15.95" customHeight="1">
      <c r="C33" s="375" t="s">
        <v>2174</v>
      </c>
      <c r="L33" s="17"/>
      <c r="M33" s="17"/>
      <c r="N33" s="17"/>
      <c r="O33" s="17"/>
      <c r="S33" s="17"/>
      <c r="T33" s="17"/>
      <c r="U33" s="17"/>
      <c r="V33" s="17"/>
      <c r="AY33" s="17"/>
      <c r="AZ33" s="17"/>
      <c r="BA33" s="194"/>
      <c r="BB33" s="194"/>
      <c r="BD33" s="17"/>
      <c r="BE33" s="17"/>
      <c r="BG33" s="194"/>
      <c r="BH33" s="17"/>
      <c r="BI33" s="17"/>
      <c r="BL33" s="17"/>
      <c r="BM33" s="17"/>
      <c r="BQ33" s="17"/>
      <c r="BS33" s="17"/>
    </row>
    <row r="34" spans="2:81" customFormat="1" ht="15.95" customHeight="1">
      <c r="C34" s="700" t="s">
        <v>927</v>
      </c>
      <c r="D34" s="700"/>
      <c r="E34" s="700"/>
      <c r="F34" s="700"/>
      <c r="G34" s="700" t="s">
        <v>859</v>
      </c>
      <c r="H34" s="700"/>
      <c r="I34" s="700"/>
      <c r="J34" s="700"/>
      <c r="K34" s="700"/>
      <c r="L34" s="700"/>
      <c r="M34" s="700" t="s">
        <v>877</v>
      </c>
      <c r="N34" s="700"/>
      <c r="O34" s="700"/>
      <c r="P34" s="700" t="s">
        <v>2108</v>
      </c>
      <c r="Q34" s="700"/>
      <c r="R34" s="700" t="s">
        <v>2109</v>
      </c>
      <c r="S34" s="700"/>
      <c r="T34" s="1224" t="s">
        <v>1260</v>
      </c>
      <c r="U34" s="1224"/>
      <c r="V34" s="1224"/>
      <c r="W34" s="1224"/>
      <c r="X34" s="700" t="s">
        <v>2110</v>
      </c>
      <c r="Y34" s="700"/>
      <c r="Z34" s="1189" t="s">
        <v>2111</v>
      </c>
      <c r="AA34" s="1189"/>
      <c r="AB34" s="1189"/>
      <c r="AC34" s="1189"/>
      <c r="AD34" s="1189"/>
      <c r="AE34" s="1189"/>
      <c r="AF34" s="700" t="s">
        <v>930</v>
      </c>
      <c r="AG34" s="700"/>
      <c r="AH34" s="1171" t="s">
        <v>876</v>
      </c>
      <c r="AI34" s="1171"/>
      <c r="AJ34" s="1171"/>
      <c r="AK34" s="1171"/>
      <c r="AL34" s="700" t="s">
        <v>923</v>
      </c>
      <c r="AM34" s="700"/>
      <c r="AN34" s="700"/>
      <c r="AO34" s="700" t="s">
        <v>735</v>
      </c>
      <c r="AP34" s="700"/>
      <c r="AQ34" s="700"/>
      <c r="AR34" s="700" t="s">
        <v>83</v>
      </c>
      <c r="AS34" s="700"/>
      <c r="AT34" s="700"/>
      <c r="AU34" s="700"/>
      <c r="AV34" s="33"/>
      <c r="AW34" s="33"/>
      <c r="AX34" s="779" t="s">
        <v>743</v>
      </c>
      <c r="AY34" s="779" t="s">
        <v>1985</v>
      </c>
      <c r="AZ34" s="779" t="s">
        <v>942</v>
      </c>
      <c r="BA34" s="779" t="s">
        <v>635</v>
      </c>
      <c r="BB34" s="779" t="s">
        <v>875</v>
      </c>
      <c r="BC34" s="779" t="s">
        <v>924</v>
      </c>
      <c r="BD34" s="781" t="s">
        <v>1701</v>
      </c>
      <c r="BE34" s="783" t="s">
        <v>874</v>
      </c>
      <c r="BF34" s="783"/>
      <c r="BG34" s="779" t="s">
        <v>926</v>
      </c>
      <c r="BH34" s="600"/>
      <c r="BI34" s="600"/>
      <c r="BJ34" s="779" t="s">
        <v>88</v>
      </c>
      <c r="BK34" s="779" t="s">
        <v>1619</v>
      </c>
      <c r="BL34" s="783" t="s">
        <v>876</v>
      </c>
      <c r="BM34" s="783"/>
      <c r="BN34" s="779" t="s">
        <v>132</v>
      </c>
      <c r="BO34" s="779" t="s">
        <v>325</v>
      </c>
      <c r="BP34" s="779" t="s">
        <v>1833</v>
      </c>
      <c r="BQ34" s="600"/>
      <c r="BR34" s="779" t="s">
        <v>1614</v>
      </c>
      <c r="BS34" s="783" t="s">
        <v>2175</v>
      </c>
      <c r="BT34" s="779" t="s">
        <v>1276</v>
      </c>
      <c r="BU34" s="779" t="s">
        <v>925</v>
      </c>
      <c r="BV34" s="779" t="s">
        <v>691</v>
      </c>
      <c r="BW34" s="779" t="s">
        <v>85</v>
      </c>
      <c r="BX34" s="783" t="s">
        <v>840</v>
      </c>
      <c r="BY34" s="779" t="s">
        <v>309</v>
      </c>
      <c r="BZ34" s="755"/>
      <c r="CA34" s="755"/>
      <c r="CB34" s="755"/>
      <c r="CC34" s="755"/>
    </row>
    <row r="35" spans="2:81" customFormat="1" ht="15.95" customHeight="1" thickBot="1">
      <c r="C35" s="1154"/>
      <c r="D35" s="1154"/>
      <c r="E35" s="1154"/>
      <c r="F35" s="1154"/>
      <c r="G35" s="1154"/>
      <c r="H35" s="1154"/>
      <c r="I35" s="1154"/>
      <c r="J35" s="1154"/>
      <c r="K35" s="1154"/>
      <c r="L35" s="1154"/>
      <c r="M35" s="1154"/>
      <c r="N35" s="1154"/>
      <c r="O35" s="1154"/>
      <c r="P35" s="1154"/>
      <c r="Q35" s="1154"/>
      <c r="R35" s="1154"/>
      <c r="S35" s="1154"/>
      <c r="T35" s="1201" t="s">
        <v>2119</v>
      </c>
      <c r="U35" s="1201"/>
      <c r="V35" s="1201" t="s">
        <v>2120</v>
      </c>
      <c r="W35" s="1201"/>
      <c r="X35" s="1154"/>
      <c r="Y35" s="1154"/>
      <c r="Z35" s="1178" t="s">
        <v>1901</v>
      </c>
      <c r="AA35" s="1178"/>
      <c r="AB35" s="1178"/>
      <c r="AC35" s="1178" t="s">
        <v>2112</v>
      </c>
      <c r="AD35" s="1178"/>
      <c r="AE35" s="1178"/>
      <c r="AF35" s="1154"/>
      <c r="AG35" s="1154"/>
      <c r="AH35" s="1192" t="s">
        <v>862</v>
      </c>
      <c r="AI35" s="1192"/>
      <c r="AJ35" s="1192" t="s">
        <v>863</v>
      </c>
      <c r="AK35" s="1192"/>
      <c r="AL35" s="1154"/>
      <c r="AM35" s="1154"/>
      <c r="AN35" s="1154"/>
      <c r="AO35" s="1154"/>
      <c r="AP35" s="1154"/>
      <c r="AQ35" s="1154"/>
      <c r="AR35" s="1154"/>
      <c r="AS35" s="1154"/>
      <c r="AT35" s="1154"/>
      <c r="AU35" s="1154"/>
      <c r="AX35" s="780"/>
      <c r="AY35" s="780"/>
      <c r="AZ35" s="780"/>
      <c r="BA35" s="780"/>
      <c r="BB35" s="780"/>
      <c r="BC35" s="780"/>
      <c r="BD35" s="782"/>
      <c r="BE35" s="540" t="s">
        <v>871</v>
      </c>
      <c r="BF35" s="541" t="s">
        <v>872</v>
      </c>
      <c r="BG35" s="780"/>
      <c r="BH35" s="1097"/>
      <c r="BI35" s="1097"/>
      <c r="BJ35" s="780"/>
      <c r="BK35" s="780"/>
      <c r="BL35" s="784"/>
      <c r="BM35" s="784"/>
      <c r="BN35" s="780"/>
      <c r="BO35" s="780"/>
      <c r="BP35" s="780"/>
      <c r="BQ35" s="1097"/>
      <c r="BR35" s="780"/>
      <c r="BS35" s="784"/>
      <c r="BT35" s="780"/>
      <c r="BU35" s="780"/>
      <c r="BV35" s="780"/>
      <c r="BW35" s="780"/>
      <c r="BX35" s="784"/>
      <c r="BY35" s="780"/>
      <c r="BZ35" s="756"/>
      <c r="CA35" s="756"/>
      <c r="CB35" s="756"/>
      <c r="CC35" s="756"/>
    </row>
    <row r="36" spans="2:81" customFormat="1" ht="15.95" customHeight="1">
      <c r="B36" s="785">
        <v>1</v>
      </c>
      <c r="C36" s="1172"/>
      <c r="D36" s="1173"/>
      <c r="E36" s="1173"/>
      <c r="F36" s="1174"/>
      <c r="G36" s="1218"/>
      <c r="H36" s="1219"/>
      <c r="I36" s="1219"/>
      <c r="J36" s="1219"/>
      <c r="K36" s="1219"/>
      <c r="L36" s="1220"/>
      <c r="M36" s="1218"/>
      <c r="N36" s="1219"/>
      <c r="O36" s="1220"/>
      <c r="P36" s="1202"/>
      <c r="Q36" s="1202"/>
      <c r="R36" s="1208"/>
      <c r="S36" s="1208"/>
      <c r="T36" s="1204" t="str">
        <f>IF(AND(G36&lt;&gt;"", P36&lt;&gt;"", R36&lt;&gt;""), IF(ISNUMBER(SEARCH("Low-Voltage", G36)), LOOKUP(R36, TFBASELV[kVA], IF(ISNUMBER(SEARCH("Single", P36)), TFBASELV[1PH_Eff], TFBASELV[3PH_Eff])),
IF(ISNUMBER(SEARCH("Liquid", G36)), LOOKUP(R36, TFBASELI[kVA], IF(ISNUMBER(SEARCH("Single", P36)), TFBASELI[1PH_Eff], TFBASELI[3PH_Eff])),
IF(ISNUMBER(SEARCH("Medium-Voltage", G36)), LOOKUP(R36, TFBASEMV[kVA], IF(ISNUMBER(SEARCH("Single", P36)), TFBASEMV[1PH_Eff], TFBASEMV[3PH_Eff])), ""))), "")</f>
        <v/>
      </c>
      <c r="U36" s="1205"/>
      <c r="V36" s="1210"/>
      <c r="W36" s="1211"/>
      <c r="X36" s="1214" t="str" cm="1">
        <f t="array" ref="X36">IFERROR(IF(M02S04F19&lt;&gt;"", INDEX(LIST_Transformer_LF, MATCH(M02S04F19, BUILDING, 0)), "Enter Bldg. Type"), "")</f>
        <v>Enter Bldg. Type</v>
      </c>
      <c r="Y36" s="1215"/>
      <c r="Z36" s="1179" t="str">
        <f>IFERROR(IF(T36&lt;&gt; "", ROUND(R36*X36*1*((1/T36)-1)*8766, 0), ""), "")</f>
        <v/>
      </c>
      <c r="AA36" s="1180"/>
      <c r="AB36" s="1181"/>
      <c r="AC36" s="1179" t="str">
        <f>IFERROR(IF(V36&lt;&gt;"", ROUND(R36*X36*1*((1/V36)-1)*8766, 0), ""), "")</f>
        <v/>
      </c>
      <c r="AD36" s="1180"/>
      <c r="AE36" s="1185"/>
      <c r="AF36" s="1135" t="str">
        <f>IFERROR(IF($C36="", "", IF(OR($C36 = "Retrofit existing", $C36 = "Replace in-life equip."), "Total", "Incremental")), "")</f>
        <v/>
      </c>
      <c r="AG36" s="1136"/>
      <c r="AH36" s="1038"/>
      <c r="AI36" s="1038"/>
      <c r="AJ36" s="1083" t="str">
        <f t="shared" ref="AJ36" si="30">IF(AF36="Incremental",0,"")</f>
        <v/>
      </c>
      <c r="AK36" s="1084"/>
      <c r="AL36" s="1150" t="str">
        <f>IF(OR(C36="",G36="",P36="",R36="",V36="",M36="",X36="",AF36="",AH36="", AJ36=""),"",ROUND(AH36+AJ36,2))</f>
        <v/>
      </c>
      <c r="AM36" s="1150"/>
      <c r="AN36" s="1151"/>
      <c r="AO36" s="1036" t="str">
        <f>IF(OR(C36="",G36="",P36="",R36="",V36="",M36="",X36="",AF36="",AH36="", AJ36=""),"",IF(BA36-BB36&lt;=0,0,ROUND(BA36-BB36,4)))</f>
        <v/>
      </c>
      <c r="AP36" s="1036"/>
      <c r="AQ36" s="1036"/>
      <c r="AR36" s="1000" t="str">
        <f>IF(OR(C36="",G36="",P36="",R36="",V36="",M36="",X36="",AF36="",AH36="", AJ36=""),"", IF(BY36&lt;&gt;"",BY36,IF(BP36&gt;0,BP36,IF(AF36="Incremental",IF(ACTIVEBLOCK="Yes", ROUND(MIN(AL36*INCCOSTCAP,AO36*BLOCKBIDRATE),2),ROUND(MIN(AL36*INCCOSTCAP,BR36),2)), IF(ACTIVEBLOCK="Yes",ROUND(MIN(AL36*TOTCOSTCAP,AO36*BLOCKBIDRATE),2), ROUND(MIN(AL36*TOTCOSTCAP,BR36),2))))))</f>
        <v/>
      </c>
      <c r="AS36" s="1000"/>
      <c r="AT36" s="1000"/>
      <c r="AU36" s="1000"/>
      <c r="AX36" s="773" t="str">
        <f>IF(OR(C36="",G36=""),"",INDEX(CMEMISC3[Unit of Measure],MATCH(G36,CMEMISC3[Proj Desc 1],0)))</f>
        <v/>
      </c>
      <c r="AY36" s="759">
        <f>R36</f>
        <v>0</v>
      </c>
      <c r="AZ36" s="759">
        <f>R36</f>
        <v>0</v>
      </c>
      <c r="BA36" s="771" t="str">
        <f>Z36</f>
        <v/>
      </c>
      <c r="BB36" s="771" t="str">
        <f>AC36</f>
        <v/>
      </c>
      <c r="BC36" s="773" t="str">
        <f>IF(OR(C36="",G36=""),"",IF(INDEX(CMEMISC3[End Use Category],MATCH(G36,CMEMISC3[Proj Desc 1],0))="","",INDEX(CMEMISC3[End Use Category],MATCH(G36,CMEMISC3[Proj Desc 1],0))))</f>
        <v/>
      </c>
      <c r="BD36" s="757" t="str">
        <f>IF(BE36&lt;&gt;"", "Calculated", "")</f>
        <v/>
      </c>
      <c r="BE36" s="775" t="str">
        <f t="shared" ref="BE36" si="31">IF(AND(BA36&lt;&gt;"", BB36&lt;&gt;""), BA36-BB36, "")</f>
        <v/>
      </c>
      <c r="BF36" s="1098"/>
      <c r="BG36" s="775" t="str">
        <f>IFERROR(IF(OR(C36="",G36="",P36="",R36="",V36="",M36="",X36="",AF36="",AH36="", AJ36=""),"",ROUND(AO36*INDEX(ENDUSEALL[Factor],MATCH(BC36,ENDUSEALL[End Use to Coincident Peak Demand Factors],0)),4)),"")</f>
        <v/>
      </c>
      <c r="BH36" s="761"/>
      <c r="BI36" s="761"/>
      <c r="BJ36" s="777" t="str">
        <f>IF(G36="","",IF(INDEX(CMEMISC3[EUL],MATCH(G36,CMEMISC3[Proj Desc 1],0))="","",INDEX(CMEMISC3[EUL],MATCH(G36,CMEMISC3[Proj Desc 1],0))))</f>
        <v/>
      </c>
      <c r="BK36" s="767" t="str">
        <f>IFERROR(IF(OR(C36="",G36="",P36="",R36="",V36="",M36="",X36="",AF36="",AH36="", AJ36=""),"",
ROUND(((1+ELOSS)*((AO36*INDEX(ELECCB[NPV AEC $/kWh],MATCH(BJ36,ELECCB[Year Number],1)))+(BG36*INDEX(ELECCB[NPV ACC $/kW],MATCH(BJ36,ELECCB[Year Number],1))))),2)),0)</f>
        <v/>
      </c>
      <c r="BL36" s="767" t="str">
        <f t="shared" ref="BL36" si="32">IF(OR(AH36="", AJ36=""), "", AH36+AJ36)</f>
        <v/>
      </c>
      <c r="BM36" s="765"/>
      <c r="BN36" s="763" t="str">
        <f t="shared" ref="BN36" si="33">IFERROR( BK36 / IF(BM36 &lt;&gt; "", BM36, BL36), "")</f>
        <v/>
      </c>
      <c r="BO36" s="763" t="str">
        <f>IFERROR(IF(BM36 &lt;&gt; "", BM36, BL36) / M02S04F06 / AO36, "")</f>
        <v/>
      </c>
      <c r="BP36" s="769"/>
      <c r="BQ36" s="765"/>
      <c r="BR36" s="767" t="str">
        <f>IFERROR(ROUND(AO36*BV36,2),"")</f>
        <v/>
      </c>
      <c r="BS36" s="765"/>
      <c r="BT36" s="765"/>
      <c r="BU36" s="757" t="str">
        <f>IFERROR(IF(BP36="", IF(AND(AF36="Total",ROUND(AR36/AL36,2)=TOTCOSTCAP, BR36/AL36&gt;TOTCOSTCAP),"75% Total Cost",
IF(AND(AF36="Incremental",ROUND(AR36/AL36,2)=INCCOSTCAP,BR36/AL36&gt;INCCOSTCAP),"100% Incremental Cost",
IF(BV36&lt;KWHRATEMIN, "kWh Incentive Rate Min",
IF(BV36&gt;KWHRATEMAX,"kWh Incentive Rate Cap",
IF(AR36=BT36,"Bonus Incentive", "kWh Incentive"))))), ""),"")</f>
        <v/>
      </c>
      <c r="BV36" s="767"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57" t="str">
        <f>IF(OR(C36="",G36="",P36="",R36="",V36="",M36="",X36="",AF36="",AH36="", AJ36=""),"",IF(BY36&lt;&gt;"",SPILLOVERNUMBER,INDEX(CMEMISC3[Measure Number],MATCH(G36,CMEMISC3[Proj Desc 1],0))))</f>
        <v/>
      </c>
      <c r="BX36" s="757" t="str" cm="1">
        <f t="array" ref="BX36">IFERROR(INDEX(_xlfn.SWITCH(Program_Banner,"Business Energy Savings",ENDUSEALL[Primary Key WBE],"Small Business / Non-Profit",ENDUSEALL[Primary Key HTRB],0),MATCH(BC36,ENDUSEALL[End Use to Coincident Peak Demand Factors],0)),"")</f>
        <v/>
      </c>
      <c r="BY36" s="757" t="str">
        <f ca="1">IFERROR(IF(EXPIRATION&lt;&gt;"",PROJSTATEXP,
IF(BP36&gt;0,"",
IF(BA36-BB36&lt;=0,MEASURESAVE,
IF(OR(M02S04F06="",M02S04F06="Select Rate Code",M02S04F06=0),MEASURERATE,
IF(AND((ISNUMBER(SEARCH("Other",G36))),OR(BJ36="",BC36="")),MEASURESUBMIT,
 IF(PAYCUSE&lt;PAYBACKREQ,PROJECTSTATPAYBACK,
IF(CBCUSE&lt;CBREQ,PROJECTSTATCB,""))))))),MEASURESUBMIT)</f>
        <v>Submit for Review</v>
      </c>
      <c r="BZ36" s="753"/>
      <c r="CA36" s="753"/>
      <c r="CB36" s="753"/>
      <c r="CC36" s="753"/>
    </row>
    <row r="37" spans="2:81" customFormat="1" ht="15.95" customHeight="1">
      <c r="B37" s="785"/>
      <c r="C37" s="1175"/>
      <c r="D37" s="1176"/>
      <c r="E37" s="1176"/>
      <c r="F37" s="1177"/>
      <c r="G37" s="1221"/>
      <c r="H37" s="1222"/>
      <c r="I37" s="1222"/>
      <c r="J37" s="1222"/>
      <c r="K37" s="1222"/>
      <c r="L37" s="1223"/>
      <c r="M37" s="1221"/>
      <c r="N37" s="1222"/>
      <c r="O37" s="1223"/>
      <c r="P37" s="1203"/>
      <c r="Q37" s="1203"/>
      <c r="R37" s="1209"/>
      <c r="S37" s="1209"/>
      <c r="T37" s="1206"/>
      <c r="U37" s="1207"/>
      <c r="V37" s="1212"/>
      <c r="W37" s="1213"/>
      <c r="X37" s="1216"/>
      <c r="Y37" s="1217"/>
      <c r="Z37" s="1182"/>
      <c r="AA37" s="1183"/>
      <c r="AB37" s="1184"/>
      <c r="AC37" s="1186"/>
      <c r="AD37" s="1187"/>
      <c r="AE37" s="1188"/>
      <c r="AF37" s="1135"/>
      <c r="AG37" s="1136"/>
      <c r="AH37" s="993"/>
      <c r="AI37" s="993"/>
      <c r="AJ37" s="1083"/>
      <c r="AK37" s="1084"/>
      <c r="AL37" s="1152"/>
      <c r="AM37" s="1152"/>
      <c r="AN37" s="1153"/>
      <c r="AO37" s="1037"/>
      <c r="AP37" s="1037"/>
      <c r="AQ37" s="1037"/>
      <c r="AR37" s="1001"/>
      <c r="AS37" s="1001"/>
      <c r="AT37" s="1001"/>
      <c r="AU37" s="1001"/>
      <c r="AX37" s="774"/>
      <c r="AY37" s="760"/>
      <c r="AZ37" s="760"/>
      <c r="BA37" s="772"/>
      <c r="BB37" s="772"/>
      <c r="BC37" s="774"/>
      <c r="BD37" s="758"/>
      <c r="BE37" s="776"/>
      <c r="BF37" s="1099"/>
      <c r="BG37" s="776"/>
      <c r="BH37" s="762"/>
      <c r="BI37" s="762"/>
      <c r="BJ37" s="778"/>
      <c r="BK37" s="768"/>
      <c r="BL37" s="768"/>
      <c r="BM37" s="766"/>
      <c r="BN37" s="764"/>
      <c r="BO37" s="764"/>
      <c r="BP37" s="770"/>
      <c r="BQ37" s="766"/>
      <c r="BR37" s="768"/>
      <c r="BS37" s="766"/>
      <c r="BT37" s="766"/>
      <c r="BU37" s="758"/>
      <c r="BV37" s="768"/>
      <c r="BW37" s="758"/>
      <c r="BX37" s="758"/>
      <c r="BY37" s="758"/>
      <c r="BZ37" s="754"/>
      <c r="CA37" s="754"/>
      <c r="CB37" s="754"/>
      <c r="CC37" s="754"/>
    </row>
    <row r="38" spans="2:81" customFormat="1" ht="15.95" customHeight="1">
      <c r="N38" s="17"/>
      <c r="O38" s="17"/>
      <c r="P38" s="17"/>
      <c r="Q38" s="17"/>
      <c r="V38" s="17"/>
      <c r="W38" s="17"/>
      <c r="X38" s="17"/>
      <c r="Y38" s="17"/>
      <c r="AY38" s="17"/>
      <c r="AZ38" s="17"/>
      <c r="BA38" s="194"/>
      <c r="BB38" s="194"/>
      <c r="BD38" s="17"/>
      <c r="BE38" s="17"/>
      <c r="BG38" s="194"/>
      <c r="BH38" s="17"/>
      <c r="BI38" s="17"/>
      <c r="BL38" s="17"/>
      <c r="BM38" s="17"/>
      <c r="BQ38" s="17"/>
      <c r="BS38" s="17"/>
    </row>
    <row r="39" spans="2:81" customFormat="1" ht="15.95" hidden="1" customHeight="1">
      <c r="N39" s="17"/>
      <c r="O39" s="17"/>
      <c r="P39" s="17"/>
      <c r="Q39" s="17"/>
      <c r="V39" s="17"/>
      <c r="W39" s="17"/>
      <c r="X39" s="17"/>
      <c r="Y39" s="17"/>
      <c r="AY39" s="17"/>
      <c r="AZ39" s="17"/>
      <c r="BA39" s="194"/>
      <c r="BB39" s="194"/>
      <c r="BD39" s="17"/>
      <c r="BE39" s="17"/>
      <c r="BG39" s="194"/>
      <c r="BH39" s="17"/>
      <c r="BI39" s="17"/>
      <c r="BL39" s="17"/>
      <c r="BM39" s="17"/>
      <c r="BQ39" s="17"/>
      <c r="BS39" s="17"/>
    </row>
    <row r="40" spans="2:81" customFormat="1" ht="15.95" hidden="1" customHeight="1">
      <c r="N40" s="17"/>
      <c r="O40" s="17"/>
      <c r="P40" s="17"/>
      <c r="Q40" s="17"/>
      <c r="V40" s="17"/>
      <c r="W40" s="17"/>
      <c r="X40" s="17"/>
      <c r="Y40" s="17"/>
      <c r="AY40" s="17"/>
      <c r="AZ40" s="17"/>
      <c r="BA40" s="194"/>
      <c r="BB40" s="194"/>
      <c r="BD40" s="17"/>
      <c r="BE40" s="17"/>
      <c r="BG40" s="194"/>
      <c r="BH40" s="17"/>
      <c r="BI40" s="17"/>
      <c r="BL40" s="17"/>
      <c r="BM40" s="17"/>
      <c r="BQ40" s="17"/>
      <c r="BS40" s="17"/>
    </row>
    <row r="41" spans="2:81" customFormat="1" ht="15.95" hidden="1" customHeight="1">
      <c r="N41" s="17"/>
      <c r="O41" s="17"/>
      <c r="P41" s="17"/>
      <c r="Q41" s="17"/>
      <c r="V41" s="17"/>
      <c r="W41" s="17"/>
      <c r="X41" s="17"/>
      <c r="Y41" s="17"/>
      <c r="AY41" s="17"/>
      <c r="AZ41" s="17"/>
      <c r="BA41" s="194"/>
      <c r="BB41" s="194"/>
      <c r="BD41" s="17"/>
      <c r="BE41" s="17"/>
      <c r="BG41" s="194"/>
      <c r="BH41" s="17"/>
      <c r="BI41" s="17"/>
      <c r="BL41" s="17"/>
      <c r="BM41" s="17"/>
      <c r="BQ41" s="17"/>
      <c r="BS41" s="17"/>
    </row>
    <row r="42" spans="2:81" customFormat="1" ht="15.95" hidden="1" customHeight="1">
      <c r="N42" s="17"/>
      <c r="O42" s="17"/>
      <c r="P42" s="17"/>
      <c r="Q42" s="17"/>
      <c r="V42" s="17"/>
      <c r="W42" s="17"/>
      <c r="X42" s="17"/>
      <c r="Y42" s="17"/>
      <c r="AY42" s="17"/>
      <c r="AZ42" s="17"/>
      <c r="BA42" s="194"/>
      <c r="BB42" s="194"/>
      <c r="BD42" s="17"/>
      <c r="BE42" s="17"/>
      <c r="BG42" s="194"/>
      <c r="BH42" s="17"/>
      <c r="BI42" s="17"/>
      <c r="BL42" s="17"/>
      <c r="BM42" s="17"/>
      <c r="BQ42" s="17"/>
      <c r="BS42" s="17"/>
    </row>
    <row r="43" spans="2:81" customFormat="1" ht="15.95" hidden="1" customHeight="1">
      <c r="N43" s="17"/>
      <c r="O43" s="17"/>
      <c r="P43" s="17"/>
      <c r="Q43" s="17"/>
      <c r="V43" s="17"/>
      <c r="W43" s="17"/>
      <c r="X43" s="17"/>
      <c r="Y43" s="17"/>
      <c r="AY43" s="17"/>
      <c r="AZ43" s="17"/>
      <c r="BA43" s="194"/>
      <c r="BB43" s="194"/>
      <c r="BD43" s="17"/>
      <c r="BE43" s="17"/>
      <c r="BG43" s="194"/>
      <c r="BH43" s="17"/>
      <c r="BI43" s="17"/>
      <c r="BL43" s="17"/>
      <c r="BM43" s="17"/>
      <c r="BQ43" s="17"/>
      <c r="BS43" s="17"/>
    </row>
    <row r="44" spans="2:81" customFormat="1" ht="15.95" hidden="1" customHeight="1">
      <c r="N44" s="17"/>
      <c r="O44" s="17"/>
      <c r="P44" s="17"/>
      <c r="Q44" s="17"/>
      <c r="V44" s="17"/>
      <c r="W44" s="17"/>
      <c r="X44" s="17"/>
      <c r="Y44" s="17"/>
      <c r="AY44" s="17"/>
      <c r="AZ44" s="17"/>
      <c r="BA44" s="194"/>
      <c r="BB44" s="194"/>
      <c r="BD44" s="17"/>
      <c r="BE44" s="17"/>
      <c r="BG44" s="194"/>
      <c r="BH44" s="17"/>
      <c r="BI44" s="17"/>
      <c r="BL44" s="17"/>
      <c r="BM44" s="17"/>
      <c r="BQ44" s="17"/>
      <c r="BS44" s="17"/>
    </row>
    <row r="45" spans="2:81" customFormat="1" ht="15.95" hidden="1" customHeight="1">
      <c r="N45" s="17"/>
      <c r="O45" s="17"/>
      <c r="P45" s="17"/>
      <c r="Q45" s="17"/>
      <c r="V45" s="17"/>
      <c r="W45" s="17"/>
      <c r="X45" s="17"/>
      <c r="Y45" s="17"/>
      <c r="AY45" s="17"/>
      <c r="AZ45" s="17"/>
      <c r="BA45" s="194"/>
      <c r="BB45" s="194"/>
      <c r="BD45" s="17"/>
      <c r="BE45" s="17"/>
      <c r="BG45" s="194"/>
      <c r="BH45" s="17"/>
      <c r="BI45" s="17"/>
      <c r="BL45" s="17"/>
      <c r="BM45" s="17"/>
      <c r="BQ45" s="17"/>
      <c r="BS45" s="17"/>
    </row>
    <row r="46" spans="2:81" customFormat="1" ht="15.95" hidden="1" customHeight="1">
      <c r="N46" s="17"/>
      <c r="O46" s="17"/>
      <c r="P46" s="17"/>
      <c r="Q46" s="17"/>
      <c r="V46" s="17"/>
      <c r="W46" s="17"/>
      <c r="X46" s="17"/>
      <c r="Y46" s="17"/>
      <c r="AY46" s="17"/>
      <c r="AZ46" s="17"/>
      <c r="BA46" s="194"/>
      <c r="BB46" s="194"/>
      <c r="BD46" s="17"/>
      <c r="BE46" s="17"/>
      <c r="BG46" s="194"/>
      <c r="BH46" s="17"/>
      <c r="BI46" s="17"/>
      <c r="BL46" s="17"/>
      <c r="BM46" s="17"/>
      <c r="BQ46" s="17"/>
      <c r="BS46" s="17"/>
    </row>
    <row r="47" spans="2:81" customFormat="1" ht="15.95" hidden="1" customHeight="1">
      <c r="N47" s="17"/>
      <c r="O47" s="17"/>
      <c r="P47" s="17"/>
      <c r="Q47" s="17"/>
      <c r="V47" s="17"/>
      <c r="W47" s="17"/>
      <c r="X47" s="17"/>
      <c r="Y47" s="17"/>
      <c r="AY47" s="17"/>
      <c r="AZ47" s="17"/>
      <c r="BA47" s="194"/>
      <c r="BB47" s="194"/>
      <c r="BD47" s="17"/>
      <c r="BE47" s="17"/>
      <c r="BG47" s="194"/>
      <c r="BH47" s="17"/>
      <c r="BI47" s="17"/>
      <c r="BL47" s="17"/>
      <c r="BM47" s="17"/>
      <c r="BQ47" s="17"/>
      <c r="BS47" s="17"/>
    </row>
    <row r="48" spans="2:81" ht="15.95" hidden="1" customHeight="1">
      <c r="AX48" s="104"/>
      <c r="BA48" s="273"/>
      <c r="BB48" s="273"/>
      <c r="BG48" s="195"/>
      <c r="BJ48" s="104"/>
      <c r="BO48" s="103"/>
    </row>
    <row r="49" spans="50:67" ht="15.95" hidden="1" customHeight="1">
      <c r="AX49" s="104"/>
      <c r="BA49" s="273"/>
      <c r="BB49" s="273"/>
      <c r="BG49" s="195"/>
      <c r="BJ49" s="104"/>
      <c r="BO49" s="103"/>
    </row>
    <row r="50" spans="50:67" ht="15.95" hidden="1" customHeight="1">
      <c r="AX50" s="104"/>
      <c r="BA50" s="273"/>
      <c r="BB50" s="273"/>
      <c r="BG50" s="195"/>
      <c r="BJ50" s="104"/>
      <c r="BO50" s="103"/>
    </row>
    <row r="51" spans="50:67" ht="15.95" hidden="1" customHeight="1">
      <c r="AX51" s="104"/>
      <c r="BA51" s="273"/>
      <c r="BB51" s="273"/>
      <c r="BG51" s="195"/>
      <c r="BJ51" s="104"/>
      <c r="BO51" s="103"/>
    </row>
    <row r="52" spans="50:67" ht="15.95" hidden="1" customHeight="1">
      <c r="AX52" s="104"/>
      <c r="BA52" s="273"/>
      <c r="BB52" s="273"/>
      <c r="BG52" s="195"/>
      <c r="BJ52" s="104"/>
      <c r="BO52" s="103"/>
    </row>
    <row r="53" spans="50:67" ht="15.95" hidden="1" customHeight="1">
      <c r="AX53" s="104"/>
      <c r="BA53" s="273"/>
      <c r="BB53" s="273"/>
      <c r="BG53" s="195"/>
      <c r="BJ53" s="104"/>
      <c r="BO53" s="103"/>
    </row>
    <row r="54" spans="50:67" ht="15.95" hidden="1" customHeight="1">
      <c r="AX54" s="104"/>
      <c r="BA54" s="273"/>
      <c r="BB54" s="273"/>
      <c r="BG54" s="195"/>
      <c r="BJ54" s="104"/>
      <c r="BO54" s="103"/>
    </row>
    <row r="55" spans="50:67" ht="15.95" hidden="1" customHeight="1">
      <c r="AX55" s="104"/>
      <c r="BA55" s="273"/>
      <c r="BB55" s="273"/>
      <c r="BG55" s="195"/>
      <c r="BJ55" s="104"/>
      <c r="BO55" s="103"/>
    </row>
    <row r="56" spans="50:67" ht="15.95" hidden="1" customHeight="1">
      <c r="AX56" s="104"/>
      <c r="BA56" s="273"/>
      <c r="BB56" s="273"/>
      <c r="BG56" s="195"/>
      <c r="BJ56" s="104"/>
      <c r="BO56" s="103"/>
    </row>
    <row r="57" spans="50:67" ht="15.95" hidden="1" customHeight="1">
      <c r="AX57" s="104"/>
      <c r="BA57" s="273"/>
      <c r="BB57" s="273"/>
      <c r="BG57" s="195"/>
      <c r="BJ57" s="104"/>
      <c r="BO57" s="103"/>
    </row>
    <row r="58" spans="50:67" ht="15.95" hidden="1" customHeight="1">
      <c r="AX58" s="104"/>
      <c r="BA58" s="273"/>
      <c r="BB58" s="273"/>
      <c r="BG58" s="195"/>
      <c r="BJ58" s="104"/>
      <c r="BO58" s="103"/>
    </row>
    <row r="59" spans="50:67" ht="15.95" hidden="1" customHeight="1">
      <c r="AX59" s="104"/>
      <c r="BA59" s="273"/>
      <c r="BB59" s="273"/>
      <c r="BG59" s="195"/>
      <c r="BJ59" s="104"/>
      <c r="BO59" s="103"/>
    </row>
    <row r="60" spans="50:67" ht="15.95" hidden="1" customHeight="1">
      <c r="AX60" s="104"/>
      <c r="BA60" s="273"/>
      <c r="BB60" s="273"/>
      <c r="BG60" s="195"/>
      <c r="BJ60" s="104"/>
      <c r="BO60" s="103"/>
    </row>
    <row r="61" spans="50:67" ht="15.95" hidden="1" customHeight="1">
      <c r="AX61" s="104"/>
      <c r="BA61" s="273"/>
      <c r="BB61" s="273"/>
      <c r="BG61" s="195"/>
      <c r="BJ61" s="104"/>
      <c r="BO61" s="103"/>
    </row>
    <row r="62" spans="50:67" ht="15.95" hidden="1" customHeight="1">
      <c r="AX62" s="104"/>
      <c r="BA62" s="273"/>
      <c r="BB62" s="273"/>
      <c r="BG62" s="195"/>
      <c r="BJ62" s="104"/>
      <c r="BO62" s="103"/>
    </row>
    <row r="63" spans="50:67" ht="15.95" hidden="1" customHeight="1">
      <c r="AX63" s="104"/>
      <c r="BA63" s="273"/>
      <c r="BB63" s="273"/>
      <c r="BG63" s="195"/>
      <c r="BJ63" s="104"/>
      <c r="BO63" s="103"/>
    </row>
    <row r="64" spans="50:67" ht="15.95" hidden="1" customHeight="1">
      <c r="AX64" s="104"/>
      <c r="BA64" s="273"/>
      <c r="BB64" s="273"/>
      <c r="BG64" s="195"/>
      <c r="BJ64" s="104"/>
      <c r="BO64" s="103"/>
    </row>
    <row r="65" spans="50:67" ht="15.95" hidden="1" customHeight="1">
      <c r="AX65" s="104"/>
      <c r="BA65" s="273"/>
      <c r="BB65" s="273"/>
      <c r="BG65" s="195"/>
      <c r="BJ65" s="104"/>
      <c r="BO65" s="103"/>
    </row>
    <row r="66" spans="50:67" ht="15.95" hidden="1" customHeight="1">
      <c r="AX66" s="104"/>
      <c r="BA66" s="273"/>
      <c r="BB66" s="273"/>
      <c r="BG66" s="195"/>
      <c r="BJ66" s="104"/>
      <c r="BO66" s="103"/>
    </row>
    <row r="67" spans="50:67" ht="15.95" hidden="1" customHeight="1">
      <c r="AX67" s="104"/>
      <c r="BA67" s="273"/>
      <c r="BB67" s="273"/>
      <c r="BG67" s="195"/>
      <c r="BJ67" s="104"/>
      <c r="BO67" s="103"/>
    </row>
    <row r="68" spans="50:67" ht="15.95" hidden="1" customHeight="1">
      <c r="AX68" s="104"/>
      <c r="BA68" s="273"/>
      <c r="BB68" s="273"/>
      <c r="BG68" s="195"/>
      <c r="BJ68" s="104"/>
      <c r="BO68" s="103"/>
    </row>
    <row r="69" spans="50:67" ht="15.95" hidden="1" customHeight="1">
      <c r="AX69" s="104"/>
      <c r="BA69" s="273"/>
      <c r="BB69" s="273"/>
      <c r="BG69" s="195"/>
      <c r="BJ69" s="104"/>
      <c r="BO69" s="103"/>
    </row>
    <row r="70" spans="50:67" ht="15.95" hidden="1" customHeight="1">
      <c r="AX70" s="104"/>
      <c r="BA70" s="273"/>
      <c r="BB70" s="273"/>
      <c r="BG70" s="195"/>
      <c r="BJ70" s="104"/>
      <c r="BO70" s="103"/>
    </row>
    <row r="71" spans="50:67" ht="15.95" hidden="1" customHeight="1">
      <c r="AX71" s="104"/>
      <c r="BA71" s="273"/>
      <c r="BB71" s="273"/>
      <c r="BG71" s="195"/>
      <c r="BJ71" s="104"/>
      <c r="BO71" s="103"/>
    </row>
    <row r="72" spans="50:67" ht="15.95" hidden="1" customHeight="1">
      <c r="AX72" s="104"/>
      <c r="BA72" s="273"/>
      <c r="BB72" s="273"/>
      <c r="BG72" s="195"/>
      <c r="BJ72" s="104"/>
      <c r="BO72" s="103"/>
    </row>
    <row r="73" spans="50:67" ht="15.95" hidden="1" customHeight="1">
      <c r="AX73" s="104"/>
      <c r="BA73" s="273"/>
      <c r="BB73" s="273"/>
      <c r="BG73" s="195"/>
      <c r="BJ73" s="104"/>
      <c r="BO73" s="103"/>
    </row>
    <row r="74" spans="50:67" ht="15.95" hidden="1" customHeight="1">
      <c r="AX74" s="104"/>
      <c r="BA74" s="273"/>
      <c r="BB74" s="273"/>
      <c r="BG74" s="195"/>
      <c r="BJ74" s="104"/>
      <c r="BO74" s="103"/>
    </row>
    <row r="75" spans="50:67" ht="15.95" hidden="1" customHeight="1">
      <c r="AX75" s="104"/>
      <c r="BA75" s="273"/>
      <c r="BB75" s="273"/>
      <c r="BG75" s="195"/>
      <c r="BJ75" s="104"/>
      <c r="BO75" s="103"/>
    </row>
    <row r="76" spans="50:67" ht="15.95" hidden="1" customHeight="1">
      <c r="AX76" s="104"/>
      <c r="BA76" s="273"/>
      <c r="BB76" s="273"/>
      <c r="BG76" s="195"/>
      <c r="BJ76" s="104"/>
      <c r="BO76" s="103"/>
    </row>
    <row r="77" spans="50:67" ht="15.95" hidden="1" customHeight="1">
      <c r="AX77" s="104"/>
      <c r="BA77" s="273"/>
      <c r="BB77" s="273"/>
      <c r="BG77" s="195"/>
      <c r="BJ77" s="104"/>
      <c r="BO77" s="103"/>
    </row>
    <row r="78" spans="50:67" ht="15.95" hidden="1" customHeight="1">
      <c r="AX78" s="104"/>
      <c r="BA78" s="273"/>
      <c r="BB78" s="273"/>
      <c r="BG78" s="195"/>
      <c r="BJ78" s="104"/>
      <c r="BO78" s="103"/>
    </row>
    <row r="79" spans="50:67" ht="15.95" hidden="1" customHeight="1">
      <c r="AX79" s="104"/>
      <c r="BA79" s="273"/>
      <c r="BB79" s="273"/>
      <c r="BG79" s="195"/>
      <c r="BJ79" s="104"/>
      <c r="BO79" s="103"/>
    </row>
    <row r="80" spans="50:67" ht="15.95" hidden="1" customHeight="1">
      <c r="AX80" s="104"/>
      <c r="BA80" s="273"/>
      <c r="BB80" s="273"/>
      <c r="BG80" s="195"/>
      <c r="BJ80" s="104"/>
      <c r="BO80" s="103"/>
    </row>
    <row r="81" spans="50:67" ht="15.95" hidden="1" customHeight="1">
      <c r="AX81" s="104"/>
      <c r="BA81" s="273"/>
      <c r="BB81" s="273"/>
      <c r="BG81" s="195"/>
      <c r="BJ81" s="104"/>
      <c r="BO81" s="103"/>
    </row>
    <row r="82" spans="50:67" ht="15.95" hidden="1" customHeight="1">
      <c r="AX82" s="104"/>
      <c r="BA82" s="273"/>
      <c r="BB82" s="273"/>
      <c r="BG82" s="195"/>
      <c r="BJ82" s="104"/>
      <c r="BO82" s="103"/>
    </row>
    <row r="83" spans="50:67" ht="15.95" hidden="1" customHeight="1">
      <c r="AX83" s="104"/>
      <c r="BA83" s="273"/>
      <c r="BB83" s="273"/>
      <c r="BG83" s="195"/>
      <c r="BJ83" s="104"/>
      <c r="BO83" s="103"/>
    </row>
    <row r="84" spans="50:67" ht="15.95" hidden="1" customHeight="1">
      <c r="AX84" s="104"/>
      <c r="BA84" s="273"/>
      <c r="BB84" s="273"/>
      <c r="BG84" s="195"/>
      <c r="BJ84" s="104"/>
      <c r="BO84" s="103"/>
    </row>
    <row r="85" spans="50:67" ht="15.95" hidden="1" customHeight="1">
      <c r="AX85" s="104"/>
      <c r="BA85" s="273"/>
      <c r="BB85" s="273"/>
      <c r="BG85" s="195"/>
      <c r="BJ85" s="104"/>
      <c r="BO85" s="103"/>
    </row>
    <row r="86" spans="50:67" ht="15.95" hidden="1" customHeight="1">
      <c r="AX86" s="104"/>
      <c r="BA86" s="273"/>
      <c r="BB86" s="273"/>
      <c r="BG86" s="195"/>
      <c r="BJ86" s="104"/>
      <c r="BO86" s="103"/>
    </row>
    <row r="87" spans="50:67" ht="15.95" hidden="1" customHeight="1">
      <c r="AX87" s="104"/>
      <c r="BA87" s="273"/>
      <c r="BB87" s="273"/>
      <c r="BG87" s="195"/>
      <c r="BJ87" s="104"/>
      <c r="BO87" s="103"/>
    </row>
    <row r="88" spans="50:67" ht="15.95" hidden="1" customHeight="1">
      <c r="AX88" s="104"/>
      <c r="BA88" s="273"/>
      <c r="BB88" s="273"/>
      <c r="BG88" s="195"/>
      <c r="BJ88" s="104"/>
      <c r="BO88" s="103"/>
    </row>
    <row r="89" spans="50:67" ht="15.95" hidden="1" customHeight="1">
      <c r="AX89" s="104"/>
      <c r="BA89" s="273"/>
      <c r="BB89" s="273"/>
      <c r="BG89" s="195"/>
      <c r="BJ89" s="104"/>
      <c r="BO89" s="103"/>
    </row>
    <row r="90" spans="50:67" ht="15.95" hidden="1" customHeight="1">
      <c r="AX90" s="104"/>
      <c r="BA90" s="273"/>
      <c r="BB90" s="273"/>
      <c r="BG90" s="195"/>
      <c r="BJ90" s="104"/>
      <c r="BO90" s="103"/>
    </row>
    <row r="91" spans="50:67" ht="15.95" hidden="1" customHeight="1">
      <c r="AX91" s="104"/>
      <c r="BA91" s="273"/>
      <c r="BB91" s="273"/>
      <c r="BG91" s="195"/>
      <c r="BJ91" s="104"/>
      <c r="BO91" s="103"/>
    </row>
    <row r="92" spans="50:67" ht="15.95" hidden="1" customHeight="1">
      <c r="AX92" s="104"/>
      <c r="BA92" s="273"/>
      <c r="BB92" s="273"/>
      <c r="BG92" s="195"/>
      <c r="BJ92" s="104"/>
      <c r="BO92" s="103"/>
    </row>
    <row r="93" spans="50:67" ht="15.95" hidden="1" customHeight="1">
      <c r="AX93" s="104"/>
      <c r="BA93" s="273"/>
      <c r="BB93" s="273"/>
      <c r="BG93" s="195"/>
      <c r="BJ93" s="104"/>
      <c r="BO93" s="103"/>
    </row>
    <row r="94" spans="50:67" ht="15.95" hidden="1" customHeight="1">
      <c r="AX94" s="104"/>
      <c r="BA94" s="273"/>
      <c r="BB94" s="273"/>
      <c r="BG94" s="195"/>
      <c r="BJ94" s="104"/>
      <c r="BO94" s="103"/>
    </row>
    <row r="95" spans="50:67" ht="15.95" hidden="1" customHeight="1">
      <c r="AX95" s="104"/>
      <c r="BA95" s="273"/>
      <c r="BB95" s="273"/>
      <c r="BG95" s="195"/>
      <c r="BJ95" s="104"/>
      <c r="BO95" s="103"/>
    </row>
    <row r="96" spans="50:67" ht="15.95" hidden="1" customHeight="1">
      <c r="AX96" s="104"/>
      <c r="BA96" s="273"/>
      <c r="BB96" s="273"/>
      <c r="BG96" s="195"/>
      <c r="BJ96" s="104"/>
      <c r="BO96" s="103"/>
    </row>
    <row r="97" spans="50:67" ht="15.95" hidden="1" customHeight="1">
      <c r="AX97" s="104"/>
      <c r="BA97" s="273"/>
      <c r="BB97" s="273"/>
      <c r="BG97" s="195"/>
      <c r="BJ97" s="104"/>
      <c r="BO97" s="103"/>
    </row>
    <row r="98" spans="50:67" ht="15.95" hidden="1" customHeight="1">
      <c r="AX98" s="104"/>
      <c r="BA98" s="273"/>
      <c r="BB98" s="273"/>
      <c r="BG98" s="195"/>
      <c r="BJ98" s="104"/>
      <c r="BO98" s="103"/>
    </row>
    <row r="99" spans="50:67" ht="15.95" hidden="1" customHeight="1">
      <c r="AX99" s="104"/>
      <c r="BA99" s="273"/>
      <c r="BB99" s="273"/>
      <c r="BG99" s="195"/>
      <c r="BJ99" s="104"/>
      <c r="BO99" s="103"/>
    </row>
    <row r="100" spans="50:67" ht="15.95" hidden="1" customHeight="1">
      <c r="AX100" s="104"/>
      <c r="BA100" s="273"/>
      <c r="BB100" s="273"/>
      <c r="BG100" s="195"/>
      <c r="BJ100" s="104"/>
      <c r="BO100" s="103"/>
    </row>
    <row r="101" spans="50:67" ht="15.95" hidden="1" customHeight="1">
      <c r="AX101" s="104"/>
      <c r="BA101" s="273"/>
      <c r="BB101" s="273"/>
      <c r="BG101" s="195"/>
      <c r="BJ101" s="104"/>
      <c r="BO101" s="103"/>
    </row>
    <row r="102" spans="50:67" ht="15.95" hidden="1" customHeight="1">
      <c r="AX102" s="104"/>
      <c r="BA102" s="273"/>
      <c r="BB102" s="273"/>
      <c r="BG102" s="195"/>
      <c r="BJ102" s="104"/>
      <c r="BO102" s="103"/>
    </row>
    <row r="103" spans="50:67" ht="15.95" hidden="1" customHeight="1">
      <c r="AX103" s="104"/>
      <c r="BA103" s="273"/>
      <c r="BB103" s="273"/>
      <c r="BG103" s="195"/>
      <c r="BJ103" s="104"/>
      <c r="BO103" s="103"/>
    </row>
    <row r="104" spans="50:67" ht="15.95" hidden="1" customHeight="1">
      <c r="AX104" s="104"/>
      <c r="BA104" s="273"/>
      <c r="BB104" s="273"/>
      <c r="BG104" s="195"/>
      <c r="BJ104" s="104"/>
      <c r="BO104" s="103"/>
    </row>
    <row r="105" spans="50:67" ht="15.95" hidden="1" customHeight="1">
      <c r="AX105" s="104"/>
      <c r="BA105" s="273"/>
      <c r="BB105" s="273"/>
      <c r="BG105" s="195"/>
      <c r="BJ105" s="104"/>
      <c r="BO105" s="103"/>
    </row>
    <row r="106" spans="50:67" ht="15.95" hidden="1" customHeight="1">
      <c r="AX106" s="104"/>
      <c r="BA106" s="273"/>
      <c r="BB106" s="273"/>
      <c r="BG106" s="195"/>
      <c r="BJ106" s="104"/>
      <c r="BO106" s="103"/>
    </row>
    <row r="107" spans="50:67" ht="15.95" hidden="1" customHeight="1">
      <c r="AX107" s="104"/>
      <c r="BA107" s="273"/>
      <c r="BB107" s="273"/>
      <c r="BG107" s="195"/>
      <c r="BJ107" s="104"/>
      <c r="BO107" s="103"/>
    </row>
    <row r="108" spans="50:67" ht="15.95" hidden="1" customHeight="1">
      <c r="AX108" s="104"/>
      <c r="BA108" s="273"/>
      <c r="BB108" s="273"/>
      <c r="BG108" s="195"/>
      <c r="BJ108" s="104"/>
      <c r="BO108" s="103"/>
    </row>
    <row r="109" spans="50:67" ht="15.95" hidden="1" customHeight="1">
      <c r="AX109" s="104"/>
      <c r="BA109" s="273"/>
      <c r="BB109" s="273"/>
      <c r="BG109" s="195"/>
      <c r="BJ109" s="104"/>
      <c r="BO109" s="103"/>
    </row>
    <row r="110" spans="50:67" ht="15.95" hidden="1" customHeight="1">
      <c r="AX110" s="104"/>
      <c r="BA110" s="273"/>
      <c r="BB110" s="273"/>
      <c r="BG110" s="195"/>
      <c r="BJ110" s="104"/>
      <c r="BO110" s="103"/>
    </row>
    <row r="111" spans="50:67" ht="15.95" hidden="1" customHeight="1">
      <c r="AX111" s="104"/>
      <c r="BA111" s="273"/>
      <c r="BB111" s="273"/>
      <c r="BG111" s="195"/>
      <c r="BJ111" s="104"/>
      <c r="BO111" s="103"/>
    </row>
    <row r="112" spans="50:67" ht="15.95" hidden="1" customHeight="1">
      <c r="AX112" s="104"/>
      <c r="BA112" s="273"/>
      <c r="BB112" s="273"/>
      <c r="BG112" s="195"/>
      <c r="BJ112" s="104"/>
      <c r="BO112" s="103"/>
    </row>
    <row r="113" spans="50:67" ht="15.95" hidden="1" customHeight="1">
      <c r="AX113" s="104"/>
      <c r="BA113" s="273"/>
      <c r="BB113" s="273"/>
      <c r="BG113" s="195"/>
      <c r="BJ113" s="104"/>
      <c r="BO113" s="103"/>
    </row>
    <row r="114" spans="50:67" ht="15.95" hidden="1" customHeight="1">
      <c r="AX114" s="104"/>
      <c r="BA114" s="273"/>
      <c r="BB114" s="273"/>
      <c r="BG114" s="195"/>
      <c r="BJ114" s="104"/>
      <c r="BO114" s="103"/>
    </row>
    <row r="115" spans="50:67" ht="15.95" hidden="1" customHeight="1">
      <c r="AX115" s="104"/>
      <c r="BA115" s="273"/>
      <c r="BB115" s="273"/>
      <c r="BG115" s="195"/>
      <c r="BJ115" s="104"/>
      <c r="BO115" s="103"/>
    </row>
    <row r="116" spans="50:67" ht="15.95" hidden="1" customHeight="1">
      <c r="AX116" s="104"/>
      <c r="BA116" s="273"/>
      <c r="BB116" s="273"/>
      <c r="BG116" s="195"/>
      <c r="BJ116" s="104"/>
      <c r="BO116" s="103"/>
    </row>
    <row r="117" spans="50:67" ht="15.95" hidden="1" customHeight="1">
      <c r="AX117" s="104"/>
      <c r="BA117" s="273"/>
      <c r="BB117" s="273"/>
      <c r="BG117" s="195"/>
      <c r="BJ117" s="104"/>
      <c r="BO117" s="103"/>
    </row>
    <row r="118" spans="50:67" ht="15.95" hidden="1" customHeight="1">
      <c r="AX118" s="104"/>
      <c r="BA118" s="273"/>
      <c r="BB118" s="273"/>
      <c r="BG118" s="195"/>
      <c r="BJ118" s="104"/>
      <c r="BO118" s="103"/>
    </row>
    <row r="119" spans="50:67" ht="15.95" hidden="1" customHeight="1">
      <c r="AX119" s="104"/>
      <c r="BA119" s="273"/>
      <c r="BB119" s="273"/>
      <c r="BG119" s="195"/>
      <c r="BJ119" s="104"/>
      <c r="BO119" s="103"/>
    </row>
    <row r="120" spans="50:67" ht="15.95" hidden="1" customHeight="1">
      <c r="AX120" s="104"/>
      <c r="BA120" s="273"/>
      <c r="BB120" s="273"/>
      <c r="BG120" s="195"/>
      <c r="BJ120" s="104"/>
      <c r="BO120" s="103"/>
    </row>
    <row r="121" spans="50:67" ht="15.95" hidden="1" customHeight="1">
      <c r="AX121" s="104"/>
      <c r="BA121" s="273"/>
      <c r="BB121" s="273"/>
      <c r="BG121" s="195"/>
      <c r="BJ121" s="104"/>
      <c r="BO121" s="103"/>
    </row>
    <row r="122" spans="50:67" ht="15.95" hidden="1" customHeight="1">
      <c r="AX122" s="104"/>
      <c r="BA122" s="273"/>
      <c r="BB122" s="273"/>
      <c r="BG122" s="195"/>
      <c r="BJ122" s="104"/>
      <c r="BO122" s="103"/>
    </row>
    <row r="123" spans="50:67" ht="15.95" hidden="1" customHeight="1">
      <c r="AX123" s="104"/>
      <c r="BA123" s="273"/>
      <c r="BB123" s="273"/>
      <c r="BG123" s="195"/>
      <c r="BJ123" s="104"/>
      <c r="BO123" s="103"/>
    </row>
    <row r="124" spans="50:67" ht="15.95" hidden="1" customHeight="1">
      <c r="AX124" s="104"/>
      <c r="BA124" s="273"/>
      <c r="BB124" s="273"/>
      <c r="BG124" s="195"/>
      <c r="BJ124" s="104"/>
      <c r="BO124" s="103"/>
    </row>
    <row r="125" spans="50:67" ht="15.95" hidden="1" customHeight="1">
      <c r="AX125" s="104"/>
      <c r="BA125" s="273"/>
      <c r="BB125" s="273"/>
      <c r="BG125" s="195"/>
      <c r="BJ125" s="104"/>
      <c r="BO125" s="103"/>
    </row>
    <row r="126" spans="50:67" ht="15.95" hidden="1" customHeight="1">
      <c r="AX126" s="104"/>
      <c r="BA126" s="273"/>
      <c r="BB126" s="273"/>
      <c r="BG126" s="195"/>
      <c r="BJ126" s="104"/>
      <c r="BO126" s="103"/>
    </row>
    <row r="127" spans="50:67" ht="15.95" hidden="1" customHeight="1">
      <c r="AX127" s="104"/>
      <c r="BA127" s="273"/>
      <c r="BB127" s="273"/>
      <c r="BG127" s="195"/>
      <c r="BJ127" s="104"/>
      <c r="BO127" s="103"/>
    </row>
    <row r="128" spans="50:67" ht="15.95" hidden="1" customHeight="1">
      <c r="AX128" s="104"/>
      <c r="BA128" s="273"/>
      <c r="BB128" s="273"/>
      <c r="BG128" s="195"/>
      <c r="BJ128" s="104"/>
      <c r="BO128" s="103"/>
    </row>
    <row r="129" spans="50:67" ht="15.95" hidden="1" customHeight="1">
      <c r="AX129" s="104"/>
      <c r="BA129" s="273"/>
      <c r="BB129" s="273"/>
      <c r="BG129" s="195"/>
      <c r="BJ129" s="104"/>
      <c r="BO129" s="103"/>
    </row>
    <row r="130" spans="50:67" ht="15.95" hidden="1" customHeight="1">
      <c r="AX130" s="104"/>
      <c r="BA130" s="273"/>
      <c r="BB130" s="273"/>
      <c r="BG130" s="195"/>
      <c r="BJ130" s="104"/>
      <c r="BO130" s="103"/>
    </row>
    <row r="131" spans="50:67" ht="15.95" hidden="1" customHeight="1">
      <c r="AX131" s="104"/>
      <c r="BA131" s="273"/>
      <c r="BB131" s="273"/>
      <c r="BG131" s="195"/>
      <c r="BJ131" s="104"/>
      <c r="BO131" s="103"/>
    </row>
    <row r="132" spans="50:67" ht="15.95" hidden="1" customHeight="1">
      <c r="AX132" s="104"/>
      <c r="BA132" s="273"/>
      <c r="BB132" s="273"/>
      <c r="BG132" s="195"/>
      <c r="BJ132" s="104"/>
      <c r="BO132" s="103"/>
    </row>
    <row r="133" spans="50:67" ht="15.95" hidden="1" customHeight="1">
      <c r="AX133" s="104"/>
      <c r="BA133" s="273"/>
      <c r="BB133" s="273"/>
      <c r="BG133" s="195"/>
      <c r="BJ133" s="104"/>
      <c r="BO133" s="103"/>
    </row>
    <row r="134" spans="50:67" ht="15.95" hidden="1" customHeight="1">
      <c r="AX134" s="104"/>
      <c r="BA134" s="273"/>
      <c r="BB134" s="273"/>
      <c r="BG134" s="195"/>
      <c r="BJ134" s="104"/>
      <c r="BO134" s="103"/>
    </row>
    <row r="135" spans="50:67" ht="15.95" hidden="1" customHeight="1">
      <c r="AX135" s="104"/>
      <c r="BA135" s="273"/>
      <c r="BB135" s="273"/>
      <c r="BG135" s="195"/>
      <c r="BJ135" s="104"/>
      <c r="BO135" s="103"/>
    </row>
    <row r="136" spans="50:67" ht="15.95" hidden="1" customHeight="1">
      <c r="AX136" s="104"/>
      <c r="BA136" s="273"/>
      <c r="BB136" s="273"/>
      <c r="BG136" s="195"/>
      <c r="BJ136" s="104"/>
      <c r="BO136" s="103"/>
    </row>
    <row r="137" spans="50:67" ht="15.95" hidden="1" customHeight="1">
      <c r="AX137" s="104"/>
      <c r="BA137" s="273"/>
      <c r="BB137" s="273"/>
      <c r="BG137" s="195"/>
      <c r="BJ137" s="104"/>
      <c r="BO137" s="103"/>
    </row>
    <row r="138" spans="50:67" ht="15.95" hidden="1" customHeight="1">
      <c r="AX138" s="104"/>
      <c r="BA138" s="273"/>
      <c r="BB138" s="273"/>
      <c r="BG138" s="195"/>
      <c r="BJ138" s="104"/>
      <c r="BO138" s="103"/>
    </row>
    <row r="139" spans="50:67" ht="15.95" hidden="1" customHeight="1">
      <c r="AX139" s="104"/>
      <c r="BA139" s="273"/>
      <c r="BB139" s="273"/>
      <c r="BG139" s="195"/>
      <c r="BJ139" s="104"/>
      <c r="BO139" s="103"/>
    </row>
    <row r="140" spans="50:67" ht="15.95" hidden="1" customHeight="1">
      <c r="AX140" s="104"/>
      <c r="BA140" s="273"/>
      <c r="BB140" s="273"/>
      <c r="BG140" s="195"/>
      <c r="BJ140" s="104"/>
      <c r="BO140" s="103"/>
    </row>
    <row r="141" spans="50:67" ht="15.95" hidden="1" customHeight="1">
      <c r="AX141" s="104"/>
      <c r="BA141" s="273"/>
      <c r="BB141" s="273"/>
      <c r="BG141" s="195"/>
      <c r="BJ141" s="104"/>
      <c r="BO141" s="103"/>
    </row>
    <row r="142" spans="50:67" ht="15.95" hidden="1" customHeight="1">
      <c r="AX142" s="104"/>
      <c r="BA142" s="273"/>
      <c r="BB142" s="273"/>
      <c r="BG142" s="195"/>
      <c r="BJ142" s="104"/>
      <c r="BO142" s="103"/>
    </row>
    <row r="143" spans="50:67" ht="15.95" hidden="1" customHeight="1">
      <c r="AX143" s="104"/>
      <c r="BA143" s="273"/>
      <c r="BB143" s="273"/>
      <c r="BG143" s="195"/>
      <c r="BJ143" s="104"/>
      <c r="BO143" s="103"/>
    </row>
    <row r="144" spans="50:67" ht="15.95" hidden="1" customHeight="1">
      <c r="AX144" s="104"/>
      <c r="BA144" s="273"/>
      <c r="BB144" s="273"/>
      <c r="BG144" s="195"/>
      <c r="BJ144" s="104"/>
      <c r="BO144" s="103"/>
    </row>
    <row r="145" spans="50:67" ht="15.95" hidden="1" customHeight="1">
      <c r="AX145" s="104"/>
      <c r="BA145" s="273"/>
      <c r="BB145" s="273"/>
      <c r="BG145" s="195"/>
      <c r="BJ145" s="104"/>
      <c r="BO145" s="103"/>
    </row>
    <row r="146" spans="50:67" ht="15.95" hidden="1" customHeight="1">
      <c r="AX146" s="104"/>
      <c r="BA146" s="273"/>
      <c r="BB146" s="273"/>
      <c r="BG146" s="195"/>
      <c r="BJ146" s="104"/>
      <c r="BO146" s="103"/>
    </row>
    <row r="147" spans="50:67" ht="15.95" hidden="1" customHeight="1">
      <c r="AX147" s="104"/>
      <c r="BA147" s="273"/>
      <c r="BB147" s="273"/>
      <c r="BG147" s="195"/>
      <c r="BJ147" s="104"/>
      <c r="BO147" s="103"/>
    </row>
    <row r="148" spans="50:67" ht="15.95" hidden="1" customHeight="1">
      <c r="AX148" s="104"/>
      <c r="BA148" s="273"/>
      <c r="BB148" s="273"/>
      <c r="BG148" s="195"/>
      <c r="BJ148" s="104"/>
      <c r="BO148" s="103"/>
    </row>
    <row r="149" spans="50:67" ht="15.95" hidden="1" customHeight="1">
      <c r="AX149" s="104"/>
      <c r="BA149" s="273"/>
      <c r="BB149" s="273"/>
      <c r="BG149" s="195"/>
      <c r="BJ149" s="104"/>
      <c r="BO149" s="103"/>
    </row>
    <row r="150" spans="50:67" ht="15.95" hidden="1" customHeight="1">
      <c r="AX150" s="104"/>
      <c r="BA150" s="273"/>
      <c r="BB150" s="273"/>
      <c r="BG150" s="195"/>
      <c r="BJ150" s="104"/>
      <c r="BO150" s="103"/>
    </row>
    <row r="151" spans="50:67" ht="15.95" hidden="1" customHeight="1">
      <c r="AX151" s="104"/>
      <c r="BA151" s="273"/>
      <c r="BB151" s="273"/>
      <c r="BG151" s="195"/>
      <c r="BJ151" s="104"/>
      <c r="BO151" s="103"/>
    </row>
    <row r="152" spans="50:67" ht="15.95" hidden="1" customHeight="1">
      <c r="AX152" s="104"/>
      <c r="BA152" s="273"/>
      <c r="BB152" s="273"/>
      <c r="BG152" s="195"/>
      <c r="BJ152" s="104"/>
      <c r="BO152" s="103"/>
    </row>
    <row r="153" spans="50:67" ht="15.95" hidden="1" customHeight="1">
      <c r="AX153" s="104"/>
      <c r="BA153" s="273"/>
      <c r="BB153" s="273"/>
      <c r="BG153" s="195"/>
      <c r="BJ153" s="104"/>
      <c r="BO153" s="103"/>
    </row>
    <row r="154" spans="50:67" ht="15.95" hidden="1" customHeight="1">
      <c r="AX154" s="104"/>
      <c r="BA154" s="273"/>
      <c r="BB154" s="273"/>
      <c r="BG154" s="195"/>
      <c r="BJ154" s="104"/>
      <c r="BO154" s="103"/>
    </row>
    <row r="155" spans="50:67" ht="15.95" hidden="1" customHeight="1">
      <c r="AX155" s="104"/>
      <c r="BA155" s="273"/>
      <c r="BB155" s="273"/>
      <c r="BG155" s="195"/>
      <c r="BJ155" s="104"/>
      <c r="BO155" s="103"/>
    </row>
    <row r="156" spans="50:67" ht="15.95" hidden="1" customHeight="1">
      <c r="AX156" s="104"/>
      <c r="BA156" s="273"/>
      <c r="BB156" s="273"/>
      <c r="BG156" s="195"/>
      <c r="BJ156" s="104"/>
      <c r="BO156" s="103"/>
    </row>
    <row r="157" spans="50:67" ht="15.95" hidden="1" customHeight="1">
      <c r="AX157" s="104"/>
      <c r="BA157" s="273"/>
      <c r="BB157" s="273"/>
      <c r="BG157" s="195"/>
      <c r="BJ157" s="104"/>
      <c r="BO157" s="103"/>
    </row>
    <row r="158" spans="50:67" ht="15.95" hidden="1" customHeight="1">
      <c r="AX158" s="104"/>
      <c r="BA158" s="273"/>
      <c r="BB158" s="273"/>
      <c r="BG158" s="195"/>
      <c r="BJ158" s="104"/>
      <c r="BO158" s="103"/>
    </row>
    <row r="159" spans="50:67" ht="15.95" hidden="1" customHeight="1">
      <c r="AX159" s="104"/>
      <c r="BA159" s="273"/>
      <c r="BB159" s="273"/>
      <c r="BG159" s="195"/>
      <c r="BJ159" s="104"/>
      <c r="BO159" s="103"/>
    </row>
    <row r="160" spans="50:67" ht="15.95" hidden="1" customHeight="1">
      <c r="AX160" s="104"/>
      <c r="BA160" s="273"/>
      <c r="BB160" s="273"/>
      <c r="BG160" s="195"/>
      <c r="BJ160" s="104"/>
      <c r="BO160" s="103"/>
    </row>
    <row r="161" spans="50:67" ht="15.95" hidden="1" customHeight="1">
      <c r="AX161" s="104"/>
      <c r="BA161" s="273"/>
      <c r="BB161" s="273"/>
      <c r="BG161" s="195"/>
      <c r="BJ161" s="104"/>
      <c r="BO161" s="103"/>
    </row>
    <row r="162" spans="50:67" ht="15.95" hidden="1" customHeight="1">
      <c r="AX162" s="104"/>
      <c r="BA162" s="273"/>
      <c r="BB162" s="273"/>
      <c r="BG162" s="195"/>
      <c r="BJ162" s="104"/>
      <c r="BO162" s="103"/>
    </row>
    <row r="163" spans="50:67" ht="15.95" hidden="1" customHeight="1">
      <c r="AX163" s="104"/>
      <c r="BA163" s="273"/>
      <c r="BB163" s="273"/>
      <c r="BG163" s="195"/>
      <c r="BJ163" s="104"/>
      <c r="BO163" s="103"/>
    </row>
    <row r="164" spans="50:67" ht="15.95" hidden="1" customHeight="1">
      <c r="AX164" s="104"/>
      <c r="BA164" s="273"/>
      <c r="BB164" s="273"/>
      <c r="BG164" s="195"/>
      <c r="BJ164" s="104"/>
      <c r="BO164" s="103"/>
    </row>
    <row r="165" spans="50:67" ht="15.95" hidden="1" customHeight="1">
      <c r="AX165" s="104"/>
      <c r="BA165" s="273"/>
      <c r="BB165" s="273"/>
      <c r="BG165" s="195"/>
      <c r="BJ165" s="104"/>
      <c r="BO165" s="103"/>
    </row>
    <row r="166" spans="50:67" ht="15.95" hidden="1" customHeight="1">
      <c r="AX166" s="104"/>
      <c r="BA166" s="273"/>
      <c r="BB166" s="273"/>
      <c r="BG166" s="195"/>
      <c r="BJ166" s="104"/>
      <c r="BO166" s="103"/>
    </row>
    <row r="167" spans="50:67" ht="15.95" hidden="1" customHeight="1">
      <c r="AX167" s="104"/>
      <c r="BA167" s="273"/>
      <c r="BB167" s="273"/>
      <c r="BG167" s="195"/>
      <c r="BJ167" s="104"/>
      <c r="BO167" s="103"/>
    </row>
    <row r="168" spans="50:67" ht="15.95" hidden="1" customHeight="1">
      <c r="AX168" s="104"/>
      <c r="BA168" s="273"/>
      <c r="BB168" s="273"/>
      <c r="BG168" s="195"/>
      <c r="BJ168" s="104"/>
      <c r="BO168" s="103"/>
    </row>
    <row r="169" spans="50:67" ht="15.95" hidden="1" customHeight="1">
      <c r="AX169" s="104"/>
      <c r="BA169" s="273"/>
      <c r="BB169" s="273"/>
      <c r="BG169" s="195"/>
      <c r="BJ169" s="104"/>
      <c r="BO169" s="103"/>
    </row>
    <row r="170" spans="50:67" ht="15.95" hidden="1" customHeight="1">
      <c r="AX170" s="104"/>
      <c r="BA170" s="273"/>
      <c r="BB170" s="273"/>
      <c r="BG170" s="195"/>
      <c r="BJ170" s="104"/>
      <c r="BO170" s="103"/>
    </row>
    <row r="171" spans="50:67" ht="15.95" hidden="1" customHeight="1">
      <c r="AX171" s="104"/>
      <c r="BA171" s="273"/>
      <c r="BB171" s="273"/>
      <c r="BG171" s="195"/>
      <c r="BJ171" s="104"/>
      <c r="BO171" s="103"/>
    </row>
    <row r="172" spans="50:67" ht="15.95" hidden="1" customHeight="1">
      <c r="AX172" s="104"/>
      <c r="BA172" s="273"/>
      <c r="BB172" s="273"/>
      <c r="BG172" s="195"/>
      <c r="BJ172" s="104"/>
      <c r="BO172" s="103"/>
    </row>
    <row r="173" spans="50:67" ht="15.95" hidden="1" customHeight="1">
      <c r="AX173" s="104"/>
      <c r="BA173" s="273"/>
      <c r="BB173" s="273"/>
      <c r="BG173" s="195"/>
      <c r="BJ173" s="104"/>
      <c r="BO173" s="103"/>
    </row>
    <row r="174" spans="50:67" ht="15.95" hidden="1" customHeight="1">
      <c r="AX174" s="104"/>
      <c r="BA174" s="273"/>
      <c r="BB174" s="273"/>
      <c r="BG174" s="195"/>
      <c r="BJ174" s="104"/>
      <c r="BO174" s="103"/>
    </row>
    <row r="175" spans="50:67" ht="15.95" hidden="1" customHeight="1">
      <c r="AX175" s="104"/>
      <c r="BA175" s="273"/>
      <c r="BB175" s="273"/>
      <c r="BG175" s="195"/>
      <c r="BJ175" s="104"/>
      <c r="BO175" s="103"/>
    </row>
    <row r="176" spans="50:67" ht="15.95" hidden="1" customHeight="1">
      <c r="AX176" s="104"/>
      <c r="BA176" s="273"/>
      <c r="BB176" s="273"/>
      <c r="BG176" s="195"/>
      <c r="BJ176" s="104"/>
      <c r="BO176" s="103"/>
    </row>
    <row r="177" spans="50:67" ht="15.95" hidden="1" customHeight="1">
      <c r="AX177" s="104"/>
      <c r="BA177" s="273"/>
      <c r="BB177" s="273"/>
      <c r="BG177" s="195"/>
      <c r="BJ177" s="104"/>
      <c r="BO177" s="103"/>
    </row>
    <row r="178" spans="50:67" ht="15.95" hidden="1" customHeight="1">
      <c r="AX178" s="104"/>
      <c r="BA178" s="273"/>
      <c r="BB178" s="273"/>
      <c r="BG178" s="195"/>
      <c r="BJ178" s="104"/>
      <c r="BO178" s="103"/>
    </row>
    <row r="179" spans="50:67" ht="15.95" hidden="1" customHeight="1">
      <c r="AX179" s="104"/>
      <c r="BA179" s="273"/>
      <c r="BB179" s="273"/>
      <c r="BG179" s="195"/>
      <c r="BJ179" s="104"/>
      <c r="BO179" s="103"/>
    </row>
    <row r="180" spans="50:67" ht="15.95" hidden="1" customHeight="1">
      <c r="AX180" s="104"/>
      <c r="BA180" s="273"/>
      <c r="BB180" s="273"/>
      <c r="BG180" s="195"/>
      <c r="BJ180" s="104"/>
      <c r="BO180" s="103"/>
    </row>
    <row r="181" spans="50:67" ht="15.95" hidden="1" customHeight="1">
      <c r="AX181" s="104"/>
      <c r="BA181" s="273"/>
      <c r="BB181" s="273"/>
      <c r="BG181" s="195"/>
      <c r="BJ181" s="104"/>
      <c r="BO181" s="103"/>
    </row>
    <row r="182" spans="50:67" ht="15.95" hidden="1" customHeight="1">
      <c r="AX182" s="104"/>
      <c r="BA182" s="273"/>
      <c r="BB182" s="273"/>
      <c r="BG182" s="195"/>
      <c r="BJ182" s="104"/>
      <c r="BO182" s="103"/>
    </row>
    <row r="183" spans="50:67" ht="15.95" hidden="1" customHeight="1">
      <c r="AX183" s="104"/>
      <c r="BA183" s="273"/>
      <c r="BB183" s="273"/>
      <c r="BG183" s="195"/>
      <c r="BJ183" s="104"/>
      <c r="BO183" s="103"/>
    </row>
    <row r="184" spans="50:67" ht="15.95" hidden="1" customHeight="1">
      <c r="AX184" s="104"/>
      <c r="BA184" s="273"/>
      <c r="BB184" s="273"/>
      <c r="BG184" s="195"/>
      <c r="BJ184" s="104"/>
      <c r="BO184" s="103"/>
    </row>
    <row r="185" spans="50:67" ht="15.95" hidden="1" customHeight="1">
      <c r="AX185" s="104"/>
      <c r="BA185" s="273"/>
      <c r="BB185" s="273"/>
      <c r="BG185" s="195"/>
      <c r="BJ185" s="104"/>
      <c r="BO185" s="103"/>
    </row>
    <row r="186" spans="50:67" ht="15.95" hidden="1" customHeight="1">
      <c r="AX186" s="104"/>
      <c r="BA186" s="273"/>
      <c r="BB186" s="273"/>
      <c r="BG186" s="195"/>
      <c r="BJ186" s="104"/>
      <c r="BO186" s="103"/>
    </row>
    <row r="187" spans="50:67" ht="15.95" hidden="1" customHeight="1">
      <c r="AX187" s="104"/>
      <c r="BA187" s="273"/>
      <c r="BB187" s="273"/>
      <c r="BG187" s="195"/>
      <c r="BJ187" s="104"/>
      <c r="BO187" s="103"/>
    </row>
    <row r="188" spans="50:67" ht="15.95" hidden="1" customHeight="1">
      <c r="AX188" s="104"/>
      <c r="BA188" s="273"/>
      <c r="BB188" s="273"/>
      <c r="BG188" s="195"/>
      <c r="BJ188" s="104"/>
      <c r="BO188" s="103"/>
    </row>
    <row r="189" spans="50:67" ht="15.95" hidden="1" customHeight="1">
      <c r="AX189" s="104"/>
      <c r="BA189" s="273"/>
      <c r="BB189" s="273"/>
      <c r="BG189" s="195"/>
      <c r="BJ189" s="104"/>
      <c r="BO189" s="103"/>
    </row>
    <row r="190" spans="50:67" ht="15.95" hidden="1" customHeight="1">
      <c r="AX190" s="104"/>
      <c r="BA190" s="273"/>
      <c r="BB190" s="273"/>
      <c r="BG190" s="195"/>
      <c r="BJ190" s="104"/>
      <c r="BO190" s="103"/>
    </row>
    <row r="191" spans="50:67" ht="15.95" hidden="1" customHeight="1">
      <c r="AX191" s="104"/>
      <c r="BA191" s="273"/>
      <c r="BB191" s="273"/>
      <c r="BG191" s="195"/>
      <c r="BJ191" s="104"/>
      <c r="BO191" s="103"/>
    </row>
    <row r="192" spans="50:67" ht="15.95" hidden="1" customHeight="1">
      <c r="AX192" s="104"/>
      <c r="BA192" s="273"/>
      <c r="BB192" s="273"/>
      <c r="BG192" s="195"/>
      <c r="BJ192" s="104"/>
      <c r="BO192" s="103"/>
    </row>
    <row r="193" spans="1:67" ht="15.95" hidden="1" customHeight="1">
      <c r="AX193" s="104"/>
      <c r="BA193" s="273"/>
      <c r="BB193" s="273"/>
      <c r="BG193" s="195"/>
      <c r="BJ193" s="104"/>
      <c r="BO193" s="103"/>
    </row>
    <row r="194" spans="1:67" ht="15.95" hidden="1" customHeight="1">
      <c r="AX194" s="104"/>
      <c r="BA194" s="273"/>
      <c r="BB194" s="273"/>
      <c r="BG194" s="195"/>
      <c r="BJ194" s="104"/>
      <c r="BO194" s="103"/>
    </row>
    <row r="195" spans="1:67" ht="15.95" hidden="1" customHeight="1">
      <c r="AX195" s="104"/>
      <c r="BA195" s="273"/>
      <c r="BB195" s="273"/>
      <c r="BG195" s="195"/>
      <c r="BJ195" s="104"/>
      <c r="BO195" s="103"/>
    </row>
    <row r="196" spans="1:67" ht="15.95" hidden="1" customHeight="1">
      <c r="AX196" s="104"/>
      <c r="BA196" s="273"/>
      <c r="BB196" s="273"/>
      <c r="BG196" s="195"/>
      <c r="BJ196" s="104"/>
      <c r="BO196" s="103"/>
    </row>
    <row r="197" spans="1:67" ht="15.95" hidden="1" customHeight="1">
      <c r="AX197" s="104"/>
      <c r="BA197" s="273"/>
      <c r="BB197" s="273"/>
      <c r="BG197" s="195"/>
      <c r="BJ197" s="104"/>
      <c r="BO197" s="103"/>
    </row>
    <row r="198" spans="1:67" ht="15.95" hidden="1" customHeight="1">
      <c r="AX198" s="104"/>
      <c r="BA198" s="273"/>
      <c r="BB198" s="273"/>
      <c r="BG198" s="195"/>
      <c r="BJ198" s="104"/>
      <c r="BO198" s="103"/>
    </row>
    <row r="199" spans="1:67" ht="15.95" hidden="1" customHeight="1">
      <c r="AX199" s="104"/>
      <c r="BA199" s="273"/>
      <c r="BB199" s="273"/>
      <c r="BG199" s="195"/>
      <c r="BJ199" s="104"/>
      <c r="BO199" s="103"/>
    </row>
    <row r="200" spans="1:67" ht="15.95" customHeight="1">
      <c r="A200" s="220"/>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220"/>
      <c r="AY200" s="1144">
        <f>IF(OR(COUNTIF(AY30,"Missing!")&gt;0,COUNTIF(AY30,0)&gt;0,COUNTIFS(AY30,"",AZ30,"",AO30,"&gt;0")&gt;0,COUNTIF(AY18:AZ25,"Missing!")&gt;0,COUNTIF(AY18:AZ25,0)&gt;0,COUNTIFS(AY18:AY25,"",AZ18:AZ25,"",AO18:AO25,"&gt;0")&gt;0),"Missing Units on Miscellaneous. ",SUM(AY30:AZ31))</f>
        <v>0</v>
      </c>
      <c r="BA200" s="1061">
        <f>SUM(BA18:BA31)</f>
        <v>0</v>
      </c>
      <c r="BB200" s="1061">
        <f>SUM(BB18:BB31)</f>
        <v>0</v>
      </c>
      <c r="BG200" s="1062">
        <f>SUM(BC26:BC27)</f>
        <v>0</v>
      </c>
    </row>
    <row r="201" spans="1:67" ht="15.95" customHeight="1">
      <c r="A201" s="220" t="s">
        <v>1690</v>
      </c>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220"/>
      <c r="AY201" s="1145"/>
      <c r="BA201" s="1061"/>
      <c r="BB201" s="1061"/>
      <c r="BG201" s="1063"/>
    </row>
    <row r="202" spans="1:67" ht="15.95" customHeight="1">
      <c r="A202" s="220"/>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220"/>
    </row>
    <row r="203" spans="1:67" ht="15.95" hidden="1" customHeight="1"/>
    <row r="204" spans="1:67" ht="15.95" hidden="1" customHeight="1"/>
    <row r="205" spans="1:67" ht="15" hidden="1" customHeight="1"/>
    <row r="206" spans="1:67" ht="15" hidden="1" customHeight="1"/>
  </sheetData>
  <sheetProtection algorithmName="SHA-512" hashValue="hUGeMz6DMVMshAusVx23gE6qDB+yIBkOgSxzXxEDLeq4x6uWEkjkAcpEt5b2WLQFf5u6pH3xt7i6mdIkSNEv/w==" saltValue="yeflBXLkU6LOLhCJJk1ZTQ==" spinCount="100000" sheet="1" objects="1" scenarios="1" selectLockedCells="1"/>
  <mergeCells count="447">
    <mergeCell ref="AL24:AN25"/>
    <mergeCell ref="AO24:AQ25"/>
    <mergeCell ref="AF22:AG23"/>
    <mergeCell ref="W16:AB17"/>
    <mergeCell ref="W18:AB19"/>
    <mergeCell ref="W20:AB21"/>
    <mergeCell ref="W22:AB23"/>
    <mergeCell ref="W24:AB25"/>
    <mergeCell ref="AC24:AE25"/>
    <mergeCell ref="AC18:AE19"/>
    <mergeCell ref="AC20:AE21"/>
    <mergeCell ref="AF20:AG21"/>
    <mergeCell ref="AF18:AG19"/>
    <mergeCell ref="AL16:AN17"/>
    <mergeCell ref="AO16:AQ17"/>
    <mergeCell ref="AH24:AI25"/>
    <mergeCell ref="AJ24:AK25"/>
    <mergeCell ref="AH20:AI21"/>
    <mergeCell ref="AJ20:AK21"/>
    <mergeCell ref="AH18:AI19"/>
    <mergeCell ref="AJ18:AK19"/>
    <mergeCell ref="AL18:AN19"/>
    <mergeCell ref="V9:Y11"/>
    <mergeCell ref="Z9:AC11"/>
    <mergeCell ref="C16:G17"/>
    <mergeCell ref="C18:G19"/>
    <mergeCell ref="C20:G21"/>
    <mergeCell ref="C22:G23"/>
    <mergeCell ref="C24:G25"/>
    <mergeCell ref="N16:S17"/>
    <mergeCell ref="N18:S19"/>
    <mergeCell ref="N20:S21"/>
    <mergeCell ref="N22:S23"/>
    <mergeCell ref="N24:S25"/>
    <mergeCell ref="AC22:AE23"/>
    <mergeCell ref="O200:AI201"/>
    <mergeCell ref="AF28:AG29"/>
    <mergeCell ref="AF30:AG31"/>
    <mergeCell ref="AH30:AI31"/>
    <mergeCell ref="X34:Y35"/>
    <mergeCell ref="V35:W35"/>
    <mergeCell ref="T35:U35"/>
    <mergeCell ref="P34:Q35"/>
    <mergeCell ref="P36:Q37"/>
    <mergeCell ref="T36:U37"/>
    <mergeCell ref="R36:S37"/>
    <mergeCell ref="V36:W37"/>
    <mergeCell ref="X36:Y37"/>
    <mergeCell ref="M34:O35"/>
    <mergeCell ref="M36:O37"/>
    <mergeCell ref="T34:W34"/>
    <mergeCell ref="R34:S35"/>
    <mergeCell ref="K28:M29"/>
    <mergeCell ref="K30:M31"/>
    <mergeCell ref="G36:L37"/>
    <mergeCell ref="AF36:AG37"/>
    <mergeCell ref="AC28:AE29"/>
    <mergeCell ref="AC30:AE31"/>
    <mergeCell ref="AH36:AI37"/>
    <mergeCell ref="AF34:AG35"/>
    <mergeCell ref="AH34:AK34"/>
    <mergeCell ref="AJ30:AK31"/>
    <mergeCell ref="AJ29:AK29"/>
    <mergeCell ref="AH28:AK28"/>
    <mergeCell ref="AH29:AI29"/>
    <mergeCell ref="AL28:AN29"/>
    <mergeCell ref="C36:F37"/>
    <mergeCell ref="Z35:AB35"/>
    <mergeCell ref="Z36:AB37"/>
    <mergeCell ref="AC35:AE35"/>
    <mergeCell ref="AC36:AE37"/>
    <mergeCell ref="Z34:AE34"/>
    <mergeCell ref="C34:F35"/>
    <mergeCell ref="W28:AB29"/>
    <mergeCell ref="W30:AB31"/>
    <mergeCell ref="G34:L35"/>
    <mergeCell ref="AH35:AI35"/>
    <mergeCell ref="AJ35:AK35"/>
    <mergeCell ref="C30:G31"/>
    <mergeCell ref="AL30:AN31"/>
    <mergeCell ref="AX30:AX31"/>
    <mergeCell ref="BB200:BB201"/>
    <mergeCell ref="BG200:BG201"/>
    <mergeCell ref="AX28:AX29"/>
    <mergeCell ref="BC28:BC29"/>
    <mergeCell ref="BG28:BG29"/>
    <mergeCell ref="BA200:BA201"/>
    <mergeCell ref="AY200:AY201"/>
    <mergeCell ref="AX24:AX25"/>
    <mergeCell ref="BA24:BA25"/>
    <mergeCell ref="BB24:BB25"/>
    <mergeCell ref="BA28:BA29"/>
    <mergeCell ref="BB28:BB29"/>
    <mergeCell ref="AY24:AY25"/>
    <mergeCell ref="BB30:BB31"/>
    <mergeCell ref="AZ24:AZ25"/>
    <mergeCell ref="AZ30:AZ31"/>
    <mergeCell ref="BA30:BA31"/>
    <mergeCell ref="AY28:AY29"/>
    <mergeCell ref="AY30:AY31"/>
    <mergeCell ref="AZ28:AZ29"/>
    <mergeCell ref="BD34:BD35"/>
    <mergeCell ref="AY34:AY35"/>
    <mergeCell ref="AZ34:AZ35"/>
    <mergeCell ref="BC22:BC23"/>
    <mergeCell ref="BG22:BG23"/>
    <mergeCell ref="BF22:BF23"/>
    <mergeCell ref="BR22:BR23"/>
    <mergeCell ref="BT24:BT25"/>
    <mergeCell ref="BV28:BV29"/>
    <mergeCell ref="BC30:BC31"/>
    <mergeCell ref="BG30:BG31"/>
    <mergeCell ref="BF30:BF31"/>
    <mergeCell ref="BR30:BR31"/>
    <mergeCell ref="BT30:BT31"/>
    <mergeCell ref="BR28:BR29"/>
    <mergeCell ref="BT28:BT29"/>
    <mergeCell ref="BJ24:BJ25"/>
    <mergeCell ref="BJ28:BJ29"/>
    <mergeCell ref="BC24:BC25"/>
    <mergeCell ref="BG24:BG25"/>
    <mergeCell ref="BN22:BN23"/>
    <mergeCell ref="BP22:BP23"/>
    <mergeCell ref="BP24:BP25"/>
    <mergeCell ref="BE28:BE29"/>
    <mergeCell ref="BF28:BF29"/>
    <mergeCell ref="BP28:BP29"/>
    <mergeCell ref="BK22:BK23"/>
    <mergeCell ref="AO30:AQ31"/>
    <mergeCell ref="AR30:AU31"/>
    <mergeCell ref="AO28:AQ29"/>
    <mergeCell ref="AR24:AU25"/>
    <mergeCell ref="BN24:BN25"/>
    <mergeCell ref="C28:G29"/>
    <mergeCell ref="AR28:AU29"/>
    <mergeCell ref="AH22:AI23"/>
    <mergeCell ref="AJ22:AK23"/>
    <mergeCell ref="AL22:AN23"/>
    <mergeCell ref="AO22:AQ23"/>
    <mergeCell ref="AR22:AU23"/>
    <mergeCell ref="BD28:BD29"/>
    <mergeCell ref="BN28:BN29"/>
    <mergeCell ref="BN30:BN31"/>
    <mergeCell ref="BJ22:BJ23"/>
    <mergeCell ref="AY22:AY23"/>
    <mergeCell ref="BB22:BB23"/>
    <mergeCell ref="AX22:AX23"/>
    <mergeCell ref="AZ22:AZ23"/>
    <mergeCell ref="BA22:BA23"/>
    <mergeCell ref="BK24:BK25"/>
    <mergeCell ref="BK28:BK29"/>
    <mergeCell ref="BH30:BH31"/>
    <mergeCell ref="A4:E6"/>
    <mergeCell ref="A7:E8"/>
    <mergeCell ref="AF24:AG25"/>
    <mergeCell ref="H22:M23"/>
    <mergeCell ref="H20:M21"/>
    <mergeCell ref="BO24:BO25"/>
    <mergeCell ref="BO30:BO31"/>
    <mergeCell ref="B30:B31"/>
    <mergeCell ref="H18:M19"/>
    <mergeCell ref="T22:V23"/>
    <mergeCell ref="T24:V25"/>
    <mergeCell ref="H30:J31"/>
    <mergeCell ref="H28:J29"/>
    <mergeCell ref="H24:M25"/>
    <mergeCell ref="T28:V29"/>
    <mergeCell ref="N28:S29"/>
    <mergeCell ref="N30:S31"/>
    <mergeCell ref="B18:B19"/>
    <mergeCell ref="B20:B21"/>
    <mergeCell ref="B22:B23"/>
    <mergeCell ref="B24:B25"/>
    <mergeCell ref="T18:V19"/>
    <mergeCell ref="T20:V21"/>
    <mergeCell ref="T30:V31"/>
    <mergeCell ref="F1:I3"/>
    <mergeCell ref="J1:M3"/>
    <mergeCell ref="AL1:AO3"/>
    <mergeCell ref="AH9:AK11"/>
    <mergeCell ref="AL9:AO11"/>
    <mergeCell ref="AF16:AG17"/>
    <mergeCell ref="AH16:AK16"/>
    <mergeCell ref="AH17:AI17"/>
    <mergeCell ref="AJ17:AK17"/>
    <mergeCell ref="H16:M17"/>
    <mergeCell ref="T12:W13"/>
    <mergeCell ref="X12:AA13"/>
    <mergeCell ref="AB12:AE13"/>
    <mergeCell ref="T14:W14"/>
    <mergeCell ref="J9:M11"/>
    <mergeCell ref="T16:V17"/>
    <mergeCell ref="AC16:AE17"/>
    <mergeCell ref="AB14:AE14"/>
    <mergeCell ref="N9:Q11"/>
    <mergeCell ref="R9:U11"/>
    <mergeCell ref="AD9:AG11"/>
    <mergeCell ref="X14:AA14"/>
    <mergeCell ref="N1:T3"/>
    <mergeCell ref="U1:AK3"/>
    <mergeCell ref="AY16:AY17"/>
    <mergeCell ref="AZ16:AZ17"/>
    <mergeCell ref="AZ18:AZ19"/>
    <mergeCell ref="BY16:BY17"/>
    <mergeCell ref="BV20:BV21"/>
    <mergeCell ref="BR20:BR21"/>
    <mergeCell ref="BR18:BR19"/>
    <mergeCell ref="BR16:BR17"/>
    <mergeCell ref="AY18:AY19"/>
    <mergeCell ref="AY20:AY21"/>
    <mergeCell ref="BV16:BV17"/>
    <mergeCell ref="BJ16:BJ17"/>
    <mergeCell ref="BA16:BA17"/>
    <mergeCell ref="BB16:BB17"/>
    <mergeCell ref="BF18:BF19"/>
    <mergeCell ref="BC20:BC21"/>
    <mergeCell ref="BG18:BG19"/>
    <mergeCell ref="BD16:BD17"/>
    <mergeCell ref="BX16:BX17"/>
    <mergeCell ref="BN18:BN19"/>
    <mergeCell ref="BN20:BN21"/>
    <mergeCell ref="BP16:BP17"/>
    <mergeCell ref="BP18:BP19"/>
    <mergeCell ref="BP20:BP21"/>
    <mergeCell ref="BO16:BO17"/>
    <mergeCell ref="BO18:BO19"/>
    <mergeCell ref="BN16:BN17"/>
    <mergeCell ref="BO20:BO21"/>
    <mergeCell ref="BH16:BH17"/>
    <mergeCell ref="BI16:BI17"/>
    <mergeCell ref="BK16:BK17"/>
    <mergeCell ref="BE16:BF16"/>
    <mergeCell ref="BL16:BL17"/>
    <mergeCell ref="BM16:BM17"/>
    <mergeCell ref="AR20:AU21"/>
    <mergeCell ref="AR18:AU19"/>
    <mergeCell ref="AX20:AX21"/>
    <mergeCell ref="BD18:BD19"/>
    <mergeCell ref="BE18:BE19"/>
    <mergeCell ref="BL18:BL19"/>
    <mergeCell ref="BM18:BM19"/>
    <mergeCell ref="BK18:BK19"/>
    <mergeCell ref="BK20:BK21"/>
    <mergeCell ref="BH18:BH19"/>
    <mergeCell ref="BF20:BF21"/>
    <mergeCell ref="BE36:BE37"/>
    <mergeCell ref="BL36:BL37"/>
    <mergeCell ref="BM36:BM37"/>
    <mergeCell ref="AP1:AS3"/>
    <mergeCell ref="AS5:AW6"/>
    <mergeCell ref="AS7:AW7"/>
    <mergeCell ref="AS8:AW8"/>
    <mergeCell ref="BG20:BG21"/>
    <mergeCell ref="AX18:AX19"/>
    <mergeCell ref="BC18:BC19"/>
    <mergeCell ref="BA18:BA19"/>
    <mergeCell ref="BB18:BB19"/>
    <mergeCell ref="BA20:BA21"/>
    <mergeCell ref="BB20:BB21"/>
    <mergeCell ref="AM13:AU14"/>
    <mergeCell ref="AO20:AQ21"/>
    <mergeCell ref="AO18:AQ19"/>
    <mergeCell ref="AT1:AW3"/>
    <mergeCell ref="AZ20:AZ21"/>
    <mergeCell ref="AR16:AU17"/>
    <mergeCell ref="AL20:AN21"/>
    <mergeCell ref="AX16:AX17"/>
    <mergeCell ref="BC16:BC17"/>
    <mergeCell ref="BG16:BG17"/>
    <mergeCell ref="BA34:BA35"/>
    <mergeCell ref="BB34:BB35"/>
    <mergeCell ref="BJ34:BJ35"/>
    <mergeCell ref="BC34:BC35"/>
    <mergeCell ref="BG34:BG35"/>
    <mergeCell ref="AL34:AN35"/>
    <mergeCell ref="AO34:AQ35"/>
    <mergeCell ref="AR34:AU35"/>
    <mergeCell ref="AX34:AX35"/>
    <mergeCell ref="BH34:BH35"/>
    <mergeCell ref="BI34:BI35"/>
    <mergeCell ref="BE34:BF34"/>
    <mergeCell ref="B36:B37"/>
    <mergeCell ref="BJ36:BJ37"/>
    <mergeCell ref="BC36:BC37"/>
    <mergeCell ref="BG36:BG37"/>
    <mergeCell ref="BF36:BF37"/>
    <mergeCell ref="BR36:BR37"/>
    <mergeCell ref="BV36:BV37"/>
    <mergeCell ref="BT36:BT37"/>
    <mergeCell ref="BU36:BU37"/>
    <mergeCell ref="AO36:AQ37"/>
    <mergeCell ref="AR36:AU37"/>
    <mergeCell ref="BN36:BN37"/>
    <mergeCell ref="BO36:BO37"/>
    <mergeCell ref="AX36:AX37"/>
    <mergeCell ref="AY36:AY37"/>
    <mergeCell ref="AZ36:AZ37"/>
    <mergeCell ref="BA36:BA37"/>
    <mergeCell ref="BB36:BB37"/>
    <mergeCell ref="AJ36:AK37"/>
    <mergeCell ref="AL36:AN37"/>
    <mergeCell ref="BH36:BH37"/>
    <mergeCell ref="BI36:BI37"/>
    <mergeCell ref="BQ36:BQ37"/>
    <mergeCell ref="BD36:BD37"/>
    <mergeCell ref="BZ16:BZ17"/>
    <mergeCell ref="CB22:CB23"/>
    <mergeCell ref="CC22:CC23"/>
    <mergeCell ref="BW34:BW35"/>
    <mergeCell ref="CA16:CA17"/>
    <mergeCell ref="CB16:CB17"/>
    <mergeCell ref="CC16:CC17"/>
    <mergeCell ref="BY18:BY19"/>
    <mergeCell ref="BY22:BY23"/>
    <mergeCell ref="BX18:BX19"/>
    <mergeCell ref="BW28:BW29"/>
    <mergeCell ref="BZ18:BZ19"/>
    <mergeCell ref="BZ24:BZ25"/>
    <mergeCell ref="CA28:CA29"/>
    <mergeCell ref="CB28:CB29"/>
    <mergeCell ref="CC28:CC29"/>
    <mergeCell ref="BZ34:BZ35"/>
    <mergeCell ref="CA34:CA35"/>
    <mergeCell ref="CB34:CB35"/>
    <mergeCell ref="CC34:CC35"/>
    <mergeCell ref="BZ28:BZ29"/>
    <mergeCell ref="CA24:CA25"/>
    <mergeCell ref="CB24:CB25"/>
    <mergeCell ref="CC24:CC25"/>
    <mergeCell ref="BQ16:BQ17"/>
    <mergeCell ref="BQ18:BQ19"/>
    <mergeCell ref="BS18:BS19"/>
    <mergeCell ref="BT16:BT17"/>
    <mergeCell ref="BW16:BW17"/>
    <mergeCell ref="BU16:BU17"/>
    <mergeCell ref="BW24:BW25"/>
    <mergeCell ref="BS24:BS25"/>
    <mergeCell ref="BU18:BU19"/>
    <mergeCell ref="BV22:BV23"/>
    <mergeCell ref="BR24:BR25"/>
    <mergeCell ref="BQ24:BQ25"/>
    <mergeCell ref="BU20:BU21"/>
    <mergeCell ref="BS16:BS17"/>
    <mergeCell ref="BW22:BW23"/>
    <mergeCell ref="BU24:BU25"/>
    <mergeCell ref="BV24:BV25"/>
    <mergeCell ref="BT18:BT19"/>
    <mergeCell ref="BW18:BW19"/>
    <mergeCell ref="BU22:BU23"/>
    <mergeCell ref="BV18:BV19"/>
    <mergeCell ref="BY24:BY25"/>
    <mergeCell ref="BX24:BX25"/>
    <mergeCell ref="BR34:BR35"/>
    <mergeCell ref="BV34:BV35"/>
    <mergeCell ref="BT34:BT35"/>
    <mergeCell ref="BN34:BN35"/>
    <mergeCell ref="BO34:BO35"/>
    <mergeCell ref="BP30:BP31"/>
    <mergeCell ref="BK30:BK31"/>
    <mergeCell ref="BU30:BU31"/>
    <mergeCell ref="BQ34:BQ35"/>
    <mergeCell ref="BQ30:BQ31"/>
    <mergeCell ref="BU34:BU35"/>
    <mergeCell ref="BL34:BL35"/>
    <mergeCell ref="BM34:BM35"/>
    <mergeCell ref="BS34:BS35"/>
    <mergeCell ref="BH28:BH29"/>
    <mergeCell ref="BI28:BI29"/>
    <mergeCell ref="BJ30:BJ31"/>
    <mergeCell ref="BK36:BK37"/>
    <mergeCell ref="BP36:BP37"/>
    <mergeCell ref="BJ18:BJ19"/>
    <mergeCell ref="BJ20:BJ21"/>
    <mergeCell ref="BI18:BI19"/>
    <mergeCell ref="BO22:BO23"/>
    <mergeCell ref="BO28:BO29"/>
    <mergeCell ref="BL28:BL29"/>
    <mergeCell ref="BM28:BM29"/>
    <mergeCell ref="BH24:BH25"/>
    <mergeCell ref="BI24:BI25"/>
    <mergeCell ref="BL24:BL25"/>
    <mergeCell ref="BM24:BM25"/>
    <mergeCell ref="BF24:BF25"/>
    <mergeCell ref="BI30:BI31"/>
    <mergeCell ref="BK34:BK35"/>
    <mergeCell ref="BP34:BP35"/>
    <mergeCell ref="BQ28:BQ29"/>
    <mergeCell ref="CA18:CA19"/>
    <mergeCell ref="CB18:CB19"/>
    <mergeCell ref="CC18:CC19"/>
    <mergeCell ref="BD30:BD31"/>
    <mergeCell ref="BE30:BE31"/>
    <mergeCell ref="BL30:BL31"/>
    <mergeCell ref="BM30:BM31"/>
    <mergeCell ref="BS30:BS31"/>
    <mergeCell ref="BX30:BX31"/>
    <mergeCell ref="BZ30:BZ31"/>
    <mergeCell ref="CA30:CA31"/>
    <mergeCell ref="CB30:CB31"/>
    <mergeCell ref="CC30:CC31"/>
    <mergeCell ref="BM22:BM23"/>
    <mergeCell ref="BQ22:BQ23"/>
    <mergeCell ref="BS22:BS23"/>
    <mergeCell ref="BX22:BX23"/>
    <mergeCell ref="BZ22:BZ23"/>
    <mergeCell ref="CA22:CA23"/>
    <mergeCell ref="BD24:BD25"/>
    <mergeCell ref="BE24:BE25"/>
    <mergeCell ref="BZ20:BZ21"/>
    <mergeCell ref="CA20:CA21"/>
    <mergeCell ref="CB20:CB21"/>
    <mergeCell ref="CC20:CC21"/>
    <mergeCell ref="BD22:BD23"/>
    <mergeCell ref="BE22:BE23"/>
    <mergeCell ref="BH22:BH23"/>
    <mergeCell ref="BI22:BI23"/>
    <mergeCell ref="BL22:BL23"/>
    <mergeCell ref="BD20:BD21"/>
    <mergeCell ref="BE20:BE21"/>
    <mergeCell ref="BH20:BH21"/>
    <mergeCell ref="BI20:BI21"/>
    <mergeCell ref="BL20:BL21"/>
    <mergeCell ref="BM20:BM21"/>
    <mergeCell ref="BQ20:BQ21"/>
    <mergeCell ref="BS20:BS21"/>
    <mergeCell ref="BX20:BX21"/>
    <mergeCell ref="BY20:BY21"/>
    <mergeCell ref="BT20:BT21"/>
    <mergeCell ref="BT22:BT23"/>
    <mergeCell ref="BW20:BW21"/>
    <mergeCell ref="BS36:BS37"/>
    <mergeCell ref="BX36:BX37"/>
    <mergeCell ref="BZ36:BZ37"/>
    <mergeCell ref="CA36:CA37"/>
    <mergeCell ref="CB36:CB37"/>
    <mergeCell ref="CC36:CC37"/>
    <mergeCell ref="BX28:BX29"/>
    <mergeCell ref="BX34:BX35"/>
    <mergeCell ref="BY36:BY37"/>
    <mergeCell ref="BW36:BW37"/>
    <mergeCell ref="BY34:BY35"/>
    <mergeCell ref="BY30:BY31"/>
    <mergeCell ref="BY28:BY29"/>
    <mergeCell ref="BV30:BV31"/>
    <mergeCell ref="BU28:BU29"/>
    <mergeCell ref="BS28:BS29"/>
    <mergeCell ref="BW30:BW31"/>
  </mergeCells>
  <conditionalFormatting sqref="X36 H18:N18 T18 W18 AC18 AF18:AK25 H19:M19 H20:N20 T20 W20 AC20 H21:M25 N22 T22 W22 AC22 N24 T24 W24 AC24 H30:K30 N30 T30 W30 AC30 AF30:AK31 H31:J31 G36 M36 P36 R36 V36 AF36:AK37">
    <cfRule type="expression" dxfId="65" priority="1458">
      <formula>AND(ISBLANK($C18)=FALSE,OR(ISBLANK(G18)=TRUE,G18=""))</formula>
    </cfRule>
  </conditionalFormatting>
  <conditionalFormatting sqref="X36">
    <cfRule type="expression" dxfId="64" priority="4">
      <formula>IF($X$36="", FALSE, $X$36 &lt;&gt; IFERROR(IF(M02S04F19&lt;&gt;"", INDEX(LIST_Transformer_LF, MATCH(M02S04F19, BUILDING, 0)), "Enter Bldg. Type"), ""))</formula>
    </cfRule>
  </conditionalFormatting>
  <conditionalFormatting sqref="AR18:AU25 AR30 AR36:AU37">
    <cfRule type="expression" dxfId="63" priority="1954" stopIfTrue="1">
      <formula>ISNUMBER($AR18)=FALSE</formula>
    </cfRule>
    <cfRule type="expression" dxfId="62" priority="1955">
      <formula>$AR18 &lt;&gt; $BR18</formula>
    </cfRule>
  </conditionalFormatting>
  <conditionalFormatting sqref="AS8:AW8">
    <cfRule type="expression" dxfId="61" priority="21">
      <formula>IF($AS$8=PROJSTATMEASURE,FALSE,TRUE)</formula>
    </cfRule>
  </conditionalFormatting>
  <dataValidations count="15">
    <dataValidation type="list" allowBlank="1" showInputMessage="1" showErrorMessage="1" prompt="Project Type determines the type of cost. &quot;EoSL&quot; means End of Service Life._x000a__x000a_Measure Type must be blank to change this field." sqref="C20 C24 C22 C18" xr:uid="{09F15446-3DC0-4A41-B0F5-A0F1CD27A5C0}">
      <formula1>IF($H18="",CUSTOMPROJECTTYPE,"")</formula1>
    </dataValidation>
    <dataValidation type="list" allowBlank="1" showInputMessage="1" showErrorMessage="1" sqref="H18:M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30:AG31 AF18:AG25 AF36:AG37"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30:AK31 AJ36:AK37"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30:AI31 AH36:AI37" xr:uid="{FAE5455D-1C2B-41AD-8307-15D1C4F4570A}">
      <formula1>0</formula1>
      <formula2>999999999</formula2>
    </dataValidation>
    <dataValidation type="list" allowBlank="1" showInputMessage="1" showErrorMessage="1" sqref="BC36:BC37 BC18:BC25" xr:uid="{1C5B9CC4-9565-4C03-B844-5AB2546D0B64}">
      <formula1>ENDUSECAT</formula1>
    </dataValidation>
    <dataValidation type="list" allowBlank="1" showInputMessage="1" showErrorMessage="1" sqref="C30" xr:uid="{5DC22787-B3CE-43DF-ABDB-5DB3183B1E86}">
      <formula1>CMEMISC2DESC</formula1>
    </dataValidation>
    <dataValidation type="whole" operator="greaterThanOrEqual" showInputMessage="1" showErrorMessage="1" errorTitle="Invalid Entry" error="Value must be a whole number." sqref="T18:V25 AC18:AE25" xr:uid="{56EF1C7B-E434-49EA-8F2D-48E058AAE90F}">
      <formula1>0</formula1>
    </dataValidation>
    <dataValidation type="whole" operator="greaterThanOrEqual" allowBlank="1" showInputMessage="1" showErrorMessage="1" errorTitle="Invalid Entry" error="Value must be a whole number." sqref="T30:V31 AC30:AE31" xr:uid="{A0FD38EB-A119-4BC5-B102-C053B0DCC484}">
      <formula1>0</formula1>
    </dataValidation>
    <dataValidation type="decimal" operator="greaterThan" allowBlank="1" showInputMessage="1" showErrorMessage="1" errorTitle="Invalid Entry" error="Value must be a decimal number greater than zero." prompt="Enter the annual kWh usage per unit of the new equipment." sqref="H30:J31" xr:uid="{7937198F-629B-41FA-83CD-225F54DA74E1}">
      <formula1>0</formula1>
    </dataValidation>
    <dataValidation type="list" allowBlank="1" showInputMessage="1" showErrorMessage="1" sqref="G36" xr:uid="{5C0450E1-A634-48E0-BD6D-D337F788EE93}">
      <formula1>CMEMISC3DESC</formula1>
    </dataValidation>
    <dataValidation type="list" allowBlank="1" showInputMessage="1" showErrorMessage="1" prompt="Project Type determines the type of cost. &quot;EoSL&quot; means End of Service Life._x000a__x000a_Measure Type must be blank to change this field." sqref="C36" xr:uid="{E704F821-DF14-4D70-872D-D1CED1C8C213}">
      <formula1>IF($G36="",CUSTOMPROJECTTYPE,"")</formula1>
    </dataValidation>
    <dataValidation type="list" allowBlank="1" showInputMessage="1" showErrorMessage="1" sqref="P36:Q37" xr:uid="{86BBA116-8FA2-44FF-BF63-37AE12F600B7}">
      <formula1>ELECPHASES</formula1>
    </dataValidation>
    <dataValidation type="decimal" allowBlank="1" showInputMessage="1" showErrorMessage="1" promptTitle="Incremental Cost" prompt="This is the difference between actual cost of installed Equipment and the cost of the hypothetical baseline." sqref="AH18:AI25" xr:uid="{5A6DBD12-5CB8-4E56-91D2-A7609DB1BB49}">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25" xr:uid="{59BB26F4-8598-4E85-B31E-6CD60FC04E3E}">
      <formula1>0</formula1>
      <formula2>999999999</formula2>
    </dataValidation>
  </dataValidations>
  <hyperlinks>
    <hyperlink ref="B202" r:id="rId1" display="businessrebates@evergy.com" xr:uid="{01E72B78-DE14-4B58-8AFD-5D0C58BB6B6C}"/>
    <hyperlink ref="J1:M3" location="'M01-S02'!J1" tooltip="Instructions" display="'M01-S02'!J1" xr:uid="{8CC61277-55BB-450F-9675-64A90D79632C}"/>
    <hyperlink ref="AP1:AS3" location="'M05-S05'!AL1" tooltip=" " display="'M05-S05'!AL1" xr:uid="{AA07E78C-D000-4BFA-8598-E83E24CC2CD6}"/>
    <hyperlink ref="AL1:AO3" location="'M05-S04'!AH1" tooltip=" " display="'M05-S04'!AH1" xr:uid="{63F75428-95B1-4A73-BD63-EAC85FA08502}"/>
    <hyperlink ref="AT1:AW3" location="'M01-S03'!AP1" tooltip="Contact" display="'M01-S03'!AP1" xr:uid="{BBE3417B-2AD1-453D-A051-FBB0973799B9}"/>
    <hyperlink ref="N9:Q11" location="'M04-S03'!A1" tooltip="Lighting Controls" display="'M04-S03'!A1" xr:uid="{455F77C9-B531-42AC-BCF6-4E4E44A81963}"/>
    <hyperlink ref="R9:U11" location="'M04-S04'!A1" tooltip="Refrigeration" display="'M04-S04'!A1" xr:uid="{D95DD53D-6DC0-442C-BB93-66C195790492}"/>
    <hyperlink ref="V9:Y11" location="'M04-S05'!A1" tooltip="HVAC" display="'M04-S05'!A1" xr:uid="{6D659039-261D-4CD4-91EF-5E79E391BFAC}"/>
    <hyperlink ref="AD9:AG11" location="'M04-S06'!A1" tooltip="Compressed Air / Process" display="'M04-S06'!A1" xr:uid="{7C972DD5-762B-4EC7-AD1C-8AABFBC8AFCD}"/>
    <hyperlink ref="AH9:AK11" location="'M04-S07'!A1" tooltip="Water Heating / Cooking" display="'M04-S07'!A1" xr:uid="{6F96E222-7E45-4BB3-99AC-7B5A552A77B5}"/>
    <hyperlink ref="Z9:AC11" location="'M04-S08'!A1" tooltip="Motors and Drives" display="'M04-S08'!A1" xr:uid="{185A7BCB-DB74-48A4-B042-6CA7CBF896F1}"/>
    <hyperlink ref="AL9:AO11" location="'M04-S09'!A1" tooltip="Miscellaneous" display="'M04-S09'!A1" xr:uid="{75A44F37-A513-4E02-BF13-EE274480CF30}"/>
    <hyperlink ref="J9:M11" location="'M04-S02'!A1" tooltip="Lighting" display="'M04-S02'!A1" xr:uid="{5BD7395D-3578-4894-854B-36677F30BF9F}"/>
  </hyperlinks>
  <printOptions horizontalCentered="1"/>
  <pageMargins left="0" right="0" top="0" bottom="0" header="0" footer="0"/>
  <pageSetup scale="43"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AD37D-E136-4BCE-8990-7B97C8138E06}">
  <sheetPr codeName="Sheet103">
    <tabColor theme="8" tint="0.59999389629810485"/>
    <pageSetUpPr fitToPage="1"/>
  </sheetPr>
  <dimension ref="A1:CW204"/>
  <sheetViews>
    <sheetView showGridLines="0" showRowColHeaders="0" zoomScale="85" zoomScaleNormal="85" workbookViewId="0">
      <selection activeCell="C18" sqref="C18:F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4"/>
      <c r="G5" s="374"/>
      <c r="H5" s="374"/>
      <c r="I5" s="374"/>
      <c r="AS5" s="988">
        <f ca="1">PROGRESSSTATUS</f>
        <v>0</v>
      </c>
      <c r="AT5" s="988"/>
      <c r="AU5" s="988"/>
      <c r="AV5" s="988"/>
      <c r="AW5" s="988"/>
      <c r="AY5" s="17"/>
      <c r="AZ5" s="108" t="s">
        <v>933</v>
      </c>
      <c r="BA5" s="108" t="s">
        <v>325</v>
      </c>
    </row>
    <row r="6" spans="1:81" ht="15.95" customHeight="1">
      <c r="A6" s="692"/>
      <c r="B6" s="692"/>
      <c r="C6" s="692"/>
      <c r="D6" s="692"/>
      <c r="E6" s="692"/>
      <c r="F6" s="374"/>
      <c r="G6" s="374"/>
      <c r="H6" s="374"/>
      <c r="I6" s="374"/>
      <c r="AS6" s="988"/>
      <c r="AT6" s="988"/>
      <c r="AU6" s="988"/>
      <c r="AV6" s="988"/>
      <c r="AW6" s="988"/>
      <c r="AY6" s="107" t="s">
        <v>938</v>
      </c>
      <c r="AZ6" s="106" t="str">
        <f>CBPRESE</f>
        <v>NA</v>
      </c>
      <c r="BA6" s="165" t="str">
        <f>PAYPRESE</f>
        <v>NA</v>
      </c>
    </row>
    <row r="7" spans="1:81" ht="15.95" customHeight="1">
      <c r="A7" s="662" t="s">
        <v>83</v>
      </c>
      <c r="B7" s="662"/>
      <c r="C7" s="662"/>
      <c r="D7" s="662"/>
      <c r="E7" s="662"/>
      <c r="F7" s="75"/>
      <c r="G7" s="75"/>
      <c r="H7" s="75"/>
      <c r="I7" s="75"/>
      <c r="AS7" s="662" t="s">
        <v>299</v>
      </c>
      <c r="AT7" s="662"/>
      <c r="AU7" s="662"/>
      <c r="AV7" s="662"/>
      <c r="AW7" s="662"/>
      <c r="AY7" s="107" t="s">
        <v>135</v>
      </c>
      <c r="AZ7" s="106" t="str">
        <f>CBCUSE</f>
        <v>NA</v>
      </c>
      <c r="BA7" s="165" t="str">
        <f>PAYCUSE</f>
        <v>NA</v>
      </c>
    </row>
    <row r="8" spans="1:81" ht="15.95" customHeight="1" thickBot="1">
      <c r="A8" s="665"/>
      <c r="B8" s="665"/>
      <c r="C8" s="665"/>
      <c r="D8" s="665"/>
      <c r="E8" s="665"/>
      <c r="F8" s="373"/>
      <c r="G8" s="373"/>
      <c r="H8" s="373"/>
      <c r="I8" s="75"/>
      <c r="AS8" s="661" t="str">
        <f ca="1">PROJSTATUS</f>
        <v>Enter Measures</v>
      </c>
      <c r="AT8" s="661"/>
      <c r="AU8" s="661"/>
      <c r="AV8" s="661"/>
      <c r="AW8" s="661"/>
      <c r="AY8" s="107" t="s">
        <v>596</v>
      </c>
      <c r="AZ8" s="106" t="str">
        <f>CBALL</f>
        <v>NA</v>
      </c>
      <c r="BA8" s="165" t="str">
        <f>PAYALL</f>
        <v>NA</v>
      </c>
    </row>
    <row r="9" spans="1:81" s="78" customFormat="1" ht="15.95" customHeight="1">
      <c r="B9" s="79"/>
      <c r="C9" s="79"/>
      <c r="D9" s="79"/>
      <c r="E9" s="79"/>
      <c r="F9" s="79"/>
      <c r="G9" s="100"/>
      <c r="H9" s="100"/>
      <c r="I9" s="100"/>
      <c r="J9" s="842" t="str">
        <f>M4S10</f>
        <v>Lighting</v>
      </c>
      <c r="K9" s="842"/>
      <c r="L9" s="842"/>
      <c r="M9" s="842"/>
      <c r="N9" s="1235" t="str">
        <f>M3S3</f>
        <v>Lighting Controls</v>
      </c>
      <c r="O9" s="1236"/>
      <c r="P9" s="1236"/>
      <c r="Q9" s="1236"/>
      <c r="R9" s="1235" t="str">
        <f>M3S4</f>
        <v>Refrigeration</v>
      </c>
      <c r="S9" s="1236"/>
      <c r="T9" s="1236"/>
      <c r="U9" s="1236"/>
      <c r="V9" s="829" t="str">
        <f>M4S13</f>
        <v>HVAC</v>
      </c>
      <c r="W9" s="830"/>
      <c r="X9" s="830"/>
      <c r="Y9" s="830"/>
      <c r="Z9" s="1235" t="str">
        <f>M4S8</f>
        <v>Motors and Drives</v>
      </c>
      <c r="AA9" s="1236"/>
      <c r="AB9" s="1236"/>
      <c r="AC9" s="1236"/>
      <c r="AD9" s="1235" t="str">
        <f>M3S6</f>
        <v>Compressed Air / Process</v>
      </c>
      <c r="AE9" s="1236"/>
      <c r="AF9" s="1236"/>
      <c r="AG9" s="1236"/>
      <c r="AH9" s="1235" t="str">
        <f>M3S7</f>
        <v>Water Heating / Food Services</v>
      </c>
      <c r="AI9" s="1236"/>
      <c r="AJ9" s="1236"/>
      <c r="AK9" s="1236"/>
      <c r="AL9" s="1235" t="str">
        <f>M4S9</f>
        <v>Miscellaneous</v>
      </c>
      <c r="AM9" s="1236"/>
      <c r="AN9" s="1236"/>
      <c r="AO9" s="1236"/>
      <c r="AP9" s="99"/>
      <c r="AQ9" s="99"/>
      <c r="AR9" s="99"/>
      <c r="AS9" s="99"/>
      <c r="AT9" s="99"/>
      <c r="AU9" s="99"/>
      <c r="AV9" s="99"/>
    </row>
    <row r="10" spans="1:81" s="78" customFormat="1" ht="15.95" customHeight="1">
      <c r="B10" s="79"/>
      <c r="C10" s="79"/>
      <c r="D10" s="79"/>
      <c r="E10" s="79"/>
      <c r="F10" s="79"/>
      <c r="J10" s="843"/>
      <c r="K10" s="843"/>
      <c r="L10" s="843"/>
      <c r="M10" s="843"/>
      <c r="N10" s="1237"/>
      <c r="O10" s="1237"/>
      <c r="P10" s="1237"/>
      <c r="Q10" s="1237"/>
      <c r="R10" s="1237"/>
      <c r="S10" s="1237"/>
      <c r="T10" s="1237"/>
      <c r="U10" s="1237"/>
      <c r="V10" s="831"/>
      <c r="W10" s="831"/>
      <c r="X10" s="831"/>
      <c r="Y10" s="831"/>
      <c r="Z10" s="1237"/>
      <c r="AA10" s="1237"/>
      <c r="AB10" s="1237"/>
      <c r="AC10" s="1237"/>
      <c r="AD10" s="1237"/>
      <c r="AE10" s="1237"/>
      <c r="AF10" s="1237"/>
      <c r="AG10" s="1237"/>
      <c r="AH10" s="1237"/>
      <c r="AI10" s="1237"/>
      <c r="AJ10" s="1237"/>
      <c r="AK10" s="1237"/>
      <c r="AL10" s="1237"/>
      <c r="AM10" s="1237"/>
      <c r="AN10" s="1237"/>
      <c r="AO10" s="1237"/>
      <c r="AP10" s="79"/>
      <c r="AQ10" s="79"/>
      <c r="AR10" s="79"/>
      <c r="AS10" s="79"/>
      <c r="AT10" s="79"/>
      <c r="AU10" s="79"/>
      <c r="AV10" s="79"/>
    </row>
    <row r="11" spans="1:81" ht="15.95" customHeight="1">
      <c r="B11" s="96"/>
      <c r="C11" s="96"/>
      <c r="D11" s="96"/>
      <c r="E11" s="96"/>
      <c r="F11" s="96"/>
      <c r="J11" s="843"/>
      <c r="K11" s="843"/>
      <c r="L11" s="843"/>
      <c r="M11" s="843"/>
      <c r="N11" s="1237"/>
      <c r="O11" s="1237"/>
      <c r="P11" s="1237"/>
      <c r="Q11" s="1237"/>
      <c r="R11" s="1237"/>
      <c r="S11" s="1237"/>
      <c r="T11" s="1237"/>
      <c r="U11" s="1237"/>
      <c r="V11" s="831"/>
      <c r="W11" s="831"/>
      <c r="X11" s="831"/>
      <c r="Y11" s="831"/>
      <c r="Z11" s="1237"/>
      <c r="AA11" s="1237"/>
      <c r="AB11" s="1237"/>
      <c r="AC11" s="1237"/>
      <c r="AD11" s="1237"/>
      <c r="AE11" s="1237"/>
      <c r="AF11" s="1237"/>
      <c r="AG11" s="1237"/>
      <c r="AH11" s="1237"/>
      <c r="AI11" s="1237"/>
      <c r="AJ11" s="1237"/>
      <c r="AK11" s="1237"/>
      <c r="AL11" s="1237"/>
      <c r="AM11" s="1237"/>
      <c r="AN11" s="1237"/>
      <c r="AO11" s="1237"/>
      <c r="AP11" s="96"/>
      <c r="AQ11" s="96"/>
      <c r="AR11" s="96"/>
      <c r="AS11" s="96"/>
      <c r="AT11" s="96"/>
      <c r="AU11" s="96"/>
      <c r="AV11" s="96"/>
    </row>
    <row r="12" spans="1:81" ht="15.95" customHeight="1">
      <c r="A12" s="76"/>
      <c r="B12" s="76"/>
      <c r="C12" s="76"/>
      <c r="D12" s="76"/>
      <c r="E12" s="76"/>
      <c r="F12" s="76"/>
      <c r="G12" s="76"/>
      <c r="T12" s="837">
        <f>SUM(AR18:AU199)</f>
        <v>0</v>
      </c>
      <c r="U12" s="837"/>
      <c r="V12" s="837"/>
      <c r="W12" s="837"/>
      <c r="X12" s="837">
        <f>SUM(BL18:BL199)</f>
        <v>0</v>
      </c>
      <c r="Y12" s="837"/>
      <c r="Z12" s="837"/>
      <c r="AA12" s="837"/>
      <c r="AB12" s="836">
        <f ca="1">SUMIF(AR18:AU199,"&gt;0",AO18:AQ199)</f>
        <v>0</v>
      </c>
      <c r="AC12" s="836"/>
      <c r="AD12" s="836"/>
      <c r="AE12" s="836"/>
      <c r="AT12" s="320"/>
    </row>
    <row r="13" spans="1:81" ht="15.95" customHeight="1">
      <c r="A13" s="76"/>
      <c r="B13" s="76"/>
      <c r="C13" s="76"/>
      <c r="D13" s="76"/>
      <c r="T13" s="837"/>
      <c r="U13" s="837"/>
      <c r="V13" s="837"/>
      <c r="W13" s="837"/>
      <c r="X13" s="837"/>
      <c r="Y13" s="837"/>
      <c r="Z13" s="837"/>
      <c r="AA13" s="837"/>
      <c r="AB13" s="836"/>
      <c r="AC13" s="836"/>
      <c r="AD13" s="836"/>
      <c r="AE13" s="836"/>
      <c r="AM13" s="839" t="str">
        <f>IF(IFERROR(MATCH("100% Total Cost", BJ:BJ,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E14" s="51" t="s">
        <v>3048</v>
      </c>
      <c r="BL14" s="51" t="s">
        <v>3048</v>
      </c>
      <c r="BO14" s="51" t="s">
        <v>3048</v>
      </c>
      <c r="BR14" s="542" t="s">
        <v>2112</v>
      </c>
      <c r="BV14" s="542" t="s">
        <v>2112</v>
      </c>
      <c r="BX14" s="542" t="s">
        <v>2112</v>
      </c>
    </row>
    <row r="15" spans="1:81" ht="15.95" customHeight="1"/>
    <row r="16" spans="1:81" ht="15.95" customHeight="1">
      <c r="C16" s="832" t="s">
        <v>861</v>
      </c>
      <c r="D16" s="832"/>
      <c r="E16" s="832"/>
      <c r="F16" s="832"/>
      <c r="G16" s="832" t="s">
        <v>870</v>
      </c>
      <c r="H16" s="832"/>
      <c r="I16" s="832"/>
      <c r="J16" s="832"/>
      <c r="K16" s="832"/>
      <c r="L16" s="832"/>
      <c r="M16" s="832" t="s">
        <v>1402</v>
      </c>
      <c r="N16" s="832"/>
      <c r="O16" s="832" t="s">
        <v>1403</v>
      </c>
      <c r="P16" s="832"/>
      <c r="Q16" s="832"/>
      <c r="R16" s="832" t="s">
        <v>788</v>
      </c>
      <c r="S16" s="832"/>
      <c r="T16" s="832" t="s">
        <v>789</v>
      </c>
      <c r="U16" s="832"/>
      <c r="V16" s="832" t="s">
        <v>74</v>
      </c>
      <c r="W16" s="832"/>
      <c r="X16" s="832" t="s">
        <v>940</v>
      </c>
      <c r="Y16" s="832"/>
      <c r="Z16" s="832" t="s">
        <v>2170</v>
      </c>
      <c r="AA16" s="832"/>
      <c r="AB16" s="832"/>
      <c r="AC16" s="832" t="s">
        <v>2171</v>
      </c>
      <c r="AD16" s="832"/>
      <c r="AE16" s="832"/>
      <c r="AF16" s="832"/>
      <c r="AG16" s="832" t="s">
        <v>869</v>
      </c>
      <c r="AH16" s="832"/>
      <c r="AI16" s="860" t="s">
        <v>922</v>
      </c>
      <c r="AJ16" s="860"/>
      <c r="AK16" s="860"/>
      <c r="AL16" s="860"/>
      <c r="AM16" s="832" t="s">
        <v>1227</v>
      </c>
      <c r="AN16" s="832"/>
      <c r="AO16" s="832" t="s">
        <v>735</v>
      </c>
      <c r="AP16" s="832"/>
      <c r="AQ16" s="832"/>
      <c r="AR16" s="832" t="s">
        <v>83</v>
      </c>
      <c r="AS16" s="832"/>
      <c r="AT16" s="832"/>
      <c r="AU16" s="832"/>
      <c r="AX16" s="783" t="s">
        <v>743</v>
      </c>
      <c r="AY16" s="779" t="s">
        <v>1985</v>
      </c>
      <c r="AZ16" s="779" t="s">
        <v>942</v>
      </c>
      <c r="BA16" s="779" t="s">
        <v>635</v>
      </c>
      <c r="BB16" s="779" t="s">
        <v>875</v>
      </c>
      <c r="BC16" s="783" t="s">
        <v>924</v>
      </c>
      <c r="BD16" s="781" t="s">
        <v>1701</v>
      </c>
      <c r="BE16" s="828" t="s">
        <v>874</v>
      </c>
      <c r="BF16" s="828"/>
      <c r="BG16" s="781" t="s">
        <v>926</v>
      </c>
      <c r="BH16" s="600"/>
      <c r="BI16" s="600"/>
      <c r="BJ16" s="781" t="s">
        <v>88</v>
      </c>
      <c r="BK16" s="781" t="s">
        <v>1619</v>
      </c>
      <c r="BL16" s="783" t="s">
        <v>876</v>
      </c>
      <c r="BM16" s="783"/>
      <c r="BN16" s="781" t="s">
        <v>132</v>
      </c>
      <c r="BO16" s="781" t="s">
        <v>325</v>
      </c>
      <c r="BP16" s="781" t="s">
        <v>1833</v>
      </c>
      <c r="BQ16" s="783" t="s">
        <v>2107</v>
      </c>
      <c r="BR16" s="781" t="s">
        <v>1614</v>
      </c>
      <c r="BS16" s="783"/>
      <c r="BT16" s="779"/>
      <c r="BU16" s="783" t="s">
        <v>925</v>
      </c>
      <c r="BV16" s="781" t="s">
        <v>691</v>
      </c>
      <c r="BW16" s="783" t="s">
        <v>85</v>
      </c>
      <c r="BX16" s="783" t="s">
        <v>840</v>
      </c>
      <c r="BY16" s="783" t="s">
        <v>309</v>
      </c>
      <c r="BZ16" s="755"/>
      <c r="CA16" s="755"/>
      <c r="CB16" s="755"/>
      <c r="CC16" s="755"/>
    </row>
    <row r="17" spans="1:81" ht="15.95" customHeight="1" thickBot="1">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t="s">
        <v>862</v>
      </c>
      <c r="AJ17" s="833"/>
      <c r="AK17" s="833" t="s">
        <v>863</v>
      </c>
      <c r="AL17" s="833"/>
      <c r="AM17" s="833"/>
      <c r="AN17" s="833"/>
      <c r="AO17" s="833"/>
      <c r="AP17" s="833"/>
      <c r="AQ17" s="833"/>
      <c r="AR17" s="833"/>
      <c r="AS17" s="833"/>
      <c r="AT17" s="833"/>
      <c r="AU17" s="833"/>
      <c r="AX17" s="784"/>
      <c r="AY17" s="780"/>
      <c r="AZ17" s="780"/>
      <c r="BA17" s="780"/>
      <c r="BB17" s="780"/>
      <c r="BC17" s="784"/>
      <c r="BD17" s="782"/>
      <c r="BE17" s="97" t="s">
        <v>871</v>
      </c>
      <c r="BF17" s="97" t="s">
        <v>872</v>
      </c>
      <c r="BG17" s="782"/>
      <c r="BH17" s="1097"/>
      <c r="BI17" s="1097"/>
      <c r="BJ17" s="782"/>
      <c r="BK17" s="782"/>
      <c r="BL17" s="784"/>
      <c r="BM17" s="784"/>
      <c r="BN17" s="782"/>
      <c r="BO17" s="782"/>
      <c r="BP17" s="782"/>
      <c r="BQ17" s="784"/>
      <c r="BR17" s="782"/>
      <c r="BS17" s="784"/>
      <c r="BT17" s="780"/>
      <c r="BU17" s="784"/>
      <c r="BV17" s="782"/>
      <c r="BW17" s="784"/>
      <c r="BX17" s="784"/>
      <c r="BY17" s="784"/>
      <c r="BZ17" s="756"/>
      <c r="CA17" s="756"/>
      <c r="CB17" s="756"/>
      <c r="CC17" s="756"/>
    </row>
    <row r="18" spans="1:81" ht="15.95" customHeight="1">
      <c r="B18" s="785">
        <v>1</v>
      </c>
      <c r="C18" s="793"/>
      <c r="D18" s="795"/>
      <c r="E18" s="795"/>
      <c r="F18" s="794"/>
      <c r="G18" s="789"/>
      <c r="H18" s="790"/>
      <c r="I18" s="790"/>
      <c r="J18" s="790"/>
      <c r="K18" s="790"/>
      <c r="L18" s="790"/>
      <c r="M18" s="793"/>
      <c r="N18" s="794"/>
      <c r="O18" s="793"/>
      <c r="P18" s="795"/>
      <c r="Q18" s="794"/>
      <c r="R18" s="1231" t="str">
        <f>_xlfn.LET(
_xlpm.WATTS,
IFERROR(
INDEX(STDLIGHTINEFCAT2[System Wattage],MATCH('M04-S10'!$M18&amp;"_"&amp;
INDEX(CLLIGHT[Ineff Dropdown 2],MATCH('M04-S10'!$G18, CLLIGHT[Measure Name],0))
&amp;"_"&amp;O18,STDLIGHTINEFCAT2[Full Name],0)),
""),
IF(_xlpm.WATTS="","",_xlpm.WATTS))</f>
        <v/>
      </c>
      <c r="S18" s="1232"/>
      <c r="T18" s="799" t="str">
        <f>IF(C18="Permanent Lamp Removal",0,"")</f>
        <v/>
      </c>
      <c r="U18" s="800"/>
      <c r="V18" s="801"/>
      <c r="W18" s="801"/>
      <c r="X18" s="803"/>
      <c r="Y18" s="803"/>
      <c r="Z18" s="873"/>
      <c r="AA18" s="874"/>
      <c r="AB18" s="875"/>
      <c r="AC18" s="876"/>
      <c r="AD18" s="877"/>
      <c r="AE18" s="877"/>
      <c r="AF18" s="878"/>
      <c r="AG18" s="805"/>
      <c r="AH18" s="793"/>
      <c r="AI18" s="807"/>
      <c r="AJ18" s="808"/>
      <c r="AK18" s="808"/>
      <c r="AL18" s="811"/>
      <c r="AM18" s="813" t="str" cm="1">
        <f t="array" ref="AM18">IFERROR(IF(G18="","",IF(C18&lt;&gt;INDEX(CLLIGHT[Eff Category 1],MATCH(G18,CLLIGHT[Measure Name],0)),0,INDEX(IF(AND(ACTIVEBONUS = TRUE,INDEX(CLLIGHT[Bonus Incentive],MATCH(G18,CLLIGHT[Measure Name],0))&lt;&gt; ""),CLLIGHT[Bonus Incentive],_xlfn.SWITCH(Program_Banner,"Business Energy Savings",CLLIGHT[BESP Incentive],"Small Business / Non-Profit",CLLIGHT[SBNP Incentive],0)),MATCH(G18,CLLIGHT[Measure Name],0)))),"")</f>
        <v/>
      </c>
      <c r="AN18" s="814"/>
      <c r="AO18" s="817" t="str">
        <f>IFERROR(IF(OR(C18="",G18="",M18="",O18="",R18="",T18="",V18="",X18="",AC18="",AG18="",AI18="",AK18=""),"", IF(BE18&lt;=0, 0, BE18)),"")</f>
        <v/>
      </c>
      <c r="AP18" s="817"/>
      <c r="AQ18" s="817"/>
      <c r="AR18" s="840" t="str">
        <f>IFERROR(IF(OR(C18="",G18="",M18="",O18="",R18="",T18="",V18="",X18="",AC18="",AG18="",AI18="",AK18=""),"",IF(BY18&lt;&gt;"",BY18,IF(BP18&gt;0,BP18,ROUND(IF(AO18&lt;=0,0,MIN(BL18,BQ18)),2)))),"")</f>
        <v/>
      </c>
      <c r="AS18" s="840"/>
      <c r="AT18" s="840"/>
      <c r="AU18" s="840"/>
      <c r="AV18" s="17"/>
      <c r="AX18" s="773" t="str">
        <f>IFERROR(IF(OR(C18="",G18="",M18="",O18="",R18="",T18="",V18="",X18="",AC18="",AG18="",AI18="",AK18=""),"",INDEX(CLLIGHT[Current Unit],MATCH(G18,CLLIGHT[Measure Name],0))),"Err")</f>
        <v/>
      </c>
      <c r="AY18" s="759" t="str">
        <f t="shared" ref="AY18" si="0">IF(V18="", "",  V18)</f>
        <v/>
      </c>
      <c r="AZ18" s="759" t="str">
        <f t="shared" ref="AZ18" si="1">IF(V18="", "",  V18)</f>
        <v/>
      </c>
      <c r="BA18" s="771"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B18" s="771"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C18" s="773" t="str">
        <f>IFERROR(IF(OR(C18="",G18="",M18="",O18="",R18="",T18="",V18="",X18="",AC18="",AG18="",AI18="",AK18=""),"",INDEX(CLLIGHT[End Use],MATCH(G18,CLLIGHT[Measure Name],0))),"Err")</f>
        <v/>
      </c>
      <c r="BD18" s="757" t="str">
        <f>IFERROR(IF(OR(C18="",G18="",M18="",O18="",R18="",T18="",V18="",X18="",AC18="",AG18="",AI18="",AK18=""),"",INDEX(CLLIGHT[Reporting Methodology],MATCH(G18,CLLIGHT[Measure Name],0))),"Err")</f>
        <v/>
      </c>
      <c r="BE18" s="775" t="str">
        <f>IF(AND(BA18&lt;&gt;"", BB18&lt;&gt;""), ROUND(BA18-BB18,4), "")</f>
        <v/>
      </c>
      <c r="BF18" s="775" t="str">
        <f>IFERROR(IF(OR(C18="",G18="",M18="",O18="",R18="",T18="",V18="",X18="",AC18="",AG18="",AI18="",AK18=""),"",
IF(BA18&lt;=BB18,0,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775" t="str">
        <f>IFERROR(IF(OR(C18="",G18="",M18="",O18="",R18="",T18="",V18="",X18="",AC18="",AG18="",AI18="", AK18=""),"",ROUND(AO18*INDEX(ENDUSEALL[Factor],MATCH(BC18,ENDUSEALL[End Use to Coincident Peak Demand Factors],0)),4)),"")</f>
        <v/>
      </c>
      <c r="BH18" s="761"/>
      <c r="BI18" s="761"/>
      <c r="BJ18" s="777" t="str">
        <f>IFERROR(INDEX(CLLIGHT[Measure Life (Years)],MATCH(G18,CLLIGHT[Measure Name],0)),"")</f>
        <v/>
      </c>
      <c r="BK18" s="767" t="str">
        <f>IFERROR(IF(OR(C18="",G18="",M18="",O18="",R18="",T18="",V18="",X18="",AC18="",AG18="",AI18="",AK18=""),"",
ROUND(((1+ELOSS)*((BE18*INDEX(ELECCB[NPV AEC $/kWh],MATCH(BJ18,ELECCB[Year Number],1)))+(BF18*INDEX(ELECCB[NPV ACC $/kW],MATCH(BJ18,ELECCB[Year Number],1))))),2)),0)</f>
        <v/>
      </c>
      <c r="BL18" s="767" t="str">
        <f t="shared" ref="BL18:BL76" si="2">IF(OR(AI18="", AK18=""), "", AI18+AK18)</f>
        <v/>
      </c>
      <c r="BM18" s="765"/>
      <c r="BN18" s="763" t="str">
        <f t="shared" ref="BN18:BN76" si="3">IFERROR( BK18 / IF(BM18 &lt;&gt; "", BM18, BL18), "")</f>
        <v/>
      </c>
      <c r="BO18" s="763" t="str">
        <f>IFERROR(IF(BM18 &lt;&gt; "", BM18, BL18) / M02S04F06 / AO18, "")</f>
        <v/>
      </c>
      <c r="BP18" s="769"/>
      <c r="BQ18" s="767" t="str">
        <f>IFERROR(ROUND(V18*AM18, 2), "")</f>
        <v/>
      </c>
      <c r="BR18" s="767"/>
      <c r="BS18" s="765"/>
      <c r="BT18" s="765"/>
      <c r="BU18" s="757" t="str">
        <f>IFERROR(IF(BP18="",IF(AND(AO18&gt;0, AR18 &lt; BQ18), "100% Total Cost", ""), ""), "")</f>
        <v/>
      </c>
      <c r="BV18" s="767"/>
      <c r="BW18" s="757" t="str">
        <f>IFERROR(IF(OR(C18="",G18="",M18="",O18="",R18="",T18="",V18="",X18="",AC18="",AG18="",AI18="",AK18=""),"",IF(BY18&lt;&gt;"", SPILLOVERNUMBER, INDEX(CLLIGHT[Measure Number],MATCH(G18,CLLIGHT[Measure Name],0)))),"Err")</f>
        <v/>
      </c>
      <c r="BX18" s="757" t="str" cm="1">
        <f t="array" ref="BX18">IFERROR(INDEX(_xlfn.SWITCH(Program_Banner,"Business Energy Savings",CLLIGHT[Primary Key WBE],"Small Business / Non-Profit",CLLIGHT[Primary Key HTRB],0),MATCH(BW18,CLLIGHT[Measure Number],0)),"")</f>
        <v/>
      </c>
      <c r="BY18" s="757" t="str">
        <f>IFERROR(IF(OR(C18="",G18="",M18="",O18="",R18="",T18="",V18="",X18="",AC18="",AG18="",AI18="",AK18=""),"",
IF(BP18&gt;0,"",
IF(EXPIRATION&lt;&gt;"",PROJSTATEXP,
IF(M02S04F19="",MEASUREBLDG,
IF(BA18&lt;=BB18,MEASURESAVE,""))))),MEASURESUBMIT)</f>
        <v/>
      </c>
      <c r="BZ18" s="753"/>
      <c r="CA18" s="753"/>
      <c r="CB18" s="753"/>
      <c r="CC18" s="753"/>
    </row>
    <row r="19" spans="1:81" ht="15.95" customHeight="1">
      <c r="B19" s="785"/>
      <c r="C19" s="786"/>
      <c r="D19" s="787"/>
      <c r="E19" s="787"/>
      <c r="F19" s="788"/>
      <c r="G19" s="791"/>
      <c r="H19" s="792"/>
      <c r="I19" s="792"/>
      <c r="J19" s="792"/>
      <c r="K19" s="792"/>
      <c r="L19" s="792"/>
      <c r="M19" s="786"/>
      <c r="N19" s="788"/>
      <c r="O19" s="786"/>
      <c r="P19" s="787"/>
      <c r="Q19" s="788"/>
      <c r="R19" s="1233"/>
      <c r="S19" s="1234"/>
      <c r="T19" s="799"/>
      <c r="U19" s="800"/>
      <c r="V19" s="802"/>
      <c r="W19" s="802"/>
      <c r="X19" s="804"/>
      <c r="Y19" s="804"/>
      <c r="Z19" s="793"/>
      <c r="AA19" s="795"/>
      <c r="AB19" s="794"/>
      <c r="AC19" s="793"/>
      <c r="AD19" s="795"/>
      <c r="AE19" s="795"/>
      <c r="AF19" s="794"/>
      <c r="AG19" s="806"/>
      <c r="AH19" s="786"/>
      <c r="AI19" s="809"/>
      <c r="AJ19" s="810"/>
      <c r="AK19" s="810"/>
      <c r="AL19" s="812"/>
      <c r="AM19" s="815"/>
      <c r="AN19" s="816"/>
      <c r="AO19" s="818"/>
      <c r="AP19" s="818"/>
      <c r="AQ19" s="818"/>
      <c r="AR19" s="841"/>
      <c r="AS19" s="841"/>
      <c r="AT19" s="841"/>
      <c r="AU19" s="841"/>
      <c r="AV19" s="17"/>
      <c r="AX19" s="774"/>
      <c r="AY19" s="760"/>
      <c r="AZ19" s="760"/>
      <c r="BA19" s="772"/>
      <c r="BB19" s="772"/>
      <c r="BC19" s="774"/>
      <c r="BD19" s="758"/>
      <c r="BE19" s="776"/>
      <c r="BF19" s="776"/>
      <c r="BG19" s="776"/>
      <c r="BH19" s="762"/>
      <c r="BI19" s="762"/>
      <c r="BJ19" s="778"/>
      <c r="BK19" s="768"/>
      <c r="BL19" s="768"/>
      <c r="BM19" s="766"/>
      <c r="BN19" s="764"/>
      <c r="BO19" s="764"/>
      <c r="BP19" s="770"/>
      <c r="BQ19" s="768"/>
      <c r="BR19" s="768"/>
      <c r="BS19" s="766"/>
      <c r="BT19" s="766"/>
      <c r="BU19" s="758"/>
      <c r="BV19" s="768"/>
      <c r="BW19" s="758"/>
      <c r="BX19" s="758"/>
      <c r="BY19" s="758"/>
      <c r="BZ19" s="754"/>
      <c r="CA19" s="754"/>
      <c r="CB19" s="754"/>
      <c r="CC19" s="754"/>
    </row>
    <row r="20" spans="1:81" ht="15.95" customHeight="1">
      <c r="A20" s="75"/>
      <c r="B20" s="785">
        <v>2</v>
      </c>
      <c r="C20" s="786"/>
      <c r="D20" s="787"/>
      <c r="E20" s="787"/>
      <c r="F20" s="788"/>
      <c r="G20" s="791"/>
      <c r="H20" s="792"/>
      <c r="I20" s="792"/>
      <c r="J20" s="792"/>
      <c r="K20" s="792"/>
      <c r="L20" s="792"/>
      <c r="M20" s="786"/>
      <c r="N20" s="788"/>
      <c r="O20" s="786"/>
      <c r="P20" s="787"/>
      <c r="Q20" s="788"/>
      <c r="R20" s="1231" t="str">
        <f>_xlfn.LET(
_xlpm.WATTS,
IFERROR(
INDEX(STDLIGHTINEFCAT2[System Wattage],MATCH('M04-S10'!$M20&amp;"_"&amp;
INDEX(CLLIGHT[Ineff Dropdown 2],MATCH('M04-S10'!$G20, CLLIGHT[Measure Name],0))
&amp;"_"&amp;O20,STDLIGHTINEFCAT2[Full Name],0)),
""),
IF(_xlpm.WATTS="","",_xlpm.WATTS))</f>
        <v/>
      </c>
      <c r="S20" s="1232"/>
      <c r="T20" s="799" t="str">
        <f>IF(C20="Permanent Lamp Removal",0,"")</f>
        <v/>
      </c>
      <c r="U20" s="800"/>
      <c r="V20" s="801"/>
      <c r="W20" s="801"/>
      <c r="X20" s="803"/>
      <c r="Y20" s="803"/>
      <c r="Z20" s="825"/>
      <c r="AA20" s="826"/>
      <c r="AB20" s="827"/>
      <c r="AC20" s="825"/>
      <c r="AD20" s="826"/>
      <c r="AE20" s="826"/>
      <c r="AF20" s="827"/>
      <c r="AG20" s="806"/>
      <c r="AH20" s="786"/>
      <c r="AI20" s="809"/>
      <c r="AJ20" s="810"/>
      <c r="AK20" s="810"/>
      <c r="AL20" s="812"/>
      <c r="AM20" s="813" t="str" cm="1">
        <f t="array" ref="AM20">IFERROR(IF(G20="","",IF(C20&lt;&gt;INDEX(CLLIGHT[Eff Category 1],MATCH(G20,CLLIGHT[Measure Name],0)),0,INDEX(IF(AND(ACTIVEBONUS = TRUE,INDEX(CLLIGHT[Bonus Incentive],MATCH(G20,CLLIGHT[Measure Name],0))&lt;&gt; ""),CLLIGHT[Bonus Incentive],_xlfn.SWITCH(Program_Banner,"Business Energy Savings",CLLIGHT[BESP Incentive],"Small Business / Non-Profit",CLLIGHT[SBNP Incentive],0)),MATCH(G20,CLLIGHT[Measure Name],0)))),"")</f>
        <v/>
      </c>
      <c r="AN20" s="814"/>
      <c r="AO20" s="817" t="str">
        <f t="shared" ref="AO20" si="4">IFERROR(IF(OR(C20="",G20="",M20="",O20="",R20="",T20="",V20="",X20="",AC20="",AG20="",AI20="",AK20=""),"", IF(BE20&lt;=0, 0, BE20)),"")</f>
        <v/>
      </c>
      <c r="AP20" s="817"/>
      <c r="AQ20" s="817"/>
      <c r="AR20" s="819" t="str">
        <f>IFERROR(IF(OR(C20="",G20="",M20="",O20="",R20="",T20="",V20="",X20="",AC20="",AG20="",AI20="",AK20=""),"",IF(BY20&lt;&gt;"",BY20,IF(BP20&gt;0,BP20,ROUND(IF(AO20&lt;=0,0,MIN(BL20,BQ20)),2)))),"")</f>
        <v/>
      </c>
      <c r="AS20" s="820"/>
      <c r="AT20" s="820"/>
      <c r="AU20" s="821"/>
      <c r="AV20" s="17"/>
      <c r="AX20" s="773" t="str">
        <f>IFERROR(IF(OR(C20="",G20="",M20="",O20="",R20="",T20="",V20="",X20="",AC20="",AG20="",AI20="",AK20=""),"",INDEX(CLLIGHT[Current Unit],MATCH(G20,CLLIGHT[Measure Name],0))),"Err")</f>
        <v/>
      </c>
      <c r="AY20" s="759" t="str">
        <f t="shared" ref="AY20" si="5">IF(V20="", "",  V20)</f>
        <v/>
      </c>
      <c r="AZ20" s="759" t="str">
        <f t="shared" ref="AZ20" si="6">IF(V20="", "",  V20)</f>
        <v/>
      </c>
      <c r="BA20" s="771"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B20" s="771"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C20" s="773" t="str">
        <f>IFERROR(IF(OR(C20="",G20="",M20="",O20="",R20="",T20="",V20="",X20="",AC20="",AG20="",AI20="",AK20=""),"",INDEX(CLLIGHT[End Use],MATCH(G20,CLLIGHT[Measure Name],0))),"Err")</f>
        <v/>
      </c>
      <c r="BD20" s="757" t="str">
        <f>IFERROR(IF(OR(C20="",G20="",M20="",O20="",R20="",T20="",V20="",X20="",AC20="",AG20="",AI20="",AK20=""),"",INDEX(CLLIGHT[Reporting Methodology],MATCH(G20,CLLIGHT[Measure Name],0))),"Err")</f>
        <v/>
      </c>
      <c r="BE20" s="775" t="str">
        <f t="shared" ref="BE20" si="7">IF(AND(BA20&lt;&gt;"", BB20&lt;&gt;""), ROUND(BA20-BB20,4), "")</f>
        <v/>
      </c>
      <c r="BF20" s="775" t="str">
        <f>IFERROR(IF(OR(C20="",G20="",M20="",O20="",R20="",T20="",V20="",X20="",AC20="",AG20="",AI20="",AK20=""),"",
IF(BA20&lt;=BB20,0,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775" t="str">
        <f>IFERROR(IF(OR(C20="",G20="",M20="",O20="",R20="",T20="",V20="",X20="",AC20="",AG20="",AI20="", AK20=""),"",ROUND(AO20*INDEX(ENDUSEALL[Factor],MATCH(BC20,ENDUSEALL[End Use to Coincident Peak Demand Factors],0)),4)),"")</f>
        <v/>
      </c>
      <c r="BH20" s="761"/>
      <c r="BI20" s="761"/>
      <c r="BJ20" s="777" t="str">
        <f>IFERROR(INDEX(CLLIGHT[Measure Life (Years)],MATCH(G20,CLLIGHT[Measure Name],0)),"")</f>
        <v/>
      </c>
      <c r="BK20" s="767" t="str">
        <f>IFERROR(IF(OR(C20="",G20="",M20="",O20="",R20="",T20="",V20="",X20="",AC20="",AG20="",AI20="",AK20=""),"",
ROUND(((1+ELOSS)*((BE20*INDEX(ELECCB[NPV AEC $/kWh],MATCH(BJ20,ELECCB[Year Number],1)))+(BF20*INDEX(ELECCB[NPV ACC $/kW],MATCH(BJ20,ELECCB[Year Number],1))))),2)),0)</f>
        <v/>
      </c>
      <c r="BL20" s="767" t="str">
        <f t="shared" si="2"/>
        <v/>
      </c>
      <c r="BM20" s="765"/>
      <c r="BN20" s="763" t="str">
        <f t="shared" si="3"/>
        <v/>
      </c>
      <c r="BO20" s="763" t="str">
        <f>IFERROR(IF(BM20 &lt;&gt; "", BM20, BL20) / M02S04F06 / AO20, "")</f>
        <v/>
      </c>
      <c r="BP20" s="769"/>
      <c r="BQ20" s="767" t="str">
        <f t="shared" ref="BQ20" si="8">IFERROR(ROUND(V20*AM20, 2), "")</f>
        <v/>
      </c>
      <c r="BR20" s="767"/>
      <c r="BS20" s="765"/>
      <c r="BT20" s="765"/>
      <c r="BU20" s="757" t="str">
        <f t="shared" ref="BU20" si="9">IFERROR(IF(BP20="",IF(AND(AO20&gt;0, AR20 &lt; BQ20), "100% Total Cost", ""), ""), "")</f>
        <v/>
      </c>
      <c r="BV20" s="767"/>
      <c r="BW20" s="757" t="str">
        <f>IFERROR(IF(OR(C20="",G20="",M20="",O20="",R20="",T20="",V20="",X20="",AC20="",AG20="",AI20="",AK20=""),"",IF(BY20&lt;&gt;"", SPILLOVERNUMBER, INDEX(CLLIGHT[Measure Number],MATCH(G20,CLLIGHT[Measure Name],0)))),"Err")</f>
        <v/>
      </c>
      <c r="BX20" s="757" t="str" cm="1">
        <f t="array" ref="BX20">IFERROR(INDEX(_xlfn.SWITCH(Program_Banner,"Business Energy Savings",CLLIGHT[Primary Key WBE],"Small Business / Non-Profit",CLLIGHT[Primary Key HTRB],0),MATCH(BW20,CLLIGHT[Measure Number],0)),"")</f>
        <v/>
      </c>
      <c r="BY20" s="757" t="str">
        <f>IFERROR(IF(OR(C20="",G20="",M20="",O20="",R20="",T20="",V20="",X20="",AC20="",AG20="",AI20="",AK20=""),"",
IF(BP20&gt;0,"",
IF(EXPIRATION&lt;&gt;"",PROJSTATEXP,
IF(M02S04F19="",MEASUREBLDG,
IF(BA20&lt;=BB20,MEASURESAVE,""))))),MEASURESUBMIT)</f>
        <v/>
      </c>
      <c r="BZ20" s="753"/>
      <c r="CA20" s="753"/>
      <c r="CB20" s="753"/>
      <c r="CC20" s="753"/>
    </row>
    <row r="21" spans="1:81" ht="15.95" customHeight="1">
      <c r="B21" s="785"/>
      <c r="C21" s="786"/>
      <c r="D21" s="787"/>
      <c r="E21" s="787"/>
      <c r="F21" s="788"/>
      <c r="G21" s="791"/>
      <c r="H21" s="792"/>
      <c r="I21" s="792"/>
      <c r="J21" s="792"/>
      <c r="K21" s="792"/>
      <c r="L21" s="792"/>
      <c r="M21" s="786"/>
      <c r="N21" s="788"/>
      <c r="O21" s="786"/>
      <c r="P21" s="787"/>
      <c r="Q21" s="788"/>
      <c r="R21" s="1233"/>
      <c r="S21" s="1234"/>
      <c r="T21" s="799"/>
      <c r="U21" s="800"/>
      <c r="V21" s="802"/>
      <c r="W21" s="802"/>
      <c r="X21" s="804"/>
      <c r="Y21" s="804"/>
      <c r="Z21" s="793"/>
      <c r="AA21" s="795"/>
      <c r="AB21" s="794"/>
      <c r="AC21" s="793"/>
      <c r="AD21" s="795"/>
      <c r="AE21" s="795"/>
      <c r="AF21" s="794"/>
      <c r="AG21" s="806"/>
      <c r="AH21" s="786"/>
      <c r="AI21" s="809"/>
      <c r="AJ21" s="810"/>
      <c r="AK21" s="810"/>
      <c r="AL21" s="812"/>
      <c r="AM21" s="815"/>
      <c r="AN21" s="816"/>
      <c r="AO21" s="818"/>
      <c r="AP21" s="818"/>
      <c r="AQ21" s="818"/>
      <c r="AR21" s="822"/>
      <c r="AS21" s="823"/>
      <c r="AT21" s="823"/>
      <c r="AU21" s="824"/>
      <c r="AV21" s="17"/>
      <c r="AX21" s="774"/>
      <c r="AY21" s="760"/>
      <c r="AZ21" s="760"/>
      <c r="BA21" s="772"/>
      <c r="BB21" s="772"/>
      <c r="BC21" s="774"/>
      <c r="BD21" s="758"/>
      <c r="BE21" s="776"/>
      <c r="BF21" s="776"/>
      <c r="BG21" s="776"/>
      <c r="BH21" s="762"/>
      <c r="BI21" s="762"/>
      <c r="BJ21" s="778"/>
      <c r="BK21" s="768"/>
      <c r="BL21" s="768"/>
      <c r="BM21" s="766"/>
      <c r="BN21" s="764"/>
      <c r="BO21" s="764"/>
      <c r="BP21" s="770"/>
      <c r="BQ21" s="768"/>
      <c r="BR21" s="768"/>
      <c r="BS21" s="766"/>
      <c r="BT21" s="766"/>
      <c r="BU21" s="758"/>
      <c r="BV21" s="768"/>
      <c r="BW21" s="758"/>
      <c r="BX21" s="758"/>
      <c r="BY21" s="758"/>
      <c r="BZ21" s="754"/>
      <c r="CA21" s="754"/>
      <c r="CB21" s="754"/>
      <c r="CC21" s="754"/>
    </row>
    <row r="22" spans="1:81" ht="15.95" customHeight="1">
      <c r="A22" s="75"/>
      <c r="B22" s="785">
        <v>3</v>
      </c>
      <c r="C22" s="786"/>
      <c r="D22" s="787"/>
      <c r="E22" s="787"/>
      <c r="F22" s="788"/>
      <c r="G22" s="791"/>
      <c r="H22" s="792"/>
      <c r="I22" s="792"/>
      <c r="J22" s="792"/>
      <c r="K22" s="792"/>
      <c r="L22" s="792"/>
      <c r="M22" s="786"/>
      <c r="N22" s="788"/>
      <c r="O22" s="786"/>
      <c r="P22" s="787"/>
      <c r="Q22" s="788"/>
      <c r="R22" s="1231" t="str">
        <f>_xlfn.LET(
_xlpm.WATTS,
IFERROR(
INDEX(STDLIGHTINEFCAT2[System Wattage],MATCH('M04-S10'!$M22&amp;"_"&amp;
INDEX(CLLIGHT[Ineff Dropdown 2],MATCH('M04-S10'!$G22, CLLIGHT[Measure Name],0))
&amp;"_"&amp;O22,STDLIGHTINEFCAT2[Full Name],0)),
""),
IF(_xlpm.WATTS="","",_xlpm.WATTS))</f>
        <v/>
      </c>
      <c r="S22" s="1232"/>
      <c r="T22" s="799" t="str">
        <f t="shared" ref="T22" si="10">IF(C22="Permanent Lamp Removal",0,"")</f>
        <v/>
      </c>
      <c r="U22" s="800"/>
      <c r="V22" s="802"/>
      <c r="W22" s="802"/>
      <c r="X22" s="803"/>
      <c r="Y22" s="803"/>
      <c r="Z22" s="825"/>
      <c r="AA22" s="826"/>
      <c r="AB22" s="827"/>
      <c r="AC22" s="825"/>
      <c r="AD22" s="826"/>
      <c r="AE22" s="826"/>
      <c r="AF22" s="827"/>
      <c r="AG22" s="806"/>
      <c r="AH22" s="786"/>
      <c r="AI22" s="809"/>
      <c r="AJ22" s="810"/>
      <c r="AK22" s="810"/>
      <c r="AL22" s="812"/>
      <c r="AM22" s="813" t="str" cm="1">
        <f t="array" ref="AM22">IFERROR(IF(G22="","",IF(C22&lt;&gt;INDEX(CLLIGHT[Eff Category 1],MATCH(G22,CLLIGHT[Measure Name],0)),0,INDEX(IF(AND(ACTIVEBONUS = TRUE,INDEX(CLLIGHT[Bonus Incentive],MATCH(G22,CLLIGHT[Measure Name],0))&lt;&gt; ""),CLLIGHT[Bonus Incentive],_xlfn.SWITCH(Program_Banner,"Business Energy Savings",CLLIGHT[BESP Incentive],"Small Business / Non-Profit",CLLIGHT[SBNP Incentive],0)),MATCH(G22,CLLIGHT[Measure Name],0)))),"")</f>
        <v/>
      </c>
      <c r="AN22" s="814"/>
      <c r="AO22" s="817" t="str">
        <f t="shared" ref="AO22" si="11">IFERROR(IF(OR(C22="",G22="",M22="",O22="",R22="",T22="",V22="",X22="",AC22="",AG22="",AI22="",AK22=""),"", IF(BE22&lt;=0, 0, BE22)),"")</f>
        <v/>
      </c>
      <c r="AP22" s="817"/>
      <c r="AQ22" s="817"/>
      <c r="AR22" s="819" t="str">
        <f>IFERROR(IF(OR(C22="",G22="",M22="",O22="",R22="",T22="",V22="",X22="",AC22="",AG22="",AI22="",AK22=""),"",IF(BY22&lt;&gt;"",BY22,IF(BP22&gt;0,BP22,ROUND(IF(AO22&lt;=0,0,MIN(BL22,BQ22)),2)))),"")</f>
        <v/>
      </c>
      <c r="AS22" s="820"/>
      <c r="AT22" s="820"/>
      <c r="AU22" s="821"/>
      <c r="AV22" s="17"/>
      <c r="AX22" s="773" t="str">
        <f>IFERROR(IF(OR(C22="",G22="",M22="",O22="",R22="",T22="",V22="",X22="",AC22="",AG22="",AI22="",AK22=""),"",INDEX(CLLIGHT[Current Unit],MATCH(G22,CLLIGHT[Measure Name],0))),"Err")</f>
        <v/>
      </c>
      <c r="AY22" s="759" t="str">
        <f t="shared" ref="AY22" si="12">IF(V22="", "",  V22)</f>
        <v/>
      </c>
      <c r="AZ22" s="759" t="str">
        <f t="shared" ref="AZ22" si="13">IF(V22="", "",  V22)</f>
        <v/>
      </c>
      <c r="BA22" s="771"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B22" s="771"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C22" s="773" t="str">
        <f>IFERROR(IF(OR(C22="",G22="",M22="",O22="",R22="",T22="",V22="",X22="",AC22="",AG22="",AI22="",AK22=""),"",INDEX(CLLIGHT[End Use],MATCH(G22,CLLIGHT[Measure Name],0))),"Err")</f>
        <v/>
      </c>
      <c r="BD22" s="757" t="str">
        <f>IFERROR(IF(OR(C22="",G22="",M22="",O22="",R22="",T22="",V22="",X22="",AC22="",AG22="",AI22="",AK22=""),"",INDEX(CLLIGHT[Reporting Methodology],MATCH(G22,CLLIGHT[Measure Name],0))),"Err")</f>
        <v/>
      </c>
      <c r="BE22" s="775" t="str">
        <f t="shared" ref="BE22" si="14">IF(AND(BA22&lt;&gt;"", BB22&lt;&gt;""), ROUND(BA22-BB22,4), "")</f>
        <v/>
      </c>
      <c r="BF22" s="775" t="str">
        <f>IFERROR(IF(OR(C22="",G22="",M22="",O22="",R22="",T22="",V22="",X22="",AC22="",AG22="",AI22="",AK22=""),"",
IF(BA22&lt;=BB22,0,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775" t="str">
        <f>IFERROR(IF(OR(C22="",G22="",M22="",O22="",R22="",T22="",V22="",X22="",AC22="",AG22="",AI22="", AK22=""),"",ROUND(AO22*INDEX(ENDUSEALL[Factor],MATCH(BC22,ENDUSEALL[End Use to Coincident Peak Demand Factors],0)),4)),"")</f>
        <v/>
      </c>
      <c r="BH22" s="761"/>
      <c r="BI22" s="761"/>
      <c r="BJ22" s="777" t="str">
        <f>IFERROR(INDEX(CLLIGHT[Measure Life (Years)],MATCH(G22,CLLIGHT[Measure Name],0)),"")</f>
        <v/>
      </c>
      <c r="BK22" s="767" t="str">
        <f>IFERROR(IF(OR(C22="",G22="",M22="",O22="",R22="",T22="",V22="",X22="",AC22="",AG22="",AI22="",AK22=""),"",
ROUND(((1+ELOSS)*((BE22*INDEX(ELECCB[NPV AEC $/kWh],MATCH(BJ22,ELECCB[Year Number],1)))+(BF22*INDEX(ELECCB[NPV ACC $/kW],MATCH(BJ22,ELECCB[Year Number],1))))),2)),0)</f>
        <v/>
      </c>
      <c r="BL22" s="767" t="str">
        <f t="shared" si="2"/>
        <v/>
      </c>
      <c r="BM22" s="765"/>
      <c r="BN22" s="763" t="str">
        <f t="shared" si="3"/>
        <v/>
      </c>
      <c r="BO22" s="763" t="str">
        <f>IFERROR(IF(BM22 &lt;&gt; "", BM22, BL22) / M02S04F06 / AO22, "")</f>
        <v/>
      </c>
      <c r="BP22" s="769"/>
      <c r="BQ22" s="767" t="str">
        <f t="shared" ref="BQ22" si="15">IFERROR(ROUND(V22*AM22, 2), "")</f>
        <v/>
      </c>
      <c r="BR22" s="767"/>
      <c r="BS22" s="765"/>
      <c r="BT22" s="765"/>
      <c r="BU22" s="757" t="str">
        <f t="shared" ref="BU22" si="16">IFERROR(IF(BP22="",IF(AND(AO22&gt;0, AR22 &lt; BQ22), "100% Total Cost", ""), ""), "")</f>
        <v/>
      </c>
      <c r="BV22" s="767"/>
      <c r="BW22" s="757" t="str">
        <f>IFERROR(IF(OR(C22="",G22="",M22="",O22="",R22="",T22="",V22="",X22="",AC22="",AG22="",AI22="",AK22=""),"",IF(BY22&lt;&gt;"", SPILLOVERNUMBER, INDEX(CLLIGHT[Measure Number],MATCH(G22,CLLIGHT[Measure Name],0)))),"Err")</f>
        <v/>
      </c>
      <c r="BX22" s="757" t="str" cm="1">
        <f t="array" ref="BX22">IFERROR(INDEX(_xlfn.SWITCH(Program_Banner,"Business Energy Savings",CLLIGHT[Primary Key WBE],"Small Business / Non-Profit",CLLIGHT[Primary Key HTRB],0),MATCH(BW22,CLLIGHT[Measure Number],0)),"")</f>
        <v/>
      </c>
      <c r="BY22" s="757" t="str">
        <f>IFERROR(IF(OR(C22="",G22="",M22="",O22="",R22="",T22="",V22="",X22="",AC22="",AG22="",AI22="",AK22=""),"",
IF(BP22&gt;0,"",
IF(EXPIRATION&lt;&gt;"",PROJSTATEXP,
IF(M02S04F19="",MEASUREBLDG,
IF(BA22&lt;=BB22,MEASURESAVE,""))))),MEASURESUBMIT)</f>
        <v/>
      </c>
      <c r="BZ22" s="753"/>
      <c r="CA22" s="753"/>
      <c r="CB22" s="753"/>
      <c r="CC22" s="753"/>
    </row>
    <row r="23" spans="1:81" ht="15.95" customHeight="1">
      <c r="B23" s="785"/>
      <c r="C23" s="786"/>
      <c r="D23" s="787"/>
      <c r="E23" s="787"/>
      <c r="F23" s="788"/>
      <c r="G23" s="791"/>
      <c r="H23" s="792"/>
      <c r="I23" s="792"/>
      <c r="J23" s="792"/>
      <c r="K23" s="792"/>
      <c r="L23" s="792"/>
      <c r="M23" s="786"/>
      <c r="N23" s="788"/>
      <c r="O23" s="786"/>
      <c r="P23" s="787"/>
      <c r="Q23" s="788"/>
      <c r="R23" s="1233"/>
      <c r="S23" s="1234"/>
      <c r="T23" s="799"/>
      <c r="U23" s="800"/>
      <c r="V23" s="802"/>
      <c r="W23" s="802"/>
      <c r="X23" s="804"/>
      <c r="Y23" s="804"/>
      <c r="Z23" s="793"/>
      <c r="AA23" s="795"/>
      <c r="AB23" s="794"/>
      <c r="AC23" s="793"/>
      <c r="AD23" s="795"/>
      <c r="AE23" s="795"/>
      <c r="AF23" s="794"/>
      <c r="AG23" s="806"/>
      <c r="AH23" s="786"/>
      <c r="AI23" s="809"/>
      <c r="AJ23" s="810"/>
      <c r="AK23" s="810"/>
      <c r="AL23" s="812"/>
      <c r="AM23" s="815"/>
      <c r="AN23" s="816"/>
      <c r="AO23" s="818"/>
      <c r="AP23" s="818"/>
      <c r="AQ23" s="818"/>
      <c r="AR23" s="822"/>
      <c r="AS23" s="823"/>
      <c r="AT23" s="823"/>
      <c r="AU23" s="824"/>
      <c r="AV23" s="17"/>
      <c r="AX23" s="774"/>
      <c r="AY23" s="760"/>
      <c r="AZ23" s="760"/>
      <c r="BA23" s="772"/>
      <c r="BB23" s="772"/>
      <c r="BC23" s="774"/>
      <c r="BD23" s="758"/>
      <c r="BE23" s="776"/>
      <c r="BF23" s="776"/>
      <c r="BG23" s="776"/>
      <c r="BH23" s="762"/>
      <c r="BI23" s="762"/>
      <c r="BJ23" s="778"/>
      <c r="BK23" s="768"/>
      <c r="BL23" s="768"/>
      <c r="BM23" s="766"/>
      <c r="BN23" s="764"/>
      <c r="BO23" s="764"/>
      <c r="BP23" s="770"/>
      <c r="BQ23" s="768"/>
      <c r="BR23" s="768"/>
      <c r="BS23" s="766"/>
      <c r="BT23" s="766"/>
      <c r="BU23" s="758"/>
      <c r="BV23" s="768"/>
      <c r="BW23" s="758"/>
      <c r="BX23" s="758"/>
      <c r="BY23" s="758"/>
      <c r="BZ23" s="754"/>
      <c r="CA23" s="754"/>
      <c r="CB23" s="754"/>
      <c r="CC23" s="754"/>
    </row>
    <row r="24" spans="1:81" ht="15.95" customHeight="1">
      <c r="B24" s="785">
        <v>4</v>
      </c>
      <c r="C24" s="786"/>
      <c r="D24" s="787"/>
      <c r="E24" s="787"/>
      <c r="F24" s="788"/>
      <c r="G24" s="791"/>
      <c r="H24" s="792"/>
      <c r="I24" s="792"/>
      <c r="J24" s="792"/>
      <c r="K24" s="792"/>
      <c r="L24" s="792"/>
      <c r="M24" s="786"/>
      <c r="N24" s="788"/>
      <c r="O24" s="786"/>
      <c r="P24" s="787"/>
      <c r="Q24" s="788"/>
      <c r="R24" s="1231" t="str">
        <f>_xlfn.LET(
_xlpm.WATTS,
IFERROR(
INDEX(STDLIGHTINEFCAT2[System Wattage],MATCH('M04-S10'!$M24&amp;"_"&amp;
INDEX(CLLIGHT[Ineff Dropdown 2],MATCH('M04-S10'!$G24, CLLIGHT[Measure Name],0))
&amp;"_"&amp;O24,STDLIGHTINEFCAT2[Full Name],0)),
""),
IF(_xlpm.WATTS="","",_xlpm.WATTS))</f>
        <v/>
      </c>
      <c r="S24" s="1232"/>
      <c r="T24" s="799" t="str">
        <f t="shared" ref="T24" si="17">IF(C24="Permanent Lamp Removal",0,"")</f>
        <v/>
      </c>
      <c r="U24" s="800"/>
      <c r="V24" s="802"/>
      <c r="W24" s="802"/>
      <c r="X24" s="803"/>
      <c r="Y24" s="803"/>
      <c r="Z24" s="825"/>
      <c r="AA24" s="826"/>
      <c r="AB24" s="827"/>
      <c r="AC24" s="825"/>
      <c r="AD24" s="826"/>
      <c r="AE24" s="826"/>
      <c r="AF24" s="827"/>
      <c r="AG24" s="806"/>
      <c r="AH24" s="786"/>
      <c r="AI24" s="809"/>
      <c r="AJ24" s="810"/>
      <c r="AK24" s="810"/>
      <c r="AL24" s="812"/>
      <c r="AM24" s="813" t="str" cm="1">
        <f t="array" ref="AM24">IFERROR(IF(G24="","",IF(C24&lt;&gt;INDEX(CLLIGHT[Eff Category 1],MATCH(G24,CLLIGHT[Measure Name],0)),0,INDEX(IF(AND(ACTIVEBONUS = TRUE,INDEX(CLLIGHT[Bonus Incentive],MATCH(G24,CLLIGHT[Measure Name],0))&lt;&gt; ""),CLLIGHT[Bonus Incentive],_xlfn.SWITCH(Program_Banner,"Business Energy Savings",CLLIGHT[BESP Incentive],"Small Business / Non-Profit",CLLIGHT[SBNP Incentive],0)),MATCH(G24,CLLIGHT[Measure Name],0)))),"")</f>
        <v/>
      </c>
      <c r="AN24" s="814"/>
      <c r="AO24" s="817" t="str">
        <f t="shared" ref="AO24" si="18">IFERROR(IF(OR(C24="",G24="",M24="",O24="",R24="",T24="",V24="",X24="",AC24="",AG24="",AI24="",AK24=""),"", IF(BE24&lt;=0, 0, BE24)),"")</f>
        <v/>
      </c>
      <c r="AP24" s="817"/>
      <c r="AQ24" s="817"/>
      <c r="AR24" s="819" t="str">
        <f>IFERROR(IF(OR(C24="",G24="",M24="",O24="",R24="",T24="",V24="",X24="",AC24="",AG24="",AI24="",AK24=""),"",IF(BY24&lt;&gt;"",BY24,IF(BP24&gt;0,BP24,ROUND(IF(AO24&lt;=0,0,MIN(BL24,BQ24)),2)))),"")</f>
        <v/>
      </c>
      <c r="AS24" s="820"/>
      <c r="AT24" s="820"/>
      <c r="AU24" s="821"/>
      <c r="AV24" s="17"/>
      <c r="AX24" s="773" t="str">
        <f>IFERROR(IF(OR(C24="",G24="",M24="",O24="",R24="",T24="",V24="",X24="",AC24="",AG24="",AI24="",AK24=""),"",INDEX(CLLIGHT[Current Unit],MATCH(G24,CLLIGHT[Measure Name],0))),"Err")</f>
        <v/>
      </c>
      <c r="AY24" s="759" t="str">
        <f t="shared" ref="AY24" si="19">IF(V24="", "",  V24)</f>
        <v/>
      </c>
      <c r="AZ24" s="759" t="str">
        <f t="shared" ref="AZ24" si="20">IF(V24="", "",  V24)</f>
        <v/>
      </c>
      <c r="BA24" s="771"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B24" s="771"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C24" s="773" t="str">
        <f>IFERROR(IF(OR(C24="",G24="",M24="",O24="",R24="",T24="",V24="",X24="",AC24="",AG24="",AI24="",AK24=""),"",INDEX(CLLIGHT[End Use],MATCH(G24,CLLIGHT[Measure Name],0))),"Err")</f>
        <v/>
      </c>
      <c r="BD24" s="757" t="str">
        <f>IFERROR(IF(OR(C24="",G24="",M24="",O24="",R24="",T24="",V24="",X24="",AC24="",AG24="",AI24="",AK24=""),"",INDEX(CLLIGHT[Reporting Methodology],MATCH(G24,CLLIGHT[Measure Name],0))),"Err")</f>
        <v/>
      </c>
      <c r="BE24" s="775" t="str">
        <f t="shared" ref="BE24" si="21">IF(AND(BA24&lt;&gt;"", BB24&lt;&gt;""), ROUND(BA24-BB24,4), "")</f>
        <v/>
      </c>
      <c r="BF24" s="775" t="str">
        <f>IFERROR(IF(OR(C24="",G24="",M24="",O24="",R24="",T24="",V24="",X24="",AC24="",AG24="",AI24="",AK24=""),"",
IF(BA24&lt;=BB24,0,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775" t="str">
        <f>IFERROR(IF(OR(C24="",G24="",M24="",O24="",R24="",T24="",V24="",X24="",AC24="",AG24="",AI24="", AK24=""),"",ROUND(AO24*INDEX(ENDUSEALL[Factor],MATCH(BC24,ENDUSEALL[End Use to Coincident Peak Demand Factors],0)),4)),"")</f>
        <v/>
      </c>
      <c r="BH24" s="761"/>
      <c r="BI24" s="761"/>
      <c r="BJ24" s="777" t="str">
        <f>IFERROR(INDEX(CLLIGHT[Measure Life (Years)],MATCH(G24,CLLIGHT[Measure Name],0)),"")</f>
        <v/>
      </c>
      <c r="BK24" s="767" t="str">
        <f>IFERROR(IF(OR(C24="",G24="",M24="",O24="",R24="",T24="",V24="",X24="",AC24="",AG24="",AI24="",AK24=""),"",
ROUND(((1+ELOSS)*((BE24*INDEX(ELECCB[NPV AEC $/kWh],MATCH(BJ24,ELECCB[Year Number],1)))+(BF24*INDEX(ELECCB[NPV ACC $/kW],MATCH(BJ24,ELECCB[Year Number],1))))),2)),0)</f>
        <v/>
      </c>
      <c r="BL24" s="767" t="str">
        <f t="shared" si="2"/>
        <v/>
      </c>
      <c r="BM24" s="765"/>
      <c r="BN24" s="763" t="str">
        <f t="shared" si="3"/>
        <v/>
      </c>
      <c r="BO24" s="763" t="str">
        <f>IFERROR(IF(BM24 &lt;&gt; "", BM24, BL24) / M02S04F06 / AO24, "")</f>
        <v/>
      </c>
      <c r="BP24" s="769"/>
      <c r="BQ24" s="767" t="str">
        <f t="shared" ref="BQ24" si="22">IFERROR(ROUND(V24*AM24, 2), "")</f>
        <v/>
      </c>
      <c r="BR24" s="767"/>
      <c r="BS24" s="765"/>
      <c r="BT24" s="765"/>
      <c r="BU24" s="757" t="str">
        <f t="shared" ref="BU24" si="23">IFERROR(IF(BP24="",IF(AND(AO24&gt;0, AR24 &lt; BQ24), "100% Total Cost", ""), ""), "")</f>
        <v/>
      </c>
      <c r="BV24" s="767"/>
      <c r="BW24" s="757" t="str">
        <f>IFERROR(IF(OR(C24="",G24="",M24="",O24="",R24="",T24="",V24="",X24="",AC24="",AG24="",AI24="",AK24=""),"",IF(BY24&lt;&gt;"", SPILLOVERNUMBER, INDEX(CLLIGHT[Measure Number],MATCH(G24,CLLIGHT[Measure Name],0)))),"Err")</f>
        <v/>
      </c>
      <c r="BX24" s="757" t="str" cm="1">
        <f t="array" ref="BX24">IFERROR(INDEX(_xlfn.SWITCH(Program_Banner,"Business Energy Savings",CLLIGHT[Primary Key WBE],"Small Business / Non-Profit",CLLIGHT[Primary Key HTRB],0),MATCH(BW24,CLLIGHT[Measure Number],0)),"")</f>
        <v/>
      </c>
      <c r="BY24" s="757" t="str">
        <f>IFERROR(IF(OR(C24="",G24="",M24="",O24="",R24="",T24="",V24="",X24="",AC24="",AG24="",AI24="",AK24=""),"",
IF(BP24&gt;0,"",
IF(EXPIRATION&lt;&gt;"",PROJSTATEXP,
IF(M02S04F19="",MEASUREBLDG,
IF(BA24&lt;=BB24,MEASURESAVE,""))))),MEASURESUBMIT)</f>
        <v/>
      </c>
      <c r="BZ24" s="753"/>
      <c r="CA24" s="753"/>
      <c r="CB24" s="753"/>
      <c r="CC24" s="753"/>
    </row>
    <row r="25" spans="1:81" ht="15.95" customHeight="1">
      <c r="A25" s="75"/>
      <c r="B25" s="785"/>
      <c r="C25" s="786"/>
      <c r="D25" s="787"/>
      <c r="E25" s="787"/>
      <c r="F25" s="788"/>
      <c r="G25" s="791"/>
      <c r="H25" s="792"/>
      <c r="I25" s="792"/>
      <c r="J25" s="792"/>
      <c r="K25" s="792"/>
      <c r="L25" s="792"/>
      <c r="M25" s="786"/>
      <c r="N25" s="788"/>
      <c r="O25" s="786"/>
      <c r="P25" s="787"/>
      <c r="Q25" s="788"/>
      <c r="R25" s="1233"/>
      <c r="S25" s="1234"/>
      <c r="T25" s="799"/>
      <c r="U25" s="800"/>
      <c r="V25" s="802"/>
      <c r="W25" s="802"/>
      <c r="X25" s="804"/>
      <c r="Y25" s="804"/>
      <c r="Z25" s="793"/>
      <c r="AA25" s="795"/>
      <c r="AB25" s="794"/>
      <c r="AC25" s="793"/>
      <c r="AD25" s="795"/>
      <c r="AE25" s="795"/>
      <c r="AF25" s="794"/>
      <c r="AG25" s="806"/>
      <c r="AH25" s="786"/>
      <c r="AI25" s="809"/>
      <c r="AJ25" s="810"/>
      <c r="AK25" s="810"/>
      <c r="AL25" s="812"/>
      <c r="AM25" s="815"/>
      <c r="AN25" s="816"/>
      <c r="AO25" s="818"/>
      <c r="AP25" s="818"/>
      <c r="AQ25" s="818"/>
      <c r="AR25" s="822"/>
      <c r="AS25" s="823"/>
      <c r="AT25" s="823"/>
      <c r="AU25" s="824"/>
      <c r="AV25" s="17"/>
      <c r="AX25" s="774"/>
      <c r="AY25" s="760"/>
      <c r="AZ25" s="760"/>
      <c r="BA25" s="772"/>
      <c r="BB25" s="772"/>
      <c r="BC25" s="774"/>
      <c r="BD25" s="758"/>
      <c r="BE25" s="776"/>
      <c r="BF25" s="776"/>
      <c r="BG25" s="776"/>
      <c r="BH25" s="762"/>
      <c r="BI25" s="762"/>
      <c r="BJ25" s="778"/>
      <c r="BK25" s="768"/>
      <c r="BL25" s="768"/>
      <c r="BM25" s="766"/>
      <c r="BN25" s="764"/>
      <c r="BO25" s="764"/>
      <c r="BP25" s="770"/>
      <c r="BQ25" s="768"/>
      <c r="BR25" s="768"/>
      <c r="BS25" s="766"/>
      <c r="BT25" s="766"/>
      <c r="BU25" s="758"/>
      <c r="BV25" s="768"/>
      <c r="BW25" s="758"/>
      <c r="BX25" s="758"/>
      <c r="BY25" s="758"/>
      <c r="BZ25" s="754"/>
      <c r="CA25" s="754"/>
      <c r="CB25" s="754"/>
      <c r="CC25" s="754"/>
    </row>
    <row r="26" spans="1:81" ht="15.95" customHeight="1">
      <c r="B26" s="785">
        <v>5</v>
      </c>
      <c r="C26" s="786"/>
      <c r="D26" s="787"/>
      <c r="E26" s="787"/>
      <c r="F26" s="788"/>
      <c r="G26" s="864"/>
      <c r="H26" s="865"/>
      <c r="I26" s="865"/>
      <c r="J26" s="865"/>
      <c r="K26" s="865"/>
      <c r="L26" s="866"/>
      <c r="M26" s="786"/>
      <c r="N26" s="788"/>
      <c r="O26" s="786"/>
      <c r="P26" s="787"/>
      <c r="Q26" s="788"/>
      <c r="R26" s="1231" t="str">
        <f>_xlfn.LET(
_xlpm.WATTS,
IFERROR(
INDEX(STDLIGHTINEFCAT2[System Wattage],MATCH('M04-S10'!$M26&amp;"_"&amp;
INDEX(CLLIGHT[Ineff Dropdown 2],MATCH('M04-S10'!$G26, CLLIGHT[Measure Name],0))
&amp;"_"&amp;O26,STDLIGHTINEFCAT2[Full Name],0)),
""),
IF(_xlpm.WATTS="","",_xlpm.WATTS))</f>
        <v/>
      </c>
      <c r="S26" s="1232"/>
      <c r="T26" s="799" t="str">
        <f t="shared" ref="T26" si="24">IF(C26="Permanent Lamp Removal",0,"")</f>
        <v/>
      </c>
      <c r="U26" s="800"/>
      <c r="V26" s="802"/>
      <c r="W26" s="802"/>
      <c r="X26" s="803"/>
      <c r="Y26" s="803"/>
      <c r="Z26" s="825"/>
      <c r="AA26" s="826"/>
      <c r="AB26" s="827"/>
      <c r="AC26" s="825"/>
      <c r="AD26" s="826"/>
      <c r="AE26" s="826"/>
      <c r="AF26" s="827"/>
      <c r="AG26" s="806"/>
      <c r="AH26" s="786"/>
      <c r="AI26" s="809"/>
      <c r="AJ26" s="810"/>
      <c r="AK26" s="810"/>
      <c r="AL26" s="812"/>
      <c r="AM26" s="813" t="str" cm="1">
        <f t="array" ref="AM26">IFERROR(IF(G26="","",IF(C26&lt;&gt;INDEX(CLLIGHT[Eff Category 1],MATCH(G26,CLLIGHT[Measure Name],0)),0,INDEX(IF(AND(ACTIVEBONUS = TRUE,INDEX(CLLIGHT[Bonus Incentive],MATCH(G26,CLLIGHT[Measure Name],0))&lt;&gt; ""),CLLIGHT[Bonus Incentive],_xlfn.SWITCH(Program_Banner,"Business Energy Savings",CLLIGHT[BESP Incentive],"Small Business / Non-Profit",CLLIGHT[SBNP Incentive],0)),MATCH(G26,CLLIGHT[Measure Name],0)))),"")</f>
        <v/>
      </c>
      <c r="AN26" s="814"/>
      <c r="AO26" s="817" t="str">
        <f t="shared" ref="AO26" si="25">IFERROR(IF(OR(C26="",G26="",M26="",O26="",R26="",T26="",V26="",X26="",AC26="",AG26="",AI26="",AK26=""),"", IF(BE26&lt;=0, 0, BE26)),"")</f>
        <v/>
      </c>
      <c r="AP26" s="817"/>
      <c r="AQ26" s="817"/>
      <c r="AR26" s="819" t="str">
        <f>IFERROR(IF(OR(C26="",G26="",M26="",O26="",R26="",T26="",V26="",X26="",AC26="",AG26="",AI26="",AK26=""),"",IF(BY26&lt;&gt;"",BY26,IF(BP26&gt;0,BP26,ROUND(IF(AO26&lt;=0,0,MIN(BL26,BQ26)),2)))),"")</f>
        <v/>
      </c>
      <c r="AS26" s="820"/>
      <c r="AT26" s="820"/>
      <c r="AU26" s="821"/>
      <c r="AV26" s="17"/>
      <c r="AX26" s="773" t="str">
        <f>IFERROR(IF(OR(C26="",G26="",M26="",O26="",R26="",T26="",V26="",X26="",AC26="",AG26="",AI26="",AK26=""),"",INDEX(CLLIGHT[Current Unit],MATCH(G26,CLLIGHT[Measure Name],0))),"Err")</f>
        <v/>
      </c>
      <c r="AY26" s="759" t="str">
        <f t="shared" ref="AY26" si="26">IF(V26="", "",  V26)</f>
        <v/>
      </c>
      <c r="AZ26" s="759" t="str">
        <f t="shared" ref="AZ26" si="27">IF(V26="", "",  V26)</f>
        <v/>
      </c>
      <c r="BA26" s="771"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B26" s="771"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C26" s="773" t="str">
        <f>IFERROR(IF(OR(C26="",G26="",M26="",O26="",R26="",T26="",V26="",X26="",AC26="",AG26="",AI26="",AK26=""),"",INDEX(CLLIGHT[End Use],MATCH(G26,CLLIGHT[Measure Name],0))),"Err")</f>
        <v/>
      </c>
      <c r="BD26" s="757" t="str">
        <f>IFERROR(IF(OR(C26="",G26="",M26="",O26="",R26="",T26="",V26="",X26="",AC26="",AG26="",AI26="",AK26=""),"",INDEX(CLLIGHT[Reporting Methodology],MATCH(G26,CLLIGHT[Measure Name],0))),"Err")</f>
        <v/>
      </c>
      <c r="BE26" s="775" t="str">
        <f t="shared" ref="BE26" si="28">IF(AND(BA26&lt;&gt;"", BB26&lt;&gt;""), ROUND(BA26-BB26,4), "")</f>
        <v/>
      </c>
      <c r="BF26" s="775" t="str">
        <f>IFERROR(IF(OR(C26="",G26="",M26="",O26="",R26="",T26="",V26="",X26="",AC26="",AG26="",AI26="",AK26=""),"",
IF(BA26&lt;=BB26,0,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775" t="str">
        <f>IFERROR(IF(OR(C26="",G26="",M26="",O26="",R26="",T26="",V26="",X26="",AC26="",AG26="",AI26="", AK26=""),"",ROUND(AO26*INDEX(ENDUSEALL[Factor],MATCH(BC26,ENDUSEALL[End Use to Coincident Peak Demand Factors],0)),4)),"")</f>
        <v/>
      </c>
      <c r="BH26" s="761"/>
      <c r="BI26" s="761"/>
      <c r="BJ26" s="777" t="str">
        <f>IFERROR(INDEX(CLLIGHT[Measure Life (Years)],MATCH(G26,CLLIGHT[Measure Name],0)),"")</f>
        <v/>
      </c>
      <c r="BK26" s="767" t="str">
        <f>IFERROR(IF(OR(C26="",G26="",M26="",O26="",R26="",T26="",V26="",X26="",AC26="",AG26="",AI26="",AK26=""),"",
ROUND(((1+ELOSS)*((BE26*INDEX(ELECCB[NPV AEC $/kWh],MATCH(BJ26,ELECCB[Year Number],1)))+(BF26*INDEX(ELECCB[NPV ACC $/kW],MATCH(BJ26,ELECCB[Year Number],1))))),2)),0)</f>
        <v/>
      </c>
      <c r="BL26" s="767" t="str">
        <f t="shared" si="2"/>
        <v/>
      </c>
      <c r="BM26" s="765"/>
      <c r="BN26" s="763" t="str">
        <f t="shared" si="3"/>
        <v/>
      </c>
      <c r="BO26" s="763" t="str">
        <f>IFERROR(IF(BM26 &lt;&gt; "", BM26, BL26) / M02S04F06 / AO26, "")</f>
        <v/>
      </c>
      <c r="BP26" s="769"/>
      <c r="BQ26" s="767" t="str">
        <f t="shared" ref="BQ26" si="29">IFERROR(ROUND(V26*AM26, 2), "")</f>
        <v/>
      </c>
      <c r="BR26" s="767"/>
      <c r="BS26" s="765"/>
      <c r="BT26" s="765"/>
      <c r="BU26" s="757" t="str">
        <f t="shared" ref="BU26" si="30">IFERROR(IF(BP26="",IF(AND(AO26&gt;0, AR26 &lt; BQ26), "100% Total Cost", ""), ""), "")</f>
        <v/>
      </c>
      <c r="BV26" s="767"/>
      <c r="BW26" s="757" t="str">
        <f>IFERROR(IF(OR(C26="",G26="",M26="",O26="",R26="",T26="",V26="",X26="",AC26="",AG26="",AI26="",AK26=""),"",IF(BY26&lt;&gt;"", SPILLOVERNUMBER, INDEX(CLLIGHT[Measure Number],MATCH(G26,CLLIGHT[Measure Name],0)))),"Err")</f>
        <v/>
      </c>
      <c r="BX26" s="757" t="str" cm="1">
        <f t="array" ref="BX26">IFERROR(INDEX(_xlfn.SWITCH(Program_Banner,"Business Energy Savings",CLLIGHT[Primary Key WBE],"Small Business / Non-Profit",CLLIGHT[Primary Key HTRB],0),MATCH(BW26,CLLIGHT[Measure Number],0)),"")</f>
        <v/>
      </c>
      <c r="BY26" s="757" t="str">
        <f>IFERROR(IF(OR(C26="",G26="",M26="",O26="",R26="",T26="",V26="",X26="",AC26="",AG26="",AI26="",AK26=""),"",
IF(BP26&gt;0,"",
IF(EXPIRATION&lt;&gt;"",PROJSTATEXP,
IF(M02S04F19="",MEASUREBLDG,
IF(BA26&lt;=BB26,MEASURESAVE,""))))),MEASURESUBMIT)</f>
        <v/>
      </c>
      <c r="BZ26" s="753"/>
      <c r="CA26" s="753"/>
      <c r="CB26" s="753"/>
      <c r="CC26" s="753"/>
    </row>
    <row r="27" spans="1:81" ht="15.95" customHeight="1">
      <c r="B27" s="785"/>
      <c r="C27" s="786"/>
      <c r="D27" s="787"/>
      <c r="E27" s="787"/>
      <c r="F27" s="788"/>
      <c r="G27" s="789"/>
      <c r="H27" s="790"/>
      <c r="I27" s="790"/>
      <c r="J27" s="790"/>
      <c r="K27" s="790"/>
      <c r="L27" s="867"/>
      <c r="M27" s="786"/>
      <c r="N27" s="788"/>
      <c r="O27" s="786"/>
      <c r="P27" s="787"/>
      <c r="Q27" s="788"/>
      <c r="R27" s="1233"/>
      <c r="S27" s="1234"/>
      <c r="T27" s="799"/>
      <c r="U27" s="800"/>
      <c r="V27" s="802"/>
      <c r="W27" s="802"/>
      <c r="X27" s="804"/>
      <c r="Y27" s="804"/>
      <c r="Z27" s="793"/>
      <c r="AA27" s="795"/>
      <c r="AB27" s="794"/>
      <c r="AC27" s="793"/>
      <c r="AD27" s="795"/>
      <c r="AE27" s="795"/>
      <c r="AF27" s="794"/>
      <c r="AG27" s="806"/>
      <c r="AH27" s="786"/>
      <c r="AI27" s="809"/>
      <c r="AJ27" s="810"/>
      <c r="AK27" s="810"/>
      <c r="AL27" s="812"/>
      <c r="AM27" s="815"/>
      <c r="AN27" s="816"/>
      <c r="AO27" s="818"/>
      <c r="AP27" s="818"/>
      <c r="AQ27" s="818"/>
      <c r="AR27" s="822"/>
      <c r="AS27" s="823"/>
      <c r="AT27" s="823"/>
      <c r="AU27" s="824"/>
      <c r="AV27" s="17"/>
      <c r="AX27" s="774"/>
      <c r="AY27" s="760"/>
      <c r="AZ27" s="760"/>
      <c r="BA27" s="772"/>
      <c r="BB27" s="772"/>
      <c r="BC27" s="774"/>
      <c r="BD27" s="758"/>
      <c r="BE27" s="776"/>
      <c r="BF27" s="776"/>
      <c r="BG27" s="776"/>
      <c r="BH27" s="762"/>
      <c r="BI27" s="762"/>
      <c r="BJ27" s="778"/>
      <c r="BK27" s="768"/>
      <c r="BL27" s="768"/>
      <c r="BM27" s="766"/>
      <c r="BN27" s="764"/>
      <c r="BO27" s="764"/>
      <c r="BP27" s="770"/>
      <c r="BQ27" s="768"/>
      <c r="BR27" s="768"/>
      <c r="BS27" s="766"/>
      <c r="BT27" s="766"/>
      <c r="BU27" s="758"/>
      <c r="BV27" s="768"/>
      <c r="BW27" s="758"/>
      <c r="BX27" s="758"/>
      <c r="BY27" s="758"/>
      <c r="BZ27" s="754"/>
      <c r="CA27" s="754"/>
      <c r="CB27" s="754"/>
      <c r="CC27" s="754"/>
    </row>
    <row r="28" spans="1:81" ht="15.95" customHeight="1">
      <c r="B28" s="785">
        <v>6</v>
      </c>
      <c r="C28" s="786"/>
      <c r="D28" s="787"/>
      <c r="E28" s="787"/>
      <c r="F28" s="788"/>
      <c r="G28" s="864"/>
      <c r="H28" s="865"/>
      <c r="I28" s="865"/>
      <c r="J28" s="865"/>
      <c r="K28" s="865"/>
      <c r="L28" s="866"/>
      <c r="M28" s="825"/>
      <c r="N28" s="827"/>
      <c r="O28" s="825"/>
      <c r="P28" s="826"/>
      <c r="Q28" s="827"/>
      <c r="R28" s="1231" t="str">
        <f>_xlfn.LET(
_xlpm.WATTS,
IFERROR(
INDEX(STDLIGHTINEFCAT2[System Wattage],MATCH('M04-S10'!$M28&amp;"_"&amp;
INDEX(CLLIGHT[Ineff Dropdown 2],MATCH('M04-S10'!$G28, CLLIGHT[Measure Name],0))
&amp;"_"&amp;O28,STDLIGHTINEFCAT2[Full Name],0)),
""),
IF(_xlpm.WATTS="","",_xlpm.WATTS))</f>
        <v/>
      </c>
      <c r="S28" s="1232"/>
      <c r="T28" s="799" t="str">
        <f t="shared" ref="T28" si="31">IF(C28="Permanent Lamp Removal",0,"")</f>
        <v/>
      </c>
      <c r="U28" s="800"/>
      <c r="V28" s="868"/>
      <c r="W28" s="869"/>
      <c r="X28" s="846"/>
      <c r="Y28" s="847"/>
      <c r="Z28" s="825"/>
      <c r="AA28" s="826"/>
      <c r="AB28" s="827"/>
      <c r="AC28" s="825"/>
      <c r="AD28" s="826"/>
      <c r="AE28" s="826"/>
      <c r="AF28" s="827"/>
      <c r="AG28" s="825"/>
      <c r="AH28" s="844"/>
      <c r="AI28" s="850"/>
      <c r="AJ28" s="851"/>
      <c r="AK28" s="854"/>
      <c r="AL28" s="855"/>
      <c r="AM28" s="813" t="str" cm="1">
        <f t="array" ref="AM28">IFERROR(IF(G28="","",IF(C28&lt;&gt;INDEX(CLLIGHT[Eff Category 1],MATCH(G28,CLLIGHT[Measure Name],0)),0,INDEX(IF(AND(ACTIVEBONUS = TRUE,INDEX(CLLIGHT[Bonus Incentive],MATCH(G28,CLLIGHT[Measure Name],0))&lt;&gt; ""),CLLIGHT[Bonus Incentive],_xlfn.SWITCH(Program_Banner,"Business Energy Savings",CLLIGHT[BESP Incentive],"Small Business / Non-Profit",CLLIGHT[SBNP Incentive],0)),MATCH(G28,CLLIGHT[Measure Name],0)))),"")</f>
        <v/>
      </c>
      <c r="AN28" s="814"/>
      <c r="AO28" s="817" t="str">
        <f t="shared" ref="AO28" si="32">IFERROR(IF(OR(C28="",G28="",M28="",O28="",R28="",T28="",V28="",X28="",AC28="",AG28="",AI28="",AK28=""),"", IF(BE28&lt;=0, 0, BE28)),"")</f>
        <v/>
      </c>
      <c r="AP28" s="817"/>
      <c r="AQ28" s="817"/>
      <c r="AR28" s="819" t="str">
        <f>IFERROR(IF(OR(C28="",G28="",M28="",O28="",R28="",T28="",V28="",X28="",AC28="",AG28="",AI28="",AK28=""),"",IF(BY28&lt;&gt;"",BY28,IF(BP28&gt;0,BP28,ROUND(IF(AO28&lt;=0,0,MIN(BL28,BQ28)),2)))),"")</f>
        <v/>
      </c>
      <c r="AS28" s="820"/>
      <c r="AT28" s="820"/>
      <c r="AU28" s="821"/>
      <c r="AV28" s="17"/>
      <c r="AX28" s="773" t="str">
        <f>IFERROR(IF(OR(C28="",G28="",M28="",O28="",R28="",T28="",V28="",X28="",AC28="",AG28="",AI28="",AK28=""),"",INDEX(CLLIGHT[Current Unit],MATCH(G28,CLLIGHT[Measure Name],0))),"Err")</f>
        <v/>
      </c>
      <c r="AY28" s="759" t="str">
        <f t="shared" ref="AY28" si="33">IF(V28="", "",  V28)</f>
        <v/>
      </c>
      <c r="AZ28" s="759" t="str">
        <f t="shared" ref="AZ28" si="34">IF(V28="", "",  V28)</f>
        <v/>
      </c>
      <c r="BA28" s="771"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B28" s="771"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C28" s="773" t="str">
        <f>IFERROR(IF(OR(C28="",G28="",M28="",O28="",R28="",T28="",V28="",X28="",AC28="",AG28="",AI28="",AK28=""),"",INDEX(CLLIGHT[End Use],MATCH(G28,CLLIGHT[Measure Name],0))),"Err")</f>
        <v/>
      </c>
      <c r="BD28" s="757" t="str">
        <f>IFERROR(IF(OR(C28="",G28="",M28="",O28="",R28="",T28="",V28="",X28="",AC28="",AG28="",AI28="",AK28=""),"",INDEX(CLLIGHT[Reporting Methodology],MATCH(G28,CLLIGHT[Measure Name],0))),"Err")</f>
        <v/>
      </c>
      <c r="BE28" s="775" t="str">
        <f t="shared" ref="BE28" si="35">IF(AND(BA28&lt;&gt;"", BB28&lt;&gt;""), ROUND(BA28-BB28,4), "")</f>
        <v/>
      </c>
      <c r="BF28" s="775" t="str">
        <f>IFERROR(IF(OR(C28="",G28="",M28="",O28="",R28="",T28="",V28="",X28="",AC28="",AG28="",AI28="",AK28=""),"",
IF(BA28&lt;=BB28,0,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775" t="str">
        <f>IFERROR(IF(OR(C28="",G28="",M28="",O28="",R28="",T28="",V28="",X28="",AC28="",AG28="",AI28="", AK28=""),"",ROUND(AO28*INDEX(ENDUSEALL[Factor],MATCH(BC28,ENDUSEALL[End Use to Coincident Peak Demand Factors],0)),4)),"")</f>
        <v/>
      </c>
      <c r="BH28" s="761"/>
      <c r="BI28" s="761"/>
      <c r="BJ28" s="777" t="str">
        <f>IFERROR(INDEX(CLLIGHT[Measure Life (Years)],MATCH(G28,CLLIGHT[Measure Name],0)),"")</f>
        <v/>
      </c>
      <c r="BK28" s="767" t="str">
        <f>IFERROR(IF(OR(C28="",G28="",M28="",O28="",R28="",T28="",V28="",X28="",AC28="",AG28="",AI28="",AK28=""),"",
ROUND(((1+ELOSS)*((BE28*INDEX(ELECCB[NPV AEC $/kWh],MATCH(BJ28,ELECCB[Year Number],1)))+(BF28*INDEX(ELECCB[NPV ACC $/kW],MATCH(BJ28,ELECCB[Year Number],1))))),2)),0)</f>
        <v/>
      </c>
      <c r="BL28" s="767" t="str">
        <f t="shared" si="2"/>
        <v/>
      </c>
      <c r="BM28" s="765"/>
      <c r="BN28" s="763" t="str">
        <f t="shared" si="3"/>
        <v/>
      </c>
      <c r="BO28" s="763" t="str">
        <f>IFERROR(IF(BM28 &lt;&gt; "", BM28, BL28) / M02S04F06 / AO28, "")</f>
        <v/>
      </c>
      <c r="BP28" s="769"/>
      <c r="BQ28" s="767" t="str">
        <f t="shared" ref="BQ28" si="36">IFERROR(ROUND(V28*AM28, 2), "")</f>
        <v/>
      </c>
      <c r="BR28" s="767"/>
      <c r="BS28" s="765"/>
      <c r="BT28" s="765"/>
      <c r="BU28" s="757" t="str">
        <f t="shared" ref="BU28" si="37">IFERROR(IF(BP28="",IF(AND(AO28&gt;0, AR28 &lt; BQ28), "100% Total Cost", ""), ""), "")</f>
        <v/>
      </c>
      <c r="BV28" s="767"/>
      <c r="BW28" s="757" t="str">
        <f>IFERROR(IF(OR(C28="",G28="",M28="",O28="",R28="",T28="",V28="",X28="",AC28="",AG28="",AI28="",AK28=""),"",IF(BY28&lt;&gt;"", SPILLOVERNUMBER, INDEX(CLLIGHT[Measure Number],MATCH(G28,CLLIGHT[Measure Name],0)))),"Err")</f>
        <v/>
      </c>
      <c r="BX28" s="757" t="str" cm="1">
        <f t="array" ref="BX28">IFERROR(INDEX(_xlfn.SWITCH(Program_Banner,"Business Energy Savings",CLLIGHT[Primary Key WBE],"Small Business / Non-Profit",CLLIGHT[Primary Key HTRB],0),MATCH(BW28,CLLIGHT[Measure Number],0)),"")</f>
        <v/>
      </c>
      <c r="BY28" s="757" t="str">
        <f>IFERROR(IF(OR(C28="",G28="",M28="",O28="",R28="",T28="",V28="",X28="",AC28="",AG28="",AI28="",AK28=""),"",
IF(BP28&gt;0,"",
IF(EXPIRATION&lt;&gt;"",PROJSTATEXP,
IF(M02S04F19="",MEASUREBLDG,
IF(BA28&lt;=BB28,MEASURESAVE,""))))),MEASURESUBMIT)</f>
        <v/>
      </c>
      <c r="BZ28" s="753"/>
      <c r="CA28" s="753"/>
      <c r="CB28" s="753"/>
      <c r="CC28" s="753"/>
    </row>
    <row r="29" spans="1:81" ht="15.95" customHeight="1">
      <c r="B29" s="785"/>
      <c r="C29" s="786"/>
      <c r="D29" s="787"/>
      <c r="E29" s="787"/>
      <c r="F29" s="788"/>
      <c r="G29" s="789"/>
      <c r="H29" s="790"/>
      <c r="I29" s="790"/>
      <c r="J29" s="790"/>
      <c r="K29" s="790"/>
      <c r="L29" s="867"/>
      <c r="M29" s="793"/>
      <c r="N29" s="794"/>
      <c r="O29" s="793"/>
      <c r="P29" s="795"/>
      <c r="Q29" s="794"/>
      <c r="R29" s="1233"/>
      <c r="S29" s="1234"/>
      <c r="T29" s="799"/>
      <c r="U29" s="800"/>
      <c r="V29" s="870"/>
      <c r="W29" s="871"/>
      <c r="X29" s="848"/>
      <c r="Y29" s="849"/>
      <c r="Z29" s="793"/>
      <c r="AA29" s="795"/>
      <c r="AB29" s="794"/>
      <c r="AC29" s="793"/>
      <c r="AD29" s="795"/>
      <c r="AE29" s="795"/>
      <c r="AF29" s="794"/>
      <c r="AG29" s="793"/>
      <c r="AH29" s="845"/>
      <c r="AI29" s="852"/>
      <c r="AJ29" s="853"/>
      <c r="AK29" s="856"/>
      <c r="AL29" s="857"/>
      <c r="AM29" s="815"/>
      <c r="AN29" s="816"/>
      <c r="AO29" s="818"/>
      <c r="AP29" s="818"/>
      <c r="AQ29" s="818"/>
      <c r="AR29" s="822"/>
      <c r="AS29" s="823"/>
      <c r="AT29" s="823"/>
      <c r="AU29" s="824"/>
      <c r="AV29" s="17"/>
      <c r="AX29" s="774"/>
      <c r="AY29" s="760"/>
      <c r="AZ29" s="760"/>
      <c r="BA29" s="772"/>
      <c r="BB29" s="772"/>
      <c r="BC29" s="774"/>
      <c r="BD29" s="758"/>
      <c r="BE29" s="776"/>
      <c r="BF29" s="776"/>
      <c r="BG29" s="776"/>
      <c r="BH29" s="762"/>
      <c r="BI29" s="762"/>
      <c r="BJ29" s="778"/>
      <c r="BK29" s="768"/>
      <c r="BL29" s="768"/>
      <c r="BM29" s="766"/>
      <c r="BN29" s="764"/>
      <c r="BO29" s="764"/>
      <c r="BP29" s="770"/>
      <c r="BQ29" s="768"/>
      <c r="BR29" s="768"/>
      <c r="BS29" s="766"/>
      <c r="BT29" s="766"/>
      <c r="BU29" s="758"/>
      <c r="BV29" s="768"/>
      <c r="BW29" s="758"/>
      <c r="BX29" s="758"/>
      <c r="BY29" s="758"/>
      <c r="BZ29" s="754"/>
      <c r="CA29" s="754"/>
      <c r="CB29" s="754"/>
      <c r="CC29" s="754"/>
    </row>
    <row r="30" spans="1:81" ht="15.95" customHeight="1">
      <c r="B30" s="785">
        <v>7</v>
      </c>
      <c r="C30" s="786"/>
      <c r="D30" s="787"/>
      <c r="E30" s="787"/>
      <c r="F30" s="788"/>
      <c r="G30" s="864"/>
      <c r="H30" s="865"/>
      <c r="I30" s="865"/>
      <c r="J30" s="865"/>
      <c r="K30" s="865"/>
      <c r="L30" s="866"/>
      <c r="M30" s="786"/>
      <c r="N30" s="788"/>
      <c r="O30" s="786"/>
      <c r="P30" s="787"/>
      <c r="Q30" s="788"/>
      <c r="R30" s="1231" t="str">
        <f>_xlfn.LET(
_xlpm.WATTS,
IFERROR(
INDEX(STDLIGHTINEFCAT2[System Wattage],MATCH('M04-S10'!$M30&amp;"_"&amp;
INDEX(CLLIGHT[Ineff Dropdown 2],MATCH('M04-S10'!$G30, CLLIGHT[Measure Name],0))
&amp;"_"&amp;O30,STDLIGHTINEFCAT2[Full Name],0)),
""),
IF(_xlpm.WATTS="","",_xlpm.WATTS))</f>
        <v/>
      </c>
      <c r="S30" s="1232"/>
      <c r="T30" s="799" t="str">
        <f t="shared" ref="T30" si="38">IF(C30="Permanent Lamp Removal",0,"")</f>
        <v/>
      </c>
      <c r="U30" s="800"/>
      <c r="V30" s="802"/>
      <c r="W30" s="802"/>
      <c r="X30" s="803"/>
      <c r="Y30" s="803"/>
      <c r="Z30" s="825"/>
      <c r="AA30" s="826"/>
      <c r="AB30" s="827"/>
      <c r="AC30" s="825"/>
      <c r="AD30" s="826"/>
      <c r="AE30" s="826"/>
      <c r="AF30" s="827"/>
      <c r="AG30" s="806"/>
      <c r="AH30" s="786"/>
      <c r="AI30" s="809"/>
      <c r="AJ30" s="810"/>
      <c r="AK30" s="810"/>
      <c r="AL30" s="812"/>
      <c r="AM30" s="813" t="str" cm="1">
        <f t="array" ref="AM30">IFERROR(IF(G30="","",IF(C30&lt;&gt;INDEX(CLLIGHT[Eff Category 1],MATCH(G30,CLLIGHT[Measure Name],0)),0,INDEX(IF(AND(ACTIVEBONUS = TRUE,INDEX(CLLIGHT[Bonus Incentive],MATCH(G30,CLLIGHT[Measure Name],0))&lt;&gt; ""),CLLIGHT[Bonus Incentive],_xlfn.SWITCH(Program_Banner,"Business Energy Savings",CLLIGHT[BESP Incentive],"Small Business / Non-Profit",CLLIGHT[SBNP Incentive],0)),MATCH(G30,CLLIGHT[Measure Name],0)))),"")</f>
        <v/>
      </c>
      <c r="AN30" s="814"/>
      <c r="AO30" s="817" t="str">
        <f t="shared" ref="AO30" si="39">IFERROR(IF(OR(C30="",G30="",M30="",O30="",R30="",T30="",V30="",X30="",AC30="",AG30="",AI30="",AK30=""),"", IF(BE30&lt;=0, 0, BE30)),"")</f>
        <v/>
      </c>
      <c r="AP30" s="817"/>
      <c r="AQ30" s="817"/>
      <c r="AR30" s="819" t="str">
        <f>IFERROR(IF(OR(C30="",G30="",M30="",O30="",R30="",T30="",V30="",X30="",AC30="",AG30="",AI30="",AK30=""),"",IF(BY30&lt;&gt;"",BY30,IF(BP30&gt;0,BP30,ROUND(IF(AO30&lt;=0,0,MIN(BL30,BQ30)),2)))),"")</f>
        <v/>
      </c>
      <c r="AS30" s="820"/>
      <c r="AT30" s="820"/>
      <c r="AU30" s="821"/>
      <c r="AV30" s="17"/>
      <c r="AX30" s="773" t="str">
        <f>IFERROR(IF(OR(C30="",G30="",M30="",O30="",R30="",T30="",V30="",X30="",AC30="",AG30="",AI30="",AK30=""),"",INDEX(CLLIGHT[Current Unit],MATCH(G30,CLLIGHT[Measure Name],0))),"Err")</f>
        <v/>
      </c>
      <c r="AY30" s="759" t="str">
        <f t="shared" ref="AY30" si="40">IF(V30="", "",  V30)</f>
        <v/>
      </c>
      <c r="AZ30" s="759" t="str">
        <f t="shared" ref="AZ30" si="41">IF(V30="", "",  V30)</f>
        <v/>
      </c>
      <c r="BA30" s="771"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B30" s="771"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C30" s="773" t="str">
        <f>IFERROR(IF(OR(C30="",G30="",M30="",O30="",R30="",T30="",V30="",X30="",AC30="",AG30="",AI30="",AK30=""),"",INDEX(CLLIGHT[End Use],MATCH(G30,CLLIGHT[Measure Name],0))),"Err")</f>
        <v/>
      </c>
      <c r="BD30" s="757" t="str">
        <f>IFERROR(IF(OR(C30="",G30="",M30="",O30="",R30="",T30="",V30="",X30="",AC30="",AG30="",AI30="",AK30=""),"",INDEX(CLLIGHT[Reporting Methodology],MATCH(G30,CLLIGHT[Measure Name],0))),"Err")</f>
        <v/>
      </c>
      <c r="BE30" s="775" t="str">
        <f t="shared" ref="BE30" si="42">IF(AND(BA30&lt;&gt;"", BB30&lt;&gt;""), ROUND(BA30-BB30,4), "")</f>
        <v/>
      </c>
      <c r="BF30" s="775" t="str">
        <f>IFERROR(IF(OR(C30="",G30="",M30="",O30="",R30="",T30="",V30="",X30="",AC30="",AG30="",AI30="",AK30=""),"",
IF(BA30&lt;=BB30,0,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775" t="str">
        <f>IFERROR(IF(OR(C30="",G30="",M30="",O30="",R30="",T30="",V30="",X30="",AC30="",AG30="",AI30="", AK30=""),"",ROUND(AO30*INDEX(ENDUSEALL[Factor],MATCH(BC30,ENDUSEALL[End Use to Coincident Peak Demand Factors],0)),4)),"")</f>
        <v/>
      </c>
      <c r="BH30" s="761"/>
      <c r="BI30" s="761"/>
      <c r="BJ30" s="777" t="str">
        <f>IFERROR(INDEX(CLLIGHT[Measure Life (Years)],MATCH(G30,CLLIGHT[Measure Name],0)),"")</f>
        <v/>
      </c>
      <c r="BK30" s="767" t="str">
        <f>IFERROR(IF(OR(C30="",G30="",M30="",O30="",R30="",T30="",V30="",X30="",AC30="",AG30="",AI30="",AK30=""),"",
ROUND(((1+ELOSS)*((BE30*INDEX(ELECCB[NPV AEC $/kWh],MATCH(BJ30,ELECCB[Year Number],1)))+(BF30*INDEX(ELECCB[NPV ACC $/kW],MATCH(BJ30,ELECCB[Year Number],1))))),2)),0)</f>
        <v/>
      </c>
      <c r="BL30" s="767" t="str">
        <f t="shared" si="2"/>
        <v/>
      </c>
      <c r="BM30" s="765"/>
      <c r="BN30" s="763" t="str">
        <f t="shared" si="3"/>
        <v/>
      </c>
      <c r="BO30" s="763" t="str">
        <f>IFERROR(IF(BM30 &lt;&gt; "", BM30, BL30) / M02S04F06 / AO30, "")</f>
        <v/>
      </c>
      <c r="BP30" s="769"/>
      <c r="BQ30" s="767" t="str">
        <f t="shared" ref="BQ30" si="43">IFERROR(ROUND(V30*AM30, 2), "")</f>
        <v/>
      </c>
      <c r="BR30" s="767"/>
      <c r="BS30" s="765"/>
      <c r="BT30" s="765"/>
      <c r="BU30" s="757" t="str">
        <f t="shared" ref="BU30" si="44">IFERROR(IF(BP30="",IF(AND(AO30&gt;0, AR30 &lt; BQ30), "100% Total Cost", ""), ""), "")</f>
        <v/>
      </c>
      <c r="BV30" s="767"/>
      <c r="BW30" s="757" t="str">
        <f>IFERROR(IF(OR(C30="",G30="",M30="",O30="",R30="",T30="",V30="",X30="",AC30="",AG30="",AI30="",AK30=""),"",IF(BY30&lt;&gt;"", SPILLOVERNUMBER, INDEX(CLLIGHT[Measure Number],MATCH(G30,CLLIGHT[Measure Name],0)))),"Err")</f>
        <v/>
      </c>
      <c r="BX30" s="757" t="str" cm="1">
        <f t="array" ref="BX30">IFERROR(INDEX(_xlfn.SWITCH(Program_Banner,"Business Energy Savings",CLLIGHT[Primary Key WBE],"Small Business / Non-Profit",CLLIGHT[Primary Key HTRB],0),MATCH(BW30,CLLIGHT[Measure Number],0)),"")</f>
        <v/>
      </c>
      <c r="BY30" s="757" t="str">
        <f>IFERROR(IF(OR(C30="",G30="",M30="",O30="",R30="",T30="",V30="",X30="",AC30="",AG30="",AI30="",AK30=""),"",
IF(BP30&gt;0,"",
IF(EXPIRATION&lt;&gt;"",PROJSTATEXP,
IF(M02S04F19="",MEASUREBLDG,
IF(BA30&lt;=BB30,MEASURESAVE,""))))),MEASURESUBMIT)</f>
        <v/>
      </c>
      <c r="BZ30" s="753"/>
      <c r="CA30" s="753"/>
      <c r="CB30" s="753"/>
      <c r="CC30" s="753"/>
    </row>
    <row r="31" spans="1:81" ht="15.95" customHeight="1">
      <c r="B31" s="785"/>
      <c r="C31" s="786"/>
      <c r="D31" s="787"/>
      <c r="E31" s="787"/>
      <c r="F31" s="788"/>
      <c r="G31" s="789"/>
      <c r="H31" s="790"/>
      <c r="I31" s="790"/>
      <c r="J31" s="790"/>
      <c r="K31" s="790"/>
      <c r="L31" s="867"/>
      <c r="M31" s="786"/>
      <c r="N31" s="788"/>
      <c r="O31" s="786"/>
      <c r="P31" s="787"/>
      <c r="Q31" s="788"/>
      <c r="R31" s="1233"/>
      <c r="S31" s="1234"/>
      <c r="T31" s="799"/>
      <c r="U31" s="800"/>
      <c r="V31" s="802"/>
      <c r="W31" s="802"/>
      <c r="X31" s="804"/>
      <c r="Y31" s="804"/>
      <c r="Z31" s="793"/>
      <c r="AA31" s="795"/>
      <c r="AB31" s="794"/>
      <c r="AC31" s="793"/>
      <c r="AD31" s="795"/>
      <c r="AE31" s="795"/>
      <c r="AF31" s="794"/>
      <c r="AG31" s="806"/>
      <c r="AH31" s="786"/>
      <c r="AI31" s="809"/>
      <c r="AJ31" s="810"/>
      <c r="AK31" s="810"/>
      <c r="AL31" s="812"/>
      <c r="AM31" s="815"/>
      <c r="AN31" s="816"/>
      <c r="AO31" s="818"/>
      <c r="AP31" s="818"/>
      <c r="AQ31" s="818"/>
      <c r="AR31" s="822"/>
      <c r="AS31" s="823"/>
      <c r="AT31" s="823"/>
      <c r="AU31" s="824"/>
      <c r="AV31" s="17"/>
      <c r="AX31" s="774"/>
      <c r="AY31" s="760"/>
      <c r="AZ31" s="760"/>
      <c r="BA31" s="772"/>
      <c r="BB31" s="772"/>
      <c r="BC31" s="774"/>
      <c r="BD31" s="758"/>
      <c r="BE31" s="776"/>
      <c r="BF31" s="776"/>
      <c r="BG31" s="776"/>
      <c r="BH31" s="762"/>
      <c r="BI31" s="762"/>
      <c r="BJ31" s="778"/>
      <c r="BK31" s="768"/>
      <c r="BL31" s="768"/>
      <c r="BM31" s="766"/>
      <c r="BN31" s="764"/>
      <c r="BO31" s="764"/>
      <c r="BP31" s="770"/>
      <c r="BQ31" s="768"/>
      <c r="BR31" s="768"/>
      <c r="BS31" s="766"/>
      <c r="BT31" s="766"/>
      <c r="BU31" s="758"/>
      <c r="BV31" s="768"/>
      <c r="BW31" s="758"/>
      <c r="BX31" s="758"/>
      <c r="BY31" s="758"/>
      <c r="BZ31" s="754"/>
      <c r="CA31" s="754"/>
      <c r="CB31" s="754"/>
      <c r="CC31" s="754"/>
    </row>
    <row r="32" spans="1:81" ht="15.95" customHeight="1">
      <c r="B32" s="785">
        <v>8</v>
      </c>
      <c r="C32" s="786"/>
      <c r="D32" s="787"/>
      <c r="E32" s="787"/>
      <c r="F32" s="788"/>
      <c r="G32" s="864"/>
      <c r="H32" s="865"/>
      <c r="I32" s="865"/>
      <c r="J32" s="865"/>
      <c r="K32" s="865"/>
      <c r="L32" s="866"/>
      <c r="M32" s="786"/>
      <c r="N32" s="788"/>
      <c r="O32" s="786"/>
      <c r="P32" s="787"/>
      <c r="Q32" s="788"/>
      <c r="R32" s="1231" t="str">
        <f>_xlfn.LET(
_xlpm.WATTS,
IFERROR(
INDEX(STDLIGHTINEFCAT2[System Wattage],MATCH('M04-S10'!$M32&amp;"_"&amp;
INDEX(CLLIGHT[Ineff Dropdown 2],MATCH('M04-S10'!$G32, CLLIGHT[Measure Name],0))
&amp;"_"&amp;O32,STDLIGHTINEFCAT2[Full Name],0)),
""),
IF(_xlpm.WATTS="","",_xlpm.WATTS))</f>
        <v/>
      </c>
      <c r="S32" s="1232"/>
      <c r="T32" s="799" t="str">
        <f t="shared" ref="T32" si="45">IF(C32="Permanent Lamp Removal",0,"")</f>
        <v/>
      </c>
      <c r="U32" s="800"/>
      <c r="V32" s="802"/>
      <c r="W32" s="802"/>
      <c r="X32" s="803"/>
      <c r="Y32" s="803"/>
      <c r="Z32" s="825"/>
      <c r="AA32" s="826"/>
      <c r="AB32" s="827"/>
      <c r="AC32" s="825"/>
      <c r="AD32" s="826"/>
      <c r="AE32" s="826"/>
      <c r="AF32" s="827"/>
      <c r="AG32" s="806"/>
      <c r="AH32" s="786"/>
      <c r="AI32" s="809"/>
      <c r="AJ32" s="810"/>
      <c r="AK32" s="810"/>
      <c r="AL32" s="812"/>
      <c r="AM32" s="813" t="str" cm="1">
        <f t="array" ref="AM32">IFERROR(IF(G32="","",IF(C32&lt;&gt;INDEX(CLLIGHT[Eff Category 1],MATCH(G32,CLLIGHT[Measure Name],0)),0,INDEX(IF(AND(ACTIVEBONUS = TRUE,INDEX(CLLIGHT[Bonus Incentive],MATCH(G32,CLLIGHT[Measure Name],0))&lt;&gt; ""),CLLIGHT[Bonus Incentive],_xlfn.SWITCH(Program_Banner,"Business Energy Savings",CLLIGHT[BESP Incentive],"Small Business / Non-Profit",CLLIGHT[SBNP Incentive],0)),MATCH(G32,CLLIGHT[Measure Name],0)))),"")</f>
        <v/>
      </c>
      <c r="AN32" s="814"/>
      <c r="AO32" s="817" t="str">
        <f t="shared" ref="AO32" si="46">IFERROR(IF(OR(C32="",G32="",M32="",O32="",R32="",T32="",V32="",X32="",AC32="",AG32="",AI32="",AK32=""),"", IF(BE32&lt;=0, 0, BE32)),"")</f>
        <v/>
      </c>
      <c r="AP32" s="817"/>
      <c r="AQ32" s="817"/>
      <c r="AR32" s="819" t="str">
        <f>IFERROR(IF(OR(C32="",G32="",M32="",O32="",R32="",T32="",V32="",X32="",AC32="",AG32="",AI32="",AK32=""),"",IF(BY32&lt;&gt;"",BY32,IF(BP32&gt;0,BP32,ROUND(IF(AO32&lt;=0,0,MIN(BL32,BQ32)),2)))),"")</f>
        <v/>
      </c>
      <c r="AS32" s="820"/>
      <c r="AT32" s="820"/>
      <c r="AU32" s="821"/>
      <c r="AV32" s="17"/>
      <c r="AX32" s="773" t="str">
        <f>IFERROR(IF(OR(C32="",G32="",M32="",O32="",R32="",T32="",V32="",X32="",AC32="",AG32="",AI32="",AK32=""),"",INDEX(CLLIGHT[Current Unit],MATCH(G32,CLLIGHT[Measure Name],0))),"Err")</f>
        <v/>
      </c>
      <c r="AY32" s="759" t="str">
        <f t="shared" ref="AY32" si="47">IF(V32="", "",  V32)</f>
        <v/>
      </c>
      <c r="AZ32" s="759" t="str">
        <f t="shared" ref="AZ32" si="48">IF(V32="", "",  V32)</f>
        <v/>
      </c>
      <c r="BA32" s="771"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B32" s="771"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C32" s="773" t="str">
        <f>IFERROR(IF(OR(C32="",G32="",M32="",O32="",R32="",T32="",V32="",X32="",AC32="",AG32="",AI32="",AK32=""),"",INDEX(CLLIGHT[End Use],MATCH(G32,CLLIGHT[Measure Name],0))),"Err")</f>
        <v/>
      </c>
      <c r="BD32" s="757" t="str">
        <f>IFERROR(IF(OR(C32="",G32="",M32="",O32="",R32="",T32="",V32="",X32="",AC32="",AG32="",AI32="",AK32=""),"",INDEX(CLLIGHT[Reporting Methodology],MATCH(G32,CLLIGHT[Measure Name],0))),"Err")</f>
        <v/>
      </c>
      <c r="BE32" s="775" t="str">
        <f t="shared" ref="BE32" si="49">IF(AND(BA32&lt;&gt;"", BB32&lt;&gt;""), ROUND(BA32-BB32,4), "")</f>
        <v/>
      </c>
      <c r="BF32" s="775" t="str">
        <f>IFERROR(IF(OR(C32="",G32="",M32="",O32="",R32="",T32="",V32="",X32="",AC32="",AG32="",AI32="",AK32=""),"",
IF(BA32&lt;=BB32,0,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775" t="str">
        <f>IFERROR(IF(OR(C32="",G32="",M32="",O32="",R32="",T32="",V32="",X32="",AC32="",AG32="",AI32="", AK32=""),"",ROUND(AO32*INDEX(ENDUSEALL[Factor],MATCH(BC32,ENDUSEALL[End Use to Coincident Peak Demand Factors],0)),4)),"")</f>
        <v/>
      </c>
      <c r="BH32" s="761"/>
      <c r="BI32" s="761"/>
      <c r="BJ32" s="777" t="str">
        <f>IFERROR(INDEX(CLLIGHT[Measure Life (Years)],MATCH(G32,CLLIGHT[Measure Name],0)),"")</f>
        <v/>
      </c>
      <c r="BK32" s="767" t="str">
        <f>IFERROR(IF(OR(C32="",G32="",M32="",O32="",R32="",T32="",V32="",X32="",AC32="",AG32="",AI32="",AK32=""),"",
ROUND(((1+ELOSS)*((BE32*INDEX(ELECCB[NPV AEC $/kWh],MATCH(BJ32,ELECCB[Year Number],1)))+(BF32*INDEX(ELECCB[NPV ACC $/kW],MATCH(BJ32,ELECCB[Year Number],1))))),2)),0)</f>
        <v/>
      </c>
      <c r="BL32" s="767" t="str">
        <f t="shared" si="2"/>
        <v/>
      </c>
      <c r="BM32" s="765"/>
      <c r="BN32" s="763" t="str">
        <f t="shared" si="3"/>
        <v/>
      </c>
      <c r="BO32" s="763" t="str">
        <f>IFERROR(IF(BM32 &lt;&gt; "", BM32, BL32) / M02S04F06 / AO32, "")</f>
        <v/>
      </c>
      <c r="BP32" s="769"/>
      <c r="BQ32" s="767" t="str">
        <f t="shared" ref="BQ32" si="50">IFERROR(ROUND(V32*AM32, 2), "")</f>
        <v/>
      </c>
      <c r="BR32" s="767"/>
      <c r="BS32" s="765"/>
      <c r="BT32" s="765"/>
      <c r="BU32" s="757" t="str">
        <f t="shared" ref="BU32" si="51">IFERROR(IF(BP32="",IF(AND(AO32&gt;0, AR32 &lt; BQ32), "100% Total Cost", ""), ""), "")</f>
        <v/>
      </c>
      <c r="BV32" s="767"/>
      <c r="BW32" s="757" t="str">
        <f>IFERROR(IF(OR(C32="",G32="",M32="",O32="",R32="",T32="",V32="",X32="",AC32="",AG32="",AI32="",AK32=""),"",IF(BY32&lt;&gt;"", SPILLOVERNUMBER, INDEX(CLLIGHT[Measure Number],MATCH(G32,CLLIGHT[Measure Name],0)))),"Err")</f>
        <v/>
      </c>
      <c r="BX32" s="757" t="str" cm="1">
        <f t="array" ref="BX32">IFERROR(INDEX(_xlfn.SWITCH(Program_Banner,"Business Energy Savings",CLLIGHT[Primary Key WBE],"Small Business / Non-Profit",CLLIGHT[Primary Key HTRB],0),MATCH(BW32,CLLIGHT[Measure Number],0)),"")</f>
        <v/>
      </c>
      <c r="BY32" s="757" t="str">
        <f>IFERROR(IF(OR(C32="",G32="",M32="",O32="",R32="",T32="",V32="",X32="",AC32="",AG32="",AI32="",AK32=""),"",
IF(BP32&gt;0,"",
IF(EXPIRATION&lt;&gt;"",PROJSTATEXP,
IF(M02S04F19="",MEASUREBLDG,
IF(BA32&lt;=BB32,MEASURESAVE,""))))),MEASURESUBMIT)</f>
        <v/>
      </c>
      <c r="BZ32" s="753"/>
      <c r="CA32" s="753"/>
      <c r="CB32" s="753"/>
      <c r="CC32" s="753"/>
    </row>
    <row r="33" spans="2:81" ht="15.95" customHeight="1">
      <c r="B33" s="785"/>
      <c r="C33" s="786"/>
      <c r="D33" s="787"/>
      <c r="E33" s="787"/>
      <c r="F33" s="788"/>
      <c r="G33" s="789"/>
      <c r="H33" s="790"/>
      <c r="I33" s="790"/>
      <c r="J33" s="790"/>
      <c r="K33" s="790"/>
      <c r="L33" s="867"/>
      <c r="M33" s="786"/>
      <c r="N33" s="788"/>
      <c r="O33" s="786"/>
      <c r="P33" s="787"/>
      <c r="Q33" s="788"/>
      <c r="R33" s="1233"/>
      <c r="S33" s="1234"/>
      <c r="T33" s="799"/>
      <c r="U33" s="800"/>
      <c r="V33" s="802"/>
      <c r="W33" s="802"/>
      <c r="X33" s="804"/>
      <c r="Y33" s="804"/>
      <c r="Z33" s="793"/>
      <c r="AA33" s="795"/>
      <c r="AB33" s="794"/>
      <c r="AC33" s="793"/>
      <c r="AD33" s="795"/>
      <c r="AE33" s="795"/>
      <c r="AF33" s="794"/>
      <c r="AG33" s="806"/>
      <c r="AH33" s="786"/>
      <c r="AI33" s="809"/>
      <c r="AJ33" s="810"/>
      <c r="AK33" s="810"/>
      <c r="AL33" s="812"/>
      <c r="AM33" s="815"/>
      <c r="AN33" s="816"/>
      <c r="AO33" s="818"/>
      <c r="AP33" s="818"/>
      <c r="AQ33" s="818"/>
      <c r="AR33" s="822"/>
      <c r="AS33" s="823"/>
      <c r="AT33" s="823"/>
      <c r="AU33" s="824"/>
      <c r="AV33" s="17"/>
      <c r="AX33" s="774"/>
      <c r="AY33" s="760"/>
      <c r="AZ33" s="760"/>
      <c r="BA33" s="772"/>
      <c r="BB33" s="772"/>
      <c r="BC33" s="774"/>
      <c r="BD33" s="758"/>
      <c r="BE33" s="776"/>
      <c r="BF33" s="776"/>
      <c r="BG33" s="776"/>
      <c r="BH33" s="762"/>
      <c r="BI33" s="762"/>
      <c r="BJ33" s="778"/>
      <c r="BK33" s="768"/>
      <c r="BL33" s="768"/>
      <c r="BM33" s="766"/>
      <c r="BN33" s="764"/>
      <c r="BO33" s="764"/>
      <c r="BP33" s="770"/>
      <c r="BQ33" s="768"/>
      <c r="BR33" s="768"/>
      <c r="BS33" s="766"/>
      <c r="BT33" s="766"/>
      <c r="BU33" s="758"/>
      <c r="BV33" s="768"/>
      <c r="BW33" s="758"/>
      <c r="BX33" s="758"/>
      <c r="BY33" s="758"/>
      <c r="BZ33" s="754"/>
      <c r="CA33" s="754"/>
      <c r="CB33" s="754"/>
      <c r="CC33" s="754"/>
    </row>
    <row r="34" spans="2:81" ht="15.95" customHeight="1">
      <c r="B34" s="785">
        <v>9</v>
      </c>
      <c r="C34" s="786"/>
      <c r="D34" s="787"/>
      <c r="E34" s="787"/>
      <c r="F34" s="788"/>
      <c r="G34" s="864"/>
      <c r="H34" s="865"/>
      <c r="I34" s="865"/>
      <c r="J34" s="865"/>
      <c r="K34" s="865"/>
      <c r="L34" s="866"/>
      <c r="M34" s="786"/>
      <c r="N34" s="788"/>
      <c r="O34" s="786"/>
      <c r="P34" s="787"/>
      <c r="Q34" s="788"/>
      <c r="R34" s="1231" t="str">
        <f>_xlfn.LET(
_xlpm.WATTS,
IFERROR(
INDEX(STDLIGHTINEFCAT2[System Wattage],MATCH('M04-S10'!$M34&amp;"_"&amp;
INDEX(CLLIGHT[Ineff Dropdown 2],MATCH('M04-S10'!$G34, CLLIGHT[Measure Name],0))
&amp;"_"&amp;O34,STDLIGHTINEFCAT2[Full Name],0)),
""),
IF(_xlpm.WATTS="","",_xlpm.WATTS))</f>
        <v/>
      </c>
      <c r="S34" s="1232"/>
      <c r="T34" s="799" t="str">
        <f t="shared" ref="T34" si="52">IF(C34="Permanent Lamp Removal",0,"")</f>
        <v/>
      </c>
      <c r="U34" s="800"/>
      <c r="V34" s="802"/>
      <c r="W34" s="802"/>
      <c r="X34" s="803"/>
      <c r="Y34" s="803"/>
      <c r="Z34" s="825"/>
      <c r="AA34" s="826"/>
      <c r="AB34" s="827"/>
      <c r="AC34" s="825"/>
      <c r="AD34" s="826"/>
      <c r="AE34" s="826"/>
      <c r="AF34" s="827"/>
      <c r="AG34" s="806"/>
      <c r="AH34" s="786"/>
      <c r="AI34" s="809"/>
      <c r="AJ34" s="810"/>
      <c r="AK34" s="810"/>
      <c r="AL34" s="812"/>
      <c r="AM34" s="813" t="str" cm="1">
        <f t="array" ref="AM34">IFERROR(IF(G34="","",IF(C34&lt;&gt;INDEX(CLLIGHT[Eff Category 1],MATCH(G34,CLLIGHT[Measure Name],0)),0,INDEX(IF(AND(ACTIVEBONUS = TRUE,INDEX(CLLIGHT[Bonus Incentive],MATCH(G34,CLLIGHT[Measure Name],0))&lt;&gt; ""),CLLIGHT[Bonus Incentive],_xlfn.SWITCH(Program_Banner,"Business Energy Savings",CLLIGHT[BESP Incentive],"Small Business / Non-Profit",CLLIGHT[SBNP Incentive],0)),MATCH(G34,CLLIGHT[Measure Name],0)))),"")</f>
        <v/>
      </c>
      <c r="AN34" s="814"/>
      <c r="AO34" s="817" t="str">
        <f t="shared" ref="AO34" si="53">IFERROR(IF(OR(C34="",G34="",M34="",O34="",R34="",T34="",V34="",X34="",AC34="",AG34="",AI34="",AK34=""),"", IF(BE34&lt;=0, 0, BE34)),"")</f>
        <v/>
      </c>
      <c r="AP34" s="817"/>
      <c r="AQ34" s="817"/>
      <c r="AR34" s="819" t="str">
        <f>IFERROR(IF(OR(C34="",G34="",M34="",O34="",R34="",T34="",V34="",X34="",AC34="",AG34="",AI34="",AK34=""),"",IF(BY34&lt;&gt;"",BY34,IF(BP34&gt;0,BP34,ROUND(IF(AO34&lt;=0,0,MIN(BL34,BQ34)),2)))),"")</f>
        <v/>
      </c>
      <c r="AS34" s="820"/>
      <c r="AT34" s="820"/>
      <c r="AU34" s="821"/>
      <c r="AV34" s="17"/>
      <c r="AX34" s="773" t="str">
        <f>IFERROR(IF(OR(C34="",G34="",M34="",O34="",R34="",T34="",V34="",X34="",AC34="",AG34="",AI34="",AK34=""),"",INDEX(CLLIGHT[Current Unit],MATCH(G34,CLLIGHT[Measure Name],0))),"Err")</f>
        <v/>
      </c>
      <c r="AY34" s="759" t="str">
        <f t="shared" ref="AY34" si="54">IF(V34="", "",  V34)</f>
        <v/>
      </c>
      <c r="AZ34" s="759" t="str">
        <f t="shared" ref="AZ34" si="55">IF(V34="", "",  V34)</f>
        <v/>
      </c>
      <c r="BA34" s="771"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B34" s="771"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C34" s="773" t="str">
        <f>IFERROR(IF(OR(C34="",G34="",M34="",O34="",R34="",T34="",V34="",X34="",AC34="",AG34="",AI34="",AK34=""),"",INDEX(CLLIGHT[End Use],MATCH(G34,CLLIGHT[Measure Name],0))),"Err")</f>
        <v/>
      </c>
      <c r="BD34" s="757" t="str">
        <f>IFERROR(IF(OR(C34="",G34="",M34="",O34="",R34="",T34="",V34="",X34="",AC34="",AG34="",AI34="",AK34=""),"",INDEX(CLLIGHT[Reporting Methodology],MATCH(G34,CLLIGHT[Measure Name],0))),"Err")</f>
        <v/>
      </c>
      <c r="BE34" s="775" t="str">
        <f t="shared" ref="BE34" si="56">IF(AND(BA34&lt;&gt;"", BB34&lt;&gt;""), ROUND(BA34-BB34,4), "")</f>
        <v/>
      </c>
      <c r="BF34" s="775" t="str">
        <f>IFERROR(IF(OR(C34="",G34="",M34="",O34="",R34="",T34="",V34="",X34="",AC34="",AG34="",AI34="",AK34=""),"",
IF(BA34&lt;=BB34,0,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775" t="str">
        <f>IFERROR(IF(OR(C34="",G34="",M34="",O34="",R34="",T34="",V34="",X34="",AC34="",AG34="",AI34="", AK34=""),"",ROUND(AO34*INDEX(ENDUSEALL[Factor],MATCH(BC34,ENDUSEALL[End Use to Coincident Peak Demand Factors],0)),4)),"")</f>
        <v/>
      </c>
      <c r="BH34" s="761"/>
      <c r="BI34" s="761"/>
      <c r="BJ34" s="777" t="str">
        <f>IFERROR(INDEX(CLLIGHT[Measure Life (Years)],MATCH(G34,CLLIGHT[Measure Name],0)),"")</f>
        <v/>
      </c>
      <c r="BK34" s="767" t="str">
        <f>IFERROR(IF(OR(C34="",G34="",M34="",O34="",R34="",T34="",V34="",X34="",AC34="",AG34="",AI34="",AK34=""),"",
ROUND(((1+ELOSS)*((BE34*INDEX(ELECCB[NPV AEC $/kWh],MATCH(BJ34,ELECCB[Year Number],1)))+(BF34*INDEX(ELECCB[NPV ACC $/kW],MATCH(BJ34,ELECCB[Year Number],1))))),2)),0)</f>
        <v/>
      </c>
      <c r="BL34" s="767" t="str">
        <f t="shared" si="2"/>
        <v/>
      </c>
      <c r="BM34" s="765"/>
      <c r="BN34" s="763" t="str">
        <f t="shared" si="3"/>
        <v/>
      </c>
      <c r="BO34" s="763" t="str">
        <f>IFERROR(IF(BM34 &lt;&gt; "", BM34, BL34) / M02S04F06 / AO34, "")</f>
        <v/>
      </c>
      <c r="BP34" s="769"/>
      <c r="BQ34" s="767" t="str">
        <f t="shared" ref="BQ34" si="57">IFERROR(ROUND(V34*AM34, 2), "")</f>
        <v/>
      </c>
      <c r="BR34" s="767"/>
      <c r="BS34" s="765"/>
      <c r="BT34" s="765"/>
      <c r="BU34" s="757" t="str">
        <f t="shared" ref="BU34" si="58">IFERROR(IF(BP34="",IF(AND(AO34&gt;0, AR34 &lt; BQ34), "100% Total Cost", ""), ""), "")</f>
        <v/>
      </c>
      <c r="BV34" s="767"/>
      <c r="BW34" s="757" t="str">
        <f>IFERROR(IF(OR(C34="",G34="",M34="",O34="",R34="",T34="",V34="",X34="",AC34="",AG34="",AI34="",AK34=""),"",IF(BY34&lt;&gt;"", SPILLOVERNUMBER, INDEX(CLLIGHT[Measure Number],MATCH(G34,CLLIGHT[Measure Name],0)))),"Err")</f>
        <v/>
      </c>
      <c r="BX34" s="757" t="str" cm="1">
        <f t="array" ref="BX34">IFERROR(INDEX(_xlfn.SWITCH(Program_Banner,"Business Energy Savings",CLLIGHT[Primary Key WBE],"Small Business / Non-Profit",CLLIGHT[Primary Key HTRB],0),MATCH(BW34,CLLIGHT[Measure Number],0)),"")</f>
        <v/>
      </c>
      <c r="BY34" s="757" t="str">
        <f>IFERROR(IF(OR(C34="",G34="",M34="",O34="",R34="",T34="",V34="",X34="",AC34="",AG34="",AI34="",AK34=""),"",
IF(BP34&gt;0,"",
IF(EXPIRATION&lt;&gt;"",PROJSTATEXP,
IF(M02S04F19="",MEASUREBLDG,
IF(BA34&lt;=BB34,MEASURESAVE,""))))),MEASURESUBMIT)</f>
        <v/>
      </c>
      <c r="BZ34" s="753"/>
      <c r="CA34" s="753"/>
      <c r="CB34" s="753"/>
      <c r="CC34" s="753"/>
    </row>
    <row r="35" spans="2:81" ht="15.95" customHeight="1">
      <c r="B35" s="785"/>
      <c r="C35" s="786"/>
      <c r="D35" s="787"/>
      <c r="E35" s="787"/>
      <c r="F35" s="788"/>
      <c r="G35" s="789"/>
      <c r="H35" s="790"/>
      <c r="I35" s="790"/>
      <c r="J35" s="790"/>
      <c r="K35" s="790"/>
      <c r="L35" s="867"/>
      <c r="M35" s="786"/>
      <c r="N35" s="788"/>
      <c r="O35" s="786"/>
      <c r="P35" s="787"/>
      <c r="Q35" s="788"/>
      <c r="R35" s="1233"/>
      <c r="S35" s="1234"/>
      <c r="T35" s="799"/>
      <c r="U35" s="800"/>
      <c r="V35" s="802"/>
      <c r="W35" s="802"/>
      <c r="X35" s="804"/>
      <c r="Y35" s="804"/>
      <c r="Z35" s="793"/>
      <c r="AA35" s="795"/>
      <c r="AB35" s="794"/>
      <c r="AC35" s="793"/>
      <c r="AD35" s="795"/>
      <c r="AE35" s="795"/>
      <c r="AF35" s="794"/>
      <c r="AG35" s="806"/>
      <c r="AH35" s="786"/>
      <c r="AI35" s="809"/>
      <c r="AJ35" s="810"/>
      <c r="AK35" s="810"/>
      <c r="AL35" s="812"/>
      <c r="AM35" s="815"/>
      <c r="AN35" s="816"/>
      <c r="AO35" s="818"/>
      <c r="AP35" s="818"/>
      <c r="AQ35" s="818"/>
      <c r="AR35" s="822"/>
      <c r="AS35" s="823"/>
      <c r="AT35" s="823"/>
      <c r="AU35" s="824"/>
      <c r="AV35" s="17"/>
      <c r="AX35" s="774"/>
      <c r="AY35" s="760"/>
      <c r="AZ35" s="760"/>
      <c r="BA35" s="772"/>
      <c r="BB35" s="772"/>
      <c r="BC35" s="774"/>
      <c r="BD35" s="758"/>
      <c r="BE35" s="776"/>
      <c r="BF35" s="776"/>
      <c r="BG35" s="776"/>
      <c r="BH35" s="762"/>
      <c r="BI35" s="762"/>
      <c r="BJ35" s="778"/>
      <c r="BK35" s="768"/>
      <c r="BL35" s="768"/>
      <c r="BM35" s="766"/>
      <c r="BN35" s="764"/>
      <c r="BO35" s="764"/>
      <c r="BP35" s="770"/>
      <c r="BQ35" s="768"/>
      <c r="BR35" s="768"/>
      <c r="BS35" s="766"/>
      <c r="BT35" s="766"/>
      <c r="BU35" s="758"/>
      <c r="BV35" s="768"/>
      <c r="BW35" s="758"/>
      <c r="BX35" s="758"/>
      <c r="BY35" s="758"/>
      <c r="BZ35" s="754"/>
      <c r="CA35" s="754"/>
      <c r="CB35" s="754"/>
      <c r="CC35" s="754"/>
    </row>
    <row r="36" spans="2:81" ht="15.95" customHeight="1">
      <c r="B36" s="785">
        <v>10</v>
      </c>
      <c r="C36" s="786"/>
      <c r="D36" s="787"/>
      <c r="E36" s="787"/>
      <c r="F36" s="788"/>
      <c r="G36" s="864"/>
      <c r="H36" s="865"/>
      <c r="I36" s="865"/>
      <c r="J36" s="865"/>
      <c r="K36" s="865"/>
      <c r="L36" s="866"/>
      <c r="M36" s="786"/>
      <c r="N36" s="788"/>
      <c r="O36" s="786"/>
      <c r="P36" s="787"/>
      <c r="Q36" s="788"/>
      <c r="R36" s="1231" t="str">
        <f>_xlfn.LET(
_xlpm.WATTS,
IFERROR(
INDEX(STDLIGHTINEFCAT2[System Wattage],MATCH('M04-S10'!$M36&amp;"_"&amp;
INDEX(CLLIGHT[Ineff Dropdown 2],MATCH('M04-S10'!$G36, CLLIGHT[Measure Name],0))
&amp;"_"&amp;O36,STDLIGHTINEFCAT2[Full Name],0)),
""),
IF(_xlpm.WATTS="","",_xlpm.WATTS))</f>
        <v/>
      </c>
      <c r="S36" s="1232"/>
      <c r="T36" s="799" t="str">
        <f t="shared" ref="T36" si="59">IF(C36="Permanent Lamp Removal",0,"")</f>
        <v/>
      </c>
      <c r="U36" s="800"/>
      <c r="V36" s="802"/>
      <c r="W36" s="802"/>
      <c r="X36" s="803"/>
      <c r="Y36" s="803"/>
      <c r="Z36" s="825"/>
      <c r="AA36" s="826"/>
      <c r="AB36" s="827"/>
      <c r="AC36" s="825"/>
      <c r="AD36" s="826"/>
      <c r="AE36" s="826"/>
      <c r="AF36" s="827"/>
      <c r="AG36" s="806"/>
      <c r="AH36" s="786"/>
      <c r="AI36" s="809"/>
      <c r="AJ36" s="810"/>
      <c r="AK36" s="810"/>
      <c r="AL36" s="812"/>
      <c r="AM36" s="813" t="str" cm="1">
        <f t="array" ref="AM36">IFERROR(IF(G36="","",IF(C36&lt;&gt;INDEX(CLLIGHT[Eff Category 1],MATCH(G36,CLLIGHT[Measure Name],0)),0,INDEX(IF(AND(ACTIVEBONUS = TRUE,INDEX(CLLIGHT[Bonus Incentive],MATCH(G36,CLLIGHT[Measure Name],0))&lt;&gt; ""),CLLIGHT[Bonus Incentive],_xlfn.SWITCH(Program_Banner,"Business Energy Savings",CLLIGHT[BESP Incentive],"Small Business / Non-Profit",CLLIGHT[SBNP Incentive],0)),MATCH(G36,CLLIGHT[Measure Name],0)))),"")</f>
        <v/>
      </c>
      <c r="AN36" s="814"/>
      <c r="AO36" s="817" t="str">
        <f t="shared" ref="AO36" si="60">IFERROR(IF(OR(C36="",G36="",M36="",O36="",R36="",T36="",V36="",X36="",AC36="",AG36="",AI36="",AK36=""),"", IF(BE36&lt;=0, 0, BE36)),"")</f>
        <v/>
      </c>
      <c r="AP36" s="817"/>
      <c r="AQ36" s="817"/>
      <c r="AR36" s="819" t="str">
        <f>IFERROR(IF(OR(C36="",G36="",M36="",O36="",R36="",T36="",V36="",X36="",AC36="",AG36="",AI36="",AK36=""),"",IF(BY36&lt;&gt;"",BY36,IF(BP36&gt;0,BP36,ROUND(IF(AO36&lt;=0,0,MIN(BL36,BQ36)),2)))),"")</f>
        <v/>
      </c>
      <c r="AS36" s="820"/>
      <c r="AT36" s="820"/>
      <c r="AU36" s="821"/>
      <c r="AV36" s="17"/>
      <c r="AX36" s="773" t="str">
        <f>IFERROR(IF(OR(C36="",G36="",M36="",O36="",R36="",T36="",V36="",X36="",AC36="",AG36="",AI36="",AK36=""),"",INDEX(CLLIGHT[Current Unit],MATCH(G36,CLLIGHT[Measure Name],0))),"Err")</f>
        <v/>
      </c>
      <c r="AY36" s="759" t="str">
        <f t="shared" ref="AY36" si="61">IF(V36="", "",  V36)</f>
        <v/>
      </c>
      <c r="AZ36" s="759" t="str">
        <f t="shared" ref="AZ36" si="62">IF(V36="", "",  V36)</f>
        <v/>
      </c>
      <c r="BA36" s="771"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B36" s="771"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C36" s="773" t="str">
        <f>IFERROR(IF(OR(C36="",G36="",M36="",O36="",R36="",T36="",V36="",X36="",AC36="",AG36="",AI36="",AK36=""),"",INDEX(CLLIGHT[End Use],MATCH(G36,CLLIGHT[Measure Name],0))),"Err")</f>
        <v/>
      </c>
      <c r="BD36" s="757" t="str">
        <f>IFERROR(IF(OR(C36="",G36="",M36="",O36="",R36="",T36="",V36="",X36="",AC36="",AG36="",AI36="",AK36=""),"",INDEX(CLLIGHT[Reporting Methodology],MATCH(G36,CLLIGHT[Measure Name],0))),"Err")</f>
        <v/>
      </c>
      <c r="BE36" s="775" t="str">
        <f t="shared" ref="BE36" si="63">IF(AND(BA36&lt;&gt;"", BB36&lt;&gt;""), ROUND(BA36-BB36,4), "")</f>
        <v/>
      </c>
      <c r="BF36" s="775" t="str">
        <f>IFERROR(IF(OR(C36="",G36="",M36="",O36="",R36="",T36="",V36="",X36="",AC36="",AG36="",AI36="",AK36=""),"",
IF(BA36&lt;=BB36,0,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775" t="str">
        <f>IFERROR(IF(OR(C36="",G36="",M36="",O36="",R36="",T36="",V36="",X36="",AC36="",AG36="",AI36="", AK36=""),"",ROUND(AO36*INDEX(ENDUSEALL[Factor],MATCH(BC36,ENDUSEALL[End Use to Coincident Peak Demand Factors],0)),4)),"")</f>
        <v/>
      </c>
      <c r="BH36" s="761"/>
      <c r="BI36" s="761"/>
      <c r="BJ36" s="777" t="str">
        <f>IFERROR(INDEX(CLLIGHT[Measure Life (Years)],MATCH(G36,CLLIGHT[Measure Name],0)),"")</f>
        <v/>
      </c>
      <c r="BK36" s="767" t="str">
        <f>IFERROR(IF(OR(C36="",G36="",M36="",O36="",R36="",T36="",V36="",X36="",AC36="",AG36="",AI36="",AK36=""),"",
ROUND(((1+ELOSS)*((BE36*INDEX(ELECCB[NPV AEC $/kWh],MATCH(BJ36,ELECCB[Year Number],1)))+(BF36*INDEX(ELECCB[NPV ACC $/kW],MATCH(BJ36,ELECCB[Year Number],1))))),2)),0)</f>
        <v/>
      </c>
      <c r="BL36" s="767" t="str">
        <f t="shared" si="2"/>
        <v/>
      </c>
      <c r="BM36" s="765"/>
      <c r="BN36" s="763" t="str">
        <f t="shared" si="3"/>
        <v/>
      </c>
      <c r="BO36" s="763" t="str">
        <f>IFERROR(IF(BM36 &lt;&gt; "", BM36, BL36) / M02S04F06 / AO36, "")</f>
        <v/>
      </c>
      <c r="BP36" s="769"/>
      <c r="BQ36" s="767" t="str">
        <f t="shared" ref="BQ36" si="64">IFERROR(ROUND(V36*AM36, 2), "")</f>
        <v/>
      </c>
      <c r="BR36" s="767"/>
      <c r="BS36" s="765"/>
      <c r="BT36" s="765"/>
      <c r="BU36" s="757" t="str">
        <f t="shared" ref="BU36" si="65">IFERROR(IF(BP36="",IF(AND(AO36&gt;0, AR36 &lt; BQ36), "100% Total Cost", ""), ""), "")</f>
        <v/>
      </c>
      <c r="BV36" s="767"/>
      <c r="BW36" s="757" t="str">
        <f>IFERROR(IF(OR(C36="",G36="",M36="",O36="",R36="",T36="",V36="",X36="",AC36="",AG36="",AI36="",AK36=""),"",IF(BY36&lt;&gt;"", SPILLOVERNUMBER, INDEX(CLLIGHT[Measure Number],MATCH(G36,CLLIGHT[Measure Name],0)))),"Err")</f>
        <v/>
      </c>
      <c r="BX36" s="757" t="str" cm="1">
        <f t="array" ref="BX36">IFERROR(INDEX(_xlfn.SWITCH(Program_Banner,"Business Energy Savings",CLLIGHT[Primary Key WBE],"Small Business / Non-Profit",CLLIGHT[Primary Key HTRB],0),MATCH(BW36,CLLIGHT[Measure Number],0)),"")</f>
        <v/>
      </c>
      <c r="BY36" s="757" t="str">
        <f>IFERROR(IF(OR(C36="",G36="",M36="",O36="",R36="",T36="",V36="",X36="",AC36="",AG36="",AI36="",AK36=""),"",
IF(BP36&gt;0,"",
IF(EXPIRATION&lt;&gt;"",PROJSTATEXP,
IF(M02S04F19="",MEASUREBLDG,
IF(BA36&lt;=BB36,MEASURESAVE,""))))),MEASURESUBMIT)</f>
        <v/>
      </c>
      <c r="BZ36" s="753"/>
      <c r="CA36" s="753"/>
      <c r="CB36" s="753"/>
      <c r="CC36" s="753"/>
    </row>
    <row r="37" spans="2:81" ht="15.95" customHeight="1">
      <c r="B37" s="785"/>
      <c r="C37" s="786"/>
      <c r="D37" s="787"/>
      <c r="E37" s="787"/>
      <c r="F37" s="788"/>
      <c r="G37" s="789"/>
      <c r="H37" s="790"/>
      <c r="I37" s="790"/>
      <c r="J37" s="790"/>
      <c r="K37" s="790"/>
      <c r="L37" s="867"/>
      <c r="M37" s="786"/>
      <c r="N37" s="788"/>
      <c r="O37" s="786"/>
      <c r="P37" s="787"/>
      <c r="Q37" s="788"/>
      <c r="R37" s="1233"/>
      <c r="S37" s="1234"/>
      <c r="T37" s="799"/>
      <c r="U37" s="800"/>
      <c r="V37" s="802"/>
      <c r="W37" s="802"/>
      <c r="X37" s="804"/>
      <c r="Y37" s="804"/>
      <c r="Z37" s="793"/>
      <c r="AA37" s="795"/>
      <c r="AB37" s="794"/>
      <c r="AC37" s="793"/>
      <c r="AD37" s="795"/>
      <c r="AE37" s="795"/>
      <c r="AF37" s="794"/>
      <c r="AG37" s="806"/>
      <c r="AH37" s="786"/>
      <c r="AI37" s="809"/>
      <c r="AJ37" s="810"/>
      <c r="AK37" s="810"/>
      <c r="AL37" s="812"/>
      <c r="AM37" s="815"/>
      <c r="AN37" s="816"/>
      <c r="AO37" s="818"/>
      <c r="AP37" s="818"/>
      <c r="AQ37" s="818"/>
      <c r="AR37" s="822"/>
      <c r="AS37" s="823"/>
      <c r="AT37" s="823"/>
      <c r="AU37" s="824"/>
      <c r="AV37" s="17"/>
      <c r="AX37" s="774"/>
      <c r="AY37" s="760"/>
      <c r="AZ37" s="760"/>
      <c r="BA37" s="772"/>
      <c r="BB37" s="772"/>
      <c r="BC37" s="774"/>
      <c r="BD37" s="758"/>
      <c r="BE37" s="776"/>
      <c r="BF37" s="776"/>
      <c r="BG37" s="776"/>
      <c r="BH37" s="762"/>
      <c r="BI37" s="762"/>
      <c r="BJ37" s="778"/>
      <c r="BK37" s="768"/>
      <c r="BL37" s="768"/>
      <c r="BM37" s="766"/>
      <c r="BN37" s="764"/>
      <c r="BO37" s="764"/>
      <c r="BP37" s="770"/>
      <c r="BQ37" s="768"/>
      <c r="BR37" s="768"/>
      <c r="BS37" s="766"/>
      <c r="BT37" s="766"/>
      <c r="BU37" s="758"/>
      <c r="BV37" s="768"/>
      <c r="BW37" s="758"/>
      <c r="BX37" s="758"/>
      <c r="BY37" s="758"/>
      <c r="BZ37" s="754"/>
      <c r="CA37" s="754"/>
      <c r="CB37" s="754"/>
      <c r="CC37" s="754"/>
    </row>
    <row r="38" spans="2:81" ht="15.95" customHeight="1">
      <c r="B38" s="785">
        <v>11</v>
      </c>
      <c r="C38" s="786"/>
      <c r="D38" s="787"/>
      <c r="E38" s="787"/>
      <c r="F38" s="788"/>
      <c r="G38" s="864"/>
      <c r="H38" s="865"/>
      <c r="I38" s="865"/>
      <c r="J38" s="865"/>
      <c r="K38" s="865"/>
      <c r="L38" s="866"/>
      <c r="M38" s="786"/>
      <c r="N38" s="788"/>
      <c r="O38" s="786"/>
      <c r="P38" s="787"/>
      <c r="Q38" s="788"/>
      <c r="R38" s="1231" t="str">
        <f>_xlfn.LET(
_xlpm.WATTS,
IFERROR(
INDEX(STDLIGHTINEFCAT2[System Wattage],MATCH('M04-S10'!$M38&amp;"_"&amp;
INDEX(CLLIGHT[Ineff Dropdown 2],MATCH('M04-S10'!$G38, CLLIGHT[Measure Name],0))
&amp;"_"&amp;O38,STDLIGHTINEFCAT2[Full Name],0)),
""),
IF(_xlpm.WATTS="","",_xlpm.WATTS))</f>
        <v/>
      </c>
      <c r="S38" s="1232"/>
      <c r="T38" s="799" t="str">
        <f t="shared" ref="T38" si="66">IF(C38="Permanent Lamp Removal",0,"")</f>
        <v/>
      </c>
      <c r="U38" s="800"/>
      <c r="V38" s="802"/>
      <c r="W38" s="802"/>
      <c r="X38" s="803"/>
      <c r="Y38" s="803"/>
      <c r="Z38" s="825"/>
      <c r="AA38" s="826"/>
      <c r="AB38" s="827"/>
      <c r="AC38" s="825"/>
      <c r="AD38" s="826"/>
      <c r="AE38" s="826"/>
      <c r="AF38" s="827"/>
      <c r="AG38" s="806"/>
      <c r="AH38" s="786"/>
      <c r="AI38" s="809"/>
      <c r="AJ38" s="810"/>
      <c r="AK38" s="810"/>
      <c r="AL38" s="812"/>
      <c r="AM38" s="813" t="str" cm="1">
        <f t="array" ref="AM38">IFERROR(IF(G38="","",IF(C38&lt;&gt;INDEX(CLLIGHT[Eff Category 1],MATCH(G38,CLLIGHT[Measure Name],0)),0,INDEX(IF(AND(ACTIVEBONUS = TRUE,INDEX(CLLIGHT[Bonus Incentive],MATCH(G38,CLLIGHT[Measure Name],0))&lt;&gt; ""),CLLIGHT[Bonus Incentive],_xlfn.SWITCH(Program_Banner,"Business Energy Savings",CLLIGHT[BESP Incentive],"Small Business / Non-Profit",CLLIGHT[SBNP Incentive],0)),MATCH(G38,CLLIGHT[Measure Name],0)))),"")</f>
        <v/>
      </c>
      <c r="AN38" s="814"/>
      <c r="AO38" s="817" t="str">
        <f t="shared" ref="AO38" si="67">IFERROR(IF(OR(C38="",G38="",M38="",O38="",R38="",T38="",V38="",X38="",AC38="",AG38="",AI38="",AK38=""),"", IF(BE38&lt;=0, 0, BE38)),"")</f>
        <v/>
      </c>
      <c r="AP38" s="817"/>
      <c r="AQ38" s="817"/>
      <c r="AR38" s="819" t="str">
        <f>IFERROR(IF(OR(C38="",G38="",M38="",O38="",R38="",T38="",V38="",X38="",AC38="",AG38="",AI38="",AK38=""),"",IF(BY38&lt;&gt;"",BY38,IF(BP38&gt;0,BP38,ROUND(IF(AO38&lt;=0,0,MIN(BL38,BQ38)),2)))),"")</f>
        <v/>
      </c>
      <c r="AS38" s="820"/>
      <c r="AT38" s="820"/>
      <c r="AU38" s="821"/>
      <c r="AV38" s="17"/>
      <c r="AX38" s="773" t="str">
        <f>IFERROR(IF(OR(C38="",G38="",M38="",O38="",R38="",T38="",V38="",X38="",AC38="",AG38="",AI38="",AK38=""),"",INDEX(CLLIGHT[Current Unit],MATCH(G38,CLLIGHT[Measure Name],0))),"Err")</f>
        <v/>
      </c>
      <c r="AY38" s="759" t="str">
        <f t="shared" ref="AY38" si="68">IF(V38="", "",  V38)</f>
        <v/>
      </c>
      <c r="AZ38" s="759" t="str">
        <f t="shared" ref="AZ38" si="69">IF(V38="", "",  V38)</f>
        <v/>
      </c>
      <c r="BA38" s="771"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B38" s="771"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C38" s="773" t="str">
        <f>IFERROR(IF(OR(C38="",G38="",M38="",O38="",R38="",T38="",V38="",X38="",AC38="",AG38="",AI38="",AK38=""),"",INDEX(CLLIGHT[End Use],MATCH(G38,CLLIGHT[Measure Name],0))),"Err")</f>
        <v/>
      </c>
      <c r="BD38" s="757" t="str">
        <f>IFERROR(IF(OR(C38="",G38="",M38="",O38="",R38="",T38="",V38="",X38="",AC38="",AG38="",AI38="",AK38=""),"",INDEX(CLLIGHT[Reporting Methodology],MATCH(G38,CLLIGHT[Measure Name],0))),"Err")</f>
        <v/>
      </c>
      <c r="BE38" s="775" t="str">
        <f t="shared" ref="BE38" si="70">IF(AND(BA38&lt;&gt;"", BB38&lt;&gt;""), ROUND(BA38-BB38,4), "")</f>
        <v/>
      </c>
      <c r="BF38" s="775" t="str">
        <f>IFERROR(IF(OR(C38="",G38="",M38="",O38="",R38="",T38="",V38="",X38="",AC38="",AG38="",AI38="",AK38=""),"",
IF(BA38&lt;=BB38,0,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775" t="str">
        <f>IFERROR(IF(OR(C38="",G38="",M38="",O38="",R38="",T38="",V38="",X38="",AC38="",AG38="",AI38="", AK38=""),"",ROUND(AO38*INDEX(ENDUSEALL[Factor],MATCH(BC38,ENDUSEALL[End Use to Coincident Peak Demand Factors],0)),4)),"")</f>
        <v/>
      </c>
      <c r="BH38" s="761"/>
      <c r="BI38" s="761"/>
      <c r="BJ38" s="777" t="str">
        <f>IFERROR(INDEX(CLLIGHT[Measure Life (Years)],MATCH(G38,CLLIGHT[Measure Name],0)),"")</f>
        <v/>
      </c>
      <c r="BK38" s="767" t="str">
        <f>IFERROR(IF(OR(C38="",G38="",M38="",O38="",R38="",T38="",V38="",X38="",AC38="",AG38="",AI38="",AK38=""),"",
ROUND(((1+ELOSS)*((BE38*INDEX(ELECCB[NPV AEC $/kWh],MATCH(BJ38,ELECCB[Year Number],1)))+(BF38*INDEX(ELECCB[NPV ACC $/kW],MATCH(BJ38,ELECCB[Year Number],1))))),2)),0)</f>
        <v/>
      </c>
      <c r="BL38" s="767" t="str">
        <f t="shared" si="2"/>
        <v/>
      </c>
      <c r="BM38" s="765"/>
      <c r="BN38" s="763" t="str">
        <f t="shared" si="3"/>
        <v/>
      </c>
      <c r="BO38" s="763" t="str">
        <f>IFERROR(IF(BM38 &lt;&gt; "", BM38, BL38) / M02S04F06 / AO38, "")</f>
        <v/>
      </c>
      <c r="BP38" s="769"/>
      <c r="BQ38" s="767" t="str">
        <f t="shared" ref="BQ38" si="71">IFERROR(ROUND(V38*AM38, 2), "")</f>
        <v/>
      </c>
      <c r="BR38" s="767"/>
      <c r="BS38" s="765"/>
      <c r="BT38" s="765"/>
      <c r="BU38" s="757" t="str">
        <f t="shared" ref="BU38" si="72">IFERROR(IF(BP38="",IF(AND(AO38&gt;0, AR38 &lt; BQ38), "100% Total Cost", ""), ""), "")</f>
        <v/>
      </c>
      <c r="BV38" s="767"/>
      <c r="BW38" s="757" t="str">
        <f>IFERROR(IF(OR(C38="",G38="",M38="",O38="",R38="",T38="",V38="",X38="",AC38="",AG38="",AI38="",AK38=""),"",IF(BY38&lt;&gt;"", SPILLOVERNUMBER, INDEX(CLLIGHT[Measure Number],MATCH(G38,CLLIGHT[Measure Name],0)))),"Err")</f>
        <v/>
      </c>
      <c r="BX38" s="757" t="str" cm="1">
        <f t="array" ref="BX38">IFERROR(INDEX(_xlfn.SWITCH(Program_Banner,"Business Energy Savings",CLLIGHT[Primary Key WBE],"Small Business / Non-Profit",CLLIGHT[Primary Key HTRB],0),MATCH(BW38,CLLIGHT[Measure Number],0)),"")</f>
        <v/>
      </c>
      <c r="BY38" s="757" t="str">
        <f>IFERROR(IF(OR(C38="",G38="",M38="",O38="",R38="",T38="",V38="",X38="",AC38="",AG38="",AI38="",AK38=""),"",
IF(BP38&gt;0,"",
IF(EXPIRATION&lt;&gt;"",PROJSTATEXP,
IF(M02S04F19="",MEASUREBLDG,
IF(BA38&lt;=BB38,MEASURESAVE,""))))),MEASURESUBMIT)</f>
        <v/>
      </c>
      <c r="BZ38" s="753"/>
      <c r="CA38" s="753"/>
      <c r="CB38" s="753"/>
      <c r="CC38" s="753"/>
    </row>
    <row r="39" spans="2:81" ht="15.95" customHeight="1">
      <c r="B39" s="785"/>
      <c r="C39" s="786"/>
      <c r="D39" s="787"/>
      <c r="E39" s="787"/>
      <c r="F39" s="788"/>
      <c r="G39" s="789"/>
      <c r="H39" s="790"/>
      <c r="I39" s="790"/>
      <c r="J39" s="790"/>
      <c r="K39" s="790"/>
      <c r="L39" s="867"/>
      <c r="M39" s="786"/>
      <c r="N39" s="788"/>
      <c r="O39" s="786"/>
      <c r="P39" s="787"/>
      <c r="Q39" s="788"/>
      <c r="R39" s="1233"/>
      <c r="S39" s="1234"/>
      <c r="T39" s="799"/>
      <c r="U39" s="800"/>
      <c r="V39" s="802"/>
      <c r="W39" s="802"/>
      <c r="X39" s="804"/>
      <c r="Y39" s="804"/>
      <c r="Z39" s="793"/>
      <c r="AA39" s="795"/>
      <c r="AB39" s="794"/>
      <c r="AC39" s="793"/>
      <c r="AD39" s="795"/>
      <c r="AE39" s="795"/>
      <c r="AF39" s="794"/>
      <c r="AG39" s="806"/>
      <c r="AH39" s="786"/>
      <c r="AI39" s="809"/>
      <c r="AJ39" s="810"/>
      <c r="AK39" s="810"/>
      <c r="AL39" s="812"/>
      <c r="AM39" s="815"/>
      <c r="AN39" s="816"/>
      <c r="AO39" s="818"/>
      <c r="AP39" s="818"/>
      <c r="AQ39" s="818"/>
      <c r="AR39" s="822"/>
      <c r="AS39" s="823"/>
      <c r="AT39" s="823"/>
      <c r="AU39" s="824"/>
      <c r="AV39" s="17"/>
      <c r="AX39" s="774"/>
      <c r="AY39" s="760"/>
      <c r="AZ39" s="760"/>
      <c r="BA39" s="772"/>
      <c r="BB39" s="772"/>
      <c r="BC39" s="774"/>
      <c r="BD39" s="758"/>
      <c r="BE39" s="776"/>
      <c r="BF39" s="776"/>
      <c r="BG39" s="776"/>
      <c r="BH39" s="762"/>
      <c r="BI39" s="762"/>
      <c r="BJ39" s="778"/>
      <c r="BK39" s="768"/>
      <c r="BL39" s="768"/>
      <c r="BM39" s="766"/>
      <c r="BN39" s="764"/>
      <c r="BO39" s="764"/>
      <c r="BP39" s="770"/>
      <c r="BQ39" s="768"/>
      <c r="BR39" s="768"/>
      <c r="BS39" s="766"/>
      <c r="BT39" s="766"/>
      <c r="BU39" s="758"/>
      <c r="BV39" s="768"/>
      <c r="BW39" s="758"/>
      <c r="BX39" s="758"/>
      <c r="BY39" s="758"/>
      <c r="BZ39" s="754"/>
      <c r="CA39" s="754"/>
      <c r="CB39" s="754"/>
      <c r="CC39" s="754"/>
    </row>
    <row r="40" spans="2:81" ht="15.95" customHeight="1">
      <c r="B40" s="785">
        <v>12</v>
      </c>
      <c r="C40" s="786"/>
      <c r="D40" s="787"/>
      <c r="E40" s="787"/>
      <c r="F40" s="788"/>
      <c r="G40" s="864"/>
      <c r="H40" s="865"/>
      <c r="I40" s="865"/>
      <c r="J40" s="865"/>
      <c r="K40" s="865"/>
      <c r="L40" s="866"/>
      <c r="M40" s="786"/>
      <c r="N40" s="788"/>
      <c r="O40" s="786"/>
      <c r="P40" s="787"/>
      <c r="Q40" s="788"/>
      <c r="R40" s="1231" t="str">
        <f>_xlfn.LET(
_xlpm.WATTS,
IFERROR(
INDEX(STDLIGHTINEFCAT2[System Wattage],MATCH('M04-S10'!$M40&amp;"_"&amp;
INDEX(CLLIGHT[Ineff Dropdown 2],MATCH('M04-S10'!$G40, CLLIGHT[Measure Name],0))
&amp;"_"&amp;O40,STDLIGHTINEFCAT2[Full Name],0)),
""),
IF(_xlpm.WATTS="","",_xlpm.WATTS))</f>
        <v/>
      </c>
      <c r="S40" s="1232"/>
      <c r="T40" s="799" t="str">
        <f t="shared" ref="T40" si="73">IF(C40="Permanent Lamp Removal",0,"")</f>
        <v/>
      </c>
      <c r="U40" s="800"/>
      <c r="V40" s="802"/>
      <c r="W40" s="802"/>
      <c r="X40" s="803"/>
      <c r="Y40" s="803"/>
      <c r="Z40" s="825"/>
      <c r="AA40" s="826"/>
      <c r="AB40" s="827"/>
      <c r="AC40" s="825"/>
      <c r="AD40" s="826"/>
      <c r="AE40" s="826"/>
      <c r="AF40" s="827"/>
      <c r="AG40" s="806"/>
      <c r="AH40" s="786"/>
      <c r="AI40" s="809"/>
      <c r="AJ40" s="810"/>
      <c r="AK40" s="810"/>
      <c r="AL40" s="812"/>
      <c r="AM40" s="813" t="str" cm="1">
        <f t="array" ref="AM40">IFERROR(IF(G40="","",IF(C40&lt;&gt;INDEX(CLLIGHT[Eff Category 1],MATCH(G40,CLLIGHT[Measure Name],0)),0,INDEX(IF(AND(ACTIVEBONUS = TRUE,INDEX(CLLIGHT[Bonus Incentive],MATCH(G40,CLLIGHT[Measure Name],0))&lt;&gt; ""),CLLIGHT[Bonus Incentive],_xlfn.SWITCH(Program_Banner,"Business Energy Savings",CLLIGHT[BESP Incentive],"Small Business / Non-Profit",CLLIGHT[SBNP Incentive],0)),MATCH(G40,CLLIGHT[Measure Name],0)))),"")</f>
        <v/>
      </c>
      <c r="AN40" s="814"/>
      <c r="AO40" s="817" t="str">
        <f t="shared" ref="AO40" si="74">IFERROR(IF(OR(C40="",G40="",M40="",O40="",R40="",T40="",V40="",X40="",AC40="",AG40="",AI40="",AK40=""),"", IF(BE40&lt;=0, 0, BE40)),"")</f>
        <v/>
      </c>
      <c r="AP40" s="817"/>
      <c r="AQ40" s="817"/>
      <c r="AR40" s="819" t="str">
        <f>IFERROR(IF(OR(C40="",G40="",M40="",O40="",R40="",T40="",V40="",X40="",AC40="",AG40="",AI40="",AK40=""),"",IF(BY40&lt;&gt;"",BY40,IF(BP40&gt;0,BP40,ROUND(IF(AO40&lt;=0,0,MIN(BL40,BQ40)),2)))),"")</f>
        <v/>
      </c>
      <c r="AS40" s="820"/>
      <c r="AT40" s="820"/>
      <c r="AU40" s="821"/>
      <c r="AV40" s="17"/>
      <c r="AX40" s="773" t="str">
        <f>IFERROR(IF(OR(C40="",G40="",M40="",O40="",R40="",T40="",V40="",X40="",AC40="",AG40="",AI40="",AK40=""),"",INDEX(CLLIGHT[Current Unit],MATCH(G40,CLLIGHT[Measure Name],0))),"Err")</f>
        <v/>
      </c>
      <c r="AY40" s="759" t="str">
        <f t="shared" ref="AY40" si="75">IF(V40="", "",  V40)</f>
        <v/>
      </c>
      <c r="AZ40" s="759" t="str">
        <f t="shared" ref="AZ40" si="76">IF(V40="", "",  V40)</f>
        <v/>
      </c>
      <c r="BA40" s="771"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B40" s="771"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C40" s="773" t="str">
        <f>IFERROR(IF(OR(C40="",G40="",M40="",O40="",R40="",T40="",V40="",X40="",AC40="",AG40="",AI40="",AK40=""),"",INDEX(CLLIGHT[End Use],MATCH(G40,CLLIGHT[Measure Name],0))),"Err")</f>
        <v/>
      </c>
      <c r="BD40" s="757" t="str">
        <f>IFERROR(IF(OR(C40="",G40="",M40="",O40="",R40="",T40="",V40="",X40="",AC40="",AG40="",AI40="",AK40=""),"",INDEX(CLLIGHT[Reporting Methodology],MATCH(G40,CLLIGHT[Measure Name],0))),"Err")</f>
        <v/>
      </c>
      <c r="BE40" s="775" t="str">
        <f t="shared" ref="BE40" si="77">IF(AND(BA40&lt;&gt;"", BB40&lt;&gt;""), ROUND(BA40-BB40,4), "")</f>
        <v/>
      </c>
      <c r="BF40" s="775" t="str">
        <f>IFERROR(IF(OR(C40="",G40="",M40="",O40="",R40="",T40="",V40="",X40="",AC40="",AG40="",AI40="",AK40=""),"",
IF(BA40&lt;=BB40,0,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775" t="str">
        <f>IFERROR(IF(OR(C40="",G40="",M40="",O40="",R40="",T40="",V40="",X40="",AC40="",AG40="",AI40="", AK40=""),"",ROUND(AO40*INDEX(ENDUSEALL[Factor],MATCH(BC40,ENDUSEALL[End Use to Coincident Peak Demand Factors],0)),4)),"")</f>
        <v/>
      </c>
      <c r="BH40" s="761"/>
      <c r="BI40" s="761"/>
      <c r="BJ40" s="777" t="str">
        <f>IFERROR(INDEX(CLLIGHT[Measure Life (Years)],MATCH(G40,CLLIGHT[Measure Name],0)),"")</f>
        <v/>
      </c>
      <c r="BK40" s="767" t="str">
        <f>IFERROR(IF(OR(C40="",G40="",M40="",O40="",R40="",T40="",V40="",X40="",AC40="",AG40="",AI40="",AK40=""),"",
ROUND(((1+ELOSS)*((BE40*INDEX(ELECCB[NPV AEC $/kWh],MATCH(BJ40,ELECCB[Year Number],1)))+(BF40*INDEX(ELECCB[NPV ACC $/kW],MATCH(BJ40,ELECCB[Year Number],1))))),2)),0)</f>
        <v/>
      </c>
      <c r="BL40" s="767" t="str">
        <f t="shared" si="2"/>
        <v/>
      </c>
      <c r="BM40" s="765"/>
      <c r="BN40" s="763" t="str">
        <f t="shared" si="3"/>
        <v/>
      </c>
      <c r="BO40" s="763" t="str">
        <f>IFERROR(IF(BM40 &lt;&gt; "", BM40, BL40) / M02S04F06 / AO40, "")</f>
        <v/>
      </c>
      <c r="BP40" s="769"/>
      <c r="BQ40" s="767" t="str">
        <f t="shared" ref="BQ40" si="78">IFERROR(ROUND(V40*AM40, 2), "")</f>
        <v/>
      </c>
      <c r="BR40" s="767"/>
      <c r="BS40" s="765"/>
      <c r="BT40" s="765"/>
      <c r="BU40" s="757" t="str">
        <f t="shared" ref="BU40" si="79">IFERROR(IF(BP40="",IF(AND(AO40&gt;0, AR40 &lt; BQ40), "100% Total Cost", ""), ""), "")</f>
        <v/>
      </c>
      <c r="BV40" s="767"/>
      <c r="BW40" s="757" t="str">
        <f>IFERROR(IF(OR(C40="",G40="",M40="",O40="",R40="",T40="",V40="",X40="",AC40="",AG40="",AI40="",AK40=""),"",IF(BY40&lt;&gt;"", SPILLOVERNUMBER, INDEX(CLLIGHT[Measure Number],MATCH(G40,CLLIGHT[Measure Name],0)))),"Err")</f>
        <v/>
      </c>
      <c r="BX40" s="757" t="str" cm="1">
        <f t="array" ref="BX40">IFERROR(INDEX(_xlfn.SWITCH(Program_Banner,"Business Energy Savings",CLLIGHT[Primary Key WBE],"Small Business / Non-Profit",CLLIGHT[Primary Key HTRB],0),MATCH(BW40,CLLIGHT[Measure Number],0)),"")</f>
        <v/>
      </c>
      <c r="BY40" s="757" t="str">
        <f>IFERROR(IF(OR(C40="",G40="",M40="",O40="",R40="",T40="",V40="",X40="",AC40="",AG40="",AI40="",AK40=""),"",
IF(BP40&gt;0,"",
IF(EXPIRATION&lt;&gt;"",PROJSTATEXP,
IF(M02S04F19="",MEASUREBLDG,
IF(BA40&lt;=BB40,MEASURESAVE,""))))),MEASURESUBMIT)</f>
        <v/>
      </c>
      <c r="BZ40" s="753"/>
      <c r="CA40" s="753"/>
      <c r="CB40" s="753"/>
      <c r="CC40" s="753"/>
    </row>
    <row r="41" spans="2:81" ht="15.95" customHeight="1">
      <c r="B41" s="785"/>
      <c r="C41" s="786"/>
      <c r="D41" s="787"/>
      <c r="E41" s="787"/>
      <c r="F41" s="788"/>
      <c r="G41" s="789"/>
      <c r="H41" s="790"/>
      <c r="I41" s="790"/>
      <c r="J41" s="790"/>
      <c r="K41" s="790"/>
      <c r="L41" s="867"/>
      <c r="M41" s="786"/>
      <c r="N41" s="788"/>
      <c r="O41" s="786"/>
      <c r="P41" s="787"/>
      <c r="Q41" s="788"/>
      <c r="R41" s="1233"/>
      <c r="S41" s="1234"/>
      <c r="T41" s="799"/>
      <c r="U41" s="800"/>
      <c r="V41" s="802"/>
      <c r="W41" s="802"/>
      <c r="X41" s="804"/>
      <c r="Y41" s="804"/>
      <c r="Z41" s="793"/>
      <c r="AA41" s="795"/>
      <c r="AB41" s="794"/>
      <c r="AC41" s="793"/>
      <c r="AD41" s="795"/>
      <c r="AE41" s="795"/>
      <c r="AF41" s="794"/>
      <c r="AG41" s="806"/>
      <c r="AH41" s="786"/>
      <c r="AI41" s="809"/>
      <c r="AJ41" s="810"/>
      <c r="AK41" s="810"/>
      <c r="AL41" s="812"/>
      <c r="AM41" s="815"/>
      <c r="AN41" s="816"/>
      <c r="AO41" s="818"/>
      <c r="AP41" s="818"/>
      <c r="AQ41" s="818"/>
      <c r="AR41" s="822"/>
      <c r="AS41" s="823"/>
      <c r="AT41" s="823"/>
      <c r="AU41" s="824"/>
      <c r="AV41" s="17"/>
      <c r="AX41" s="774"/>
      <c r="AY41" s="760"/>
      <c r="AZ41" s="760"/>
      <c r="BA41" s="772"/>
      <c r="BB41" s="772"/>
      <c r="BC41" s="774"/>
      <c r="BD41" s="758"/>
      <c r="BE41" s="776"/>
      <c r="BF41" s="776"/>
      <c r="BG41" s="776"/>
      <c r="BH41" s="762"/>
      <c r="BI41" s="762"/>
      <c r="BJ41" s="778"/>
      <c r="BK41" s="768"/>
      <c r="BL41" s="768"/>
      <c r="BM41" s="766"/>
      <c r="BN41" s="764"/>
      <c r="BO41" s="764"/>
      <c r="BP41" s="770"/>
      <c r="BQ41" s="768"/>
      <c r="BR41" s="768"/>
      <c r="BS41" s="766"/>
      <c r="BT41" s="766"/>
      <c r="BU41" s="758"/>
      <c r="BV41" s="768"/>
      <c r="BW41" s="758"/>
      <c r="BX41" s="758"/>
      <c r="BY41" s="758"/>
      <c r="BZ41" s="754"/>
      <c r="CA41" s="754"/>
      <c r="CB41" s="754"/>
      <c r="CC41" s="754"/>
    </row>
    <row r="42" spans="2:81" ht="15.95" customHeight="1">
      <c r="B42" s="785">
        <v>13</v>
      </c>
      <c r="C42" s="786"/>
      <c r="D42" s="787"/>
      <c r="E42" s="787"/>
      <c r="F42" s="788"/>
      <c r="G42" s="864"/>
      <c r="H42" s="865"/>
      <c r="I42" s="865"/>
      <c r="J42" s="865"/>
      <c r="K42" s="865"/>
      <c r="L42" s="866"/>
      <c r="M42" s="786"/>
      <c r="N42" s="788"/>
      <c r="O42" s="786"/>
      <c r="P42" s="787"/>
      <c r="Q42" s="788"/>
      <c r="R42" s="1231" t="str">
        <f>_xlfn.LET(
_xlpm.WATTS,
IFERROR(
INDEX(STDLIGHTINEFCAT2[System Wattage],MATCH('M04-S10'!$M42&amp;"_"&amp;
INDEX(CLLIGHT[Ineff Dropdown 2],MATCH('M04-S10'!$G42, CLLIGHT[Measure Name],0))
&amp;"_"&amp;O42,STDLIGHTINEFCAT2[Full Name],0)),
""),
IF(_xlpm.WATTS="","",_xlpm.WATTS))</f>
        <v/>
      </c>
      <c r="S42" s="1232"/>
      <c r="T42" s="799" t="str">
        <f t="shared" ref="T42" si="80">IF(C42="Permanent Lamp Removal",0,"")</f>
        <v/>
      </c>
      <c r="U42" s="800"/>
      <c r="V42" s="802"/>
      <c r="W42" s="802"/>
      <c r="X42" s="803"/>
      <c r="Y42" s="803"/>
      <c r="Z42" s="825"/>
      <c r="AA42" s="826"/>
      <c r="AB42" s="827"/>
      <c r="AC42" s="825"/>
      <c r="AD42" s="826"/>
      <c r="AE42" s="826"/>
      <c r="AF42" s="827"/>
      <c r="AG42" s="806"/>
      <c r="AH42" s="786"/>
      <c r="AI42" s="809"/>
      <c r="AJ42" s="810"/>
      <c r="AK42" s="810"/>
      <c r="AL42" s="812"/>
      <c r="AM42" s="813" t="str" cm="1">
        <f t="array" ref="AM42">IFERROR(IF(G42="","",IF(C42&lt;&gt;INDEX(CLLIGHT[Eff Category 1],MATCH(G42,CLLIGHT[Measure Name],0)),0,INDEX(IF(AND(ACTIVEBONUS = TRUE,INDEX(CLLIGHT[Bonus Incentive],MATCH(G42,CLLIGHT[Measure Name],0))&lt;&gt; ""),CLLIGHT[Bonus Incentive],_xlfn.SWITCH(Program_Banner,"Business Energy Savings",CLLIGHT[BESP Incentive],"Small Business / Non-Profit",CLLIGHT[SBNP Incentive],0)),MATCH(G42,CLLIGHT[Measure Name],0)))),"")</f>
        <v/>
      </c>
      <c r="AN42" s="814"/>
      <c r="AO42" s="817" t="str">
        <f t="shared" ref="AO42" si="81">IFERROR(IF(OR(C42="",G42="",M42="",O42="",R42="",T42="",V42="",X42="",AC42="",AG42="",AI42="",AK42=""),"", IF(BE42&lt;=0, 0, BE42)),"")</f>
        <v/>
      </c>
      <c r="AP42" s="817"/>
      <c r="AQ42" s="817"/>
      <c r="AR42" s="819" t="str">
        <f>IFERROR(IF(OR(C42="",G42="",M42="",O42="",R42="",T42="",V42="",X42="",AC42="",AG42="",AI42="",AK42=""),"",IF(BY42&lt;&gt;"",BY42,IF(BP42&gt;0,BP42,ROUND(IF(AO42&lt;=0,0,MIN(BL42,BQ42)),2)))),"")</f>
        <v/>
      </c>
      <c r="AS42" s="820"/>
      <c r="AT42" s="820"/>
      <c r="AU42" s="821"/>
      <c r="AV42" s="17"/>
      <c r="AX42" s="773" t="str">
        <f>IFERROR(IF(OR(C42="",G42="",M42="",O42="",R42="",T42="",V42="",X42="",AC42="",AG42="",AI42="",AK42=""),"",INDEX(CLLIGHT[Current Unit],MATCH(G42,CLLIGHT[Measure Name],0))),"Err")</f>
        <v/>
      </c>
      <c r="AY42" s="759" t="str">
        <f t="shared" ref="AY42" si="82">IF(V42="", "",  V42)</f>
        <v/>
      </c>
      <c r="AZ42" s="759" t="str">
        <f t="shared" ref="AZ42" si="83">IF(V42="", "",  V42)</f>
        <v/>
      </c>
      <c r="BA42" s="771"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B42" s="771"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C42" s="773" t="str">
        <f>IFERROR(IF(OR(C42="",G42="",M42="",O42="",R42="",T42="",V42="",X42="",AC42="",AG42="",AI42="",AK42=""),"",INDEX(CLLIGHT[End Use],MATCH(G42,CLLIGHT[Measure Name],0))),"Err")</f>
        <v/>
      </c>
      <c r="BD42" s="757" t="str">
        <f>IFERROR(IF(OR(C42="",G42="",M42="",O42="",R42="",T42="",V42="",X42="",AC42="",AG42="",AI42="",AK42=""),"",INDEX(CLLIGHT[Reporting Methodology],MATCH(G42,CLLIGHT[Measure Name],0))),"Err")</f>
        <v/>
      </c>
      <c r="BE42" s="775" t="str">
        <f t="shared" ref="BE42" si="84">IF(AND(BA42&lt;&gt;"", BB42&lt;&gt;""), ROUND(BA42-BB42,4), "")</f>
        <v/>
      </c>
      <c r="BF42" s="775" t="str">
        <f>IFERROR(IF(OR(C42="",G42="",M42="",O42="",R42="",T42="",V42="",X42="",AC42="",AG42="",AI42="",AK42=""),"",
IF(BA42&lt;=BB42,0,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775" t="str">
        <f>IFERROR(IF(OR(C42="",G42="",M42="",O42="",R42="",T42="",V42="",X42="",AC42="",AG42="",AI42="", AK42=""),"",ROUND(AO42*INDEX(ENDUSEALL[Factor],MATCH(BC42,ENDUSEALL[End Use to Coincident Peak Demand Factors],0)),4)),"")</f>
        <v/>
      </c>
      <c r="BH42" s="761"/>
      <c r="BI42" s="761"/>
      <c r="BJ42" s="777" t="str">
        <f>IFERROR(INDEX(CLLIGHT[Measure Life (Years)],MATCH(G42,CLLIGHT[Measure Name],0)),"")</f>
        <v/>
      </c>
      <c r="BK42" s="767" t="str">
        <f>IFERROR(IF(OR(C42="",G42="",M42="",O42="",R42="",T42="",V42="",X42="",AC42="",AG42="",AI42="",AK42=""),"",
ROUND(((1+ELOSS)*((BE42*INDEX(ELECCB[NPV AEC $/kWh],MATCH(BJ42,ELECCB[Year Number],1)))+(BF42*INDEX(ELECCB[NPV ACC $/kW],MATCH(BJ42,ELECCB[Year Number],1))))),2)),0)</f>
        <v/>
      </c>
      <c r="BL42" s="767" t="str">
        <f t="shared" si="2"/>
        <v/>
      </c>
      <c r="BM42" s="765"/>
      <c r="BN42" s="763" t="str">
        <f t="shared" si="3"/>
        <v/>
      </c>
      <c r="BO42" s="763" t="str">
        <f>IFERROR(IF(BM42 &lt;&gt; "", BM42, BL42) / M02S04F06 / AO42, "")</f>
        <v/>
      </c>
      <c r="BP42" s="769"/>
      <c r="BQ42" s="767" t="str">
        <f t="shared" ref="BQ42" si="85">IFERROR(ROUND(V42*AM42, 2), "")</f>
        <v/>
      </c>
      <c r="BR42" s="767"/>
      <c r="BS42" s="765"/>
      <c r="BT42" s="765"/>
      <c r="BU42" s="757" t="str">
        <f t="shared" ref="BU42" si="86">IFERROR(IF(BP42="",IF(AND(AO42&gt;0, AR42 &lt; BQ42), "100% Total Cost", ""), ""), "")</f>
        <v/>
      </c>
      <c r="BV42" s="767"/>
      <c r="BW42" s="757" t="str">
        <f>IFERROR(IF(OR(C42="",G42="",M42="",O42="",R42="",T42="",V42="",X42="",AC42="",AG42="",AI42="",AK42=""),"",IF(BY42&lt;&gt;"", SPILLOVERNUMBER, INDEX(CLLIGHT[Measure Number],MATCH(G42,CLLIGHT[Measure Name],0)))),"Err")</f>
        <v/>
      </c>
      <c r="BX42" s="757" t="str" cm="1">
        <f t="array" ref="BX42">IFERROR(INDEX(_xlfn.SWITCH(Program_Banner,"Business Energy Savings",CLLIGHT[Primary Key WBE],"Small Business / Non-Profit",CLLIGHT[Primary Key HTRB],0),MATCH(BW42,CLLIGHT[Measure Number],0)),"")</f>
        <v/>
      </c>
      <c r="BY42" s="757" t="str">
        <f>IFERROR(IF(OR(C42="",G42="",M42="",O42="",R42="",T42="",V42="",X42="",AC42="",AG42="",AI42="",AK42=""),"",
IF(BP42&gt;0,"",
IF(EXPIRATION&lt;&gt;"",PROJSTATEXP,
IF(M02S04F19="",MEASUREBLDG,
IF(BA42&lt;=BB42,MEASURESAVE,""))))),MEASURESUBMIT)</f>
        <v/>
      </c>
      <c r="BZ42" s="753"/>
      <c r="CA42" s="753"/>
      <c r="CB42" s="753"/>
      <c r="CC42" s="753"/>
    </row>
    <row r="43" spans="2:81" ht="15.95" customHeight="1">
      <c r="B43" s="785"/>
      <c r="C43" s="786"/>
      <c r="D43" s="787"/>
      <c r="E43" s="787"/>
      <c r="F43" s="788"/>
      <c r="G43" s="789"/>
      <c r="H43" s="790"/>
      <c r="I43" s="790"/>
      <c r="J43" s="790"/>
      <c r="K43" s="790"/>
      <c r="L43" s="867"/>
      <c r="M43" s="786"/>
      <c r="N43" s="788"/>
      <c r="O43" s="786"/>
      <c r="P43" s="787"/>
      <c r="Q43" s="788"/>
      <c r="R43" s="1233"/>
      <c r="S43" s="1234"/>
      <c r="T43" s="799"/>
      <c r="U43" s="800"/>
      <c r="V43" s="802"/>
      <c r="W43" s="802"/>
      <c r="X43" s="804"/>
      <c r="Y43" s="804"/>
      <c r="Z43" s="793"/>
      <c r="AA43" s="795"/>
      <c r="AB43" s="794"/>
      <c r="AC43" s="793"/>
      <c r="AD43" s="795"/>
      <c r="AE43" s="795"/>
      <c r="AF43" s="794"/>
      <c r="AG43" s="806"/>
      <c r="AH43" s="786"/>
      <c r="AI43" s="809"/>
      <c r="AJ43" s="810"/>
      <c r="AK43" s="810"/>
      <c r="AL43" s="812"/>
      <c r="AM43" s="815"/>
      <c r="AN43" s="816"/>
      <c r="AO43" s="818"/>
      <c r="AP43" s="818"/>
      <c r="AQ43" s="818"/>
      <c r="AR43" s="822"/>
      <c r="AS43" s="823"/>
      <c r="AT43" s="823"/>
      <c r="AU43" s="824"/>
      <c r="AV43" s="17"/>
      <c r="AX43" s="774"/>
      <c r="AY43" s="760"/>
      <c r="AZ43" s="760"/>
      <c r="BA43" s="772"/>
      <c r="BB43" s="772"/>
      <c r="BC43" s="774"/>
      <c r="BD43" s="758"/>
      <c r="BE43" s="776"/>
      <c r="BF43" s="776"/>
      <c r="BG43" s="776"/>
      <c r="BH43" s="762"/>
      <c r="BI43" s="762"/>
      <c r="BJ43" s="778"/>
      <c r="BK43" s="768"/>
      <c r="BL43" s="768"/>
      <c r="BM43" s="766"/>
      <c r="BN43" s="764"/>
      <c r="BO43" s="764"/>
      <c r="BP43" s="770"/>
      <c r="BQ43" s="768"/>
      <c r="BR43" s="768"/>
      <c r="BS43" s="766"/>
      <c r="BT43" s="766"/>
      <c r="BU43" s="758"/>
      <c r="BV43" s="768"/>
      <c r="BW43" s="758"/>
      <c r="BX43" s="758"/>
      <c r="BY43" s="758"/>
      <c r="BZ43" s="754"/>
      <c r="CA43" s="754"/>
      <c r="CB43" s="754"/>
      <c r="CC43" s="754"/>
    </row>
    <row r="44" spans="2:81" ht="15.95" customHeight="1">
      <c r="B44" s="785">
        <v>14</v>
      </c>
      <c r="C44" s="786"/>
      <c r="D44" s="787"/>
      <c r="E44" s="787"/>
      <c r="F44" s="788"/>
      <c r="G44" s="791"/>
      <c r="H44" s="792"/>
      <c r="I44" s="792"/>
      <c r="J44" s="792"/>
      <c r="K44" s="792"/>
      <c r="L44" s="792"/>
      <c r="M44" s="786"/>
      <c r="N44" s="788"/>
      <c r="O44" s="786"/>
      <c r="P44" s="787"/>
      <c r="Q44" s="788"/>
      <c r="R44" s="1231" t="str">
        <f>_xlfn.LET(
_xlpm.WATTS,
IFERROR(
INDEX(STDLIGHTINEFCAT2[System Wattage],MATCH('M04-S10'!$M44&amp;"_"&amp;
INDEX(CLLIGHT[Ineff Dropdown 2],MATCH('M04-S10'!$G44, CLLIGHT[Measure Name],0))
&amp;"_"&amp;O44,STDLIGHTINEFCAT2[Full Name],0)),
""),
IF(_xlpm.WATTS="","",_xlpm.WATTS))</f>
        <v/>
      </c>
      <c r="S44" s="1232"/>
      <c r="T44" s="799" t="str">
        <f t="shared" ref="T44" si="87">IF(C44="Permanent Lamp Removal",0,"")</f>
        <v/>
      </c>
      <c r="U44" s="800"/>
      <c r="V44" s="802"/>
      <c r="W44" s="802"/>
      <c r="X44" s="803"/>
      <c r="Y44" s="803"/>
      <c r="Z44" s="825"/>
      <c r="AA44" s="826"/>
      <c r="AB44" s="827"/>
      <c r="AC44" s="825"/>
      <c r="AD44" s="826"/>
      <c r="AE44" s="826"/>
      <c r="AF44" s="827"/>
      <c r="AG44" s="806"/>
      <c r="AH44" s="786"/>
      <c r="AI44" s="809"/>
      <c r="AJ44" s="810"/>
      <c r="AK44" s="810"/>
      <c r="AL44" s="812"/>
      <c r="AM44" s="813" t="str" cm="1">
        <f t="array" ref="AM44">IFERROR(IF(G44="","",IF(C44&lt;&gt;INDEX(CLLIGHT[Eff Category 1],MATCH(G44,CLLIGHT[Measure Name],0)),0,INDEX(IF(AND(ACTIVEBONUS = TRUE,INDEX(CLLIGHT[Bonus Incentive],MATCH(G44,CLLIGHT[Measure Name],0))&lt;&gt; ""),CLLIGHT[Bonus Incentive],_xlfn.SWITCH(Program_Banner,"Business Energy Savings",CLLIGHT[BESP Incentive],"Small Business / Non-Profit",CLLIGHT[SBNP Incentive],0)),MATCH(G44,CLLIGHT[Measure Name],0)))),"")</f>
        <v/>
      </c>
      <c r="AN44" s="814"/>
      <c r="AO44" s="817" t="str">
        <f t="shared" ref="AO44" si="88">IFERROR(IF(OR(C44="",G44="",M44="",O44="",R44="",T44="",V44="",X44="",AC44="",AG44="",AI44="",AK44=""),"", IF(BE44&lt;=0, 0, BE44)),"")</f>
        <v/>
      </c>
      <c r="AP44" s="817"/>
      <c r="AQ44" s="817"/>
      <c r="AR44" s="819" t="str">
        <f>IFERROR(IF(OR(C44="",G44="",M44="",O44="",R44="",T44="",V44="",X44="",AC44="",AG44="",AI44="",AK44=""),"",IF(BY44&lt;&gt;"",BY44,IF(BP44&gt;0,BP44,ROUND(IF(AO44&lt;=0,0,MIN(BL44,BQ44)),2)))),"")</f>
        <v/>
      </c>
      <c r="AS44" s="820"/>
      <c r="AT44" s="820"/>
      <c r="AU44" s="821"/>
      <c r="AV44" s="17"/>
      <c r="AX44" s="773" t="str">
        <f>IFERROR(IF(OR(C44="",G44="",M44="",O44="",R44="",T44="",V44="",X44="",AC44="",AG44="",AI44="",AK44=""),"",INDEX(CLLIGHT[Current Unit],MATCH(G44,CLLIGHT[Measure Name],0))),"Err")</f>
        <v/>
      </c>
      <c r="AY44" s="759" t="str">
        <f t="shared" ref="AY44" si="89">IF(V44="", "",  V44)</f>
        <v/>
      </c>
      <c r="AZ44" s="759" t="str">
        <f t="shared" ref="AZ44" si="90">IF(V44="", "",  V44)</f>
        <v/>
      </c>
      <c r="BA44" s="771"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B44" s="771"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C44" s="773" t="str">
        <f>IFERROR(IF(OR(C44="",G44="",M44="",O44="",R44="",T44="",V44="",X44="",AC44="",AG44="",AI44="",AK44=""),"",INDEX(CLLIGHT[End Use],MATCH(G44,CLLIGHT[Measure Name],0))),"Err")</f>
        <v/>
      </c>
      <c r="BD44" s="757" t="str">
        <f>IFERROR(IF(OR(C44="",G44="",M44="",O44="",R44="",T44="",V44="",X44="",AC44="",AG44="",AI44="",AK44=""),"",INDEX(CLLIGHT[Reporting Methodology],MATCH(G44,CLLIGHT[Measure Name],0))),"Err")</f>
        <v/>
      </c>
      <c r="BE44" s="775" t="str">
        <f t="shared" ref="BE44" si="91">IF(AND(BA44&lt;&gt;"", BB44&lt;&gt;""), ROUND(BA44-BB44,4), "")</f>
        <v/>
      </c>
      <c r="BF44" s="775" t="str">
        <f>IFERROR(IF(OR(C44="",G44="",M44="",O44="",R44="",T44="",V44="",X44="",AC44="",AG44="",AI44="",AK44=""),"",
IF(BA44&lt;=BB44,0,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775" t="str">
        <f>IFERROR(IF(OR(C44="",G44="",M44="",O44="",R44="",T44="",V44="",X44="",AC44="",AG44="",AI44="", AK44=""),"",ROUND(AO44*INDEX(ENDUSEALL[Factor],MATCH(BC44,ENDUSEALL[End Use to Coincident Peak Demand Factors],0)),4)),"")</f>
        <v/>
      </c>
      <c r="BH44" s="761"/>
      <c r="BI44" s="761"/>
      <c r="BJ44" s="777" t="str">
        <f>IFERROR(INDEX(CLLIGHT[Measure Life (Years)],MATCH(G44,CLLIGHT[Measure Name],0)),"")</f>
        <v/>
      </c>
      <c r="BK44" s="767" t="str">
        <f>IFERROR(IF(OR(C44="",G44="",M44="",O44="",R44="",T44="",V44="",X44="",AC44="",AG44="",AI44="",AK44=""),"",
ROUND(((1+ELOSS)*((BE44*INDEX(ELECCB[NPV AEC $/kWh],MATCH(BJ44,ELECCB[Year Number],1)))+(BF44*INDEX(ELECCB[NPV ACC $/kW],MATCH(BJ44,ELECCB[Year Number],1))))),2)),0)</f>
        <v/>
      </c>
      <c r="BL44" s="767" t="str">
        <f t="shared" si="2"/>
        <v/>
      </c>
      <c r="BM44" s="765"/>
      <c r="BN44" s="763" t="str">
        <f t="shared" si="3"/>
        <v/>
      </c>
      <c r="BO44" s="763" t="str">
        <f>IFERROR(IF(BM44 &lt;&gt; "", BM44, BL44) / M02S04F06 / AO44, "")</f>
        <v/>
      </c>
      <c r="BP44" s="769"/>
      <c r="BQ44" s="767" t="str">
        <f t="shared" ref="BQ44" si="92">IFERROR(ROUND(V44*AM44, 2), "")</f>
        <v/>
      </c>
      <c r="BR44" s="767"/>
      <c r="BS44" s="765"/>
      <c r="BT44" s="765"/>
      <c r="BU44" s="757" t="str">
        <f t="shared" ref="BU44" si="93">IFERROR(IF(BP44="",IF(AND(AO44&gt;0, AR44 &lt; BQ44), "100% Total Cost", ""), ""), "")</f>
        <v/>
      </c>
      <c r="BV44" s="767"/>
      <c r="BW44" s="757" t="str">
        <f>IFERROR(IF(OR(C44="",G44="",M44="",O44="",R44="",T44="",V44="",X44="",AC44="",AG44="",AI44="",AK44=""),"",IF(BY44&lt;&gt;"", SPILLOVERNUMBER, INDEX(CLLIGHT[Measure Number],MATCH(G44,CLLIGHT[Measure Name],0)))),"Err")</f>
        <v/>
      </c>
      <c r="BX44" s="757" t="str" cm="1">
        <f t="array" ref="BX44">IFERROR(INDEX(_xlfn.SWITCH(Program_Banner,"Business Energy Savings",CLLIGHT[Primary Key WBE],"Small Business / Non-Profit",CLLIGHT[Primary Key HTRB],0),MATCH(BW44,CLLIGHT[Measure Number],0)),"")</f>
        <v/>
      </c>
      <c r="BY44" s="757" t="str">
        <f>IFERROR(IF(OR(C44="",G44="",M44="",O44="",R44="",T44="",V44="",X44="",AC44="",AG44="",AI44="",AK44=""),"",
IF(BP44&gt;0,"",
IF(EXPIRATION&lt;&gt;"",PROJSTATEXP,
IF(M02S04F19="",MEASUREBLDG,
IF(BA44&lt;=BB44,MEASURESAVE,""))))),MEASURESUBMIT)</f>
        <v/>
      </c>
      <c r="BZ44" s="753"/>
      <c r="CA44" s="753"/>
      <c r="CB44" s="753"/>
      <c r="CC44" s="753"/>
    </row>
    <row r="45" spans="2:81" ht="15.95" customHeight="1">
      <c r="B45" s="785"/>
      <c r="C45" s="786"/>
      <c r="D45" s="787"/>
      <c r="E45" s="787"/>
      <c r="F45" s="788"/>
      <c r="G45" s="791"/>
      <c r="H45" s="792"/>
      <c r="I45" s="792"/>
      <c r="J45" s="792"/>
      <c r="K45" s="792"/>
      <c r="L45" s="792"/>
      <c r="M45" s="786"/>
      <c r="N45" s="788"/>
      <c r="O45" s="786"/>
      <c r="P45" s="787"/>
      <c r="Q45" s="788"/>
      <c r="R45" s="1233"/>
      <c r="S45" s="1234"/>
      <c r="T45" s="799"/>
      <c r="U45" s="800"/>
      <c r="V45" s="802"/>
      <c r="W45" s="802"/>
      <c r="X45" s="804"/>
      <c r="Y45" s="804"/>
      <c r="Z45" s="793"/>
      <c r="AA45" s="795"/>
      <c r="AB45" s="794"/>
      <c r="AC45" s="793"/>
      <c r="AD45" s="795"/>
      <c r="AE45" s="795"/>
      <c r="AF45" s="794"/>
      <c r="AG45" s="806"/>
      <c r="AH45" s="786"/>
      <c r="AI45" s="809"/>
      <c r="AJ45" s="810"/>
      <c r="AK45" s="810"/>
      <c r="AL45" s="812"/>
      <c r="AM45" s="815"/>
      <c r="AN45" s="816"/>
      <c r="AO45" s="818"/>
      <c r="AP45" s="818"/>
      <c r="AQ45" s="818"/>
      <c r="AR45" s="822"/>
      <c r="AS45" s="823"/>
      <c r="AT45" s="823"/>
      <c r="AU45" s="824"/>
      <c r="AV45" s="17"/>
      <c r="AX45" s="774"/>
      <c r="AY45" s="760"/>
      <c r="AZ45" s="760"/>
      <c r="BA45" s="772"/>
      <c r="BB45" s="772"/>
      <c r="BC45" s="774"/>
      <c r="BD45" s="758"/>
      <c r="BE45" s="776"/>
      <c r="BF45" s="776"/>
      <c r="BG45" s="776"/>
      <c r="BH45" s="762"/>
      <c r="BI45" s="762"/>
      <c r="BJ45" s="778"/>
      <c r="BK45" s="768"/>
      <c r="BL45" s="768"/>
      <c r="BM45" s="766"/>
      <c r="BN45" s="764"/>
      <c r="BO45" s="764"/>
      <c r="BP45" s="770"/>
      <c r="BQ45" s="768"/>
      <c r="BR45" s="768"/>
      <c r="BS45" s="766"/>
      <c r="BT45" s="766"/>
      <c r="BU45" s="758"/>
      <c r="BV45" s="768"/>
      <c r="BW45" s="758"/>
      <c r="BX45" s="758"/>
      <c r="BY45" s="758"/>
      <c r="BZ45" s="754"/>
      <c r="CA45" s="754"/>
      <c r="CB45" s="754"/>
      <c r="CC45" s="754"/>
    </row>
    <row r="46" spans="2:81" ht="15.95" customHeight="1">
      <c r="B46" s="785">
        <v>15</v>
      </c>
      <c r="C46" s="786"/>
      <c r="D46" s="787"/>
      <c r="E46" s="787"/>
      <c r="F46" s="788"/>
      <c r="G46" s="789"/>
      <c r="H46" s="790"/>
      <c r="I46" s="790"/>
      <c r="J46" s="790"/>
      <c r="K46" s="790"/>
      <c r="L46" s="790"/>
      <c r="M46" s="793"/>
      <c r="N46" s="794"/>
      <c r="O46" s="793"/>
      <c r="P46" s="795"/>
      <c r="Q46" s="794"/>
      <c r="R46" s="1231" t="str">
        <f>_xlfn.LET(
_xlpm.WATTS,
IFERROR(
INDEX(STDLIGHTINEFCAT2[System Wattage],MATCH('M04-S10'!$M46&amp;"_"&amp;
INDEX(CLLIGHT[Ineff Dropdown 2],MATCH('M04-S10'!$G46, CLLIGHT[Measure Name],0))
&amp;"_"&amp;O46,STDLIGHTINEFCAT2[Full Name],0)),
""),
IF(_xlpm.WATTS="","",_xlpm.WATTS))</f>
        <v/>
      </c>
      <c r="S46" s="1232"/>
      <c r="T46" s="799" t="str">
        <f t="shared" ref="T46" si="94">IF(C46="Permanent Lamp Removal",0,"")</f>
        <v/>
      </c>
      <c r="U46" s="800"/>
      <c r="V46" s="801"/>
      <c r="W46" s="801"/>
      <c r="X46" s="803"/>
      <c r="Y46" s="803"/>
      <c r="Z46" s="873"/>
      <c r="AA46" s="874"/>
      <c r="AB46" s="875"/>
      <c r="AC46" s="825"/>
      <c r="AD46" s="826"/>
      <c r="AE46" s="826"/>
      <c r="AF46" s="827"/>
      <c r="AG46" s="805"/>
      <c r="AH46" s="793"/>
      <c r="AI46" s="807"/>
      <c r="AJ46" s="808"/>
      <c r="AK46" s="808"/>
      <c r="AL46" s="811"/>
      <c r="AM46" s="813" t="str" cm="1">
        <f t="array" ref="AM46">IFERROR(IF(G46="","",IF(C46&lt;&gt;INDEX(CLLIGHT[Eff Category 1],MATCH(G46,CLLIGHT[Measure Name],0)),0,INDEX(IF(AND(ACTIVEBONUS = TRUE,INDEX(CLLIGHT[Bonus Incentive],MATCH(G46,CLLIGHT[Measure Name],0))&lt;&gt; ""),CLLIGHT[Bonus Incentive],_xlfn.SWITCH(Program_Banner,"Business Energy Savings",CLLIGHT[BESP Incentive],"Small Business / Non-Profit",CLLIGHT[SBNP Incentive],0)),MATCH(G46,CLLIGHT[Measure Name],0)))),"")</f>
        <v/>
      </c>
      <c r="AN46" s="814"/>
      <c r="AO46" s="817" t="str">
        <f t="shared" ref="AO46" si="95">IFERROR(IF(OR(C46="",G46="",M46="",O46="",R46="",T46="",V46="",X46="",AC46="",AG46="",AI46="",AK46=""),"", IF(BE46&lt;=0, 0, BE46)),"")</f>
        <v/>
      </c>
      <c r="AP46" s="817"/>
      <c r="AQ46" s="817"/>
      <c r="AR46" s="819" t="str">
        <f>IFERROR(IF(OR(C46="",G46="",M46="",O46="",R46="",T46="",V46="",X46="",AC46="",AG46="",AI46="",AK46=""),"",IF(BY46&lt;&gt;"",BY46,IF(BP46&gt;0,BP46,ROUND(IF(AO46&lt;=0,0,MIN(BL46,BQ46)),2)))),"")</f>
        <v/>
      </c>
      <c r="AS46" s="820"/>
      <c r="AT46" s="820"/>
      <c r="AU46" s="821"/>
      <c r="AV46" s="17"/>
      <c r="AX46" s="773" t="str">
        <f>IFERROR(IF(OR(C46="",G46="",M46="",O46="",R46="",T46="",V46="",X46="",AC46="",AG46="",AI46="",AK46=""),"",INDEX(CLLIGHT[Current Unit],MATCH(G46,CLLIGHT[Measure Name],0))),"Err")</f>
        <v/>
      </c>
      <c r="AY46" s="759" t="str">
        <f t="shared" ref="AY46" si="96">IF(V46="", "",  V46)</f>
        <v/>
      </c>
      <c r="AZ46" s="759" t="str">
        <f t="shared" ref="AZ46" si="97">IF(V46="", "",  V46)</f>
        <v/>
      </c>
      <c r="BA46" s="771"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B46" s="771"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C46" s="773" t="str">
        <f>IFERROR(IF(OR(C46="",G46="",M46="",O46="",R46="",T46="",V46="",X46="",AC46="",AG46="",AI46="",AK46=""),"",INDEX(CLLIGHT[End Use],MATCH(G46,CLLIGHT[Measure Name],0))),"Err")</f>
        <v/>
      </c>
      <c r="BD46" s="757" t="str">
        <f>IFERROR(IF(OR(C46="",G46="",M46="",O46="",R46="",T46="",V46="",X46="",AC46="",AG46="",AI46="",AK46=""),"",INDEX(CLLIGHT[Reporting Methodology],MATCH(G46,CLLIGHT[Measure Name],0))),"Err")</f>
        <v/>
      </c>
      <c r="BE46" s="775" t="str">
        <f t="shared" ref="BE46" si="98">IF(AND(BA46&lt;&gt;"", BB46&lt;&gt;""), ROUND(BA46-BB46,4), "")</f>
        <v/>
      </c>
      <c r="BF46" s="775" t="str">
        <f>IFERROR(IF(OR(C46="",G46="",M46="",O46="",R46="",T46="",V46="",X46="",AC46="",AG46="",AI46="",AK46=""),"",
IF(BA46&lt;=BB46,0,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775" t="str">
        <f>IFERROR(IF(OR(C46="",G46="",M46="",O46="",R46="",T46="",V46="",X46="",AC46="",AG46="",AI46="", AK46=""),"",ROUND(AO46*INDEX(ENDUSEALL[Factor],MATCH(BC46,ENDUSEALL[End Use to Coincident Peak Demand Factors],0)),4)),"")</f>
        <v/>
      </c>
      <c r="BH46" s="761"/>
      <c r="BI46" s="761"/>
      <c r="BJ46" s="777" t="str">
        <f>IFERROR(INDEX(CLLIGHT[Measure Life (Years)],MATCH(G46,CLLIGHT[Measure Name],0)),"")</f>
        <v/>
      </c>
      <c r="BK46" s="767" t="str">
        <f>IFERROR(IF(OR(C46="",G46="",M46="",O46="",R46="",T46="",V46="",X46="",AC46="",AG46="",AI46="",AK46=""),"",
ROUND(((1+ELOSS)*((BE46*INDEX(ELECCB[NPV AEC $/kWh],MATCH(BJ46,ELECCB[Year Number],1)))+(BF46*INDEX(ELECCB[NPV ACC $/kW],MATCH(BJ46,ELECCB[Year Number],1))))),2)),0)</f>
        <v/>
      </c>
      <c r="BL46" s="767" t="str">
        <f t="shared" si="2"/>
        <v/>
      </c>
      <c r="BM46" s="765"/>
      <c r="BN46" s="763" t="str">
        <f t="shared" si="3"/>
        <v/>
      </c>
      <c r="BO46" s="763" t="str">
        <f>IFERROR(IF(BM46 &lt;&gt; "", BM46, BL46) / M02S04F06 / AO46, "")</f>
        <v/>
      </c>
      <c r="BP46" s="769"/>
      <c r="BQ46" s="767" t="str">
        <f t="shared" ref="BQ46" si="99">IFERROR(ROUND(V46*AM46, 2), "")</f>
        <v/>
      </c>
      <c r="BR46" s="767"/>
      <c r="BS46" s="765"/>
      <c r="BT46" s="765"/>
      <c r="BU46" s="757" t="str">
        <f t="shared" ref="BU46" si="100">IFERROR(IF(BP46="",IF(AND(AO46&gt;0, AR46 &lt; BQ46), "100% Total Cost", ""), ""), "")</f>
        <v/>
      </c>
      <c r="BV46" s="767"/>
      <c r="BW46" s="757" t="str">
        <f>IFERROR(IF(OR(C46="",G46="",M46="",O46="",R46="",T46="",V46="",X46="",AC46="",AG46="",AI46="",AK46=""),"",IF(BY46&lt;&gt;"", SPILLOVERNUMBER, INDEX(CLLIGHT[Measure Number],MATCH(G46,CLLIGHT[Measure Name],0)))),"Err")</f>
        <v/>
      </c>
      <c r="BX46" s="757" t="str" cm="1">
        <f t="array" ref="BX46">IFERROR(INDEX(_xlfn.SWITCH(Program_Banner,"Business Energy Savings",CLLIGHT[Primary Key WBE],"Small Business / Non-Profit",CLLIGHT[Primary Key HTRB],0),MATCH(BW46,CLLIGHT[Measure Number],0)),"")</f>
        <v/>
      </c>
      <c r="BY46" s="757" t="str">
        <f>IFERROR(IF(OR(C46="",G46="",M46="",O46="",R46="",T46="",V46="",X46="",AC46="",AG46="",AI46="",AK46=""),"",
IF(BP46&gt;0,"",
IF(EXPIRATION&lt;&gt;"",PROJSTATEXP,
IF(M02S04F19="",MEASUREBLDG,
IF(BA46&lt;=BB46,MEASURESAVE,""))))),MEASURESUBMIT)</f>
        <v/>
      </c>
      <c r="BZ46" s="753"/>
      <c r="CA46" s="753"/>
      <c r="CB46" s="753"/>
      <c r="CC46" s="753"/>
    </row>
    <row r="47" spans="2:81" ht="15.95" customHeight="1">
      <c r="B47" s="785"/>
      <c r="C47" s="786"/>
      <c r="D47" s="787"/>
      <c r="E47" s="787"/>
      <c r="F47" s="788"/>
      <c r="G47" s="791"/>
      <c r="H47" s="792"/>
      <c r="I47" s="792"/>
      <c r="J47" s="792"/>
      <c r="K47" s="792"/>
      <c r="L47" s="792"/>
      <c r="M47" s="786"/>
      <c r="N47" s="788"/>
      <c r="O47" s="786"/>
      <c r="P47" s="787"/>
      <c r="Q47" s="788"/>
      <c r="R47" s="1233"/>
      <c r="S47" s="1234"/>
      <c r="T47" s="799"/>
      <c r="U47" s="800"/>
      <c r="V47" s="802"/>
      <c r="W47" s="802"/>
      <c r="X47" s="804"/>
      <c r="Y47" s="804"/>
      <c r="Z47" s="793"/>
      <c r="AA47" s="795"/>
      <c r="AB47" s="794"/>
      <c r="AC47" s="793"/>
      <c r="AD47" s="795"/>
      <c r="AE47" s="795"/>
      <c r="AF47" s="794"/>
      <c r="AG47" s="806"/>
      <c r="AH47" s="786"/>
      <c r="AI47" s="809"/>
      <c r="AJ47" s="810"/>
      <c r="AK47" s="810"/>
      <c r="AL47" s="812"/>
      <c r="AM47" s="815"/>
      <c r="AN47" s="816"/>
      <c r="AO47" s="818"/>
      <c r="AP47" s="818"/>
      <c r="AQ47" s="818"/>
      <c r="AR47" s="822"/>
      <c r="AS47" s="823"/>
      <c r="AT47" s="823"/>
      <c r="AU47" s="824"/>
      <c r="AV47" s="17"/>
      <c r="AX47" s="774"/>
      <c r="AY47" s="760"/>
      <c r="AZ47" s="760"/>
      <c r="BA47" s="772"/>
      <c r="BB47" s="772"/>
      <c r="BC47" s="774"/>
      <c r="BD47" s="758"/>
      <c r="BE47" s="776"/>
      <c r="BF47" s="776"/>
      <c r="BG47" s="776"/>
      <c r="BH47" s="762"/>
      <c r="BI47" s="762"/>
      <c r="BJ47" s="778"/>
      <c r="BK47" s="768"/>
      <c r="BL47" s="768"/>
      <c r="BM47" s="766"/>
      <c r="BN47" s="764"/>
      <c r="BO47" s="764"/>
      <c r="BP47" s="770"/>
      <c r="BQ47" s="768"/>
      <c r="BR47" s="768"/>
      <c r="BS47" s="766"/>
      <c r="BT47" s="766"/>
      <c r="BU47" s="758"/>
      <c r="BV47" s="768"/>
      <c r="BW47" s="758"/>
      <c r="BX47" s="758"/>
      <c r="BY47" s="758"/>
      <c r="BZ47" s="754"/>
      <c r="CA47" s="754"/>
      <c r="CB47" s="754"/>
      <c r="CC47" s="754"/>
    </row>
    <row r="48" spans="2:81" ht="15.95" customHeight="1">
      <c r="B48" s="785">
        <v>16</v>
      </c>
      <c r="C48" s="786"/>
      <c r="D48" s="787"/>
      <c r="E48" s="787"/>
      <c r="F48" s="788"/>
      <c r="G48" s="789"/>
      <c r="H48" s="790"/>
      <c r="I48" s="790"/>
      <c r="J48" s="790"/>
      <c r="K48" s="790"/>
      <c r="L48" s="790"/>
      <c r="M48" s="793"/>
      <c r="N48" s="794"/>
      <c r="O48" s="793"/>
      <c r="P48" s="795"/>
      <c r="Q48" s="794"/>
      <c r="R48" s="1231" t="str">
        <f>_xlfn.LET(
_xlpm.WATTS,
IFERROR(
INDEX(STDLIGHTINEFCAT2[System Wattage],MATCH('M04-S10'!$M48&amp;"_"&amp;
INDEX(CLLIGHT[Ineff Dropdown 2],MATCH('M04-S10'!$G48, CLLIGHT[Measure Name],0))
&amp;"_"&amp;O48,STDLIGHTINEFCAT2[Full Name],0)),
""),
IF(_xlpm.WATTS="","",_xlpm.WATTS))</f>
        <v/>
      </c>
      <c r="S48" s="1232"/>
      <c r="T48" s="799" t="str">
        <f t="shared" ref="T48" si="101">IF(C48="Permanent Lamp Removal",0,"")</f>
        <v/>
      </c>
      <c r="U48" s="800"/>
      <c r="V48" s="801"/>
      <c r="W48" s="801"/>
      <c r="X48" s="803"/>
      <c r="Y48" s="803"/>
      <c r="Z48" s="873"/>
      <c r="AA48" s="874"/>
      <c r="AB48" s="875"/>
      <c r="AC48" s="825"/>
      <c r="AD48" s="826"/>
      <c r="AE48" s="826"/>
      <c r="AF48" s="827"/>
      <c r="AG48" s="805"/>
      <c r="AH48" s="793"/>
      <c r="AI48" s="807"/>
      <c r="AJ48" s="808"/>
      <c r="AK48" s="808"/>
      <c r="AL48" s="811"/>
      <c r="AM48" s="813" t="str" cm="1">
        <f t="array" ref="AM48">IFERROR(IF(G48="","",IF(C48&lt;&gt;INDEX(CLLIGHT[Eff Category 1],MATCH(G48,CLLIGHT[Measure Name],0)),0,INDEX(IF(AND(ACTIVEBONUS = TRUE,INDEX(CLLIGHT[Bonus Incentive],MATCH(G48,CLLIGHT[Measure Name],0))&lt;&gt; ""),CLLIGHT[Bonus Incentive],_xlfn.SWITCH(Program_Banner,"Business Energy Savings",CLLIGHT[BESP Incentive],"Small Business / Non-Profit",CLLIGHT[SBNP Incentive],0)),MATCH(G48,CLLIGHT[Measure Name],0)))),"")</f>
        <v/>
      </c>
      <c r="AN48" s="814"/>
      <c r="AO48" s="817" t="str">
        <f t="shared" ref="AO48" si="102">IFERROR(IF(OR(C48="",G48="",M48="",O48="",R48="",T48="",V48="",X48="",AC48="",AG48="",AI48="",AK48=""),"", IF(BE48&lt;=0, 0, BE48)),"")</f>
        <v/>
      </c>
      <c r="AP48" s="817"/>
      <c r="AQ48" s="817"/>
      <c r="AR48" s="819" t="str">
        <f>IFERROR(IF(OR(C48="",G48="",M48="",O48="",R48="",T48="",V48="",X48="",AC48="",AG48="",AI48="",AK48=""),"",IF(BY48&lt;&gt;"",BY48,IF(BP48&gt;0,BP48,ROUND(IF(AO48&lt;=0,0,MIN(BL48,BQ48)),2)))),"")</f>
        <v/>
      </c>
      <c r="AS48" s="820"/>
      <c r="AT48" s="820"/>
      <c r="AU48" s="821"/>
      <c r="AV48" s="17"/>
      <c r="AX48" s="773" t="str">
        <f>IFERROR(IF(OR(C48="",G48="",M48="",O48="",R48="",T48="",V48="",X48="",AC48="",AG48="",AI48="",AK48=""),"",INDEX(CLLIGHT[Current Unit],MATCH(G48,CLLIGHT[Measure Name],0))),"Err")</f>
        <v/>
      </c>
      <c r="AY48" s="759" t="str">
        <f t="shared" ref="AY48" si="103">IF(V48="", "",  V48)</f>
        <v/>
      </c>
      <c r="AZ48" s="759" t="str">
        <f t="shared" ref="AZ48" si="104">IF(V48="", "",  V48)</f>
        <v/>
      </c>
      <c r="BA48" s="771"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B48" s="771"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C48" s="773" t="str">
        <f>IFERROR(IF(OR(C48="",G48="",M48="",O48="",R48="",T48="",V48="",X48="",AC48="",AG48="",AI48="",AK48=""),"",INDEX(CLLIGHT[End Use],MATCH(G48,CLLIGHT[Measure Name],0))),"Err")</f>
        <v/>
      </c>
      <c r="BD48" s="757" t="str">
        <f>IFERROR(IF(OR(C48="",G48="",M48="",O48="",R48="",T48="",V48="",X48="",AC48="",AG48="",AI48="",AK48=""),"",INDEX(CLLIGHT[Reporting Methodology],MATCH(G48,CLLIGHT[Measure Name],0))),"Err")</f>
        <v/>
      </c>
      <c r="BE48" s="775" t="str">
        <f t="shared" ref="BE48" si="105">IF(AND(BA48&lt;&gt;"", BB48&lt;&gt;""), ROUND(BA48-BB48,4), "")</f>
        <v/>
      </c>
      <c r="BF48" s="775" t="str">
        <f>IFERROR(IF(OR(C48="",G48="",M48="",O48="",R48="",T48="",V48="",X48="",AC48="",AG48="",AI48="",AK48=""),"",
IF(BA48&lt;=BB48,0,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775" t="str">
        <f>IFERROR(IF(OR(C48="",G48="",M48="",O48="",R48="",T48="",V48="",X48="",AC48="",AG48="",AI48="", AK48=""),"",ROUND(AO48*INDEX(ENDUSEALL[Factor],MATCH(BC48,ENDUSEALL[End Use to Coincident Peak Demand Factors],0)),4)),"")</f>
        <v/>
      </c>
      <c r="BH48" s="761"/>
      <c r="BI48" s="761"/>
      <c r="BJ48" s="777" t="str">
        <f>IFERROR(INDEX(CLLIGHT[Measure Life (Years)],MATCH(G48,CLLIGHT[Measure Name],0)),"")</f>
        <v/>
      </c>
      <c r="BK48" s="767" t="str">
        <f>IFERROR(IF(OR(C48="",G48="",M48="",O48="",R48="",T48="",V48="",X48="",AC48="",AG48="",AI48="",AK48=""),"",
ROUND(((1+ELOSS)*((BE48*INDEX(ELECCB[NPV AEC $/kWh],MATCH(BJ48,ELECCB[Year Number],1)))+(BF48*INDEX(ELECCB[NPV ACC $/kW],MATCH(BJ48,ELECCB[Year Number],1))))),2)),0)</f>
        <v/>
      </c>
      <c r="BL48" s="767" t="str">
        <f t="shared" si="2"/>
        <v/>
      </c>
      <c r="BM48" s="765"/>
      <c r="BN48" s="763" t="str">
        <f t="shared" si="3"/>
        <v/>
      </c>
      <c r="BO48" s="763" t="str">
        <f>IFERROR(IF(BM48 &lt;&gt; "", BM48, BL48) / M02S04F06 / AO48, "")</f>
        <v/>
      </c>
      <c r="BP48" s="769"/>
      <c r="BQ48" s="767" t="str">
        <f t="shared" ref="BQ48" si="106">IFERROR(ROUND(V48*AM48, 2), "")</f>
        <v/>
      </c>
      <c r="BR48" s="767"/>
      <c r="BS48" s="765"/>
      <c r="BT48" s="765"/>
      <c r="BU48" s="757" t="str">
        <f t="shared" ref="BU48" si="107">IFERROR(IF(BP48="",IF(AND(AO48&gt;0, AR48 &lt; BQ48), "100% Total Cost", ""), ""), "")</f>
        <v/>
      </c>
      <c r="BV48" s="767"/>
      <c r="BW48" s="757" t="str">
        <f>IFERROR(IF(OR(C48="",G48="",M48="",O48="",R48="",T48="",V48="",X48="",AC48="",AG48="",AI48="",AK48=""),"",IF(BY48&lt;&gt;"", SPILLOVERNUMBER, INDEX(CLLIGHT[Measure Number],MATCH(G48,CLLIGHT[Measure Name],0)))),"Err")</f>
        <v/>
      </c>
      <c r="BX48" s="757" t="str" cm="1">
        <f t="array" ref="BX48">IFERROR(INDEX(_xlfn.SWITCH(Program_Banner,"Business Energy Savings",CLLIGHT[Primary Key WBE],"Small Business / Non-Profit",CLLIGHT[Primary Key HTRB],0),MATCH(BW48,CLLIGHT[Measure Number],0)),"")</f>
        <v/>
      </c>
      <c r="BY48" s="757" t="str">
        <f>IFERROR(IF(OR(C48="",G48="",M48="",O48="",R48="",T48="",V48="",X48="",AC48="",AG48="",AI48="",AK48=""),"",
IF(BP48&gt;0,"",
IF(EXPIRATION&lt;&gt;"",PROJSTATEXP,
IF(M02S04F19="",MEASUREBLDG,
IF(BA48&lt;=BB48,MEASURESAVE,""))))),MEASURESUBMIT)</f>
        <v/>
      </c>
      <c r="BZ48" s="753"/>
      <c r="CA48" s="753"/>
      <c r="CB48" s="753"/>
      <c r="CC48" s="753"/>
    </row>
    <row r="49" spans="2:81" ht="15.95" customHeight="1">
      <c r="B49" s="785"/>
      <c r="C49" s="786"/>
      <c r="D49" s="787"/>
      <c r="E49" s="787"/>
      <c r="F49" s="788"/>
      <c r="G49" s="791"/>
      <c r="H49" s="792"/>
      <c r="I49" s="792"/>
      <c r="J49" s="792"/>
      <c r="K49" s="792"/>
      <c r="L49" s="792"/>
      <c r="M49" s="786"/>
      <c r="N49" s="788"/>
      <c r="O49" s="786"/>
      <c r="P49" s="787"/>
      <c r="Q49" s="788"/>
      <c r="R49" s="1233"/>
      <c r="S49" s="1234"/>
      <c r="T49" s="799"/>
      <c r="U49" s="800"/>
      <c r="V49" s="802"/>
      <c r="W49" s="802"/>
      <c r="X49" s="804"/>
      <c r="Y49" s="804"/>
      <c r="Z49" s="793"/>
      <c r="AA49" s="795"/>
      <c r="AB49" s="794"/>
      <c r="AC49" s="793"/>
      <c r="AD49" s="795"/>
      <c r="AE49" s="795"/>
      <c r="AF49" s="794"/>
      <c r="AG49" s="806"/>
      <c r="AH49" s="786"/>
      <c r="AI49" s="809"/>
      <c r="AJ49" s="810"/>
      <c r="AK49" s="810"/>
      <c r="AL49" s="812"/>
      <c r="AM49" s="815"/>
      <c r="AN49" s="816"/>
      <c r="AO49" s="818"/>
      <c r="AP49" s="818"/>
      <c r="AQ49" s="818"/>
      <c r="AR49" s="822"/>
      <c r="AS49" s="823"/>
      <c r="AT49" s="823"/>
      <c r="AU49" s="824"/>
      <c r="AV49" s="17"/>
      <c r="AX49" s="774"/>
      <c r="AY49" s="760"/>
      <c r="AZ49" s="760"/>
      <c r="BA49" s="772"/>
      <c r="BB49" s="772"/>
      <c r="BC49" s="774"/>
      <c r="BD49" s="758"/>
      <c r="BE49" s="776"/>
      <c r="BF49" s="776"/>
      <c r="BG49" s="776"/>
      <c r="BH49" s="762"/>
      <c r="BI49" s="762"/>
      <c r="BJ49" s="778"/>
      <c r="BK49" s="768"/>
      <c r="BL49" s="768"/>
      <c r="BM49" s="766"/>
      <c r="BN49" s="764"/>
      <c r="BO49" s="764"/>
      <c r="BP49" s="770"/>
      <c r="BQ49" s="768"/>
      <c r="BR49" s="768"/>
      <c r="BS49" s="766"/>
      <c r="BT49" s="766"/>
      <c r="BU49" s="758"/>
      <c r="BV49" s="768"/>
      <c r="BW49" s="758"/>
      <c r="BX49" s="758"/>
      <c r="BY49" s="758"/>
      <c r="BZ49" s="754"/>
      <c r="CA49" s="754"/>
      <c r="CB49" s="754"/>
      <c r="CC49" s="754"/>
    </row>
    <row r="50" spans="2:81" ht="15.95" customHeight="1">
      <c r="B50" s="785">
        <v>17</v>
      </c>
      <c r="C50" s="786"/>
      <c r="D50" s="787"/>
      <c r="E50" s="787"/>
      <c r="F50" s="788"/>
      <c r="G50" s="789"/>
      <c r="H50" s="790"/>
      <c r="I50" s="790"/>
      <c r="J50" s="790"/>
      <c r="K50" s="790"/>
      <c r="L50" s="790"/>
      <c r="M50" s="793"/>
      <c r="N50" s="794"/>
      <c r="O50" s="793"/>
      <c r="P50" s="795"/>
      <c r="Q50" s="794"/>
      <c r="R50" s="1231" t="str">
        <f>_xlfn.LET(
_xlpm.WATTS,
IFERROR(
INDEX(STDLIGHTINEFCAT2[System Wattage],MATCH('M04-S10'!$M50&amp;"_"&amp;
INDEX(CLLIGHT[Ineff Dropdown 2],MATCH('M04-S10'!$G50, CLLIGHT[Measure Name],0))
&amp;"_"&amp;O50,STDLIGHTINEFCAT2[Full Name],0)),
""),
IF(_xlpm.WATTS="","",_xlpm.WATTS))</f>
        <v/>
      </c>
      <c r="S50" s="1232"/>
      <c r="T50" s="799" t="str">
        <f t="shared" ref="T50" si="108">IF(C50="Permanent Lamp Removal",0,"")</f>
        <v/>
      </c>
      <c r="U50" s="800"/>
      <c r="V50" s="801"/>
      <c r="W50" s="801"/>
      <c r="X50" s="803"/>
      <c r="Y50" s="803"/>
      <c r="Z50" s="873"/>
      <c r="AA50" s="874"/>
      <c r="AB50" s="875"/>
      <c r="AC50" s="825"/>
      <c r="AD50" s="826"/>
      <c r="AE50" s="826"/>
      <c r="AF50" s="827"/>
      <c r="AG50" s="805"/>
      <c r="AH50" s="793"/>
      <c r="AI50" s="807"/>
      <c r="AJ50" s="808"/>
      <c r="AK50" s="808"/>
      <c r="AL50" s="811"/>
      <c r="AM50" s="813" t="str" cm="1">
        <f t="array" ref="AM50">IFERROR(IF(G50="","",IF(C50&lt;&gt;INDEX(CLLIGHT[Eff Category 1],MATCH(G50,CLLIGHT[Measure Name],0)),0,INDEX(IF(AND(ACTIVEBONUS = TRUE,INDEX(CLLIGHT[Bonus Incentive],MATCH(G50,CLLIGHT[Measure Name],0))&lt;&gt; ""),CLLIGHT[Bonus Incentive],_xlfn.SWITCH(Program_Banner,"Business Energy Savings",CLLIGHT[BESP Incentive],"Small Business / Non-Profit",CLLIGHT[SBNP Incentive],0)),MATCH(G50,CLLIGHT[Measure Name],0)))),"")</f>
        <v/>
      </c>
      <c r="AN50" s="814"/>
      <c r="AO50" s="817" t="str">
        <f t="shared" ref="AO50" si="109">IFERROR(IF(OR(C50="",G50="",M50="",O50="",R50="",T50="",V50="",X50="",AC50="",AG50="",AI50="",AK50=""),"", IF(BE50&lt;=0, 0, BE50)),"")</f>
        <v/>
      </c>
      <c r="AP50" s="817"/>
      <c r="AQ50" s="817"/>
      <c r="AR50" s="819" t="str">
        <f>IFERROR(IF(OR(C50="",G50="",M50="",O50="",R50="",T50="",V50="",X50="",AC50="",AG50="",AI50="",AK50=""),"",IF(BY50&lt;&gt;"",BY50,IF(BP50&gt;0,BP50,ROUND(IF(AO50&lt;=0,0,MIN(BL50,BQ50)),2)))),"")</f>
        <v/>
      </c>
      <c r="AS50" s="820"/>
      <c r="AT50" s="820"/>
      <c r="AU50" s="821"/>
      <c r="AV50" s="17"/>
      <c r="AX50" s="773" t="str">
        <f>IFERROR(IF(OR(C50="",G50="",M50="",O50="",R50="",T50="",V50="",X50="",AC50="",AG50="",AI50="",AK50=""),"",INDEX(CLLIGHT[Current Unit],MATCH(G50,CLLIGHT[Measure Name],0))),"Err")</f>
        <v/>
      </c>
      <c r="AY50" s="759" t="str">
        <f t="shared" ref="AY50" si="110">IF(V50="", "",  V50)</f>
        <v/>
      </c>
      <c r="AZ50" s="759" t="str">
        <f t="shared" ref="AZ50" si="111">IF(V50="", "",  V50)</f>
        <v/>
      </c>
      <c r="BA50" s="771"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B50" s="771"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C50" s="773" t="str">
        <f>IFERROR(IF(OR(C50="",G50="",M50="",O50="",R50="",T50="",V50="",X50="",AC50="",AG50="",AI50="",AK50=""),"",INDEX(CLLIGHT[End Use],MATCH(G50,CLLIGHT[Measure Name],0))),"Err")</f>
        <v/>
      </c>
      <c r="BD50" s="757" t="str">
        <f>IFERROR(IF(OR(C50="",G50="",M50="",O50="",R50="",T50="",V50="",X50="",AC50="",AG50="",AI50="",AK50=""),"",INDEX(CLLIGHT[Reporting Methodology],MATCH(G50,CLLIGHT[Measure Name],0))),"Err")</f>
        <v/>
      </c>
      <c r="BE50" s="775" t="str">
        <f t="shared" ref="BE50" si="112">IF(AND(BA50&lt;&gt;"", BB50&lt;&gt;""), ROUND(BA50-BB50,4), "")</f>
        <v/>
      </c>
      <c r="BF50" s="775" t="str">
        <f>IFERROR(IF(OR(C50="",G50="",M50="",O50="",R50="",T50="",V50="",X50="",AC50="",AG50="",AI50="",AK50=""),"",
IF(BA50&lt;=BB50,0,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775" t="str">
        <f>IFERROR(IF(OR(C50="",G50="",M50="",O50="",R50="",T50="",V50="",X50="",AC50="",AG50="",AI50="", AK50=""),"",ROUND(AO50*INDEX(ENDUSEALL[Factor],MATCH(BC50,ENDUSEALL[End Use to Coincident Peak Demand Factors],0)),4)),"")</f>
        <v/>
      </c>
      <c r="BH50" s="761"/>
      <c r="BI50" s="761"/>
      <c r="BJ50" s="777" t="str">
        <f>IFERROR(INDEX(CLLIGHT[Measure Life (Years)],MATCH(G50,CLLIGHT[Measure Name],0)),"")</f>
        <v/>
      </c>
      <c r="BK50" s="767" t="str">
        <f>IFERROR(IF(OR(C50="",G50="",M50="",O50="",R50="",T50="",V50="",X50="",AC50="",AG50="",AI50="",AK50=""),"",
ROUND(((1+ELOSS)*((BE50*INDEX(ELECCB[NPV AEC $/kWh],MATCH(BJ50,ELECCB[Year Number],1)))+(BF50*INDEX(ELECCB[NPV ACC $/kW],MATCH(BJ50,ELECCB[Year Number],1))))),2)),0)</f>
        <v/>
      </c>
      <c r="BL50" s="767" t="str">
        <f t="shared" si="2"/>
        <v/>
      </c>
      <c r="BM50" s="765"/>
      <c r="BN50" s="763" t="str">
        <f t="shared" si="3"/>
        <v/>
      </c>
      <c r="BO50" s="763" t="str">
        <f>IFERROR(IF(BM50 &lt;&gt; "", BM50, BL50) / M02S04F06 / AO50, "")</f>
        <v/>
      </c>
      <c r="BP50" s="769"/>
      <c r="BQ50" s="767" t="str">
        <f t="shared" ref="BQ50" si="113">IFERROR(ROUND(V50*AM50, 2), "")</f>
        <v/>
      </c>
      <c r="BR50" s="767"/>
      <c r="BS50" s="765"/>
      <c r="BT50" s="765"/>
      <c r="BU50" s="757" t="str">
        <f t="shared" ref="BU50" si="114">IFERROR(IF(BP50="",IF(AND(AO50&gt;0, AR50 &lt; BQ50), "100% Total Cost", ""), ""), "")</f>
        <v/>
      </c>
      <c r="BV50" s="767"/>
      <c r="BW50" s="757" t="str">
        <f>IFERROR(IF(OR(C50="",G50="",M50="",O50="",R50="",T50="",V50="",X50="",AC50="",AG50="",AI50="",AK50=""),"",IF(BY50&lt;&gt;"", SPILLOVERNUMBER, INDEX(CLLIGHT[Measure Number],MATCH(G50,CLLIGHT[Measure Name],0)))),"Err")</f>
        <v/>
      </c>
      <c r="BX50" s="757" t="str" cm="1">
        <f t="array" ref="BX50">IFERROR(INDEX(_xlfn.SWITCH(Program_Banner,"Business Energy Savings",CLLIGHT[Primary Key WBE],"Small Business / Non-Profit",CLLIGHT[Primary Key HTRB],0),MATCH(BW50,CLLIGHT[Measure Number],0)),"")</f>
        <v/>
      </c>
      <c r="BY50" s="757" t="str">
        <f>IFERROR(IF(OR(C50="",G50="",M50="",O50="",R50="",T50="",V50="",X50="",AC50="",AG50="",AI50="",AK50=""),"",
IF(BP50&gt;0,"",
IF(EXPIRATION&lt;&gt;"",PROJSTATEXP,
IF(M02S04F19="",MEASUREBLDG,
IF(BA50&lt;=BB50,MEASURESAVE,""))))),MEASURESUBMIT)</f>
        <v/>
      </c>
      <c r="BZ50" s="753"/>
      <c r="CA50" s="753"/>
      <c r="CB50" s="753"/>
      <c r="CC50" s="753"/>
    </row>
    <row r="51" spans="2:81" ht="15.95" customHeight="1">
      <c r="B51" s="785"/>
      <c r="C51" s="786"/>
      <c r="D51" s="787"/>
      <c r="E51" s="787"/>
      <c r="F51" s="788"/>
      <c r="G51" s="791"/>
      <c r="H51" s="792"/>
      <c r="I51" s="792"/>
      <c r="J51" s="792"/>
      <c r="K51" s="792"/>
      <c r="L51" s="792"/>
      <c r="M51" s="786"/>
      <c r="N51" s="788"/>
      <c r="O51" s="786"/>
      <c r="P51" s="787"/>
      <c r="Q51" s="788"/>
      <c r="R51" s="1233"/>
      <c r="S51" s="1234"/>
      <c r="T51" s="799"/>
      <c r="U51" s="800"/>
      <c r="V51" s="802"/>
      <c r="W51" s="802"/>
      <c r="X51" s="804"/>
      <c r="Y51" s="804"/>
      <c r="Z51" s="793"/>
      <c r="AA51" s="795"/>
      <c r="AB51" s="794"/>
      <c r="AC51" s="793"/>
      <c r="AD51" s="795"/>
      <c r="AE51" s="795"/>
      <c r="AF51" s="794"/>
      <c r="AG51" s="806"/>
      <c r="AH51" s="786"/>
      <c r="AI51" s="809"/>
      <c r="AJ51" s="810"/>
      <c r="AK51" s="810"/>
      <c r="AL51" s="812"/>
      <c r="AM51" s="815"/>
      <c r="AN51" s="816"/>
      <c r="AO51" s="818"/>
      <c r="AP51" s="818"/>
      <c r="AQ51" s="818"/>
      <c r="AR51" s="822"/>
      <c r="AS51" s="823"/>
      <c r="AT51" s="823"/>
      <c r="AU51" s="824"/>
      <c r="AV51" s="17"/>
      <c r="AX51" s="774"/>
      <c r="AY51" s="760"/>
      <c r="AZ51" s="760"/>
      <c r="BA51" s="772"/>
      <c r="BB51" s="772"/>
      <c r="BC51" s="774"/>
      <c r="BD51" s="758"/>
      <c r="BE51" s="776"/>
      <c r="BF51" s="776"/>
      <c r="BG51" s="776"/>
      <c r="BH51" s="762"/>
      <c r="BI51" s="762"/>
      <c r="BJ51" s="778"/>
      <c r="BK51" s="768"/>
      <c r="BL51" s="768"/>
      <c r="BM51" s="766"/>
      <c r="BN51" s="764"/>
      <c r="BO51" s="764"/>
      <c r="BP51" s="770"/>
      <c r="BQ51" s="768"/>
      <c r="BR51" s="768"/>
      <c r="BS51" s="766"/>
      <c r="BT51" s="766"/>
      <c r="BU51" s="758"/>
      <c r="BV51" s="768"/>
      <c r="BW51" s="758"/>
      <c r="BX51" s="758"/>
      <c r="BY51" s="758"/>
      <c r="BZ51" s="754"/>
      <c r="CA51" s="754"/>
      <c r="CB51" s="754"/>
      <c r="CC51" s="754"/>
    </row>
    <row r="52" spans="2:81" ht="15.95" customHeight="1">
      <c r="B52" s="785">
        <v>18</v>
      </c>
      <c r="C52" s="786"/>
      <c r="D52" s="787"/>
      <c r="E52" s="787"/>
      <c r="F52" s="788"/>
      <c r="G52" s="789"/>
      <c r="H52" s="790"/>
      <c r="I52" s="790"/>
      <c r="J52" s="790"/>
      <c r="K52" s="790"/>
      <c r="L52" s="790"/>
      <c r="M52" s="793"/>
      <c r="N52" s="794"/>
      <c r="O52" s="793"/>
      <c r="P52" s="795"/>
      <c r="Q52" s="794"/>
      <c r="R52" s="1231" t="str">
        <f>_xlfn.LET(
_xlpm.WATTS,
IFERROR(
INDEX(STDLIGHTINEFCAT2[System Wattage],MATCH('M04-S10'!$M52&amp;"_"&amp;
INDEX(CLLIGHT[Ineff Dropdown 2],MATCH('M04-S10'!$G52, CLLIGHT[Measure Name],0))
&amp;"_"&amp;O52,STDLIGHTINEFCAT2[Full Name],0)),
""),
IF(_xlpm.WATTS="","",_xlpm.WATTS))</f>
        <v/>
      </c>
      <c r="S52" s="1232"/>
      <c r="T52" s="799" t="str">
        <f t="shared" ref="T52" si="115">IF(C52="Permanent Lamp Removal",0,"")</f>
        <v/>
      </c>
      <c r="U52" s="800"/>
      <c r="V52" s="801"/>
      <c r="W52" s="801"/>
      <c r="X52" s="803"/>
      <c r="Y52" s="803"/>
      <c r="Z52" s="873"/>
      <c r="AA52" s="874"/>
      <c r="AB52" s="875"/>
      <c r="AC52" s="825"/>
      <c r="AD52" s="826"/>
      <c r="AE52" s="826"/>
      <c r="AF52" s="827"/>
      <c r="AG52" s="805"/>
      <c r="AH52" s="793"/>
      <c r="AI52" s="807"/>
      <c r="AJ52" s="808"/>
      <c r="AK52" s="808"/>
      <c r="AL52" s="811"/>
      <c r="AM52" s="813" t="str" cm="1">
        <f t="array" ref="AM52">IFERROR(IF(G52="","",IF(C52&lt;&gt;INDEX(CLLIGHT[Eff Category 1],MATCH(G52,CLLIGHT[Measure Name],0)),0,INDEX(IF(AND(ACTIVEBONUS = TRUE,INDEX(CLLIGHT[Bonus Incentive],MATCH(G52,CLLIGHT[Measure Name],0))&lt;&gt; ""),CLLIGHT[Bonus Incentive],_xlfn.SWITCH(Program_Banner,"Business Energy Savings",CLLIGHT[BESP Incentive],"Small Business / Non-Profit",CLLIGHT[SBNP Incentive],0)),MATCH(G52,CLLIGHT[Measure Name],0)))),"")</f>
        <v/>
      </c>
      <c r="AN52" s="814"/>
      <c r="AO52" s="817" t="str">
        <f t="shared" ref="AO52" si="116">IFERROR(IF(OR(C52="",G52="",M52="",O52="",R52="",T52="",V52="",X52="",AC52="",AG52="",AI52="",AK52=""),"", IF(BE52&lt;=0, 0, BE52)),"")</f>
        <v/>
      </c>
      <c r="AP52" s="817"/>
      <c r="AQ52" s="817"/>
      <c r="AR52" s="819" t="str">
        <f>IFERROR(IF(OR(C52="",G52="",M52="",O52="",R52="",T52="",V52="",X52="",AC52="",AG52="",AI52="",AK52=""),"",IF(BY52&lt;&gt;"",BY52,IF(BP52&gt;0,BP52,ROUND(IF(AO52&lt;=0,0,MIN(BL52,BQ52)),2)))),"")</f>
        <v/>
      </c>
      <c r="AS52" s="820"/>
      <c r="AT52" s="820"/>
      <c r="AU52" s="821"/>
      <c r="AV52" s="17"/>
      <c r="AX52" s="773" t="str">
        <f>IFERROR(IF(OR(C52="",G52="",M52="",O52="",R52="",T52="",V52="",X52="",AC52="",AG52="",AI52="",AK52=""),"",INDEX(CLLIGHT[Current Unit],MATCH(G52,CLLIGHT[Measure Name],0))),"Err")</f>
        <v/>
      </c>
      <c r="AY52" s="759" t="str">
        <f t="shared" ref="AY52" si="117">IF(V52="", "",  V52)</f>
        <v/>
      </c>
      <c r="AZ52" s="759" t="str">
        <f t="shared" ref="AZ52" si="118">IF(V52="", "",  V52)</f>
        <v/>
      </c>
      <c r="BA52" s="771"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B52" s="771"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C52" s="773" t="str">
        <f>IFERROR(IF(OR(C52="",G52="",M52="",O52="",R52="",T52="",V52="",X52="",AC52="",AG52="",AI52="",AK52=""),"",INDEX(CLLIGHT[End Use],MATCH(G52,CLLIGHT[Measure Name],0))),"Err")</f>
        <v/>
      </c>
      <c r="BD52" s="757" t="str">
        <f>IFERROR(IF(OR(C52="",G52="",M52="",O52="",R52="",T52="",V52="",X52="",AC52="",AG52="",AI52="",AK52=""),"",INDEX(CLLIGHT[Reporting Methodology],MATCH(G52,CLLIGHT[Measure Name],0))),"Err")</f>
        <v/>
      </c>
      <c r="BE52" s="775" t="str">
        <f t="shared" ref="BE52" si="119">IF(AND(BA52&lt;&gt;"", BB52&lt;&gt;""), ROUND(BA52-BB52,4), "")</f>
        <v/>
      </c>
      <c r="BF52" s="775" t="str">
        <f>IFERROR(IF(OR(C52="",G52="",M52="",O52="",R52="",T52="",V52="",X52="",AC52="",AG52="",AI52="",AK52=""),"",
IF(BA52&lt;=BB52,0,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775" t="str">
        <f>IFERROR(IF(OR(C52="",G52="",M52="",O52="",R52="",T52="",V52="",X52="",AC52="",AG52="",AI52="", AK52=""),"",ROUND(AO52*INDEX(ENDUSEALL[Factor],MATCH(BC52,ENDUSEALL[End Use to Coincident Peak Demand Factors],0)),4)),"")</f>
        <v/>
      </c>
      <c r="BH52" s="761"/>
      <c r="BI52" s="761"/>
      <c r="BJ52" s="777" t="str">
        <f>IFERROR(INDEX(CLLIGHT[Measure Life (Years)],MATCH(G52,CLLIGHT[Measure Name],0)),"")</f>
        <v/>
      </c>
      <c r="BK52" s="767" t="str">
        <f>IFERROR(IF(OR(C52="",G52="",M52="",O52="",R52="",T52="",V52="",X52="",AC52="",AG52="",AI52="",AK52=""),"",
ROUND(((1+ELOSS)*((BE52*INDEX(ELECCB[NPV AEC $/kWh],MATCH(BJ52,ELECCB[Year Number],1)))+(BF52*INDEX(ELECCB[NPV ACC $/kW],MATCH(BJ52,ELECCB[Year Number],1))))),2)),0)</f>
        <v/>
      </c>
      <c r="BL52" s="767" t="str">
        <f t="shared" si="2"/>
        <v/>
      </c>
      <c r="BM52" s="765"/>
      <c r="BN52" s="763" t="str">
        <f t="shared" si="3"/>
        <v/>
      </c>
      <c r="BO52" s="763" t="str">
        <f>IFERROR(IF(BM52 &lt;&gt; "", BM52, BL52) / M02S04F06 / AO52, "")</f>
        <v/>
      </c>
      <c r="BP52" s="769"/>
      <c r="BQ52" s="767" t="str">
        <f t="shared" ref="BQ52" si="120">IFERROR(ROUND(V52*AM52, 2), "")</f>
        <v/>
      </c>
      <c r="BR52" s="767"/>
      <c r="BS52" s="765"/>
      <c r="BT52" s="765"/>
      <c r="BU52" s="757" t="str">
        <f t="shared" ref="BU52" si="121">IFERROR(IF(BP52="",IF(AND(AO52&gt;0, AR52 &lt; BQ52), "100% Total Cost", ""), ""), "")</f>
        <v/>
      </c>
      <c r="BV52" s="767"/>
      <c r="BW52" s="757" t="str">
        <f>IFERROR(IF(OR(C52="",G52="",M52="",O52="",R52="",T52="",V52="",X52="",AC52="",AG52="",AI52="",AK52=""),"",IF(BY52&lt;&gt;"", SPILLOVERNUMBER, INDEX(CLLIGHT[Measure Number],MATCH(G52,CLLIGHT[Measure Name],0)))),"Err")</f>
        <v/>
      </c>
      <c r="BX52" s="757" t="str" cm="1">
        <f t="array" ref="BX52">IFERROR(INDEX(_xlfn.SWITCH(Program_Banner,"Business Energy Savings",CLLIGHT[Primary Key WBE],"Small Business / Non-Profit",CLLIGHT[Primary Key HTRB],0),MATCH(BW52,CLLIGHT[Measure Number],0)),"")</f>
        <v/>
      </c>
      <c r="BY52" s="757" t="str">
        <f>IFERROR(IF(OR(C52="",G52="",M52="",O52="",R52="",T52="",V52="",X52="",AC52="",AG52="",AI52="",AK52=""),"",
IF(BP52&gt;0,"",
IF(EXPIRATION&lt;&gt;"",PROJSTATEXP,
IF(M02S04F19="",MEASUREBLDG,
IF(BA52&lt;=BB52,MEASURESAVE,""))))),MEASURESUBMIT)</f>
        <v/>
      </c>
      <c r="BZ52" s="753"/>
      <c r="CA52" s="753"/>
      <c r="CB52" s="753"/>
      <c r="CC52" s="753"/>
    </row>
    <row r="53" spans="2:81" ht="15.95" customHeight="1">
      <c r="B53" s="785"/>
      <c r="C53" s="786"/>
      <c r="D53" s="787"/>
      <c r="E53" s="787"/>
      <c r="F53" s="788"/>
      <c r="G53" s="791"/>
      <c r="H53" s="792"/>
      <c r="I53" s="792"/>
      <c r="J53" s="792"/>
      <c r="K53" s="792"/>
      <c r="L53" s="792"/>
      <c r="M53" s="786"/>
      <c r="N53" s="788"/>
      <c r="O53" s="786"/>
      <c r="P53" s="787"/>
      <c r="Q53" s="788"/>
      <c r="R53" s="1233"/>
      <c r="S53" s="1234"/>
      <c r="T53" s="799"/>
      <c r="U53" s="800"/>
      <c r="V53" s="802"/>
      <c r="W53" s="802"/>
      <c r="X53" s="804"/>
      <c r="Y53" s="804"/>
      <c r="Z53" s="793"/>
      <c r="AA53" s="795"/>
      <c r="AB53" s="794"/>
      <c r="AC53" s="793"/>
      <c r="AD53" s="795"/>
      <c r="AE53" s="795"/>
      <c r="AF53" s="794"/>
      <c r="AG53" s="806"/>
      <c r="AH53" s="786"/>
      <c r="AI53" s="809"/>
      <c r="AJ53" s="810"/>
      <c r="AK53" s="810"/>
      <c r="AL53" s="812"/>
      <c r="AM53" s="815"/>
      <c r="AN53" s="816"/>
      <c r="AO53" s="818"/>
      <c r="AP53" s="818"/>
      <c r="AQ53" s="818"/>
      <c r="AR53" s="822"/>
      <c r="AS53" s="823"/>
      <c r="AT53" s="823"/>
      <c r="AU53" s="824"/>
      <c r="AV53" s="17"/>
      <c r="AX53" s="774"/>
      <c r="AY53" s="760"/>
      <c r="AZ53" s="760"/>
      <c r="BA53" s="772"/>
      <c r="BB53" s="772"/>
      <c r="BC53" s="774"/>
      <c r="BD53" s="758"/>
      <c r="BE53" s="776"/>
      <c r="BF53" s="776"/>
      <c r="BG53" s="776"/>
      <c r="BH53" s="762"/>
      <c r="BI53" s="762"/>
      <c r="BJ53" s="778"/>
      <c r="BK53" s="768"/>
      <c r="BL53" s="768"/>
      <c r="BM53" s="766"/>
      <c r="BN53" s="764"/>
      <c r="BO53" s="764"/>
      <c r="BP53" s="770"/>
      <c r="BQ53" s="768"/>
      <c r="BR53" s="768"/>
      <c r="BS53" s="766"/>
      <c r="BT53" s="766"/>
      <c r="BU53" s="758"/>
      <c r="BV53" s="768"/>
      <c r="BW53" s="758"/>
      <c r="BX53" s="758"/>
      <c r="BY53" s="758"/>
      <c r="BZ53" s="754"/>
      <c r="CA53" s="754"/>
      <c r="CB53" s="754"/>
      <c r="CC53" s="754"/>
    </row>
    <row r="54" spans="2:81" ht="15.95" customHeight="1">
      <c r="B54" s="785">
        <v>19</v>
      </c>
      <c r="C54" s="786"/>
      <c r="D54" s="787"/>
      <c r="E54" s="787"/>
      <c r="F54" s="788"/>
      <c r="G54" s="789"/>
      <c r="H54" s="790"/>
      <c r="I54" s="790"/>
      <c r="J54" s="790"/>
      <c r="K54" s="790"/>
      <c r="L54" s="790"/>
      <c r="M54" s="793"/>
      <c r="N54" s="794"/>
      <c r="O54" s="793"/>
      <c r="P54" s="795"/>
      <c r="Q54" s="794"/>
      <c r="R54" s="1231" t="str">
        <f>_xlfn.LET(
_xlpm.WATTS,
IFERROR(
INDEX(STDLIGHTINEFCAT2[System Wattage],MATCH('M04-S10'!$M54&amp;"_"&amp;
INDEX(CLLIGHT[Ineff Dropdown 2],MATCH('M04-S10'!$G54, CLLIGHT[Measure Name],0))
&amp;"_"&amp;O54,STDLIGHTINEFCAT2[Full Name],0)),
""),
IF(_xlpm.WATTS="","",_xlpm.WATTS))</f>
        <v/>
      </c>
      <c r="S54" s="1232"/>
      <c r="T54" s="799" t="str">
        <f t="shared" ref="T54" si="122">IF(C54="Permanent Lamp Removal",0,"")</f>
        <v/>
      </c>
      <c r="U54" s="800"/>
      <c r="V54" s="801"/>
      <c r="W54" s="801"/>
      <c r="X54" s="803"/>
      <c r="Y54" s="803"/>
      <c r="Z54" s="873"/>
      <c r="AA54" s="874"/>
      <c r="AB54" s="875"/>
      <c r="AC54" s="825"/>
      <c r="AD54" s="826"/>
      <c r="AE54" s="826"/>
      <c r="AF54" s="827"/>
      <c r="AG54" s="805"/>
      <c r="AH54" s="793"/>
      <c r="AI54" s="807"/>
      <c r="AJ54" s="808"/>
      <c r="AK54" s="808"/>
      <c r="AL54" s="811"/>
      <c r="AM54" s="813" t="str" cm="1">
        <f t="array" ref="AM54">IFERROR(IF(G54="","",IF(C54&lt;&gt;INDEX(CLLIGHT[Eff Category 1],MATCH(G54,CLLIGHT[Measure Name],0)),0,INDEX(IF(AND(ACTIVEBONUS = TRUE,INDEX(CLLIGHT[Bonus Incentive],MATCH(G54,CLLIGHT[Measure Name],0))&lt;&gt; ""),CLLIGHT[Bonus Incentive],_xlfn.SWITCH(Program_Banner,"Business Energy Savings",CLLIGHT[BESP Incentive],"Small Business / Non-Profit",CLLIGHT[SBNP Incentive],0)),MATCH(G54,CLLIGHT[Measure Name],0)))),"")</f>
        <v/>
      </c>
      <c r="AN54" s="814"/>
      <c r="AO54" s="817" t="str">
        <f t="shared" ref="AO54" si="123">IFERROR(IF(OR(C54="",G54="",M54="",O54="",R54="",T54="",V54="",X54="",AC54="",AG54="",AI54="",AK54=""),"", IF(BE54&lt;=0, 0, BE54)),"")</f>
        <v/>
      </c>
      <c r="AP54" s="817"/>
      <c r="AQ54" s="817"/>
      <c r="AR54" s="819" t="str">
        <f>IFERROR(IF(OR(C54="",G54="",M54="",O54="",R54="",T54="",V54="",X54="",AC54="",AG54="",AI54="",AK54=""),"",IF(BY54&lt;&gt;"",BY54,IF(BP54&gt;0,BP54,ROUND(IF(AO54&lt;=0,0,MIN(BL54,BQ54)),2)))),"")</f>
        <v/>
      </c>
      <c r="AS54" s="820"/>
      <c r="AT54" s="820"/>
      <c r="AU54" s="821"/>
      <c r="AV54" s="17"/>
      <c r="AX54" s="773" t="str">
        <f>IFERROR(IF(OR(C54="",G54="",M54="",O54="",R54="",T54="",V54="",X54="",AC54="",AG54="",AI54="",AK54=""),"",INDEX(CLLIGHT[Current Unit],MATCH(G54,CLLIGHT[Measure Name],0))),"Err")</f>
        <v/>
      </c>
      <c r="AY54" s="759" t="str">
        <f t="shared" ref="AY54" si="124">IF(V54="", "",  V54)</f>
        <v/>
      </c>
      <c r="AZ54" s="759" t="str">
        <f t="shared" ref="AZ54" si="125">IF(V54="", "",  V54)</f>
        <v/>
      </c>
      <c r="BA54" s="771"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B54" s="771"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C54" s="773" t="str">
        <f>IFERROR(IF(OR(C54="",G54="",M54="",O54="",R54="",T54="",V54="",X54="",AC54="",AG54="",AI54="",AK54=""),"",INDEX(CLLIGHT[End Use],MATCH(G54,CLLIGHT[Measure Name],0))),"Err")</f>
        <v/>
      </c>
      <c r="BD54" s="757" t="str">
        <f>IFERROR(IF(OR(C54="",G54="",M54="",O54="",R54="",T54="",V54="",X54="",AC54="",AG54="",AI54="",AK54=""),"",INDEX(CLLIGHT[Reporting Methodology],MATCH(G54,CLLIGHT[Measure Name],0))),"Err")</f>
        <v/>
      </c>
      <c r="BE54" s="775" t="str">
        <f t="shared" ref="BE54" si="126">IF(AND(BA54&lt;&gt;"", BB54&lt;&gt;""), ROUND(BA54-BB54,4), "")</f>
        <v/>
      </c>
      <c r="BF54" s="775" t="str">
        <f>IFERROR(IF(OR(C54="",G54="",M54="",O54="",R54="",T54="",V54="",X54="",AC54="",AG54="",AI54="",AK54=""),"",
IF(BA54&lt;=BB54,0,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775" t="str">
        <f>IFERROR(IF(OR(C54="",G54="",M54="",O54="",R54="",T54="",V54="",X54="",AC54="",AG54="",AI54="", AK54=""),"",ROUND(AO54*INDEX(ENDUSEALL[Factor],MATCH(BC54,ENDUSEALL[End Use to Coincident Peak Demand Factors],0)),4)),"")</f>
        <v/>
      </c>
      <c r="BH54" s="761"/>
      <c r="BI54" s="761"/>
      <c r="BJ54" s="777" t="str">
        <f>IFERROR(INDEX(CLLIGHT[Measure Life (Years)],MATCH(G54,CLLIGHT[Measure Name],0)),"")</f>
        <v/>
      </c>
      <c r="BK54" s="767" t="str">
        <f>IFERROR(IF(OR(C54="",G54="",M54="",O54="",R54="",T54="",V54="",X54="",AC54="",AG54="",AI54="",AK54=""),"",
ROUND(((1+ELOSS)*((BE54*INDEX(ELECCB[NPV AEC $/kWh],MATCH(BJ54,ELECCB[Year Number],1)))+(BF54*INDEX(ELECCB[NPV ACC $/kW],MATCH(BJ54,ELECCB[Year Number],1))))),2)),0)</f>
        <v/>
      </c>
      <c r="BL54" s="767" t="str">
        <f t="shared" si="2"/>
        <v/>
      </c>
      <c r="BM54" s="765"/>
      <c r="BN54" s="763" t="str">
        <f t="shared" si="3"/>
        <v/>
      </c>
      <c r="BO54" s="763" t="str">
        <f>IFERROR(IF(BM54 &lt;&gt; "", BM54, BL54) / M02S04F06 / AO54, "")</f>
        <v/>
      </c>
      <c r="BP54" s="769"/>
      <c r="BQ54" s="767" t="str">
        <f t="shared" ref="BQ54" si="127">IFERROR(ROUND(V54*AM54, 2), "")</f>
        <v/>
      </c>
      <c r="BR54" s="767"/>
      <c r="BS54" s="765"/>
      <c r="BT54" s="765"/>
      <c r="BU54" s="757" t="str">
        <f t="shared" ref="BU54" si="128">IFERROR(IF(BP54="",IF(AND(AO54&gt;0, AR54 &lt; BQ54), "100% Total Cost", ""), ""), "")</f>
        <v/>
      </c>
      <c r="BV54" s="767"/>
      <c r="BW54" s="757" t="str">
        <f>IFERROR(IF(OR(C54="",G54="",M54="",O54="",R54="",T54="",V54="",X54="",AC54="",AG54="",AI54="",AK54=""),"",IF(BY54&lt;&gt;"", SPILLOVERNUMBER, INDEX(CLLIGHT[Measure Number],MATCH(G54,CLLIGHT[Measure Name],0)))),"Err")</f>
        <v/>
      </c>
      <c r="BX54" s="757" t="str" cm="1">
        <f t="array" ref="BX54">IFERROR(INDEX(_xlfn.SWITCH(Program_Banner,"Business Energy Savings",CLLIGHT[Primary Key WBE],"Small Business / Non-Profit",CLLIGHT[Primary Key HTRB],0),MATCH(BW54,CLLIGHT[Measure Number],0)),"")</f>
        <v/>
      </c>
      <c r="BY54" s="757" t="str">
        <f>IFERROR(IF(OR(C54="",G54="",M54="",O54="",R54="",T54="",V54="",X54="",AC54="",AG54="",AI54="",AK54=""),"",
IF(BP54&gt;0,"",
IF(EXPIRATION&lt;&gt;"",PROJSTATEXP,
IF(M02S04F19="",MEASUREBLDG,
IF(BA54&lt;=BB54,MEASURESAVE,""))))),MEASURESUBMIT)</f>
        <v/>
      </c>
      <c r="BZ54" s="753"/>
      <c r="CA54" s="753"/>
      <c r="CB54" s="753"/>
      <c r="CC54" s="753"/>
    </row>
    <row r="55" spans="2:81" ht="15.95" customHeight="1">
      <c r="B55" s="785"/>
      <c r="C55" s="786"/>
      <c r="D55" s="787"/>
      <c r="E55" s="787"/>
      <c r="F55" s="788"/>
      <c r="G55" s="791"/>
      <c r="H55" s="792"/>
      <c r="I55" s="792"/>
      <c r="J55" s="792"/>
      <c r="K55" s="792"/>
      <c r="L55" s="792"/>
      <c r="M55" s="786"/>
      <c r="N55" s="788"/>
      <c r="O55" s="786"/>
      <c r="P55" s="787"/>
      <c r="Q55" s="788"/>
      <c r="R55" s="1233"/>
      <c r="S55" s="1234"/>
      <c r="T55" s="799"/>
      <c r="U55" s="800"/>
      <c r="V55" s="802"/>
      <c r="W55" s="802"/>
      <c r="X55" s="804"/>
      <c r="Y55" s="804"/>
      <c r="Z55" s="793"/>
      <c r="AA55" s="795"/>
      <c r="AB55" s="794"/>
      <c r="AC55" s="793"/>
      <c r="AD55" s="795"/>
      <c r="AE55" s="795"/>
      <c r="AF55" s="794"/>
      <c r="AG55" s="806"/>
      <c r="AH55" s="786"/>
      <c r="AI55" s="809"/>
      <c r="AJ55" s="810"/>
      <c r="AK55" s="810"/>
      <c r="AL55" s="812"/>
      <c r="AM55" s="815"/>
      <c r="AN55" s="816"/>
      <c r="AO55" s="818"/>
      <c r="AP55" s="818"/>
      <c r="AQ55" s="818"/>
      <c r="AR55" s="822"/>
      <c r="AS55" s="823"/>
      <c r="AT55" s="823"/>
      <c r="AU55" s="824"/>
      <c r="AV55" s="17"/>
      <c r="AX55" s="774"/>
      <c r="AY55" s="760"/>
      <c r="AZ55" s="760"/>
      <c r="BA55" s="772"/>
      <c r="BB55" s="772"/>
      <c r="BC55" s="774"/>
      <c r="BD55" s="758"/>
      <c r="BE55" s="776"/>
      <c r="BF55" s="776"/>
      <c r="BG55" s="776"/>
      <c r="BH55" s="762"/>
      <c r="BI55" s="762"/>
      <c r="BJ55" s="778"/>
      <c r="BK55" s="768"/>
      <c r="BL55" s="768"/>
      <c r="BM55" s="766"/>
      <c r="BN55" s="764"/>
      <c r="BO55" s="764"/>
      <c r="BP55" s="770"/>
      <c r="BQ55" s="768"/>
      <c r="BR55" s="768"/>
      <c r="BS55" s="766"/>
      <c r="BT55" s="766"/>
      <c r="BU55" s="758"/>
      <c r="BV55" s="768"/>
      <c r="BW55" s="758"/>
      <c r="BX55" s="758"/>
      <c r="BY55" s="758"/>
      <c r="BZ55" s="754"/>
      <c r="CA55" s="754"/>
      <c r="CB55" s="754"/>
      <c r="CC55" s="754"/>
    </row>
    <row r="56" spans="2:81" ht="15.95" customHeight="1">
      <c r="B56" s="785">
        <v>20</v>
      </c>
      <c r="C56" s="786"/>
      <c r="D56" s="787"/>
      <c r="E56" s="787"/>
      <c r="F56" s="788"/>
      <c r="G56" s="789"/>
      <c r="H56" s="790"/>
      <c r="I56" s="790"/>
      <c r="J56" s="790"/>
      <c r="K56" s="790"/>
      <c r="L56" s="790"/>
      <c r="M56" s="793"/>
      <c r="N56" s="794"/>
      <c r="O56" s="793"/>
      <c r="P56" s="795"/>
      <c r="Q56" s="794"/>
      <c r="R56" s="1231" t="str">
        <f>_xlfn.LET(
_xlpm.WATTS,
IFERROR(
INDEX(STDLIGHTINEFCAT2[System Wattage],MATCH('M04-S10'!$M56&amp;"_"&amp;
INDEX(CLLIGHT[Ineff Dropdown 2],MATCH('M04-S10'!$G56, CLLIGHT[Measure Name],0))
&amp;"_"&amp;O56,STDLIGHTINEFCAT2[Full Name],0)),
""),
IF(_xlpm.WATTS="","",_xlpm.WATTS))</f>
        <v/>
      </c>
      <c r="S56" s="1232"/>
      <c r="T56" s="799" t="str">
        <f t="shared" ref="T56" si="129">IF(C56="Permanent Lamp Removal",0,"")</f>
        <v/>
      </c>
      <c r="U56" s="800"/>
      <c r="V56" s="801"/>
      <c r="W56" s="801"/>
      <c r="X56" s="803"/>
      <c r="Y56" s="803"/>
      <c r="Z56" s="873"/>
      <c r="AA56" s="874"/>
      <c r="AB56" s="875"/>
      <c r="AC56" s="825"/>
      <c r="AD56" s="826"/>
      <c r="AE56" s="826"/>
      <c r="AF56" s="827"/>
      <c r="AG56" s="805"/>
      <c r="AH56" s="793"/>
      <c r="AI56" s="807"/>
      <c r="AJ56" s="808"/>
      <c r="AK56" s="808"/>
      <c r="AL56" s="811"/>
      <c r="AM56" s="813" t="str" cm="1">
        <f t="array" ref="AM56">IFERROR(IF(G56="","",IF(C56&lt;&gt;INDEX(CLLIGHT[Eff Category 1],MATCH(G56,CLLIGHT[Measure Name],0)),0,INDEX(IF(AND(ACTIVEBONUS = TRUE,INDEX(CLLIGHT[Bonus Incentive],MATCH(G56,CLLIGHT[Measure Name],0))&lt;&gt; ""),CLLIGHT[Bonus Incentive],_xlfn.SWITCH(Program_Banner,"Business Energy Savings",CLLIGHT[BESP Incentive],"Small Business / Non-Profit",CLLIGHT[SBNP Incentive],0)),MATCH(G56,CLLIGHT[Measure Name],0)))),"")</f>
        <v/>
      </c>
      <c r="AN56" s="814"/>
      <c r="AO56" s="817" t="str">
        <f t="shared" ref="AO56" si="130">IFERROR(IF(OR(C56="",G56="",M56="",O56="",R56="",T56="",V56="",X56="",AC56="",AG56="",AI56="",AK56=""),"", IF(BE56&lt;=0, 0, BE56)),"")</f>
        <v/>
      </c>
      <c r="AP56" s="817"/>
      <c r="AQ56" s="817"/>
      <c r="AR56" s="819" t="str">
        <f>IFERROR(IF(OR(C56="",G56="",M56="",O56="",R56="",T56="",V56="",X56="",AC56="",AG56="",AI56="",AK56=""),"",IF(BY56&lt;&gt;"",BY56,IF(BP56&gt;0,BP56,ROUND(IF(AO56&lt;=0,0,MIN(BL56,BQ56)),2)))),"")</f>
        <v/>
      </c>
      <c r="AS56" s="820"/>
      <c r="AT56" s="820"/>
      <c r="AU56" s="821"/>
      <c r="AV56" s="17"/>
      <c r="AX56" s="773" t="str">
        <f>IFERROR(IF(OR(C56="",G56="",M56="",O56="",R56="",T56="",V56="",X56="",AC56="",AG56="",AI56="",AK56=""),"",INDEX(CLLIGHT[Current Unit],MATCH(G56,CLLIGHT[Measure Name],0))),"Err")</f>
        <v/>
      </c>
      <c r="AY56" s="759" t="str">
        <f t="shared" ref="AY56" si="131">IF(V56="", "",  V56)</f>
        <v/>
      </c>
      <c r="AZ56" s="759" t="str">
        <f t="shared" ref="AZ56" si="132">IF(V56="", "",  V56)</f>
        <v/>
      </c>
      <c r="BA56" s="771"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B56" s="771"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C56" s="773" t="str">
        <f>IFERROR(IF(OR(C56="",G56="",M56="",O56="",R56="",T56="",V56="",X56="",AC56="",AG56="",AI56="",AK56=""),"",INDEX(CLLIGHT[End Use],MATCH(G56,CLLIGHT[Measure Name],0))),"Err")</f>
        <v/>
      </c>
      <c r="BD56" s="757" t="str">
        <f>IFERROR(IF(OR(C56="",G56="",M56="",O56="",R56="",T56="",V56="",X56="",AC56="",AG56="",AI56="",AK56=""),"",INDEX(CLLIGHT[Reporting Methodology],MATCH(G56,CLLIGHT[Measure Name],0))),"Err")</f>
        <v/>
      </c>
      <c r="BE56" s="775" t="str">
        <f t="shared" ref="BE56" si="133">IF(AND(BA56&lt;&gt;"", BB56&lt;&gt;""), ROUND(BA56-BB56,4), "")</f>
        <v/>
      </c>
      <c r="BF56" s="775" t="str">
        <f>IFERROR(IF(OR(C56="",G56="",M56="",O56="",R56="",T56="",V56="",X56="",AC56="",AG56="",AI56="",AK56=""),"",
IF(BA56&lt;=BB56,0,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775" t="str">
        <f>IFERROR(IF(OR(C56="",G56="",M56="",O56="",R56="",T56="",V56="",X56="",AC56="",AG56="",AI56="", AK56=""),"",ROUND(AO56*INDEX(ENDUSEALL[Factor],MATCH(BC56,ENDUSEALL[End Use to Coincident Peak Demand Factors],0)),4)),"")</f>
        <v/>
      </c>
      <c r="BH56" s="761"/>
      <c r="BI56" s="761"/>
      <c r="BJ56" s="777" t="str">
        <f>IFERROR(INDEX(CLLIGHT[Measure Life (Years)],MATCH(G56,CLLIGHT[Measure Name],0)),"")</f>
        <v/>
      </c>
      <c r="BK56" s="767" t="str">
        <f>IFERROR(IF(OR(C56="",G56="",M56="",O56="",R56="",T56="",V56="",X56="",AC56="",AG56="",AI56="",AK56=""),"",
ROUND(((1+ELOSS)*((BE56*INDEX(ELECCB[NPV AEC $/kWh],MATCH(BJ56,ELECCB[Year Number],1)))+(BF56*INDEX(ELECCB[NPV ACC $/kW],MATCH(BJ56,ELECCB[Year Number],1))))),2)),0)</f>
        <v/>
      </c>
      <c r="BL56" s="767" t="str">
        <f t="shared" si="2"/>
        <v/>
      </c>
      <c r="BM56" s="765"/>
      <c r="BN56" s="763" t="str">
        <f t="shared" si="3"/>
        <v/>
      </c>
      <c r="BO56" s="763" t="str">
        <f>IFERROR(IF(BM56 &lt;&gt; "", BM56, BL56) / M02S04F06 / AO56, "")</f>
        <v/>
      </c>
      <c r="BP56" s="769"/>
      <c r="BQ56" s="767" t="str">
        <f t="shared" ref="BQ56" si="134">IFERROR(ROUND(V56*AM56, 2), "")</f>
        <v/>
      </c>
      <c r="BR56" s="767"/>
      <c r="BS56" s="765"/>
      <c r="BT56" s="765"/>
      <c r="BU56" s="757" t="str">
        <f t="shared" ref="BU56" si="135">IFERROR(IF(BP56="",IF(AND(AO56&gt;0, AR56 &lt; BQ56), "100% Total Cost", ""), ""), "")</f>
        <v/>
      </c>
      <c r="BV56" s="767"/>
      <c r="BW56" s="757" t="str">
        <f>IFERROR(IF(OR(C56="",G56="",M56="",O56="",R56="",T56="",V56="",X56="",AC56="",AG56="",AI56="",AK56=""),"",IF(BY56&lt;&gt;"", SPILLOVERNUMBER, INDEX(CLLIGHT[Measure Number],MATCH(G56,CLLIGHT[Measure Name],0)))),"Err")</f>
        <v/>
      </c>
      <c r="BX56" s="757" t="str" cm="1">
        <f t="array" ref="BX56">IFERROR(INDEX(_xlfn.SWITCH(Program_Banner,"Business Energy Savings",CLLIGHT[Primary Key WBE],"Small Business / Non-Profit",CLLIGHT[Primary Key HTRB],0),MATCH(BW56,CLLIGHT[Measure Number],0)),"")</f>
        <v/>
      </c>
      <c r="BY56" s="757" t="str">
        <f>IFERROR(IF(OR(C56="",G56="",M56="",O56="",R56="",T56="",V56="",X56="",AC56="",AG56="",AI56="",AK56=""),"",
IF(BP56&gt;0,"",
IF(EXPIRATION&lt;&gt;"",PROJSTATEXP,
IF(M02S04F19="",MEASUREBLDG,
IF(BA56&lt;=BB56,MEASURESAVE,""))))),MEASURESUBMIT)</f>
        <v/>
      </c>
      <c r="BZ56" s="753"/>
      <c r="CA56" s="753"/>
      <c r="CB56" s="753"/>
      <c r="CC56" s="753"/>
    </row>
    <row r="57" spans="2:81" ht="15.95" customHeight="1">
      <c r="B57" s="785"/>
      <c r="C57" s="786"/>
      <c r="D57" s="787"/>
      <c r="E57" s="787"/>
      <c r="F57" s="788"/>
      <c r="G57" s="791"/>
      <c r="H57" s="792"/>
      <c r="I57" s="792"/>
      <c r="J57" s="792"/>
      <c r="K57" s="792"/>
      <c r="L57" s="792"/>
      <c r="M57" s="786"/>
      <c r="N57" s="788"/>
      <c r="O57" s="786"/>
      <c r="P57" s="787"/>
      <c r="Q57" s="788"/>
      <c r="R57" s="1233"/>
      <c r="S57" s="1234"/>
      <c r="T57" s="799"/>
      <c r="U57" s="800"/>
      <c r="V57" s="802"/>
      <c r="W57" s="802"/>
      <c r="X57" s="804"/>
      <c r="Y57" s="804"/>
      <c r="Z57" s="793"/>
      <c r="AA57" s="795"/>
      <c r="AB57" s="794"/>
      <c r="AC57" s="793"/>
      <c r="AD57" s="795"/>
      <c r="AE57" s="795"/>
      <c r="AF57" s="794"/>
      <c r="AG57" s="806"/>
      <c r="AH57" s="786"/>
      <c r="AI57" s="809"/>
      <c r="AJ57" s="810"/>
      <c r="AK57" s="810"/>
      <c r="AL57" s="812"/>
      <c r="AM57" s="815"/>
      <c r="AN57" s="816"/>
      <c r="AO57" s="818"/>
      <c r="AP57" s="818"/>
      <c r="AQ57" s="818"/>
      <c r="AR57" s="822"/>
      <c r="AS57" s="823"/>
      <c r="AT57" s="823"/>
      <c r="AU57" s="824"/>
      <c r="AV57" s="17"/>
      <c r="AX57" s="774"/>
      <c r="AY57" s="760"/>
      <c r="AZ57" s="760"/>
      <c r="BA57" s="772"/>
      <c r="BB57" s="772"/>
      <c r="BC57" s="774"/>
      <c r="BD57" s="758"/>
      <c r="BE57" s="776"/>
      <c r="BF57" s="776"/>
      <c r="BG57" s="776"/>
      <c r="BH57" s="762"/>
      <c r="BI57" s="762"/>
      <c r="BJ57" s="778"/>
      <c r="BK57" s="768"/>
      <c r="BL57" s="768"/>
      <c r="BM57" s="766"/>
      <c r="BN57" s="764"/>
      <c r="BO57" s="764"/>
      <c r="BP57" s="770"/>
      <c r="BQ57" s="768"/>
      <c r="BR57" s="768"/>
      <c r="BS57" s="766"/>
      <c r="BT57" s="766"/>
      <c r="BU57" s="758"/>
      <c r="BV57" s="768"/>
      <c r="BW57" s="758"/>
      <c r="BX57" s="758"/>
      <c r="BY57" s="758"/>
      <c r="BZ57" s="754"/>
      <c r="CA57" s="754"/>
      <c r="CB57" s="754"/>
      <c r="CC57" s="754"/>
    </row>
    <row r="58" spans="2:81" ht="15.95" customHeight="1">
      <c r="B58" s="785">
        <v>21</v>
      </c>
      <c r="C58" s="786"/>
      <c r="D58" s="787"/>
      <c r="E58" s="787"/>
      <c r="F58" s="788"/>
      <c r="G58" s="789"/>
      <c r="H58" s="790"/>
      <c r="I58" s="790"/>
      <c r="J58" s="790"/>
      <c r="K58" s="790"/>
      <c r="L58" s="790"/>
      <c r="M58" s="793"/>
      <c r="N58" s="794"/>
      <c r="O58" s="793"/>
      <c r="P58" s="795"/>
      <c r="Q58" s="794"/>
      <c r="R58" s="1231" t="str">
        <f>_xlfn.LET(
_xlpm.WATTS,
IFERROR(
INDEX(STDLIGHTINEFCAT2[System Wattage],MATCH('M04-S10'!$M58&amp;"_"&amp;
INDEX(CLLIGHT[Ineff Dropdown 2],MATCH('M04-S10'!$G58, CLLIGHT[Measure Name],0))
&amp;"_"&amp;O58,STDLIGHTINEFCAT2[Full Name],0)),
""),
IF(_xlpm.WATTS="","",_xlpm.WATTS))</f>
        <v/>
      </c>
      <c r="S58" s="1232"/>
      <c r="T58" s="799" t="str">
        <f t="shared" ref="T58" si="136">IF(C58="Permanent Lamp Removal",0,"")</f>
        <v/>
      </c>
      <c r="U58" s="800"/>
      <c r="V58" s="801"/>
      <c r="W58" s="801"/>
      <c r="X58" s="803"/>
      <c r="Y58" s="803"/>
      <c r="Z58" s="873"/>
      <c r="AA58" s="874"/>
      <c r="AB58" s="875"/>
      <c r="AC58" s="825"/>
      <c r="AD58" s="826"/>
      <c r="AE58" s="826"/>
      <c r="AF58" s="827"/>
      <c r="AG58" s="805"/>
      <c r="AH58" s="793"/>
      <c r="AI58" s="807"/>
      <c r="AJ58" s="808"/>
      <c r="AK58" s="808"/>
      <c r="AL58" s="811"/>
      <c r="AM58" s="813" t="str" cm="1">
        <f t="array" ref="AM58">IFERROR(IF(G58="","",IF(C58&lt;&gt;INDEX(CLLIGHT[Eff Category 1],MATCH(G58,CLLIGHT[Measure Name],0)),0,INDEX(IF(AND(ACTIVEBONUS = TRUE,INDEX(CLLIGHT[Bonus Incentive],MATCH(G58,CLLIGHT[Measure Name],0))&lt;&gt; ""),CLLIGHT[Bonus Incentive],_xlfn.SWITCH(Program_Banner,"Business Energy Savings",CLLIGHT[BESP Incentive],"Small Business / Non-Profit",CLLIGHT[SBNP Incentive],0)),MATCH(G58,CLLIGHT[Measure Name],0)))),"")</f>
        <v/>
      </c>
      <c r="AN58" s="814"/>
      <c r="AO58" s="817" t="str">
        <f t="shared" ref="AO58" si="137">IFERROR(IF(OR(C58="",G58="",M58="",O58="",R58="",T58="",V58="",X58="",AC58="",AG58="",AI58="",AK58=""),"", IF(BE58&lt;=0, 0, BE58)),"")</f>
        <v/>
      </c>
      <c r="AP58" s="817"/>
      <c r="AQ58" s="817"/>
      <c r="AR58" s="819" t="str">
        <f>IFERROR(IF(OR(C58="",G58="",M58="",O58="",R58="",T58="",V58="",X58="",AC58="",AG58="",AI58="",AK58=""),"",IF(BY58&lt;&gt;"",BY58,IF(BP58&gt;0,BP58,ROUND(IF(AO58&lt;=0,0,MIN(BL58,BQ58)),2)))),"")</f>
        <v/>
      </c>
      <c r="AS58" s="820"/>
      <c r="AT58" s="820"/>
      <c r="AU58" s="821"/>
      <c r="AV58" s="17"/>
      <c r="AX58" s="773" t="str">
        <f>IFERROR(IF(OR(C58="",G58="",M58="",O58="",R58="",T58="",V58="",X58="",AC58="",AG58="",AI58="",AK58=""),"",INDEX(CLLIGHT[Current Unit],MATCH(G58,CLLIGHT[Measure Name],0))),"Err")</f>
        <v/>
      </c>
      <c r="AY58" s="759" t="str">
        <f t="shared" ref="AY58" si="138">IF(V58="", "",  V58)</f>
        <v/>
      </c>
      <c r="AZ58" s="759" t="str">
        <f t="shared" ref="AZ58" si="139">IF(V58="", "",  V58)</f>
        <v/>
      </c>
      <c r="BA58" s="771"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B58" s="771"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C58" s="773" t="str">
        <f>IFERROR(IF(OR(C58="",G58="",M58="",O58="",R58="",T58="",V58="",X58="",AC58="",AG58="",AI58="",AK58=""),"",INDEX(CLLIGHT[End Use],MATCH(G58,CLLIGHT[Measure Name],0))),"Err")</f>
        <v/>
      </c>
      <c r="BD58" s="757" t="str">
        <f>IFERROR(IF(OR(C58="",G58="",M58="",O58="",R58="",T58="",V58="",X58="",AC58="",AG58="",AI58="",AK58=""),"",INDEX(CLLIGHT[Reporting Methodology],MATCH(G58,CLLIGHT[Measure Name],0))),"Err")</f>
        <v/>
      </c>
      <c r="BE58" s="775" t="str">
        <f t="shared" ref="BE58" si="140">IF(AND(BA58&lt;&gt;"", BB58&lt;&gt;""), ROUND(BA58-BB58,4), "")</f>
        <v/>
      </c>
      <c r="BF58" s="775" t="str">
        <f>IFERROR(IF(OR(C58="",G58="",M58="",O58="",R58="",T58="",V58="",X58="",AC58="",AG58="",AI58="",AK58=""),"",
IF(BA58&lt;=BB58,0,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775" t="str">
        <f>IFERROR(IF(OR(C58="",G58="",M58="",O58="",R58="",T58="",V58="",X58="",AC58="",AG58="",AI58="", AK58=""),"",ROUND(AO58*INDEX(ENDUSEALL[Factor],MATCH(BC58,ENDUSEALL[End Use to Coincident Peak Demand Factors],0)),4)),"")</f>
        <v/>
      </c>
      <c r="BH58" s="761"/>
      <c r="BI58" s="761"/>
      <c r="BJ58" s="777" t="str">
        <f>IFERROR(INDEX(CLLIGHT[Measure Life (Years)],MATCH(G58,CLLIGHT[Measure Name],0)),"")</f>
        <v/>
      </c>
      <c r="BK58" s="767" t="str">
        <f>IFERROR(IF(OR(C58="",G58="",M58="",O58="",R58="",T58="",V58="",X58="",AC58="",AG58="",AI58="",AK58=""),"",
ROUND(((1+ELOSS)*((BE58*INDEX(ELECCB[NPV AEC $/kWh],MATCH(BJ58,ELECCB[Year Number],1)))+(BF58*INDEX(ELECCB[NPV ACC $/kW],MATCH(BJ58,ELECCB[Year Number],1))))),2)),0)</f>
        <v/>
      </c>
      <c r="BL58" s="767" t="str">
        <f t="shared" si="2"/>
        <v/>
      </c>
      <c r="BM58" s="765"/>
      <c r="BN58" s="763" t="str">
        <f t="shared" si="3"/>
        <v/>
      </c>
      <c r="BO58" s="763" t="str">
        <f>IFERROR(IF(BM58 &lt;&gt; "", BM58, BL58) / M02S04F06 / AO58, "")</f>
        <v/>
      </c>
      <c r="BP58" s="769"/>
      <c r="BQ58" s="767" t="str">
        <f t="shared" ref="BQ58" si="141">IFERROR(ROUND(V58*AM58, 2), "")</f>
        <v/>
      </c>
      <c r="BR58" s="767"/>
      <c r="BS58" s="765"/>
      <c r="BT58" s="765"/>
      <c r="BU58" s="757" t="str">
        <f t="shared" ref="BU58" si="142">IFERROR(IF(BP58="",IF(AND(AO58&gt;0, AR58 &lt; BQ58), "100% Total Cost", ""), ""), "")</f>
        <v/>
      </c>
      <c r="BV58" s="767"/>
      <c r="BW58" s="757" t="str">
        <f>IFERROR(IF(OR(C58="",G58="",M58="",O58="",R58="",T58="",V58="",X58="",AC58="",AG58="",AI58="",AK58=""),"",IF(BY58&lt;&gt;"", SPILLOVERNUMBER, INDEX(CLLIGHT[Measure Number],MATCH(G58,CLLIGHT[Measure Name],0)))),"Err")</f>
        <v/>
      </c>
      <c r="BX58" s="757" t="str" cm="1">
        <f t="array" ref="BX58">IFERROR(INDEX(_xlfn.SWITCH(Program_Banner,"Business Energy Savings",CLLIGHT[Primary Key WBE],"Small Business / Non-Profit",CLLIGHT[Primary Key HTRB],0),MATCH(BW58,CLLIGHT[Measure Number],0)),"")</f>
        <v/>
      </c>
      <c r="BY58" s="757" t="str">
        <f>IFERROR(IF(OR(C58="",G58="",M58="",O58="",R58="",T58="",V58="",X58="",AC58="",AG58="",AI58="",AK58=""),"",
IF(BP58&gt;0,"",
IF(EXPIRATION&lt;&gt;"",PROJSTATEXP,
IF(M02S04F19="",MEASUREBLDG,
IF(BA58&lt;=BB58,MEASURESAVE,""))))),MEASURESUBMIT)</f>
        <v/>
      </c>
      <c r="BZ58" s="753"/>
      <c r="CA58" s="753"/>
      <c r="CB58" s="753"/>
      <c r="CC58" s="753"/>
    </row>
    <row r="59" spans="2:81" ht="15.95" customHeight="1">
      <c r="B59" s="785"/>
      <c r="C59" s="786"/>
      <c r="D59" s="787"/>
      <c r="E59" s="787"/>
      <c r="F59" s="788"/>
      <c r="G59" s="791"/>
      <c r="H59" s="792"/>
      <c r="I59" s="792"/>
      <c r="J59" s="792"/>
      <c r="K59" s="792"/>
      <c r="L59" s="792"/>
      <c r="M59" s="786"/>
      <c r="N59" s="788"/>
      <c r="O59" s="786"/>
      <c r="P59" s="787"/>
      <c r="Q59" s="788"/>
      <c r="R59" s="1233"/>
      <c r="S59" s="1234"/>
      <c r="T59" s="799"/>
      <c r="U59" s="800"/>
      <c r="V59" s="802"/>
      <c r="W59" s="802"/>
      <c r="X59" s="804"/>
      <c r="Y59" s="804"/>
      <c r="Z59" s="793"/>
      <c r="AA59" s="795"/>
      <c r="AB59" s="794"/>
      <c r="AC59" s="793"/>
      <c r="AD59" s="795"/>
      <c r="AE59" s="795"/>
      <c r="AF59" s="794"/>
      <c r="AG59" s="806"/>
      <c r="AH59" s="786"/>
      <c r="AI59" s="809"/>
      <c r="AJ59" s="810"/>
      <c r="AK59" s="810"/>
      <c r="AL59" s="812"/>
      <c r="AM59" s="815"/>
      <c r="AN59" s="816"/>
      <c r="AO59" s="818"/>
      <c r="AP59" s="818"/>
      <c r="AQ59" s="818"/>
      <c r="AR59" s="822"/>
      <c r="AS59" s="823"/>
      <c r="AT59" s="823"/>
      <c r="AU59" s="824"/>
      <c r="AV59" s="17"/>
      <c r="AX59" s="774"/>
      <c r="AY59" s="760"/>
      <c r="AZ59" s="760"/>
      <c r="BA59" s="772"/>
      <c r="BB59" s="772"/>
      <c r="BC59" s="774"/>
      <c r="BD59" s="758"/>
      <c r="BE59" s="776"/>
      <c r="BF59" s="776"/>
      <c r="BG59" s="776"/>
      <c r="BH59" s="762"/>
      <c r="BI59" s="762"/>
      <c r="BJ59" s="778"/>
      <c r="BK59" s="768"/>
      <c r="BL59" s="768"/>
      <c r="BM59" s="766"/>
      <c r="BN59" s="764"/>
      <c r="BO59" s="764"/>
      <c r="BP59" s="770"/>
      <c r="BQ59" s="768"/>
      <c r="BR59" s="768"/>
      <c r="BS59" s="766"/>
      <c r="BT59" s="766"/>
      <c r="BU59" s="758"/>
      <c r="BV59" s="768"/>
      <c r="BW59" s="758"/>
      <c r="BX59" s="758"/>
      <c r="BY59" s="758"/>
      <c r="BZ59" s="754"/>
      <c r="CA59" s="754"/>
      <c r="CB59" s="754"/>
      <c r="CC59" s="754"/>
    </row>
    <row r="60" spans="2:81" ht="15.95" customHeight="1">
      <c r="B60" s="785">
        <v>22</v>
      </c>
      <c r="C60" s="786"/>
      <c r="D60" s="787"/>
      <c r="E60" s="787"/>
      <c r="F60" s="788"/>
      <c r="G60" s="789"/>
      <c r="H60" s="790"/>
      <c r="I60" s="790"/>
      <c r="J60" s="790"/>
      <c r="K60" s="790"/>
      <c r="L60" s="790"/>
      <c r="M60" s="793"/>
      <c r="N60" s="794"/>
      <c r="O60" s="793"/>
      <c r="P60" s="795"/>
      <c r="Q60" s="794"/>
      <c r="R60" s="1231" t="str">
        <f>_xlfn.LET(
_xlpm.WATTS,
IFERROR(
INDEX(STDLIGHTINEFCAT2[System Wattage],MATCH('M04-S10'!$M60&amp;"_"&amp;
INDEX(CLLIGHT[Ineff Dropdown 2],MATCH('M04-S10'!$G60, CLLIGHT[Measure Name],0))
&amp;"_"&amp;O60,STDLIGHTINEFCAT2[Full Name],0)),
""),
IF(_xlpm.WATTS="","",_xlpm.WATTS))</f>
        <v/>
      </c>
      <c r="S60" s="1232"/>
      <c r="T60" s="799" t="str">
        <f t="shared" ref="T60" si="143">IF(C60="Permanent Lamp Removal",0,"")</f>
        <v/>
      </c>
      <c r="U60" s="800"/>
      <c r="V60" s="801"/>
      <c r="W60" s="801"/>
      <c r="X60" s="803"/>
      <c r="Y60" s="803"/>
      <c r="Z60" s="873"/>
      <c r="AA60" s="874"/>
      <c r="AB60" s="875"/>
      <c r="AC60" s="825"/>
      <c r="AD60" s="826"/>
      <c r="AE60" s="826"/>
      <c r="AF60" s="827"/>
      <c r="AG60" s="805"/>
      <c r="AH60" s="793"/>
      <c r="AI60" s="807"/>
      <c r="AJ60" s="808"/>
      <c r="AK60" s="808"/>
      <c r="AL60" s="811"/>
      <c r="AM60" s="813" t="str" cm="1">
        <f t="array" ref="AM60">IFERROR(IF(G60="","",IF(C60&lt;&gt;INDEX(CLLIGHT[Eff Category 1],MATCH(G60,CLLIGHT[Measure Name],0)),0,INDEX(IF(AND(ACTIVEBONUS = TRUE,INDEX(CLLIGHT[Bonus Incentive],MATCH(G60,CLLIGHT[Measure Name],0))&lt;&gt; ""),CLLIGHT[Bonus Incentive],_xlfn.SWITCH(Program_Banner,"Business Energy Savings",CLLIGHT[BESP Incentive],"Small Business / Non-Profit",CLLIGHT[SBNP Incentive],0)),MATCH(G60,CLLIGHT[Measure Name],0)))),"")</f>
        <v/>
      </c>
      <c r="AN60" s="814"/>
      <c r="AO60" s="817" t="str">
        <f t="shared" ref="AO60" si="144">IFERROR(IF(OR(C60="",G60="",M60="",O60="",R60="",T60="",V60="",X60="",AC60="",AG60="",AI60="",AK60=""),"", IF(BE60&lt;=0, 0, BE60)),"")</f>
        <v/>
      </c>
      <c r="AP60" s="817"/>
      <c r="AQ60" s="817"/>
      <c r="AR60" s="819" t="str">
        <f>IFERROR(IF(OR(C60="",G60="",M60="",O60="",R60="",T60="",V60="",X60="",AC60="",AG60="",AI60="",AK60=""),"",IF(BY60&lt;&gt;"",BY60,IF(BP60&gt;0,BP60,ROUND(IF(AO60&lt;=0,0,MIN(BL60,BQ60)),2)))),"")</f>
        <v/>
      </c>
      <c r="AS60" s="820"/>
      <c r="AT60" s="820"/>
      <c r="AU60" s="821"/>
      <c r="AV60" s="17"/>
      <c r="AX60" s="773" t="str">
        <f>IFERROR(IF(OR(C60="",G60="",M60="",O60="",R60="",T60="",V60="",X60="",AC60="",AG60="",AI60="",AK60=""),"",INDEX(CLLIGHT[Current Unit],MATCH(G60,CLLIGHT[Measure Name],0))),"Err")</f>
        <v/>
      </c>
      <c r="AY60" s="759" t="str">
        <f t="shared" ref="AY60" si="145">IF(V60="", "",  V60)</f>
        <v/>
      </c>
      <c r="AZ60" s="759" t="str">
        <f t="shared" ref="AZ60" si="146">IF(V60="", "",  V60)</f>
        <v/>
      </c>
      <c r="BA60" s="771"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B60" s="771"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C60" s="773" t="str">
        <f>IFERROR(IF(OR(C60="",G60="",M60="",O60="",R60="",T60="",V60="",X60="",AC60="",AG60="",AI60="",AK60=""),"",INDEX(CLLIGHT[End Use],MATCH(G60,CLLIGHT[Measure Name],0))),"Err")</f>
        <v/>
      </c>
      <c r="BD60" s="757" t="str">
        <f>IFERROR(IF(OR(C60="",G60="",M60="",O60="",R60="",T60="",V60="",X60="",AC60="",AG60="",AI60="",AK60=""),"",INDEX(CLLIGHT[Reporting Methodology],MATCH(G60,CLLIGHT[Measure Name],0))),"Err")</f>
        <v/>
      </c>
      <c r="BE60" s="775" t="str">
        <f t="shared" ref="BE60" si="147">IF(AND(BA60&lt;&gt;"", BB60&lt;&gt;""), ROUND(BA60-BB60,4), "")</f>
        <v/>
      </c>
      <c r="BF60" s="775" t="str">
        <f>IFERROR(IF(OR(C60="",G60="",M60="",O60="",R60="",T60="",V60="",X60="",AC60="",AG60="",AI60="",AK60=""),"",
IF(BA60&lt;=BB60,0,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775" t="str">
        <f>IFERROR(IF(OR(C60="",G60="",M60="",O60="",R60="",T60="",V60="",X60="",AC60="",AG60="",AI60="", AK60=""),"",ROUND(AO60*INDEX(ENDUSEALL[Factor],MATCH(BC60,ENDUSEALL[End Use to Coincident Peak Demand Factors],0)),4)),"")</f>
        <v/>
      </c>
      <c r="BH60" s="761"/>
      <c r="BI60" s="761"/>
      <c r="BJ60" s="777" t="str">
        <f>IFERROR(INDEX(CLLIGHT[Measure Life (Years)],MATCH(G60,CLLIGHT[Measure Name],0)),"")</f>
        <v/>
      </c>
      <c r="BK60" s="767" t="str">
        <f>IFERROR(IF(OR(C60="",G60="",M60="",O60="",R60="",T60="",V60="",X60="",AC60="",AG60="",AI60="",AK60=""),"",
ROUND(((1+ELOSS)*((BE60*INDEX(ELECCB[NPV AEC $/kWh],MATCH(BJ60,ELECCB[Year Number],1)))+(BF60*INDEX(ELECCB[NPV ACC $/kW],MATCH(BJ60,ELECCB[Year Number],1))))),2)),0)</f>
        <v/>
      </c>
      <c r="BL60" s="767" t="str">
        <f t="shared" si="2"/>
        <v/>
      </c>
      <c r="BM60" s="765"/>
      <c r="BN60" s="763" t="str">
        <f t="shared" si="3"/>
        <v/>
      </c>
      <c r="BO60" s="763" t="str">
        <f>IFERROR(IF(BM60 &lt;&gt; "", BM60, BL60) / M02S04F06 / AO60, "")</f>
        <v/>
      </c>
      <c r="BP60" s="769"/>
      <c r="BQ60" s="767" t="str">
        <f t="shared" ref="BQ60" si="148">IFERROR(ROUND(V60*AM60, 2), "")</f>
        <v/>
      </c>
      <c r="BR60" s="767"/>
      <c r="BS60" s="765"/>
      <c r="BT60" s="765"/>
      <c r="BU60" s="757" t="str">
        <f t="shared" ref="BU60" si="149">IFERROR(IF(BP60="",IF(AND(AO60&gt;0, AR60 &lt; BQ60), "100% Total Cost", ""), ""), "")</f>
        <v/>
      </c>
      <c r="BV60" s="767"/>
      <c r="BW60" s="757" t="str">
        <f>IFERROR(IF(OR(C60="",G60="",M60="",O60="",R60="",T60="",V60="",X60="",AC60="",AG60="",AI60="",AK60=""),"",IF(BY60&lt;&gt;"", SPILLOVERNUMBER, INDEX(CLLIGHT[Measure Number],MATCH(G60,CLLIGHT[Measure Name],0)))),"Err")</f>
        <v/>
      </c>
      <c r="BX60" s="757" t="str" cm="1">
        <f t="array" ref="BX60">IFERROR(INDEX(_xlfn.SWITCH(Program_Banner,"Business Energy Savings",CLLIGHT[Primary Key WBE],"Small Business / Non-Profit",CLLIGHT[Primary Key HTRB],0),MATCH(BW60,CLLIGHT[Measure Number],0)),"")</f>
        <v/>
      </c>
      <c r="BY60" s="757" t="str">
        <f>IFERROR(IF(OR(C60="",G60="",M60="",O60="",R60="",T60="",V60="",X60="",AC60="",AG60="",AI60="",AK60=""),"",
IF(BP60&gt;0,"",
IF(EXPIRATION&lt;&gt;"",PROJSTATEXP,
IF(M02S04F19="",MEASUREBLDG,
IF(BA60&lt;=BB60,MEASURESAVE,""))))),MEASURESUBMIT)</f>
        <v/>
      </c>
      <c r="BZ60" s="753"/>
      <c r="CA60" s="753"/>
      <c r="CB60" s="753"/>
      <c r="CC60" s="753"/>
    </row>
    <row r="61" spans="2:81" ht="15.95" customHeight="1">
      <c r="B61" s="785"/>
      <c r="C61" s="786"/>
      <c r="D61" s="787"/>
      <c r="E61" s="787"/>
      <c r="F61" s="788"/>
      <c r="G61" s="791"/>
      <c r="H61" s="792"/>
      <c r="I61" s="792"/>
      <c r="J61" s="792"/>
      <c r="K61" s="792"/>
      <c r="L61" s="792"/>
      <c r="M61" s="786"/>
      <c r="N61" s="788"/>
      <c r="O61" s="786"/>
      <c r="P61" s="787"/>
      <c r="Q61" s="788"/>
      <c r="R61" s="1233"/>
      <c r="S61" s="1234"/>
      <c r="T61" s="799"/>
      <c r="U61" s="800"/>
      <c r="V61" s="802"/>
      <c r="W61" s="802"/>
      <c r="X61" s="804"/>
      <c r="Y61" s="804"/>
      <c r="Z61" s="793"/>
      <c r="AA61" s="795"/>
      <c r="AB61" s="794"/>
      <c r="AC61" s="793"/>
      <c r="AD61" s="795"/>
      <c r="AE61" s="795"/>
      <c r="AF61" s="794"/>
      <c r="AG61" s="806"/>
      <c r="AH61" s="786"/>
      <c r="AI61" s="809"/>
      <c r="AJ61" s="810"/>
      <c r="AK61" s="810"/>
      <c r="AL61" s="812"/>
      <c r="AM61" s="815"/>
      <c r="AN61" s="816"/>
      <c r="AO61" s="818"/>
      <c r="AP61" s="818"/>
      <c r="AQ61" s="818"/>
      <c r="AR61" s="822"/>
      <c r="AS61" s="823"/>
      <c r="AT61" s="823"/>
      <c r="AU61" s="824"/>
      <c r="AV61" s="17"/>
      <c r="AX61" s="774"/>
      <c r="AY61" s="760"/>
      <c r="AZ61" s="760"/>
      <c r="BA61" s="772"/>
      <c r="BB61" s="772"/>
      <c r="BC61" s="774"/>
      <c r="BD61" s="758"/>
      <c r="BE61" s="776"/>
      <c r="BF61" s="776"/>
      <c r="BG61" s="776"/>
      <c r="BH61" s="762"/>
      <c r="BI61" s="762"/>
      <c r="BJ61" s="778"/>
      <c r="BK61" s="768"/>
      <c r="BL61" s="768"/>
      <c r="BM61" s="766"/>
      <c r="BN61" s="764"/>
      <c r="BO61" s="764"/>
      <c r="BP61" s="770"/>
      <c r="BQ61" s="768"/>
      <c r="BR61" s="768"/>
      <c r="BS61" s="766"/>
      <c r="BT61" s="766"/>
      <c r="BU61" s="758"/>
      <c r="BV61" s="768"/>
      <c r="BW61" s="758"/>
      <c r="BX61" s="758"/>
      <c r="BY61" s="758"/>
      <c r="BZ61" s="754"/>
      <c r="CA61" s="754"/>
      <c r="CB61" s="754"/>
      <c r="CC61" s="754"/>
    </row>
    <row r="62" spans="2:81" ht="15.95" customHeight="1">
      <c r="B62" s="785">
        <v>23</v>
      </c>
      <c r="C62" s="786"/>
      <c r="D62" s="787"/>
      <c r="E62" s="787"/>
      <c r="F62" s="788"/>
      <c r="G62" s="789"/>
      <c r="H62" s="790"/>
      <c r="I62" s="790"/>
      <c r="J62" s="790"/>
      <c r="K62" s="790"/>
      <c r="L62" s="790"/>
      <c r="M62" s="793"/>
      <c r="N62" s="794"/>
      <c r="O62" s="793"/>
      <c r="P62" s="795"/>
      <c r="Q62" s="794"/>
      <c r="R62" s="1231" t="str">
        <f>_xlfn.LET(
_xlpm.WATTS,
IFERROR(
INDEX(STDLIGHTINEFCAT2[System Wattage],MATCH('M04-S10'!$M62&amp;"_"&amp;
INDEX(CLLIGHT[Ineff Dropdown 2],MATCH('M04-S10'!$G62, CLLIGHT[Measure Name],0))
&amp;"_"&amp;O62,STDLIGHTINEFCAT2[Full Name],0)),
""),
IF(_xlpm.WATTS="","",_xlpm.WATTS))</f>
        <v/>
      </c>
      <c r="S62" s="1232"/>
      <c r="T62" s="799" t="str">
        <f t="shared" ref="T62" si="150">IF(C62="Permanent Lamp Removal",0,"")</f>
        <v/>
      </c>
      <c r="U62" s="800"/>
      <c r="V62" s="801"/>
      <c r="W62" s="801"/>
      <c r="X62" s="803"/>
      <c r="Y62" s="803"/>
      <c r="Z62" s="873"/>
      <c r="AA62" s="874"/>
      <c r="AB62" s="875"/>
      <c r="AC62" s="825"/>
      <c r="AD62" s="826"/>
      <c r="AE62" s="826"/>
      <c r="AF62" s="827"/>
      <c r="AG62" s="805"/>
      <c r="AH62" s="793"/>
      <c r="AI62" s="807"/>
      <c r="AJ62" s="808"/>
      <c r="AK62" s="808"/>
      <c r="AL62" s="811"/>
      <c r="AM62" s="813" t="str" cm="1">
        <f t="array" ref="AM62">IFERROR(IF(G62="","",IF(C62&lt;&gt;INDEX(CLLIGHT[Eff Category 1],MATCH(G62,CLLIGHT[Measure Name],0)),0,INDEX(IF(AND(ACTIVEBONUS = TRUE,INDEX(CLLIGHT[Bonus Incentive],MATCH(G62,CLLIGHT[Measure Name],0))&lt;&gt; ""),CLLIGHT[Bonus Incentive],_xlfn.SWITCH(Program_Banner,"Business Energy Savings",CLLIGHT[BESP Incentive],"Small Business / Non-Profit",CLLIGHT[SBNP Incentive],0)),MATCH(G62,CLLIGHT[Measure Name],0)))),"")</f>
        <v/>
      </c>
      <c r="AN62" s="814"/>
      <c r="AO62" s="817" t="str">
        <f t="shared" ref="AO62" si="151">IFERROR(IF(OR(C62="",G62="",M62="",O62="",R62="",T62="",V62="",X62="",AC62="",AG62="",AI62="",AK62=""),"", IF(BE62&lt;=0, 0, BE62)),"")</f>
        <v/>
      </c>
      <c r="AP62" s="817"/>
      <c r="AQ62" s="817"/>
      <c r="AR62" s="819" t="str">
        <f>IFERROR(IF(OR(C62="",G62="",M62="",O62="",R62="",T62="",V62="",X62="",AC62="",AG62="",AI62="",AK62=""),"",IF(BY62&lt;&gt;"",BY62,IF(BP62&gt;0,BP62,ROUND(IF(AO62&lt;=0,0,MIN(BL62,BQ62)),2)))),"")</f>
        <v/>
      </c>
      <c r="AS62" s="820"/>
      <c r="AT62" s="820"/>
      <c r="AU62" s="821"/>
      <c r="AV62" s="17"/>
      <c r="AX62" s="773" t="str">
        <f>IFERROR(IF(OR(C62="",G62="",M62="",O62="",R62="",T62="",V62="",X62="",AC62="",AG62="",AI62="",AK62=""),"",INDEX(CLLIGHT[Current Unit],MATCH(G62,CLLIGHT[Measure Name],0))),"Err")</f>
        <v/>
      </c>
      <c r="AY62" s="759" t="str">
        <f t="shared" ref="AY62" si="152">IF(V62="", "",  V62)</f>
        <v/>
      </c>
      <c r="AZ62" s="759" t="str">
        <f t="shared" ref="AZ62" si="153">IF(V62="", "",  V62)</f>
        <v/>
      </c>
      <c r="BA62" s="771"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B62" s="771"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C62" s="773" t="str">
        <f>IFERROR(IF(OR(C62="",G62="",M62="",O62="",R62="",T62="",V62="",X62="",AC62="",AG62="",AI62="",AK62=""),"",INDEX(CLLIGHT[End Use],MATCH(G62,CLLIGHT[Measure Name],0))),"Err")</f>
        <v/>
      </c>
      <c r="BD62" s="757" t="str">
        <f>IFERROR(IF(OR(C62="",G62="",M62="",O62="",R62="",T62="",V62="",X62="",AC62="",AG62="",AI62="",AK62=""),"",INDEX(CLLIGHT[Reporting Methodology],MATCH(G62,CLLIGHT[Measure Name],0))),"Err")</f>
        <v/>
      </c>
      <c r="BE62" s="775" t="str">
        <f t="shared" ref="BE62" si="154">IF(AND(BA62&lt;&gt;"", BB62&lt;&gt;""), ROUND(BA62-BB62,4), "")</f>
        <v/>
      </c>
      <c r="BF62" s="775" t="str">
        <f>IFERROR(IF(OR(C62="",G62="",M62="",O62="",R62="",T62="",V62="",X62="",AC62="",AG62="",AI62="",AK62=""),"",
IF(BA62&lt;=BB62,0,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775" t="str">
        <f>IFERROR(IF(OR(C62="",G62="",M62="",O62="",R62="",T62="",V62="",X62="",AC62="",AG62="",AI62="", AK62=""),"",ROUND(AO62*INDEX(ENDUSEALL[Factor],MATCH(BC62,ENDUSEALL[End Use to Coincident Peak Demand Factors],0)),4)),"")</f>
        <v/>
      </c>
      <c r="BH62" s="761"/>
      <c r="BI62" s="761"/>
      <c r="BJ62" s="777" t="str">
        <f>IFERROR(INDEX(CLLIGHT[Measure Life (Years)],MATCH(G62,CLLIGHT[Measure Name],0)),"")</f>
        <v/>
      </c>
      <c r="BK62" s="767" t="str">
        <f>IFERROR(IF(OR(C62="",G62="",M62="",O62="",R62="",T62="",V62="",X62="",AC62="",AG62="",AI62="",AK62=""),"",
ROUND(((1+ELOSS)*((BE62*INDEX(ELECCB[NPV AEC $/kWh],MATCH(BJ62,ELECCB[Year Number],1)))+(BF62*INDEX(ELECCB[NPV ACC $/kW],MATCH(BJ62,ELECCB[Year Number],1))))),2)),0)</f>
        <v/>
      </c>
      <c r="BL62" s="767" t="str">
        <f t="shared" si="2"/>
        <v/>
      </c>
      <c r="BM62" s="765"/>
      <c r="BN62" s="763" t="str">
        <f t="shared" si="3"/>
        <v/>
      </c>
      <c r="BO62" s="763" t="str">
        <f>IFERROR(IF(BM62 &lt;&gt; "", BM62, BL62) / M02S04F06 / AO62, "")</f>
        <v/>
      </c>
      <c r="BP62" s="769"/>
      <c r="BQ62" s="767" t="str">
        <f t="shared" ref="BQ62" si="155">IFERROR(ROUND(V62*AM62, 2), "")</f>
        <v/>
      </c>
      <c r="BR62" s="767"/>
      <c r="BS62" s="765"/>
      <c r="BT62" s="765"/>
      <c r="BU62" s="757" t="str">
        <f t="shared" ref="BU62" si="156">IFERROR(IF(BP62="",IF(AND(AO62&gt;0, AR62 &lt; BQ62), "100% Total Cost", ""), ""), "")</f>
        <v/>
      </c>
      <c r="BV62" s="767"/>
      <c r="BW62" s="757" t="str">
        <f>IFERROR(IF(OR(C62="",G62="",M62="",O62="",R62="",T62="",V62="",X62="",AC62="",AG62="",AI62="",AK62=""),"",IF(BY62&lt;&gt;"", SPILLOVERNUMBER, INDEX(CLLIGHT[Measure Number],MATCH(G62,CLLIGHT[Measure Name],0)))),"Err")</f>
        <v/>
      </c>
      <c r="BX62" s="757" t="str" cm="1">
        <f t="array" ref="BX62">IFERROR(INDEX(_xlfn.SWITCH(Program_Banner,"Business Energy Savings",CLLIGHT[Primary Key WBE],"Small Business / Non-Profit",CLLIGHT[Primary Key HTRB],0),MATCH(BW62,CLLIGHT[Measure Number],0)),"")</f>
        <v/>
      </c>
      <c r="BY62" s="757" t="str">
        <f>IFERROR(IF(OR(C62="",G62="",M62="",O62="",R62="",T62="",V62="",X62="",AC62="",AG62="",AI62="",AK62=""),"",
IF(BP62&gt;0,"",
IF(EXPIRATION&lt;&gt;"",PROJSTATEXP,
IF(M02S04F19="",MEASUREBLDG,
IF(BA62&lt;=BB62,MEASURESAVE,""))))),MEASURESUBMIT)</f>
        <v/>
      </c>
      <c r="BZ62" s="753"/>
      <c r="CA62" s="753"/>
      <c r="CB62" s="753"/>
      <c r="CC62" s="753"/>
    </row>
    <row r="63" spans="2:81" ht="15.95" customHeight="1">
      <c r="B63" s="785"/>
      <c r="C63" s="786"/>
      <c r="D63" s="787"/>
      <c r="E63" s="787"/>
      <c r="F63" s="788"/>
      <c r="G63" s="791"/>
      <c r="H63" s="792"/>
      <c r="I63" s="792"/>
      <c r="J63" s="792"/>
      <c r="K63" s="792"/>
      <c r="L63" s="792"/>
      <c r="M63" s="786"/>
      <c r="N63" s="788"/>
      <c r="O63" s="786"/>
      <c r="P63" s="787"/>
      <c r="Q63" s="788"/>
      <c r="R63" s="1233"/>
      <c r="S63" s="1234"/>
      <c r="T63" s="799"/>
      <c r="U63" s="800"/>
      <c r="V63" s="802"/>
      <c r="W63" s="802"/>
      <c r="X63" s="804"/>
      <c r="Y63" s="804"/>
      <c r="Z63" s="793"/>
      <c r="AA63" s="795"/>
      <c r="AB63" s="794"/>
      <c r="AC63" s="793"/>
      <c r="AD63" s="795"/>
      <c r="AE63" s="795"/>
      <c r="AF63" s="794"/>
      <c r="AG63" s="806"/>
      <c r="AH63" s="786"/>
      <c r="AI63" s="809"/>
      <c r="AJ63" s="810"/>
      <c r="AK63" s="810"/>
      <c r="AL63" s="812"/>
      <c r="AM63" s="815"/>
      <c r="AN63" s="816"/>
      <c r="AO63" s="818"/>
      <c r="AP63" s="818"/>
      <c r="AQ63" s="818"/>
      <c r="AR63" s="822"/>
      <c r="AS63" s="823"/>
      <c r="AT63" s="823"/>
      <c r="AU63" s="824"/>
      <c r="AV63" s="17"/>
      <c r="AX63" s="774"/>
      <c r="AY63" s="760"/>
      <c r="AZ63" s="760"/>
      <c r="BA63" s="772"/>
      <c r="BB63" s="772"/>
      <c r="BC63" s="774"/>
      <c r="BD63" s="758"/>
      <c r="BE63" s="776"/>
      <c r="BF63" s="776"/>
      <c r="BG63" s="776"/>
      <c r="BH63" s="762"/>
      <c r="BI63" s="762"/>
      <c r="BJ63" s="778"/>
      <c r="BK63" s="768"/>
      <c r="BL63" s="768"/>
      <c r="BM63" s="766"/>
      <c r="BN63" s="764"/>
      <c r="BO63" s="764"/>
      <c r="BP63" s="770"/>
      <c r="BQ63" s="768"/>
      <c r="BR63" s="768"/>
      <c r="BS63" s="766"/>
      <c r="BT63" s="766"/>
      <c r="BU63" s="758"/>
      <c r="BV63" s="768"/>
      <c r="BW63" s="758"/>
      <c r="BX63" s="758"/>
      <c r="BY63" s="758"/>
      <c r="BZ63" s="754"/>
      <c r="CA63" s="754"/>
      <c r="CB63" s="754"/>
      <c r="CC63" s="754"/>
    </row>
    <row r="64" spans="2:81" ht="15.95" customHeight="1">
      <c r="B64" s="785">
        <v>24</v>
      </c>
      <c r="C64" s="786"/>
      <c r="D64" s="787"/>
      <c r="E64" s="787"/>
      <c r="F64" s="788"/>
      <c r="G64" s="789"/>
      <c r="H64" s="790"/>
      <c r="I64" s="790"/>
      <c r="J64" s="790"/>
      <c r="K64" s="790"/>
      <c r="L64" s="790"/>
      <c r="M64" s="793"/>
      <c r="N64" s="794"/>
      <c r="O64" s="793"/>
      <c r="P64" s="795"/>
      <c r="Q64" s="794"/>
      <c r="R64" s="1231" t="str">
        <f>_xlfn.LET(
_xlpm.WATTS,
IFERROR(
INDEX(STDLIGHTINEFCAT2[System Wattage],MATCH('M04-S10'!$M64&amp;"_"&amp;
INDEX(CLLIGHT[Ineff Dropdown 2],MATCH('M04-S10'!$G64, CLLIGHT[Measure Name],0))
&amp;"_"&amp;O64,STDLIGHTINEFCAT2[Full Name],0)),
""),
IF(_xlpm.WATTS="","",_xlpm.WATTS))</f>
        <v/>
      </c>
      <c r="S64" s="1232"/>
      <c r="T64" s="799" t="str">
        <f t="shared" ref="T64" si="157">IF(C64="Permanent Lamp Removal",0,"")</f>
        <v/>
      </c>
      <c r="U64" s="800"/>
      <c r="V64" s="801"/>
      <c r="W64" s="801"/>
      <c r="X64" s="803"/>
      <c r="Y64" s="803"/>
      <c r="Z64" s="873"/>
      <c r="AA64" s="874"/>
      <c r="AB64" s="875"/>
      <c r="AC64" s="825"/>
      <c r="AD64" s="826"/>
      <c r="AE64" s="826"/>
      <c r="AF64" s="827"/>
      <c r="AG64" s="805"/>
      <c r="AH64" s="793"/>
      <c r="AI64" s="807"/>
      <c r="AJ64" s="808"/>
      <c r="AK64" s="808"/>
      <c r="AL64" s="811"/>
      <c r="AM64" s="813" t="str" cm="1">
        <f t="array" ref="AM64">IFERROR(IF(G64="","",IF(C64&lt;&gt;INDEX(CLLIGHT[Eff Category 1],MATCH(G64,CLLIGHT[Measure Name],0)),0,INDEX(IF(AND(ACTIVEBONUS = TRUE,INDEX(CLLIGHT[Bonus Incentive],MATCH(G64,CLLIGHT[Measure Name],0))&lt;&gt; ""),CLLIGHT[Bonus Incentive],_xlfn.SWITCH(Program_Banner,"Business Energy Savings",CLLIGHT[BESP Incentive],"Small Business / Non-Profit",CLLIGHT[SBNP Incentive],0)),MATCH(G64,CLLIGHT[Measure Name],0)))),"")</f>
        <v/>
      </c>
      <c r="AN64" s="814"/>
      <c r="AO64" s="817" t="str">
        <f t="shared" ref="AO64" si="158">IFERROR(IF(OR(C64="",G64="",M64="",O64="",R64="",T64="",V64="",X64="",AC64="",AG64="",AI64="",AK64=""),"", IF(BE64&lt;=0, 0, BE64)),"")</f>
        <v/>
      </c>
      <c r="AP64" s="817"/>
      <c r="AQ64" s="817"/>
      <c r="AR64" s="819" t="str">
        <f>IFERROR(IF(OR(C64="",G64="",M64="",O64="",R64="",T64="",V64="",X64="",AC64="",AG64="",AI64="",AK64=""),"",IF(BY64&lt;&gt;"",BY64,IF(BP64&gt;0,BP64,ROUND(IF(AO64&lt;=0,0,MIN(BL64,BQ64)),2)))),"")</f>
        <v/>
      </c>
      <c r="AS64" s="820"/>
      <c r="AT64" s="820"/>
      <c r="AU64" s="821"/>
      <c r="AV64" s="17"/>
      <c r="AX64" s="773" t="str">
        <f>IFERROR(IF(OR(C64="",G64="",M64="",O64="",R64="",T64="",V64="",X64="",AC64="",AG64="",AI64="",AK64=""),"",INDEX(CLLIGHT[Current Unit],MATCH(G64,CLLIGHT[Measure Name],0))),"Err")</f>
        <v/>
      </c>
      <c r="AY64" s="759" t="str">
        <f t="shared" ref="AY64" si="159">IF(V64="", "",  V64)</f>
        <v/>
      </c>
      <c r="AZ64" s="759" t="str">
        <f t="shared" ref="AZ64" si="160">IF(V64="", "",  V64)</f>
        <v/>
      </c>
      <c r="BA64" s="771"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B64" s="771"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C64" s="773" t="str">
        <f>IFERROR(IF(OR(C64="",G64="",M64="",O64="",R64="",T64="",V64="",X64="",AC64="",AG64="",AI64="",AK64=""),"",INDEX(CLLIGHT[End Use],MATCH(G64,CLLIGHT[Measure Name],0))),"Err")</f>
        <v/>
      </c>
      <c r="BD64" s="757" t="str">
        <f>IFERROR(IF(OR(C64="",G64="",M64="",O64="",R64="",T64="",V64="",X64="",AC64="",AG64="",AI64="",AK64=""),"",INDEX(CLLIGHT[Reporting Methodology],MATCH(G64,CLLIGHT[Measure Name],0))),"Err")</f>
        <v/>
      </c>
      <c r="BE64" s="775" t="str">
        <f t="shared" ref="BE64" si="161">IF(AND(BA64&lt;&gt;"", BB64&lt;&gt;""), ROUND(BA64-BB64,4), "")</f>
        <v/>
      </c>
      <c r="BF64" s="775" t="str">
        <f>IFERROR(IF(OR(C64="",G64="",M64="",O64="",R64="",T64="",V64="",X64="",AC64="",AG64="",AI64="",AK64=""),"",
IF(BA64&lt;=BB64,0,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775" t="str">
        <f>IFERROR(IF(OR(C64="",G64="",M64="",O64="",R64="",T64="",V64="",X64="",AC64="",AG64="",AI64="", AK64=""),"",ROUND(AO64*INDEX(ENDUSEALL[Factor],MATCH(BC64,ENDUSEALL[End Use to Coincident Peak Demand Factors],0)),4)),"")</f>
        <v/>
      </c>
      <c r="BH64" s="761"/>
      <c r="BI64" s="761"/>
      <c r="BJ64" s="777" t="str">
        <f>IFERROR(INDEX(CLLIGHT[Measure Life (Years)],MATCH(G64,CLLIGHT[Measure Name],0)),"")</f>
        <v/>
      </c>
      <c r="BK64" s="767" t="str">
        <f>IFERROR(IF(OR(C64="",G64="",M64="",O64="",R64="",T64="",V64="",X64="",AC64="",AG64="",AI64="",AK64=""),"",
ROUND(((1+ELOSS)*((BE64*INDEX(ELECCB[NPV AEC $/kWh],MATCH(BJ64,ELECCB[Year Number],1)))+(BF64*INDEX(ELECCB[NPV ACC $/kW],MATCH(BJ64,ELECCB[Year Number],1))))),2)),0)</f>
        <v/>
      </c>
      <c r="BL64" s="767" t="str">
        <f t="shared" si="2"/>
        <v/>
      </c>
      <c r="BM64" s="765"/>
      <c r="BN64" s="763" t="str">
        <f t="shared" si="3"/>
        <v/>
      </c>
      <c r="BO64" s="763" t="str">
        <f>IFERROR(IF(BM64 &lt;&gt; "", BM64, BL64) / M02S04F06 / AO64, "")</f>
        <v/>
      </c>
      <c r="BP64" s="769"/>
      <c r="BQ64" s="767" t="str">
        <f t="shared" ref="BQ64" si="162">IFERROR(ROUND(V64*AM64, 2), "")</f>
        <v/>
      </c>
      <c r="BR64" s="767"/>
      <c r="BS64" s="765"/>
      <c r="BT64" s="765"/>
      <c r="BU64" s="757" t="str">
        <f t="shared" ref="BU64" si="163">IFERROR(IF(BP64="",IF(AND(AO64&gt;0, AR64 &lt; BQ64), "100% Total Cost", ""), ""), "")</f>
        <v/>
      </c>
      <c r="BV64" s="767"/>
      <c r="BW64" s="757" t="str">
        <f>IFERROR(IF(OR(C64="",G64="",M64="",O64="",R64="",T64="",V64="",X64="",AC64="",AG64="",AI64="",AK64=""),"",IF(BY64&lt;&gt;"", SPILLOVERNUMBER, INDEX(CLLIGHT[Measure Number],MATCH(G64,CLLIGHT[Measure Name],0)))),"Err")</f>
        <v/>
      </c>
      <c r="BX64" s="757" t="str" cm="1">
        <f t="array" ref="BX64">IFERROR(INDEX(_xlfn.SWITCH(Program_Banner,"Business Energy Savings",CLLIGHT[Primary Key WBE],"Small Business / Non-Profit",CLLIGHT[Primary Key HTRB],0),MATCH(BW64,CLLIGHT[Measure Number],0)),"")</f>
        <v/>
      </c>
      <c r="BY64" s="757" t="str">
        <f>IFERROR(IF(OR(C64="",G64="",M64="",O64="",R64="",T64="",V64="",X64="",AC64="",AG64="",AI64="",AK64=""),"",
IF(BP64&gt;0,"",
IF(EXPIRATION&lt;&gt;"",PROJSTATEXP,
IF(M02S04F19="",MEASUREBLDG,
IF(BA64&lt;=BB64,MEASURESAVE,""))))),MEASURESUBMIT)</f>
        <v/>
      </c>
      <c r="BZ64" s="753"/>
      <c r="CA64" s="753"/>
      <c r="CB64" s="753"/>
      <c r="CC64" s="753"/>
    </row>
    <row r="65" spans="2:81" ht="15.95" customHeight="1">
      <c r="B65" s="785"/>
      <c r="C65" s="786"/>
      <c r="D65" s="787"/>
      <c r="E65" s="787"/>
      <c r="F65" s="788"/>
      <c r="G65" s="791"/>
      <c r="H65" s="792"/>
      <c r="I65" s="792"/>
      <c r="J65" s="792"/>
      <c r="K65" s="792"/>
      <c r="L65" s="792"/>
      <c r="M65" s="786"/>
      <c r="N65" s="788"/>
      <c r="O65" s="786"/>
      <c r="P65" s="787"/>
      <c r="Q65" s="788"/>
      <c r="R65" s="1233"/>
      <c r="S65" s="1234"/>
      <c r="T65" s="799"/>
      <c r="U65" s="800"/>
      <c r="V65" s="802"/>
      <c r="W65" s="802"/>
      <c r="X65" s="804"/>
      <c r="Y65" s="804"/>
      <c r="Z65" s="793"/>
      <c r="AA65" s="795"/>
      <c r="AB65" s="794"/>
      <c r="AC65" s="793"/>
      <c r="AD65" s="795"/>
      <c r="AE65" s="795"/>
      <c r="AF65" s="794"/>
      <c r="AG65" s="806"/>
      <c r="AH65" s="786"/>
      <c r="AI65" s="809"/>
      <c r="AJ65" s="810"/>
      <c r="AK65" s="810"/>
      <c r="AL65" s="812"/>
      <c r="AM65" s="815"/>
      <c r="AN65" s="816"/>
      <c r="AO65" s="818"/>
      <c r="AP65" s="818"/>
      <c r="AQ65" s="818"/>
      <c r="AR65" s="822"/>
      <c r="AS65" s="823"/>
      <c r="AT65" s="823"/>
      <c r="AU65" s="824"/>
      <c r="AV65" s="17"/>
      <c r="AX65" s="774"/>
      <c r="AY65" s="760"/>
      <c r="AZ65" s="760"/>
      <c r="BA65" s="772"/>
      <c r="BB65" s="772"/>
      <c r="BC65" s="774"/>
      <c r="BD65" s="758"/>
      <c r="BE65" s="776"/>
      <c r="BF65" s="776"/>
      <c r="BG65" s="776"/>
      <c r="BH65" s="762"/>
      <c r="BI65" s="762"/>
      <c r="BJ65" s="778"/>
      <c r="BK65" s="768"/>
      <c r="BL65" s="768"/>
      <c r="BM65" s="766"/>
      <c r="BN65" s="764"/>
      <c r="BO65" s="764"/>
      <c r="BP65" s="770"/>
      <c r="BQ65" s="768"/>
      <c r="BR65" s="768"/>
      <c r="BS65" s="766"/>
      <c r="BT65" s="766"/>
      <c r="BU65" s="758"/>
      <c r="BV65" s="768"/>
      <c r="BW65" s="758"/>
      <c r="BX65" s="758"/>
      <c r="BY65" s="758"/>
      <c r="BZ65" s="754"/>
      <c r="CA65" s="754"/>
      <c r="CB65" s="754"/>
      <c r="CC65" s="754"/>
    </row>
    <row r="66" spans="2:81" ht="15.95" customHeight="1">
      <c r="B66" s="785">
        <v>25</v>
      </c>
      <c r="C66" s="786"/>
      <c r="D66" s="787"/>
      <c r="E66" s="787"/>
      <c r="F66" s="788"/>
      <c r="G66" s="789"/>
      <c r="H66" s="790"/>
      <c r="I66" s="790"/>
      <c r="J66" s="790"/>
      <c r="K66" s="790"/>
      <c r="L66" s="790"/>
      <c r="M66" s="793"/>
      <c r="N66" s="794"/>
      <c r="O66" s="793"/>
      <c r="P66" s="795"/>
      <c r="Q66" s="794"/>
      <c r="R66" s="1231" t="str">
        <f>_xlfn.LET(
_xlpm.WATTS,
IFERROR(
INDEX(STDLIGHTINEFCAT2[System Wattage],MATCH('M04-S10'!$M66&amp;"_"&amp;
INDEX(CLLIGHT[Ineff Dropdown 2],MATCH('M04-S10'!$G66, CLLIGHT[Measure Name],0))
&amp;"_"&amp;O66,STDLIGHTINEFCAT2[Full Name],0)),
""),
IF(_xlpm.WATTS="","",_xlpm.WATTS))</f>
        <v/>
      </c>
      <c r="S66" s="1232"/>
      <c r="T66" s="799" t="str">
        <f t="shared" ref="T66" si="164">IF(C66="Permanent Lamp Removal",0,"")</f>
        <v/>
      </c>
      <c r="U66" s="800"/>
      <c r="V66" s="801"/>
      <c r="W66" s="801"/>
      <c r="X66" s="803"/>
      <c r="Y66" s="803"/>
      <c r="Z66" s="873"/>
      <c r="AA66" s="874"/>
      <c r="AB66" s="875"/>
      <c r="AC66" s="825"/>
      <c r="AD66" s="826"/>
      <c r="AE66" s="826"/>
      <c r="AF66" s="827"/>
      <c r="AG66" s="805"/>
      <c r="AH66" s="793"/>
      <c r="AI66" s="807"/>
      <c r="AJ66" s="808"/>
      <c r="AK66" s="808"/>
      <c r="AL66" s="811"/>
      <c r="AM66" s="813" t="str" cm="1">
        <f t="array" ref="AM66">IFERROR(IF(G66="","",IF(C66&lt;&gt;INDEX(CLLIGHT[Eff Category 1],MATCH(G66,CLLIGHT[Measure Name],0)),0,INDEX(IF(AND(ACTIVEBONUS = TRUE,INDEX(CLLIGHT[Bonus Incentive],MATCH(G66,CLLIGHT[Measure Name],0))&lt;&gt; ""),CLLIGHT[Bonus Incentive],_xlfn.SWITCH(Program_Banner,"Business Energy Savings",CLLIGHT[BESP Incentive],"Small Business / Non-Profit",CLLIGHT[SBNP Incentive],0)),MATCH(G66,CLLIGHT[Measure Name],0)))),"")</f>
        <v/>
      </c>
      <c r="AN66" s="814"/>
      <c r="AO66" s="817" t="str">
        <f t="shared" ref="AO66" si="165">IFERROR(IF(OR(C66="",G66="",M66="",O66="",R66="",T66="",V66="",X66="",AC66="",AG66="",AI66="",AK66=""),"", IF(BE66&lt;=0, 0, BE66)),"")</f>
        <v/>
      </c>
      <c r="AP66" s="817"/>
      <c r="AQ66" s="817"/>
      <c r="AR66" s="819" t="str">
        <f>IFERROR(IF(OR(C66="",G66="",M66="",O66="",R66="",T66="",V66="",X66="",AC66="",AG66="",AI66="",AK66=""),"",IF(BY66&lt;&gt;"",BY66,IF(BP66&gt;0,BP66,ROUND(IF(AO66&lt;=0,0,MIN(BL66,BQ66)),2)))),"")</f>
        <v/>
      </c>
      <c r="AS66" s="820"/>
      <c r="AT66" s="820"/>
      <c r="AU66" s="821"/>
      <c r="AV66" s="17"/>
      <c r="AX66" s="773" t="str">
        <f>IFERROR(IF(OR(C66="",G66="",M66="",O66="",R66="",T66="",V66="",X66="",AC66="",AG66="",AI66="",AK66=""),"",INDEX(CLLIGHT[Current Unit],MATCH(G66,CLLIGHT[Measure Name],0))),"Err")</f>
        <v/>
      </c>
      <c r="AY66" s="759" t="str">
        <f t="shared" ref="AY66" si="166">IF(V66="", "",  V66)</f>
        <v/>
      </c>
      <c r="AZ66" s="759" t="str">
        <f t="shared" ref="AZ66" si="167">IF(V66="", "",  V66)</f>
        <v/>
      </c>
      <c r="BA66" s="771"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B66" s="771"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C66" s="773" t="str">
        <f>IFERROR(IF(OR(C66="",G66="",M66="",O66="",R66="",T66="",V66="",X66="",AC66="",AG66="",AI66="",AK66=""),"",INDEX(CLLIGHT[End Use],MATCH(G66,CLLIGHT[Measure Name],0))),"Err")</f>
        <v/>
      </c>
      <c r="BD66" s="757" t="str">
        <f>IFERROR(IF(OR(C66="",G66="",M66="",O66="",R66="",T66="",V66="",X66="",AC66="",AG66="",AI66="",AK66=""),"",INDEX(CLLIGHT[Reporting Methodology],MATCH(G66,CLLIGHT[Measure Name],0))),"Err")</f>
        <v/>
      </c>
      <c r="BE66" s="775" t="str">
        <f t="shared" ref="BE66" si="168">IF(AND(BA66&lt;&gt;"", BB66&lt;&gt;""), ROUND(BA66-BB66,4), "")</f>
        <v/>
      </c>
      <c r="BF66" s="775" t="str">
        <f>IFERROR(IF(OR(C66="",G66="",M66="",O66="",R66="",T66="",V66="",X66="",AC66="",AG66="",AI66="",AK66=""),"",
IF(BA66&lt;=BB66,0,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775" t="str">
        <f>IFERROR(IF(OR(C66="",G66="",M66="",O66="",R66="",T66="",V66="",X66="",AC66="",AG66="",AI66="", AK66=""),"",ROUND(AO66*INDEX(ENDUSEALL[Factor],MATCH(BC66,ENDUSEALL[End Use to Coincident Peak Demand Factors],0)),4)),"")</f>
        <v/>
      </c>
      <c r="BH66" s="761"/>
      <c r="BI66" s="761"/>
      <c r="BJ66" s="777" t="str">
        <f>IFERROR(INDEX(CLLIGHT[Measure Life (Years)],MATCH(G66,CLLIGHT[Measure Name],0)),"")</f>
        <v/>
      </c>
      <c r="BK66" s="767" t="str">
        <f>IFERROR(IF(OR(C66="",G66="",M66="",O66="",R66="",T66="",V66="",X66="",AC66="",AG66="",AI66="",AK66=""),"",
ROUND(((1+ELOSS)*((BE66*INDEX(ELECCB[NPV AEC $/kWh],MATCH(BJ66,ELECCB[Year Number],1)))+(BF66*INDEX(ELECCB[NPV ACC $/kW],MATCH(BJ66,ELECCB[Year Number],1))))),2)),0)</f>
        <v/>
      </c>
      <c r="BL66" s="767" t="str">
        <f t="shared" si="2"/>
        <v/>
      </c>
      <c r="BM66" s="765"/>
      <c r="BN66" s="763" t="str">
        <f t="shared" si="3"/>
        <v/>
      </c>
      <c r="BO66" s="763" t="str">
        <f>IFERROR(IF(BM66 &lt;&gt; "", BM66, BL66) / M02S04F06 / AO66, "")</f>
        <v/>
      </c>
      <c r="BP66" s="769"/>
      <c r="BQ66" s="767" t="str">
        <f t="shared" ref="BQ66" si="169">IFERROR(ROUND(V66*AM66, 2), "")</f>
        <v/>
      </c>
      <c r="BR66" s="767"/>
      <c r="BS66" s="765"/>
      <c r="BT66" s="765"/>
      <c r="BU66" s="757" t="str">
        <f t="shared" ref="BU66" si="170">IFERROR(IF(BP66="",IF(AND(AO66&gt;0, AR66 &lt; BQ66), "100% Total Cost", ""), ""), "")</f>
        <v/>
      </c>
      <c r="BV66" s="767"/>
      <c r="BW66" s="757" t="str">
        <f>IFERROR(IF(OR(C66="",G66="",M66="",O66="",R66="",T66="",V66="",X66="",AC66="",AG66="",AI66="",AK66=""),"",IF(BY66&lt;&gt;"", SPILLOVERNUMBER, INDEX(CLLIGHT[Measure Number],MATCH(G66,CLLIGHT[Measure Name],0)))),"Err")</f>
        <v/>
      </c>
      <c r="BX66" s="757" t="str" cm="1">
        <f t="array" ref="BX66">IFERROR(INDEX(_xlfn.SWITCH(Program_Banner,"Business Energy Savings",CLLIGHT[Primary Key WBE],"Small Business / Non-Profit",CLLIGHT[Primary Key HTRB],0),MATCH(BW66,CLLIGHT[Measure Number],0)),"")</f>
        <v/>
      </c>
      <c r="BY66" s="757" t="str">
        <f>IFERROR(IF(OR(C66="",G66="",M66="",O66="",R66="",T66="",V66="",X66="",AC66="",AG66="",AI66="",AK66=""),"",
IF(BP66&gt;0,"",
IF(EXPIRATION&lt;&gt;"",PROJSTATEXP,
IF(M02S04F19="",MEASUREBLDG,
IF(BA66&lt;=BB66,MEASURESAVE,""))))),MEASURESUBMIT)</f>
        <v/>
      </c>
      <c r="BZ66" s="753"/>
      <c r="CA66" s="753"/>
      <c r="CB66" s="753"/>
      <c r="CC66" s="753"/>
    </row>
    <row r="67" spans="2:81" ht="15.95" customHeight="1">
      <c r="B67" s="785"/>
      <c r="C67" s="786"/>
      <c r="D67" s="787"/>
      <c r="E67" s="787"/>
      <c r="F67" s="788"/>
      <c r="G67" s="791"/>
      <c r="H67" s="792"/>
      <c r="I67" s="792"/>
      <c r="J67" s="792"/>
      <c r="K67" s="792"/>
      <c r="L67" s="792"/>
      <c r="M67" s="786"/>
      <c r="N67" s="788"/>
      <c r="O67" s="786"/>
      <c r="P67" s="787"/>
      <c r="Q67" s="788"/>
      <c r="R67" s="1233"/>
      <c r="S67" s="1234"/>
      <c r="T67" s="799"/>
      <c r="U67" s="800"/>
      <c r="V67" s="802"/>
      <c r="W67" s="802"/>
      <c r="X67" s="804"/>
      <c r="Y67" s="804"/>
      <c r="Z67" s="793"/>
      <c r="AA67" s="795"/>
      <c r="AB67" s="794"/>
      <c r="AC67" s="793"/>
      <c r="AD67" s="795"/>
      <c r="AE67" s="795"/>
      <c r="AF67" s="794"/>
      <c r="AG67" s="806"/>
      <c r="AH67" s="786"/>
      <c r="AI67" s="809"/>
      <c r="AJ67" s="810"/>
      <c r="AK67" s="810"/>
      <c r="AL67" s="812"/>
      <c r="AM67" s="815"/>
      <c r="AN67" s="816"/>
      <c r="AO67" s="818"/>
      <c r="AP67" s="818"/>
      <c r="AQ67" s="818"/>
      <c r="AR67" s="822"/>
      <c r="AS67" s="823"/>
      <c r="AT67" s="823"/>
      <c r="AU67" s="824"/>
      <c r="AV67" s="17"/>
      <c r="AX67" s="774"/>
      <c r="AY67" s="760"/>
      <c r="AZ67" s="760"/>
      <c r="BA67" s="772"/>
      <c r="BB67" s="772"/>
      <c r="BC67" s="774"/>
      <c r="BD67" s="758"/>
      <c r="BE67" s="776"/>
      <c r="BF67" s="776"/>
      <c r="BG67" s="776"/>
      <c r="BH67" s="762"/>
      <c r="BI67" s="762"/>
      <c r="BJ67" s="778"/>
      <c r="BK67" s="768"/>
      <c r="BL67" s="768"/>
      <c r="BM67" s="766"/>
      <c r="BN67" s="764"/>
      <c r="BO67" s="764"/>
      <c r="BP67" s="770"/>
      <c r="BQ67" s="768"/>
      <c r="BR67" s="768"/>
      <c r="BS67" s="766"/>
      <c r="BT67" s="766"/>
      <c r="BU67" s="758"/>
      <c r="BV67" s="768"/>
      <c r="BW67" s="758"/>
      <c r="BX67" s="758"/>
      <c r="BY67" s="758"/>
      <c r="BZ67" s="754"/>
      <c r="CA67" s="754"/>
      <c r="CB67" s="754"/>
      <c r="CC67" s="754"/>
    </row>
    <row r="68" spans="2:81" ht="15.95" customHeight="1">
      <c r="B68" s="785">
        <v>26</v>
      </c>
      <c r="C68" s="786"/>
      <c r="D68" s="787"/>
      <c r="E68" s="787"/>
      <c r="F68" s="788"/>
      <c r="G68" s="789"/>
      <c r="H68" s="790"/>
      <c r="I68" s="790"/>
      <c r="J68" s="790"/>
      <c r="K68" s="790"/>
      <c r="L68" s="790"/>
      <c r="M68" s="793"/>
      <c r="N68" s="794"/>
      <c r="O68" s="793"/>
      <c r="P68" s="795"/>
      <c r="Q68" s="794"/>
      <c r="R68" s="1231" t="str">
        <f>_xlfn.LET(
_xlpm.WATTS,
IFERROR(
INDEX(STDLIGHTINEFCAT2[System Wattage],MATCH('M04-S10'!$M68&amp;"_"&amp;
INDEX(CLLIGHT[Ineff Dropdown 2],MATCH('M04-S10'!$G68, CLLIGHT[Measure Name],0))
&amp;"_"&amp;O68,STDLIGHTINEFCAT2[Full Name],0)),
""),
IF(_xlpm.WATTS="","",_xlpm.WATTS))</f>
        <v/>
      </c>
      <c r="S68" s="1232"/>
      <c r="T68" s="799" t="str">
        <f t="shared" ref="T68" si="171">IF(C68="Permanent Lamp Removal",0,"")</f>
        <v/>
      </c>
      <c r="U68" s="800"/>
      <c r="V68" s="801"/>
      <c r="W68" s="801"/>
      <c r="X68" s="803"/>
      <c r="Y68" s="803"/>
      <c r="Z68" s="873"/>
      <c r="AA68" s="874"/>
      <c r="AB68" s="875"/>
      <c r="AC68" s="825"/>
      <c r="AD68" s="826"/>
      <c r="AE68" s="826"/>
      <c r="AF68" s="827"/>
      <c r="AG68" s="805"/>
      <c r="AH68" s="793"/>
      <c r="AI68" s="807"/>
      <c r="AJ68" s="808"/>
      <c r="AK68" s="808"/>
      <c r="AL68" s="811"/>
      <c r="AM68" s="813" t="str" cm="1">
        <f t="array" ref="AM68">IFERROR(IF(G68="","",IF(C68&lt;&gt;INDEX(CLLIGHT[Eff Category 1],MATCH(G68,CLLIGHT[Measure Name],0)),0,INDEX(IF(AND(ACTIVEBONUS = TRUE,INDEX(CLLIGHT[Bonus Incentive],MATCH(G68,CLLIGHT[Measure Name],0))&lt;&gt; ""),CLLIGHT[Bonus Incentive],_xlfn.SWITCH(Program_Banner,"Business Energy Savings",CLLIGHT[BESP Incentive],"Small Business / Non-Profit",CLLIGHT[SBNP Incentive],0)),MATCH(G68,CLLIGHT[Measure Name],0)))),"")</f>
        <v/>
      </c>
      <c r="AN68" s="814"/>
      <c r="AO68" s="817" t="str">
        <f t="shared" ref="AO68" si="172">IFERROR(IF(OR(C68="",G68="",M68="",O68="",R68="",T68="",V68="",X68="",AC68="",AG68="",AI68="",AK68=""),"", IF(BE68&lt;=0, 0, BE68)),"")</f>
        <v/>
      </c>
      <c r="AP68" s="817"/>
      <c r="AQ68" s="817"/>
      <c r="AR68" s="819" t="str">
        <f>IFERROR(IF(OR(C68="",G68="",M68="",O68="",R68="",T68="",V68="",X68="",AC68="",AG68="",AI68="",AK68=""),"",IF(BY68&lt;&gt;"",BY68,IF(BP68&gt;0,BP68,ROUND(IF(AO68&lt;=0,0,MIN(BL68,BQ68)),2)))),"")</f>
        <v/>
      </c>
      <c r="AS68" s="820"/>
      <c r="AT68" s="820"/>
      <c r="AU68" s="821"/>
      <c r="AV68" s="17"/>
      <c r="AX68" s="773" t="str">
        <f>IFERROR(IF(OR(C68="",G68="",M68="",O68="",R68="",T68="",V68="",X68="",AC68="",AG68="",AI68="",AK68=""),"",INDEX(CLLIGHT[Current Unit],MATCH(G68,CLLIGHT[Measure Name],0))),"Err")</f>
        <v/>
      </c>
      <c r="AY68" s="759" t="str">
        <f t="shared" ref="AY68" si="173">IF(V68="", "",  V68)</f>
        <v/>
      </c>
      <c r="AZ68" s="759" t="str">
        <f t="shared" ref="AZ68" si="174">IF(V68="", "",  V68)</f>
        <v/>
      </c>
      <c r="BA68" s="771"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B68" s="771"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C68" s="773" t="str">
        <f>IFERROR(IF(OR(C68="",G68="",M68="",O68="",R68="",T68="",V68="",X68="",AC68="",AG68="",AI68="",AK68=""),"",INDEX(CLLIGHT[End Use],MATCH(G68,CLLIGHT[Measure Name],0))),"Err")</f>
        <v/>
      </c>
      <c r="BD68" s="757" t="str">
        <f>IFERROR(IF(OR(C68="",G68="",M68="",O68="",R68="",T68="",V68="",X68="",AC68="",AG68="",AI68="",AK68=""),"",INDEX(CLLIGHT[Reporting Methodology],MATCH(G68,CLLIGHT[Measure Name],0))),"Err")</f>
        <v/>
      </c>
      <c r="BE68" s="775" t="str">
        <f t="shared" ref="BE68" si="175">IF(AND(BA68&lt;&gt;"", BB68&lt;&gt;""), ROUND(BA68-BB68,4), "")</f>
        <v/>
      </c>
      <c r="BF68" s="775" t="str">
        <f>IFERROR(IF(OR(C68="",G68="",M68="",O68="",R68="",T68="",V68="",X68="",AC68="",AG68="",AI68="",AK68=""),"",
IF(BA68&lt;=BB68,0,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775" t="str">
        <f>IFERROR(IF(OR(C68="",G68="",M68="",O68="",R68="",T68="",V68="",X68="",AC68="",AG68="",AI68="", AK68=""),"",ROUND(AO68*INDEX(ENDUSEALL[Factor],MATCH(BC68,ENDUSEALL[End Use to Coincident Peak Demand Factors],0)),4)),"")</f>
        <v/>
      </c>
      <c r="BH68" s="761"/>
      <c r="BI68" s="761"/>
      <c r="BJ68" s="777" t="str">
        <f>IFERROR(INDEX(CLLIGHT[Measure Life (Years)],MATCH(G68,CLLIGHT[Measure Name],0)),"")</f>
        <v/>
      </c>
      <c r="BK68" s="767" t="str">
        <f>IFERROR(IF(OR(C68="",G68="",M68="",O68="",R68="",T68="",V68="",X68="",AC68="",AG68="",AI68="",AK68=""),"",
ROUND(((1+ELOSS)*((BE68*INDEX(ELECCB[NPV AEC $/kWh],MATCH(BJ68,ELECCB[Year Number],1)))+(BF68*INDEX(ELECCB[NPV ACC $/kW],MATCH(BJ68,ELECCB[Year Number],1))))),2)),0)</f>
        <v/>
      </c>
      <c r="BL68" s="767" t="str">
        <f t="shared" si="2"/>
        <v/>
      </c>
      <c r="BM68" s="765"/>
      <c r="BN68" s="763" t="str">
        <f t="shared" si="3"/>
        <v/>
      </c>
      <c r="BO68" s="763" t="str">
        <f>IFERROR(IF(BM68 &lt;&gt; "", BM68, BL68) / M02S04F06 / AO68, "")</f>
        <v/>
      </c>
      <c r="BP68" s="769"/>
      <c r="BQ68" s="767" t="str">
        <f t="shared" ref="BQ68" si="176">IFERROR(ROUND(V68*AM68, 2), "")</f>
        <v/>
      </c>
      <c r="BR68" s="767"/>
      <c r="BS68" s="765"/>
      <c r="BT68" s="765"/>
      <c r="BU68" s="757" t="str">
        <f t="shared" ref="BU68" si="177">IFERROR(IF(BP68="",IF(AND(AO68&gt;0, AR68 &lt; BQ68), "100% Total Cost", ""), ""), "")</f>
        <v/>
      </c>
      <c r="BV68" s="767"/>
      <c r="BW68" s="757" t="str">
        <f>IFERROR(IF(OR(C68="",G68="",M68="",O68="",R68="",T68="",V68="",X68="",AC68="",AG68="",AI68="",AK68=""),"",IF(BY68&lt;&gt;"", SPILLOVERNUMBER, INDEX(CLLIGHT[Measure Number],MATCH(G68,CLLIGHT[Measure Name],0)))),"Err")</f>
        <v/>
      </c>
      <c r="BX68" s="757" t="str" cm="1">
        <f t="array" ref="BX68">IFERROR(INDEX(_xlfn.SWITCH(Program_Banner,"Business Energy Savings",CLLIGHT[Primary Key WBE],"Small Business / Non-Profit",CLLIGHT[Primary Key HTRB],0),MATCH(BW68,CLLIGHT[Measure Number],0)),"")</f>
        <v/>
      </c>
      <c r="BY68" s="757" t="str">
        <f>IFERROR(IF(OR(C68="",G68="",M68="",O68="",R68="",T68="",V68="",X68="",AC68="",AG68="",AI68="",AK68=""),"",
IF(BP68&gt;0,"",
IF(EXPIRATION&lt;&gt;"",PROJSTATEXP,
IF(M02S04F19="",MEASUREBLDG,
IF(BA68&lt;=BB68,MEASURESAVE,""))))),MEASURESUBMIT)</f>
        <v/>
      </c>
      <c r="BZ68" s="753"/>
      <c r="CA68" s="753"/>
      <c r="CB68" s="753"/>
      <c r="CC68" s="753"/>
    </row>
    <row r="69" spans="2:81" ht="15.95" customHeight="1">
      <c r="B69" s="785"/>
      <c r="C69" s="786"/>
      <c r="D69" s="787"/>
      <c r="E69" s="787"/>
      <c r="F69" s="788"/>
      <c r="G69" s="791"/>
      <c r="H69" s="792"/>
      <c r="I69" s="792"/>
      <c r="J69" s="792"/>
      <c r="K69" s="792"/>
      <c r="L69" s="792"/>
      <c r="M69" s="786"/>
      <c r="N69" s="788"/>
      <c r="O69" s="786"/>
      <c r="P69" s="787"/>
      <c r="Q69" s="788"/>
      <c r="R69" s="1233"/>
      <c r="S69" s="1234"/>
      <c r="T69" s="799"/>
      <c r="U69" s="800"/>
      <c r="V69" s="802"/>
      <c r="W69" s="802"/>
      <c r="X69" s="804"/>
      <c r="Y69" s="804"/>
      <c r="Z69" s="793"/>
      <c r="AA69" s="795"/>
      <c r="AB69" s="794"/>
      <c r="AC69" s="793"/>
      <c r="AD69" s="795"/>
      <c r="AE69" s="795"/>
      <c r="AF69" s="794"/>
      <c r="AG69" s="806"/>
      <c r="AH69" s="786"/>
      <c r="AI69" s="809"/>
      <c r="AJ69" s="810"/>
      <c r="AK69" s="810"/>
      <c r="AL69" s="812"/>
      <c r="AM69" s="815"/>
      <c r="AN69" s="816"/>
      <c r="AO69" s="818"/>
      <c r="AP69" s="818"/>
      <c r="AQ69" s="818"/>
      <c r="AR69" s="822"/>
      <c r="AS69" s="823"/>
      <c r="AT69" s="823"/>
      <c r="AU69" s="824"/>
      <c r="AV69" s="17"/>
      <c r="AX69" s="774"/>
      <c r="AY69" s="760"/>
      <c r="AZ69" s="760"/>
      <c r="BA69" s="772"/>
      <c r="BB69" s="772"/>
      <c r="BC69" s="774"/>
      <c r="BD69" s="758"/>
      <c r="BE69" s="776"/>
      <c r="BF69" s="776"/>
      <c r="BG69" s="776"/>
      <c r="BH69" s="762"/>
      <c r="BI69" s="762"/>
      <c r="BJ69" s="778"/>
      <c r="BK69" s="768"/>
      <c r="BL69" s="768"/>
      <c r="BM69" s="766"/>
      <c r="BN69" s="764"/>
      <c r="BO69" s="764"/>
      <c r="BP69" s="770"/>
      <c r="BQ69" s="768"/>
      <c r="BR69" s="768"/>
      <c r="BS69" s="766"/>
      <c r="BT69" s="766"/>
      <c r="BU69" s="758"/>
      <c r="BV69" s="768"/>
      <c r="BW69" s="758"/>
      <c r="BX69" s="758"/>
      <c r="BY69" s="758"/>
      <c r="BZ69" s="754"/>
      <c r="CA69" s="754"/>
      <c r="CB69" s="754"/>
      <c r="CC69" s="754"/>
    </row>
    <row r="70" spans="2:81" ht="15.95" customHeight="1">
      <c r="B70" s="785">
        <v>27</v>
      </c>
      <c r="C70" s="786"/>
      <c r="D70" s="787"/>
      <c r="E70" s="787"/>
      <c r="F70" s="788"/>
      <c r="G70" s="789"/>
      <c r="H70" s="790"/>
      <c r="I70" s="790"/>
      <c r="J70" s="790"/>
      <c r="K70" s="790"/>
      <c r="L70" s="790"/>
      <c r="M70" s="793"/>
      <c r="N70" s="794"/>
      <c r="O70" s="793"/>
      <c r="P70" s="795"/>
      <c r="Q70" s="794"/>
      <c r="R70" s="1231" t="str">
        <f>_xlfn.LET(
_xlpm.WATTS,
IFERROR(
INDEX(STDLIGHTINEFCAT2[System Wattage],MATCH('M04-S10'!$M70&amp;"_"&amp;
INDEX(CLLIGHT[Ineff Dropdown 2],MATCH('M04-S10'!$G70, CLLIGHT[Measure Name],0))
&amp;"_"&amp;O70,STDLIGHTINEFCAT2[Full Name],0)),
""),
IF(_xlpm.WATTS="","",_xlpm.WATTS))</f>
        <v/>
      </c>
      <c r="S70" s="1232"/>
      <c r="T70" s="799" t="str">
        <f t="shared" ref="T70" si="178">IF(C70="Permanent Lamp Removal",0,"")</f>
        <v/>
      </c>
      <c r="U70" s="800"/>
      <c r="V70" s="801"/>
      <c r="W70" s="801"/>
      <c r="X70" s="803"/>
      <c r="Y70" s="803"/>
      <c r="Z70" s="873"/>
      <c r="AA70" s="874"/>
      <c r="AB70" s="875"/>
      <c r="AC70" s="825"/>
      <c r="AD70" s="826"/>
      <c r="AE70" s="826"/>
      <c r="AF70" s="827"/>
      <c r="AG70" s="805"/>
      <c r="AH70" s="793"/>
      <c r="AI70" s="807"/>
      <c r="AJ70" s="808"/>
      <c r="AK70" s="808"/>
      <c r="AL70" s="811"/>
      <c r="AM70" s="813" t="str" cm="1">
        <f t="array" ref="AM70">IFERROR(IF(G70="","",IF(C70&lt;&gt;INDEX(CLLIGHT[Eff Category 1],MATCH(G70,CLLIGHT[Measure Name],0)),0,INDEX(IF(AND(ACTIVEBONUS = TRUE,INDEX(CLLIGHT[Bonus Incentive],MATCH(G70,CLLIGHT[Measure Name],0))&lt;&gt; ""),CLLIGHT[Bonus Incentive],_xlfn.SWITCH(Program_Banner,"Business Energy Savings",CLLIGHT[BESP Incentive],"Small Business / Non-Profit",CLLIGHT[SBNP Incentive],0)),MATCH(G70,CLLIGHT[Measure Name],0)))),"")</f>
        <v/>
      </c>
      <c r="AN70" s="814"/>
      <c r="AO70" s="817" t="str">
        <f t="shared" ref="AO70" si="179">IFERROR(IF(OR(C70="",G70="",M70="",O70="",R70="",T70="",V70="",X70="",AC70="",AG70="",AI70="",AK70=""),"", IF(BE70&lt;=0, 0, BE70)),"")</f>
        <v/>
      </c>
      <c r="AP70" s="817"/>
      <c r="AQ70" s="817"/>
      <c r="AR70" s="819" t="str">
        <f>IFERROR(IF(OR(C70="",G70="",M70="",O70="",R70="",T70="",V70="",X70="",AC70="",AG70="",AI70="",AK70=""),"",IF(BY70&lt;&gt;"",BY70,IF(BP70&gt;0,BP70,ROUND(IF(AO70&lt;=0,0,MIN(BL70,BQ70)),2)))),"")</f>
        <v/>
      </c>
      <c r="AS70" s="820"/>
      <c r="AT70" s="820"/>
      <c r="AU70" s="821"/>
      <c r="AV70" s="17"/>
      <c r="AX70" s="773" t="str">
        <f>IFERROR(IF(OR(C70="",G70="",M70="",O70="",R70="",T70="",V70="",X70="",AC70="",AG70="",AI70="",AK70=""),"",INDEX(CLLIGHT[Current Unit],MATCH(G70,CLLIGHT[Measure Name],0))),"Err")</f>
        <v/>
      </c>
      <c r="AY70" s="759" t="str">
        <f t="shared" ref="AY70" si="180">IF(V70="", "",  V70)</f>
        <v/>
      </c>
      <c r="AZ70" s="759" t="str">
        <f t="shared" ref="AZ70" si="181">IF(V70="", "",  V70)</f>
        <v/>
      </c>
      <c r="BA70" s="771"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B70" s="771"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C70" s="773" t="str">
        <f>IFERROR(IF(OR(C70="",G70="",M70="",O70="",R70="",T70="",V70="",X70="",AC70="",AG70="",AI70="",AK70=""),"",INDEX(CLLIGHT[End Use],MATCH(G70,CLLIGHT[Measure Name],0))),"Err")</f>
        <v/>
      </c>
      <c r="BD70" s="757" t="str">
        <f>IFERROR(IF(OR(C70="",G70="",M70="",O70="",R70="",T70="",V70="",X70="",AC70="",AG70="",AI70="",AK70=""),"",INDEX(CLLIGHT[Reporting Methodology],MATCH(G70,CLLIGHT[Measure Name],0))),"Err")</f>
        <v/>
      </c>
      <c r="BE70" s="775" t="str">
        <f t="shared" ref="BE70" si="182">IF(AND(BA70&lt;&gt;"", BB70&lt;&gt;""), ROUND(BA70-BB70,4), "")</f>
        <v/>
      </c>
      <c r="BF70" s="775" t="str">
        <f>IFERROR(IF(OR(C70="",G70="",M70="",O70="",R70="",T70="",V70="",X70="",AC70="",AG70="",AI70="",AK70=""),"",
IF(BA70&lt;=BB70,0,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775" t="str">
        <f>IFERROR(IF(OR(C70="",G70="",M70="",O70="",R70="",T70="",V70="",X70="",AC70="",AG70="",AI70="", AK70=""),"",ROUND(AO70*INDEX(ENDUSEALL[Factor],MATCH(BC70,ENDUSEALL[End Use to Coincident Peak Demand Factors],0)),4)),"")</f>
        <v/>
      </c>
      <c r="BH70" s="761"/>
      <c r="BI70" s="761"/>
      <c r="BJ70" s="777" t="str">
        <f>IFERROR(INDEX(CLLIGHT[Measure Life (Years)],MATCH(G70,CLLIGHT[Measure Name],0)),"")</f>
        <v/>
      </c>
      <c r="BK70" s="767" t="str">
        <f>IFERROR(IF(OR(C70="",G70="",M70="",O70="",R70="",T70="",V70="",X70="",AC70="",AG70="",AI70="",AK70=""),"",
ROUND(((1+ELOSS)*((BE70*INDEX(ELECCB[NPV AEC $/kWh],MATCH(BJ70,ELECCB[Year Number],1)))+(BF70*INDEX(ELECCB[NPV ACC $/kW],MATCH(BJ70,ELECCB[Year Number],1))))),2)),0)</f>
        <v/>
      </c>
      <c r="BL70" s="767" t="str">
        <f t="shared" si="2"/>
        <v/>
      </c>
      <c r="BM70" s="765"/>
      <c r="BN70" s="763" t="str">
        <f t="shared" si="3"/>
        <v/>
      </c>
      <c r="BO70" s="763" t="str">
        <f>IFERROR(IF(BM70 &lt;&gt; "", BM70, BL70) / M02S04F06 / AO70, "")</f>
        <v/>
      </c>
      <c r="BP70" s="769"/>
      <c r="BQ70" s="767" t="str">
        <f t="shared" ref="BQ70" si="183">IFERROR(ROUND(V70*AM70, 2), "")</f>
        <v/>
      </c>
      <c r="BR70" s="767"/>
      <c r="BS70" s="765"/>
      <c r="BT70" s="765"/>
      <c r="BU70" s="757" t="str">
        <f t="shared" ref="BU70" si="184">IFERROR(IF(BP70="",IF(AND(AO70&gt;0, AR70 &lt; BQ70), "100% Total Cost", ""), ""), "")</f>
        <v/>
      </c>
      <c r="BV70" s="767"/>
      <c r="BW70" s="757" t="str">
        <f>IFERROR(IF(OR(C70="",G70="",M70="",O70="",R70="",T70="",V70="",X70="",AC70="",AG70="",AI70="",AK70=""),"",IF(BY70&lt;&gt;"", SPILLOVERNUMBER, INDEX(CLLIGHT[Measure Number],MATCH(G70,CLLIGHT[Measure Name],0)))),"Err")</f>
        <v/>
      </c>
      <c r="BX70" s="757" t="str" cm="1">
        <f t="array" ref="BX70">IFERROR(INDEX(_xlfn.SWITCH(Program_Banner,"Business Energy Savings",CLLIGHT[Primary Key WBE],"Small Business / Non-Profit",CLLIGHT[Primary Key HTRB],0),MATCH(BW70,CLLIGHT[Measure Number],0)),"")</f>
        <v/>
      </c>
      <c r="BY70" s="757" t="str">
        <f>IFERROR(IF(OR(C70="",G70="",M70="",O70="",R70="",T70="",V70="",X70="",AC70="",AG70="",AI70="",AK70=""),"",
IF(BP70&gt;0,"",
IF(EXPIRATION&lt;&gt;"",PROJSTATEXP,
IF(M02S04F19="",MEASUREBLDG,
IF(BA70&lt;=BB70,MEASURESAVE,""))))),MEASURESUBMIT)</f>
        <v/>
      </c>
      <c r="BZ70" s="753"/>
      <c r="CA70" s="753"/>
      <c r="CB70" s="753"/>
      <c r="CC70" s="753"/>
    </row>
    <row r="71" spans="2:81" ht="15.95" customHeight="1">
      <c r="B71" s="785"/>
      <c r="C71" s="786"/>
      <c r="D71" s="787"/>
      <c r="E71" s="787"/>
      <c r="F71" s="788"/>
      <c r="G71" s="791"/>
      <c r="H71" s="792"/>
      <c r="I71" s="792"/>
      <c r="J71" s="792"/>
      <c r="K71" s="792"/>
      <c r="L71" s="792"/>
      <c r="M71" s="786"/>
      <c r="N71" s="788"/>
      <c r="O71" s="786"/>
      <c r="P71" s="787"/>
      <c r="Q71" s="788"/>
      <c r="R71" s="1233"/>
      <c r="S71" s="1234"/>
      <c r="T71" s="799"/>
      <c r="U71" s="800"/>
      <c r="V71" s="802"/>
      <c r="W71" s="802"/>
      <c r="X71" s="804"/>
      <c r="Y71" s="804"/>
      <c r="Z71" s="793"/>
      <c r="AA71" s="795"/>
      <c r="AB71" s="794"/>
      <c r="AC71" s="793"/>
      <c r="AD71" s="795"/>
      <c r="AE71" s="795"/>
      <c r="AF71" s="794"/>
      <c r="AG71" s="806"/>
      <c r="AH71" s="786"/>
      <c r="AI71" s="809"/>
      <c r="AJ71" s="810"/>
      <c r="AK71" s="810"/>
      <c r="AL71" s="812"/>
      <c r="AM71" s="815"/>
      <c r="AN71" s="816"/>
      <c r="AO71" s="818"/>
      <c r="AP71" s="818"/>
      <c r="AQ71" s="818"/>
      <c r="AR71" s="822"/>
      <c r="AS71" s="823"/>
      <c r="AT71" s="823"/>
      <c r="AU71" s="824"/>
      <c r="AV71" s="17"/>
      <c r="AX71" s="774"/>
      <c r="AY71" s="760"/>
      <c r="AZ71" s="760"/>
      <c r="BA71" s="772"/>
      <c r="BB71" s="772"/>
      <c r="BC71" s="774"/>
      <c r="BD71" s="758"/>
      <c r="BE71" s="776"/>
      <c r="BF71" s="776"/>
      <c r="BG71" s="776"/>
      <c r="BH71" s="762"/>
      <c r="BI71" s="762"/>
      <c r="BJ71" s="778"/>
      <c r="BK71" s="768"/>
      <c r="BL71" s="768"/>
      <c r="BM71" s="766"/>
      <c r="BN71" s="764"/>
      <c r="BO71" s="764"/>
      <c r="BP71" s="770"/>
      <c r="BQ71" s="768"/>
      <c r="BR71" s="768"/>
      <c r="BS71" s="766"/>
      <c r="BT71" s="766"/>
      <c r="BU71" s="758"/>
      <c r="BV71" s="768"/>
      <c r="BW71" s="758"/>
      <c r="BX71" s="758"/>
      <c r="BY71" s="758"/>
      <c r="BZ71" s="754"/>
      <c r="CA71" s="754"/>
      <c r="CB71" s="754"/>
      <c r="CC71" s="754"/>
    </row>
    <row r="72" spans="2:81" ht="15.95" customHeight="1">
      <c r="B72" s="785">
        <v>28</v>
      </c>
      <c r="C72" s="786"/>
      <c r="D72" s="787"/>
      <c r="E72" s="787"/>
      <c r="F72" s="788"/>
      <c r="G72" s="789"/>
      <c r="H72" s="790"/>
      <c r="I72" s="790"/>
      <c r="J72" s="790"/>
      <c r="K72" s="790"/>
      <c r="L72" s="790"/>
      <c r="M72" s="793"/>
      <c r="N72" s="794"/>
      <c r="O72" s="793"/>
      <c r="P72" s="795"/>
      <c r="Q72" s="794"/>
      <c r="R72" s="1231" t="str">
        <f>_xlfn.LET(
_xlpm.WATTS,
IFERROR(
INDEX(STDLIGHTINEFCAT2[System Wattage],MATCH('M04-S10'!$M72&amp;"_"&amp;
INDEX(CLLIGHT[Ineff Dropdown 2],MATCH('M04-S10'!$G72, CLLIGHT[Measure Name],0))
&amp;"_"&amp;O72,STDLIGHTINEFCAT2[Full Name],0)),
""),
IF(_xlpm.WATTS="","",_xlpm.WATTS))</f>
        <v/>
      </c>
      <c r="S72" s="1232"/>
      <c r="T72" s="799" t="str">
        <f t="shared" ref="T72" si="185">IF(C72="Permanent Lamp Removal",0,"")</f>
        <v/>
      </c>
      <c r="U72" s="800"/>
      <c r="V72" s="801"/>
      <c r="W72" s="801"/>
      <c r="X72" s="803"/>
      <c r="Y72" s="803"/>
      <c r="Z72" s="873"/>
      <c r="AA72" s="874"/>
      <c r="AB72" s="875"/>
      <c r="AC72" s="825"/>
      <c r="AD72" s="826"/>
      <c r="AE72" s="826"/>
      <c r="AF72" s="827"/>
      <c r="AG72" s="805"/>
      <c r="AH72" s="793"/>
      <c r="AI72" s="807"/>
      <c r="AJ72" s="808"/>
      <c r="AK72" s="808"/>
      <c r="AL72" s="811"/>
      <c r="AM72" s="813" t="str" cm="1">
        <f t="array" ref="AM72">IFERROR(IF(G72="","",IF(C72&lt;&gt;INDEX(CLLIGHT[Eff Category 1],MATCH(G72,CLLIGHT[Measure Name],0)),0,INDEX(IF(AND(ACTIVEBONUS = TRUE,INDEX(CLLIGHT[Bonus Incentive],MATCH(G72,CLLIGHT[Measure Name],0))&lt;&gt; ""),CLLIGHT[Bonus Incentive],_xlfn.SWITCH(Program_Banner,"Business Energy Savings",CLLIGHT[BESP Incentive],"Small Business / Non-Profit",CLLIGHT[SBNP Incentive],0)),MATCH(G72,CLLIGHT[Measure Name],0)))),"")</f>
        <v/>
      </c>
      <c r="AN72" s="814"/>
      <c r="AO72" s="817" t="str">
        <f t="shared" ref="AO72" si="186">IFERROR(IF(OR(C72="",G72="",M72="",O72="",R72="",T72="",V72="",X72="",AC72="",AG72="",AI72="",AK72=""),"", IF(BE72&lt;=0, 0, BE72)),"")</f>
        <v/>
      </c>
      <c r="AP72" s="817"/>
      <c r="AQ72" s="817"/>
      <c r="AR72" s="819" t="str">
        <f>IFERROR(IF(OR(C72="",G72="",M72="",O72="",R72="",T72="",V72="",X72="",AC72="",AG72="",AI72="",AK72=""),"",IF(BY72&lt;&gt;"",BY72,IF(BP72&gt;0,BP72,ROUND(IF(AO72&lt;=0,0,MIN(BL72,BQ72)),2)))),"")</f>
        <v/>
      </c>
      <c r="AS72" s="820"/>
      <c r="AT72" s="820"/>
      <c r="AU72" s="821"/>
      <c r="AV72" s="17"/>
      <c r="AX72" s="773" t="str">
        <f>IFERROR(IF(OR(C72="",G72="",M72="",O72="",R72="",T72="",V72="",X72="",AC72="",AG72="",AI72="",AK72=""),"",INDEX(CLLIGHT[Current Unit],MATCH(G72,CLLIGHT[Measure Name],0))),"Err")</f>
        <v/>
      </c>
      <c r="AY72" s="759" t="str">
        <f t="shared" ref="AY72" si="187">IF(V72="", "",  V72)</f>
        <v/>
      </c>
      <c r="AZ72" s="759" t="str">
        <f t="shared" ref="AZ72" si="188">IF(V72="", "",  V72)</f>
        <v/>
      </c>
      <c r="BA72" s="771"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B72" s="771"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C72" s="773" t="str">
        <f>IFERROR(IF(OR(C72="",G72="",M72="",O72="",R72="",T72="",V72="",X72="",AC72="",AG72="",AI72="",AK72=""),"",INDEX(CLLIGHT[End Use],MATCH(G72,CLLIGHT[Measure Name],0))),"Err")</f>
        <v/>
      </c>
      <c r="BD72" s="757" t="str">
        <f>IFERROR(IF(OR(C72="",G72="",M72="",O72="",R72="",T72="",V72="",X72="",AC72="",AG72="",AI72="",AK72=""),"",INDEX(CLLIGHT[Reporting Methodology],MATCH(G72,CLLIGHT[Measure Name],0))),"Err")</f>
        <v/>
      </c>
      <c r="BE72" s="775" t="str">
        <f t="shared" ref="BE72" si="189">IF(AND(BA72&lt;&gt;"", BB72&lt;&gt;""), ROUND(BA72-BB72,4), "")</f>
        <v/>
      </c>
      <c r="BF72" s="775" t="str">
        <f>IFERROR(IF(OR(C72="",G72="",M72="",O72="",R72="",T72="",V72="",X72="",AC72="",AG72="",AI72="",AK72=""),"",
IF(BA72&lt;=BB72,0,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775" t="str">
        <f>IFERROR(IF(OR(C72="",G72="",M72="",O72="",R72="",T72="",V72="",X72="",AC72="",AG72="",AI72="", AK72=""),"",ROUND(AO72*INDEX(ENDUSEALL[Factor],MATCH(BC72,ENDUSEALL[End Use to Coincident Peak Demand Factors],0)),4)),"")</f>
        <v/>
      </c>
      <c r="BH72" s="761"/>
      <c r="BI72" s="761"/>
      <c r="BJ72" s="777" t="str">
        <f>IFERROR(INDEX(CLLIGHT[Measure Life (Years)],MATCH(G72,CLLIGHT[Measure Name],0)),"")</f>
        <v/>
      </c>
      <c r="BK72" s="767" t="str">
        <f>IFERROR(IF(OR(C72="",G72="",M72="",O72="",R72="",T72="",V72="",X72="",AC72="",AG72="",AI72="",AK72=""),"",
ROUND(((1+ELOSS)*((BE72*INDEX(ELECCB[NPV AEC $/kWh],MATCH(BJ72,ELECCB[Year Number],1)))+(BF72*INDEX(ELECCB[NPV ACC $/kW],MATCH(BJ72,ELECCB[Year Number],1))))),2)),0)</f>
        <v/>
      </c>
      <c r="BL72" s="767" t="str">
        <f t="shared" si="2"/>
        <v/>
      </c>
      <c r="BM72" s="765"/>
      <c r="BN72" s="763" t="str">
        <f t="shared" si="3"/>
        <v/>
      </c>
      <c r="BO72" s="763" t="str">
        <f>IFERROR(IF(BM72 &lt;&gt; "", BM72, BL72) / M02S04F06 / AO72, "")</f>
        <v/>
      </c>
      <c r="BP72" s="769"/>
      <c r="BQ72" s="767" t="str">
        <f t="shared" ref="BQ72" si="190">IFERROR(ROUND(V72*AM72, 2), "")</f>
        <v/>
      </c>
      <c r="BR72" s="767"/>
      <c r="BS72" s="765"/>
      <c r="BT72" s="765"/>
      <c r="BU72" s="757" t="str">
        <f t="shared" ref="BU72" si="191">IFERROR(IF(BP72="",IF(AND(AO72&gt;0, AR72 &lt; BQ72), "100% Total Cost", ""), ""), "")</f>
        <v/>
      </c>
      <c r="BV72" s="767"/>
      <c r="BW72" s="757" t="str">
        <f>IFERROR(IF(OR(C72="",G72="",M72="",O72="",R72="",T72="",V72="",X72="",AC72="",AG72="",AI72="",AK72=""),"",IF(BY72&lt;&gt;"", SPILLOVERNUMBER, INDEX(CLLIGHT[Measure Number],MATCH(G72,CLLIGHT[Measure Name],0)))),"Err")</f>
        <v/>
      </c>
      <c r="BX72" s="757" t="str" cm="1">
        <f t="array" ref="BX72">IFERROR(INDEX(_xlfn.SWITCH(Program_Banner,"Business Energy Savings",CLLIGHT[Primary Key WBE],"Small Business / Non-Profit",CLLIGHT[Primary Key HTRB],0),MATCH(BW72,CLLIGHT[Measure Number],0)),"")</f>
        <v/>
      </c>
      <c r="BY72" s="757" t="str">
        <f>IFERROR(IF(OR(C72="",G72="",M72="",O72="",R72="",T72="",V72="",X72="",AC72="",AG72="",AI72="",AK72=""),"",
IF(BP72&gt;0,"",
IF(EXPIRATION&lt;&gt;"",PROJSTATEXP,
IF(M02S04F19="",MEASUREBLDG,
IF(BA72&lt;=BB72,MEASURESAVE,""))))),MEASURESUBMIT)</f>
        <v/>
      </c>
      <c r="BZ72" s="753"/>
      <c r="CA72" s="753"/>
      <c r="CB72" s="753"/>
      <c r="CC72" s="753"/>
    </row>
    <row r="73" spans="2:81" ht="15.95" customHeight="1">
      <c r="B73" s="785"/>
      <c r="C73" s="786"/>
      <c r="D73" s="787"/>
      <c r="E73" s="787"/>
      <c r="F73" s="788"/>
      <c r="G73" s="791"/>
      <c r="H73" s="792"/>
      <c r="I73" s="792"/>
      <c r="J73" s="792"/>
      <c r="K73" s="792"/>
      <c r="L73" s="792"/>
      <c r="M73" s="786"/>
      <c r="N73" s="788"/>
      <c r="O73" s="786"/>
      <c r="P73" s="787"/>
      <c r="Q73" s="788"/>
      <c r="R73" s="1233"/>
      <c r="S73" s="1234"/>
      <c r="T73" s="799"/>
      <c r="U73" s="800"/>
      <c r="V73" s="802"/>
      <c r="W73" s="802"/>
      <c r="X73" s="804"/>
      <c r="Y73" s="804"/>
      <c r="Z73" s="793"/>
      <c r="AA73" s="795"/>
      <c r="AB73" s="794"/>
      <c r="AC73" s="793"/>
      <c r="AD73" s="795"/>
      <c r="AE73" s="795"/>
      <c r="AF73" s="794"/>
      <c r="AG73" s="806"/>
      <c r="AH73" s="786"/>
      <c r="AI73" s="809"/>
      <c r="AJ73" s="810"/>
      <c r="AK73" s="810"/>
      <c r="AL73" s="812"/>
      <c r="AM73" s="815"/>
      <c r="AN73" s="816"/>
      <c r="AO73" s="818"/>
      <c r="AP73" s="818"/>
      <c r="AQ73" s="818"/>
      <c r="AR73" s="822"/>
      <c r="AS73" s="823"/>
      <c r="AT73" s="823"/>
      <c r="AU73" s="824"/>
      <c r="AV73" s="17"/>
      <c r="AX73" s="774"/>
      <c r="AY73" s="760"/>
      <c r="AZ73" s="760"/>
      <c r="BA73" s="772"/>
      <c r="BB73" s="772"/>
      <c r="BC73" s="774"/>
      <c r="BD73" s="758"/>
      <c r="BE73" s="776"/>
      <c r="BF73" s="776"/>
      <c r="BG73" s="776"/>
      <c r="BH73" s="762"/>
      <c r="BI73" s="762"/>
      <c r="BJ73" s="778"/>
      <c r="BK73" s="768"/>
      <c r="BL73" s="768"/>
      <c r="BM73" s="766"/>
      <c r="BN73" s="764"/>
      <c r="BO73" s="764"/>
      <c r="BP73" s="770"/>
      <c r="BQ73" s="768"/>
      <c r="BR73" s="768"/>
      <c r="BS73" s="766"/>
      <c r="BT73" s="766"/>
      <c r="BU73" s="758"/>
      <c r="BV73" s="768"/>
      <c r="BW73" s="758"/>
      <c r="BX73" s="758"/>
      <c r="BY73" s="758"/>
      <c r="BZ73" s="754"/>
      <c r="CA73" s="754"/>
      <c r="CB73" s="754"/>
      <c r="CC73" s="754"/>
    </row>
    <row r="74" spans="2:81" ht="15.95" customHeight="1">
      <c r="B74" s="785">
        <v>29</v>
      </c>
      <c r="C74" s="786"/>
      <c r="D74" s="787"/>
      <c r="E74" s="787"/>
      <c r="F74" s="788"/>
      <c r="G74" s="789"/>
      <c r="H74" s="790"/>
      <c r="I74" s="790"/>
      <c r="J74" s="790"/>
      <c r="K74" s="790"/>
      <c r="L74" s="790"/>
      <c r="M74" s="793"/>
      <c r="N74" s="794"/>
      <c r="O74" s="793"/>
      <c r="P74" s="795"/>
      <c r="Q74" s="794"/>
      <c r="R74" s="1231" t="str">
        <f>_xlfn.LET(
_xlpm.WATTS,
IFERROR(
INDEX(STDLIGHTINEFCAT2[System Wattage],MATCH('M04-S10'!$M74&amp;"_"&amp;
INDEX(CLLIGHT[Ineff Dropdown 2],MATCH('M04-S10'!$G74, CLLIGHT[Measure Name],0))
&amp;"_"&amp;O74,STDLIGHTINEFCAT2[Full Name],0)),
""),
IF(_xlpm.WATTS="","",_xlpm.WATTS))</f>
        <v/>
      </c>
      <c r="S74" s="1232"/>
      <c r="T74" s="799" t="str">
        <f t="shared" ref="T74" si="192">IF(C74="Permanent Lamp Removal",0,"")</f>
        <v/>
      </c>
      <c r="U74" s="800"/>
      <c r="V74" s="801"/>
      <c r="W74" s="801"/>
      <c r="X74" s="803"/>
      <c r="Y74" s="803"/>
      <c r="Z74" s="873"/>
      <c r="AA74" s="874"/>
      <c r="AB74" s="875"/>
      <c r="AC74" s="825"/>
      <c r="AD74" s="826"/>
      <c r="AE74" s="826"/>
      <c r="AF74" s="827"/>
      <c r="AG74" s="805"/>
      <c r="AH74" s="793"/>
      <c r="AI74" s="807"/>
      <c r="AJ74" s="808"/>
      <c r="AK74" s="808"/>
      <c r="AL74" s="811"/>
      <c r="AM74" s="813" t="str" cm="1">
        <f t="array" ref="AM74">IFERROR(IF(G74="","",IF(C74&lt;&gt;INDEX(CLLIGHT[Eff Category 1],MATCH(G74,CLLIGHT[Measure Name],0)),0,INDEX(IF(AND(ACTIVEBONUS = TRUE,INDEX(CLLIGHT[Bonus Incentive],MATCH(G74,CLLIGHT[Measure Name],0))&lt;&gt; ""),CLLIGHT[Bonus Incentive],_xlfn.SWITCH(Program_Banner,"Business Energy Savings",CLLIGHT[BESP Incentive],"Small Business / Non-Profit",CLLIGHT[SBNP Incentive],0)),MATCH(G74,CLLIGHT[Measure Name],0)))),"")</f>
        <v/>
      </c>
      <c r="AN74" s="814"/>
      <c r="AO74" s="817" t="str">
        <f t="shared" ref="AO74" si="193">IFERROR(IF(OR(C74="",G74="",M74="",O74="",R74="",T74="",V74="",X74="",AC74="",AG74="",AI74="",AK74=""),"", IF(BE74&lt;=0, 0, BE74)),"")</f>
        <v/>
      </c>
      <c r="AP74" s="817"/>
      <c r="AQ74" s="817"/>
      <c r="AR74" s="819" t="str">
        <f>IFERROR(IF(OR(C74="",G74="",M74="",O74="",R74="",T74="",V74="",X74="",AC74="",AG74="",AI74="",AK74=""),"",IF(BY74&lt;&gt;"",BY74,IF(BP74&gt;0,BP74,ROUND(IF(AO74&lt;=0,0,MIN(BL74,BQ74)),2)))),"")</f>
        <v/>
      </c>
      <c r="AS74" s="820"/>
      <c r="AT74" s="820"/>
      <c r="AU74" s="821"/>
      <c r="AV74" s="17"/>
      <c r="AX74" s="773" t="str">
        <f>IFERROR(IF(OR(C74="",G74="",M74="",O74="",R74="",T74="",V74="",X74="",AC74="",AG74="",AI74="",AK74=""),"",INDEX(CLLIGHT[Current Unit],MATCH(G74,CLLIGHT[Measure Name],0))),"Err")</f>
        <v/>
      </c>
      <c r="AY74" s="759" t="str">
        <f t="shared" ref="AY74" si="194">IF(V74="", "",  V74)</f>
        <v/>
      </c>
      <c r="AZ74" s="759" t="str">
        <f t="shared" ref="AZ74" si="195">IF(V74="", "",  V74)</f>
        <v/>
      </c>
      <c r="BA74" s="771"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B74" s="771"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C74" s="773" t="str">
        <f>IFERROR(IF(OR(C74="",G74="",M74="",O74="",R74="",T74="",V74="",X74="",AC74="",AG74="",AI74="",AK74=""),"",INDEX(CLLIGHT[End Use],MATCH(G74,CLLIGHT[Measure Name],0))),"Err")</f>
        <v/>
      </c>
      <c r="BD74" s="757" t="str">
        <f>IFERROR(IF(OR(C74="",G74="",M74="",O74="",R74="",T74="",V74="",X74="",AC74="",AG74="",AI74="",AK74=""),"",INDEX(CLLIGHT[Reporting Methodology],MATCH(G74,CLLIGHT[Measure Name],0))),"Err")</f>
        <v/>
      </c>
      <c r="BE74" s="775" t="str">
        <f t="shared" ref="BE74" si="196">IF(AND(BA74&lt;&gt;"", BB74&lt;&gt;""), ROUND(BA74-BB74,4), "")</f>
        <v/>
      </c>
      <c r="BF74" s="775" t="str">
        <f>IFERROR(IF(OR(C74="",G74="",M74="",O74="",R74="",T74="",V74="",X74="",AC74="",AG74="",AI74="",AK74=""),"",
IF(BA74&lt;=BB74,0,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775" t="str">
        <f>IFERROR(IF(OR(C74="",G74="",M74="",O74="",R74="",T74="",V74="",X74="",AC74="",AG74="",AI74="", AK74=""),"",ROUND(AO74*INDEX(ENDUSEALL[Factor],MATCH(BC74,ENDUSEALL[End Use to Coincident Peak Demand Factors],0)),4)),"")</f>
        <v/>
      </c>
      <c r="BH74" s="761"/>
      <c r="BI74" s="761"/>
      <c r="BJ74" s="777" t="str">
        <f>IFERROR(INDEX(CLLIGHT[Measure Life (Years)],MATCH(G74,CLLIGHT[Measure Name],0)),"")</f>
        <v/>
      </c>
      <c r="BK74" s="767" t="str">
        <f>IFERROR(IF(OR(C74="",G74="",M74="",O74="",R74="",T74="",V74="",X74="",AC74="",AG74="",AI74="",AK74=""),"",
ROUND(((1+ELOSS)*((BE74*INDEX(ELECCB[NPV AEC $/kWh],MATCH(BJ74,ELECCB[Year Number],1)))+(BF74*INDEX(ELECCB[NPV ACC $/kW],MATCH(BJ74,ELECCB[Year Number],1))))),2)),0)</f>
        <v/>
      </c>
      <c r="BL74" s="767" t="str">
        <f t="shared" si="2"/>
        <v/>
      </c>
      <c r="BM74" s="765"/>
      <c r="BN74" s="763" t="str">
        <f t="shared" si="3"/>
        <v/>
      </c>
      <c r="BO74" s="763" t="str">
        <f>IFERROR(IF(BM74 &lt;&gt; "", BM74, BL74) / M02S04F06 / AO74, "")</f>
        <v/>
      </c>
      <c r="BP74" s="769"/>
      <c r="BQ74" s="767" t="str">
        <f t="shared" ref="BQ74" si="197">IFERROR(ROUND(V74*AM74, 2), "")</f>
        <v/>
      </c>
      <c r="BR74" s="767"/>
      <c r="BS74" s="765"/>
      <c r="BT74" s="765"/>
      <c r="BU74" s="757" t="str">
        <f t="shared" ref="BU74" si="198">IFERROR(IF(BP74="",IF(AND(AO74&gt;0, AR74 &lt; BQ74), "100% Total Cost", ""), ""), "")</f>
        <v/>
      </c>
      <c r="BV74" s="767"/>
      <c r="BW74" s="757" t="str">
        <f>IFERROR(IF(OR(C74="",G74="",M74="",O74="",R74="",T74="",V74="",X74="",AC74="",AG74="",AI74="",AK74=""),"",IF(BY74&lt;&gt;"", SPILLOVERNUMBER, INDEX(CLLIGHT[Measure Number],MATCH(G74,CLLIGHT[Measure Name],0)))),"Err")</f>
        <v/>
      </c>
      <c r="BX74" s="757" t="str" cm="1">
        <f t="array" ref="BX74">IFERROR(INDEX(_xlfn.SWITCH(Program_Banner,"Business Energy Savings",CLLIGHT[Primary Key WBE],"Small Business / Non-Profit",CLLIGHT[Primary Key HTRB],0),MATCH(BW74,CLLIGHT[Measure Number],0)),"")</f>
        <v/>
      </c>
      <c r="BY74" s="757" t="str">
        <f>IFERROR(IF(OR(C74="",G74="",M74="",O74="",R74="",T74="",V74="",X74="",AC74="",AG74="",AI74="",AK74=""),"",
IF(BP74&gt;0,"",
IF(EXPIRATION&lt;&gt;"",PROJSTATEXP,
IF(M02S04F19="",MEASUREBLDG,
IF(BA74&lt;=BB74,MEASURESAVE,""))))),MEASURESUBMIT)</f>
        <v/>
      </c>
      <c r="BZ74" s="753"/>
      <c r="CA74" s="753"/>
      <c r="CB74" s="753"/>
      <c r="CC74" s="753"/>
    </row>
    <row r="75" spans="2:81" ht="15.95" customHeight="1">
      <c r="B75" s="785"/>
      <c r="C75" s="786"/>
      <c r="D75" s="787"/>
      <c r="E75" s="787"/>
      <c r="F75" s="788"/>
      <c r="G75" s="791"/>
      <c r="H75" s="792"/>
      <c r="I75" s="792"/>
      <c r="J75" s="792"/>
      <c r="K75" s="792"/>
      <c r="L75" s="792"/>
      <c r="M75" s="786"/>
      <c r="N75" s="788"/>
      <c r="O75" s="786"/>
      <c r="P75" s="787"/>
      <c r="Q75" s="788"/>
      <c r="R75" s="1233"/>
      <c r="S75" s="1234"/>
      <c r="T75" s="799"/>
      <c r="U75" s="800"/>
      <c r="V75" s="802"/>
      <c r="W75" s="802"/>
      <c r="X75" s="804"/>
      <c r="Y75" s="804"/>
      <c r="Z75" s="793"/>
      <c r="AA75" s="795"/>
      <c r="AB75" s="794"/>
      <c r="AC75" s="793"/>
      <c r="AD75" s="795"/>
      <c r="AE75" s="795"/>
      <c r="AF75" s="794"/>
      <c r="AG75" s="806"/>
      <c r="AH75" s="786"/>
      <c r="AI75" s="809"/>
      <c r="AJ75" s="810"/>
      <c r="AK75" s="810"/>
      <c r="AL75" s="812"/>
      <c r="AM75" s="815"/>
      <c r="AN75" s="816"/>
      <c r="AO75" s="818"/>
      <c r="AP75" s="818"/>
      <c r="AQ75" s="818"/>
      <c r="AR75" s="822"/>
      <c r="AS75" s="823"/>
      <c r="AT75" s="823"/>
      <c r="AU75" s="824"/>
      <c r="AV75" s="17"/>
      <c r="AX75" s="774"/>
      <c r="AY75" s="760"/>
      <c r="AZ75" s="760"/>
      <c r="BA75" s="772"/>
      <c r="BB75" s="772"/>
      <c r="BC75" s="774"/>
      <c r="BD75" s="758"/>
      <c r="BE75" s="776"/>
      <c r="BF75" s="776"/>
      <c r="BG75" s="776"/>
      <c r="BH75" s="762"/>
      <c r="BI75" s="762"/>
      <c r="BJ75" s="778"/>
      <c r="BK75" s="768"/>
      <c r="BL75" s="768"/>
      <c r="BM75" s="766"/>
      <c r="BN75" s="764"/>
      <c r="BO75" s="764"/>
      <c r="BP75" s="770"/>
      <c r="BQ75" s="768"/>
      <c r="BR75" s="768"/>
      <c r="BS75" s="766"/>
      <c r="BT75" s="766"/>
      <c r="BU75" s="758"/>
      <c r="BV75" s="768"/>
      <c r="BW75" s="758"/>
      <c r="BX75" s="758"/>
      <c r="BY75" s="758"/>
      <c r="BZ75" s="754"/>
      <c r="CA75" s="754"/>
      <c r="CB75" s="754"/>
      <c r="CC75" s="754"/>
    </row>
    <row r="76" spans="2:81" ht="15.95" customHeight="1">
      <c r="B76" s="785">
        <v>30</v>
      </c>
      <c r="C76" s="786"/>
      <c r="D76" s="787"/>
      <c r="E76" s="787"/>
      <c r="F76" s="788"/>
      <c r="G76" s="789"/>
      <c r="H76" s="790"/>
      <c r="I76" s="790"/>
      <c r="J76" s="790"/>
      <c r="K76" s="790"/>
      <c r="L76" s="790"/>
      <c r="M76" s="793"/>
      <c r="N76" s="794"/>
      <c r="O76" s="793"/>
      <c r="P76" s="795"/>
      <c r="Q76" s="794"/>
      <c r="R76" s="1231" t="str">
        <f>_xlfn.LET(
_xlpm.WATTS,
IFERROR(
INDEX(STDLIGHTINEFCAT2[System Wattage],MATCH('M04-S10'!$M76&amp;"_"&amp;
INDEX(CLLIGHT[Ineff Dropdown 2],MATCH('M04-S10'!$G76, CLLIGHT[Measure Name],0))
&amp;"_"&amp;O76,STDLIGHTINEFCAT2[Full Name],0)),
""),
IF(_xlpm.WATTS="","",_xlpm.WATTS))</f>
        <v/>
      </c>
      <c r="S76" s="1232"/>
      <c r="T76" s="799" t="str">
        <f t="shared" ref="T76" si="199">IF(C76="Permanent Lamp Removal",0,"")</f>
        <v/>
      </c>
      <c r="U76" s="800"/>
      <c r="V76" s="801"/>
      <c r="W76" s="801"/>
      <c r="X76" s="803"/>
      <c r="Y76" s="803"/>
      <c r="Z76" s="873"/>
      <c r="AA76" s="874"/>
      <c r="AB76" s="875"/>
      <c r="AC76" s="825"/>
      <c r="AD76" s="826"/>
      <c r="AE76" s="826"/>
      <c r="AF76" s="827"/>
      <c r="AG76" s="805"/>
      <c r="AH76" s="793"/>
      <c r="AI76" s="807"/>
      <c r="AJ76" s="808"/>
      <c r="AK76" s="808"/>
      <c r="AL76" s="811"/>
      <c r="AM76" s="813" t="str" cm="1">
        <f t="array" ref="AM76">IFERROR(IF(G76="","",IF(C76&lt;&gt;INDEX(CLLIGHT[Eff Category 1],MATCH(G76,CLLIGHT[Measure Name],0)),0,INDEX(IF(AND(ACTIVEBONUS = TRUE,INDEX(CLLIGHT[Bonus Incentive],MATCH(G76,CLLIGHT[Measure Name],0))&lt;&gt; ""),CLLIGHT[Bonus Incentive],_xlfn.SWITCH(Program_Banner,"Business Energy Savings",CLLIGHT[BESP Incentive],"Small Business / Non-Profit",CLLIGHT[SBNP Incentive],0)),MATCH(G76,CLLIGHT[Measure Name],0)))),"")</f>
        <v/>
      </c>
      <c r="AN76" s="814"/>
      <c r="AO76" s="817" t="str">
        <f t="shared" ref="AO76" si="200">IFERROR(IF(OR(C76="",G76="",M76="",O76="",R76="",T76="",V76="",X76="",AC76="",AG76="",AI76="",AK76=""),"", IF(BE76&lt;=0, 0, BE76)),"")</f>
        <v/>
      </c>
      <c r="AP76" s="817"/>
      <c r="AQ76" s="817"/>
      <c r="AR76" s="819" t="str">
        <f>IFERROR(IF(OR(C76="",G76="",M76="",O76="",R76="",T76="",V76="",X76="",AC76="",AG76="",AI76="",AK76=""),"",IF(BY76&lt;&gt;"",BY76,IF(BP76&gt;0,BP76,ROUND(IF(AO76&lt;=0,0,MIN(BL76,BQ76)),2)))),"")</f>
        <v/>
      </c>
      <c r="AS76" s="820"/>
      <c r="AT76" s="820"/>
      <c r="AU76" s="821"/>
      <c r="AV76" s="17"/>
      <c r="AX76" s="773" t="str">
        <f>IFERROR(IF(OR(C76="",G76="",M76="",O76="",R76="",T76="",V76="",X76="",AC76="",AG76="",AI76="",AK76=""),"",INDEX(CLLIGHT[Current Unit],MATCH(G76,CLLIGHT[Measure Name],0))),"Err")</f>
        <v/>
      </c>
      <c r="AY76" s="759" t="str">
        <f t="shared" ref="AY76" si="201">IF(V76="", "",  V76)</f>
        <v/>
      </c>
      <c r="AZ76" s="759" t="str">
        <f t="shared" ref="AZ76" si="202">IF(V76="", "",  V76)</f>
        <v/>
      </c>
      <c r="BA76" s="771"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B76" s="771"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C76" s="773" t="str">
        <f>IFERROR(IF(OR(C76="",G76="",M76="",O76="",R76="",T76="",V76="",X76="",AC76="",AG76="",AI76="",AK76=""),"",INDEX(CLLIGHT[End Use],MATCH(G76,CLLIGHT[Measure Name],0))),"Err")</f>
        <v/>
      </c>
      <c r="BD76" s="757" t="str">
        <f>IFERROR(IF(OR(C76="",G76="",M76="",O76="",R76="",T76="",V76="",X76="",AC76="",AG76="",AI76="",AK76=""),"",INDEX(CLLIGHT[Reporting Methodology],MATCH(G76,CLLIGHT[Measure Name],0))),"Err")</f>
        <v/>
      </c>
      <c r="BE76" s="775" t="str">
        <f t="shared" ref="BE76" si="203">IF(AND(BA76&lt;&gt;"", BB76&lt;&gt;""), ROUND(BA76-BB76,4), "")</f>
        <v/>
      </c>
      <c r="BF76" s="775" t="str">
        <f>IFERROR(IF(OR(C76="",G76="",M76="",O76="",R76="",T76="",V76="",X76="",AC76="",AG76="",AI76="",AK76=""),"",
IF(BA76&lt;=BB76,0,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775" t="str">
        <f>IFERROR(IF(OR(C76="",G76="",M76="",O76="",R76="",T76="",V76="",X76="",AC76="",AG76="",AI76="", AK76=""),"",ROUND(AO76*INDEX(ENDUSEALL[Factor],MATCH(BC76,ENDUSEALL[End Use to Coincident Peak Demand Factors],0)),4)),"")</f>
        <v/>
      </c>
      <c r="BH76" s="761"/>
      <c r="BI76" s="761"/>
      <c r="BJ76" s="777" t="str">
        <f>IFERROR(INDEX(CLLIGHT[Measure Life (Years)],MATCH(G76,CLLIGHT[Measure Name],0)),"")</f>
        <v/>
      </c>
      <c r="BK76" s="767" t="str">
        <f>IFERROR(IF(OR(C76="",G76="",M76="",O76="",R76="",T76="",V76="",X76="",AC76="",AG76="",AI76="",AK76=""),"",
ROUND(((1+ELOSS)*((BE76*INDEX(ELECCB[NPV AEC $/kWh],MATCH(BJ76,ELECCB[Year Number],1)))+(BF76*INDEX(ELECCB[NPV ACC $/kW],MATCH(BJ76,ELECCB[Year Number],1))))),2)),0)</f>
        <v/>
      </c>
      <c r="BL76" s="767" t="str">
        <f t="shared" si="2"/>
        <v/>
      </c>
      <c r="BM76" s="765"/>
      <c r="BN76" s="763" t="str">
        <f t="shared" si="3"/>
        <v/>
      </c>
      <c r="BO76" s="763" t="str">
        <f>IFERROR(IF(BM76 &lt;&gt; "", BM76, BL76) / M02S04F06 / AO76, "")</f>
        <v/>
      </c>
      <c r="BP76" s="769"/>
      <c r="BQ76" s="767" t="str">
        <f t="shared" ref="BQ76" si="204">IFERROR(ROUND(V76*AM76, 2), "")</f>
        <v/>
      </c>
      <c r="BR76" s="767"/>
      <c r="BS76" s="765"/>
      <c r="BT76" s="765"/>
      <c r="BU76" s="757" t="str">
        <f t="shared" ref="BU76" si="205">IFERROR(IF(BP76="",IF(AND(AO76&gt;0, AR76 &lt; BQ76), "100% Total Cost", ""), ""), "")</f>
        <v/>
      </c>
      <c r="BV76" s="767"/>
      <c r="BW76" s="757" t="str">
        <f>IFERROR(IF(OR(C76="",G76="",M76="",O76="",R76="",T76="",V76="",X76="",AC76="",AG76="",AI76="",AK76=""),"",IF(BY76&lt;&gt;"", SPILLOVERNUMBER, INDEX(CLLIGHT[Measure Number],MATCH(G76,CLLIGHT[Measure Name],0)))),"Err")</f>
        <v/>
      </c>
      <c r="BX76" s="757" t="str" cm="1">
        <f t="array" ref="BX76">IFERROR(INDEX(_xlfn.SWITCH(Program_Banner,"Business Energy Savings",CLLIGHT[Primary Key WBE],"Small Business / Non-Profit",CLLIGHT[Primary Key HTRB],0),MATCH(BW76,CLLIGHT[Measure Number],0)),"")</f>
        <v/>
      </c>
      <c r="BY76" s="757" t="str">
        <f>IFERROR(IF(OR(C76="",G76="",M76="",O76="",R76="",T76="",V76="",X76="",AC76="",AG76="",AI76="",AK76=""),"",
IF(BP76&gt;0,"",
IF(EXPIRATION&lt;&gt;"",PROJSTATEXP,
IF(M02S04F19="",MEASUREBLDG,
IF(BA76&lt;=BB76,MEASURESAVE,""))))),MEASURESUBMIT)</f>
        <v/>
      </c>
      <c r="BZ76" s="753"/>
      <c r="CA76" s="753"/>
      <c r="CB76" s="753"/>
      <c r="CC76" s="753"/>
    </row>
    <row r="77" spans="2:81" ht="15.95" customHeight="1">
      <c r="B77" s="785"/>
      <c r="C77" s="786"/>
      <c r="D77" s="787"/>
      <c r="E77" s="787"/>
      <c r="F77" s="788"/>
      <c r="G77" s="791"/>
      <c r="H77" s="792"/>
      <c r="I77" s="792"/>
      <c r="J77" s="792"/>
      <c r="K77" s="792"/>
      <c r="L77" s="792"/>
      <c r="M77" s="786"/>
      <c r="N77" s="788"/>
      <c r="O77" s="786"/>
      <c r="P77" s="787"/>
      <c r="Q77" s="788"/>
      <c r="R77" s="1233"/>
      <c r="S77" s="1234"/>
      <c r="T77" s="799"/>
      <c r="U77" s="800"/>
      <c r="V77" s="802"/>
      <c r="W77" s="802"/>
      <c r="X77" s="804"/>
      <c r="Y77" s="804"/>
      <c r="Z77" s="793"/>
      <c r="AA77" s="795"/>
      <c r="AB77" s="794"/>
      <c r="AC77" s="793"/>
      <c r="AD77" s="795"/>
      <c r="AE77" s="795"/>
      <c r="AF77" s="794"/>
      <c r="AG77" s="806"/>
      <c r="AH77" s="786"/>
      <c r="AI77" s="809"/>
      <c r="AJ77" s="810"/>
      <c r="AK77" s="810"/>
      <c r="AL77" s="812"/>
      <c r="AM77" s="815"/>
      <c r="AN77" s="816"/>
      <c r="AO77" s="818"/>
      <c r="AP77" s="818"/>
      <c r="AQ77" s="818"/>
      <c r="AR77" s="822"/>
      <c r="AS77" s="823"/>
      <c r="AT77" s="823"/>
      <c r="AU77" s="824"/>
      <c r="AV77" s="17"/>
      <c r="AX77" s="774"/>
      <c r="AY77" s="760"/>
      <c r="AZ77" s="760"/>
      <c r="BA77" s="772"/>
      <c r="BB77" s="772"/>
      <c r="BC77" s="774"/>
      <c r="BD77" s="758"/>
      <c r="BE77" s="776"/>
      <c r="BF77" s="776"/>
      <c r="BG77" s="776"/>
      <c r="BH77" s="762"/>
      <c r="BI77" s="762"/>
      <c r="BJ77" s="778"/>
      <c r="BK77" s="768"/>
      <c r="BL77" s="768"/>
      <c r="BM77" s="766"/>
      <c r="BN77" s="764"/>
      <c r="BO77" s="764"/>
      <c r="BP77" s="770"/>
      <c r="BQ77" s="768"/>
      <c r="BR77" s="768"/>
      <c r="BS77" s="766"/>
      <c r="BT77" s="766"/>
      <c r="BU77" s="758"/>
      <c r="BV77" s="768"/>
      <c r="BW77" s="758"/>
      <c r="BX77" s="758"/>
      <c r="BY77" s="758"/>
      <c r="BZ77" s="754"/>
      <c r="CA77" s="754"/>
      <c r="CB77" s="754"/>
      <c r="CC77" s="754"/>
    </row>
    <row r="78" spans="2:81" ht="15.95" customHeight="1"/>
    <row r="79" spans="2:81" ht="15.95" hidden="1" customHeight="1"/>
    <row r="80" spans="2:81"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spans="50:67" ht="15.95" hidden="1" customHeight="1"/>
    <row r="114" spans="50:67" ht="15.95" hidden="1" customHeight="1"/>
    <row r="115" spans="50:67" ht="15.95" hidden="1" customHeight="1"/>
    <row r="116" spans="50:67" ht="15.95" hidden="1" customHeight="1"/>
    <row r="117" spans="50:67" ht="15.95" hidden="1" customHeight="1"/>
    <row r="118" spans="50:67" ht="15.95" hidden="1" customHeight="1"/>
    <row r="119" spans="50:67" ht="15.95" hidden="1" customHeight="1"/>
    <row r="120" spans="50:67" ht="15.95" hidden="1" customHeight="1">
      <c r="AX120" s="26"/>
      <c r="BA120" s="32"/>
      <c r="BB120" s="26"/>
      <c r="BC120" s="26"/>
      <c r="BE120" s="26"/>
      <c r="BF120" s="32"/>
      <c r="BG120" s="32"/>
      <c r="BO120" s="26"/>
    </row>
    <row r="121" spans="50:67" ht="15.95" hidden="1" customHeight="1">
      <c r="AX121" s="26"/>
      <c r="BA121" s="32"/>
      <c r="BB121" s="26"/>
      <c r="BC121" s="26"/>
      <c r="BE121" s="26"/>
      <c r="BF121" s="32"/>
      <c r="BG121" s="32"/>
      <c r="BO121" s="26"/>
    </row>
    <row r="122" spans="50:67" ht="15.95" hidden="1" customHeight="1">
      <c r="AX122" s="26"/>
      <c r="BA122" s="32"/>
      <c r="BB122" s="26"/>
      <c r="BC122" s="26"/>
      <c r="BE122" s="26"/>
      <c r="BF122" s="32"/>
      <c r="BG122" s="32"/>
      <c r="BO122" s="26"/>
    </row>
    <row r="123" spans="50:67" ht="15.95" hidden="1" customHeight="1">
      <c r="AX123" s="26"/>
      <c r="BA123" s="32"/>
      <c r="BB123" s="26"/>
      <c r="BC123" s="26"/>
      <c r="BE123" s="26"/>
      <c r="BF123" s="32"/>
      <c r="BG123" s="32"/>
      <c r="BO123" s="26"/>
    </row>
    <row r="124" spans="50:67" ht="15.95" hidden="1" customHeight="1">
      <c r="AX124" s="26"/>
      <c r="BA124" s="32"/>
      <c r="BB124" s="26"/>
      <c r="BC124" s="26"/>
      <c r="BE124" s="26"/>
      <c r="BF124" s="32"/>
      <c r="BG124" s="32"/>
      <c r="BO124" s="26"/>
    </row>
    <row r="125" spans="50:67" ht="15.95" hidden="1" customHeight="1">
      <c r="AX125" s="26"/>
      <c r="BA125" s="32"/>
      <c r="BB125" s="26"/>
      <c r="BC125" s="26"/>
      <c r="BE125" s="26"/>
      <c r="BF125" s="32"/>
      <c r="BG125" s="32"/>
      <c r="BO125" s="26"/>
    </row>
    <row r="126" spans="50:67" ht="15.95" hidden="1" customHeight="1">
      <c r="AX126" s="26"/>
      <c r="BA126" s="32"/>
      <c r="BB126" s="26"/>
      <c r="BC126" s="26"/>
      <c r="BE126" s="26"/>
      <c r="BF126" s="32"/>
      <c r="BG126" s="32"/>
      <c r="BO126" s="26"/>
    </row>
    <row r="127" spans="50:67" ht="15.95" hidden="1" customHeight="1">
      <c r="AX127" s="26"/>
      <c r="BA127" s="32"/>
      <c r="BB127" s="26"/>
      <c r="BC127" s="26"/>
      <c r="BE127" s="26"/>
      <c r="BF127" s="32"/>
      <c r="BG127" s="32"/>
      <c r="BO127" s="26"/>
    </row>
    <row r="128" spans="50:67" ht="15.95" hidden="1" customHeight="1">
      <c r="AX128" s="26"/>
      <c r="BA128" s="32"/>
      <c r="BB128" s="26"/>
      <c r="BC128" s="26"/>
      <c r="BE128" s="26"/>
      <c r="BF128" s="32"/>
      <c r="BG128" s="32"/>
      <c r="BO128" s="26"/>
    </row>
    <row r="129" spans="50:67" ht="15.95" hidden="1" customHeight="1">
      <c r="AX129" s="26"/>
      <c r="BA129" s="32"/>
      <c r="BB129" s="26"/>
      <c r="BC129" s="26"/>
      <c r="BE129" s="26"/>
      <c r="BF129" s="32"/>
      <c r="BG129" s="32"/>
      <c r="BO129" s="26"/>
    </row>
    <row r="130" spans="50:67" ht="15.95" hidden="1" customHeight="1">
      <c r="AX130" s="26"/>
      <c r="BA130" s="32"/>
      <c r="BB130" s="26"/>
      <c r="BC130" s="26"/>
      <c r="BE130" s="26"/>
      <c r="BF130" s="32"/>
      <c r="BG130" s="32"/>
      <c r="BO130" s="26"/>
    </row>
    <row r="131" spans="50:67" ht="15.95" hidden="1" customHeight="1">
      <c r="AX131" s="26"/>
      <c r="BA131" s="32"/>
      <c r="BB131" s="26"/>
      <c r="BC131" s="26"/>
      <c r="BE131" s="26"/>
      <c r="BF131" s="32"/>
      <c r="BG131" s="32"/>
      <c r="BO131" s="26"/>
    </row>
    <row r="132" spans="50:67" ht="15.95" hidden="1" customHeight="1">
      <c r="AX132" s="26"/>
      <c r="BA132" s="32"/>
      <c r="BB132" s="26"/>
      <c r="BC132" s="26"/>
      <c r="BE132" s="26"/>
      <c r="BF132" s="32"/>
      <c r="BG132" s="32"/>
      <c r="BO132" s="26"/>
    </row>
    <row r="133" spans="50:67" ht="15.95" hidden="1" customHeight="1">
      <c r="AX133" s="26"/>
      <c r="BA133" s="32"/>
      <c r="BB133" s="26"/>
      <c r="BC133" s="26"/>
      <c r="BE133" s="26"/>
      <c r="BF133" s="32"/>
      <c r="BG133" s="32"/>
      <c r="BO133" s="26"/>
    </row>
    <row r="134" spans="50:67" ht="15.95" hidden="1" customHeight="1">
      <c r="AX134" s="26"/>
      <c r="BA134" s="32"/>
      <c r="BB134" s="26"/>
      <c r="BC134" s="26"/>
      <c r="BE134" s="26"/>
      <c r="BF134" s="32"/>
      <c r="BG134" s="32"/>
      <c r="BO134" s="26"/>
    </row>
    <row r="135" spans="50:67" ht="15.95" hidden="1" customHeight="1">
      <c r="AX135" s="26"/>
      <c r="BA135" s="32"/>
      <c r="BB135" s="26"/>
      <c r="BC135" s="26"/>
      <c r="BE135" s="26"/>
      <c r="BF135" s="32"/>
      <c r="BG135" s="32"/>
      <c r="BO135" s="26"/>
    </row>
    <row r="136" spans="50:67" ht="15.95" hidden="1" customHeight="1">
      <c r="AX136" s="26"/>
      <c r="BA136" s="32"/>
      <c r="BB136" s="26"/>
      <c r="BC136" s="26"/>
      <c r="BE136" s="26"/>
      <c r="BF136" s="32"/>
      <c r="BG136" s="32"/>
      <c r="BO136" s="26"/>
    </row>
    <row r="137" spans="50:67" ht="15.95" hidden="1" customHeight="1">
      <c r="AX137" s="26"/>
      <c r="BA137" s="32"/>
      <c r="BB137" s="26"/>
      <c r="BC137" s="26"/>
      <c r="BE137" s="26"/>
      <c r="BF137" s="32"/>
      <c r="BG137" s="32"/>
      <c r="BO137" s="26"/>
    </row>
    <row r="138" spans="50:67" ht="15.95" hidden="1" customHeight="1">
      <c r="AX138" s="26"/>
      <c r="BA138" s="32"/>
      <c r="BB138" s="26"/>
      <c r="BC138" s="26"/>
      <c r="BE138" s="26"/>
      <c r="BF138" s="32"/>
      <c r="BG138" s="32"/>
      <c r="BO138" s="26"/>
    </row>
    <row r="139" spans="50:67" ht="15.95" hidden="1" customHeight="1">
      <c r="AX139" s="26"/>
      <c r="BA139" s="32"/>
      <c r="BB139" s="26"/>
      <c r="BC139" s="26"/>
      <c r="BE139" s="26"/>
      <c r="BF139" s="32"/>
      <c r="BG139" s="32"/>
      <c r="BO139" s="26"/>
    </row>
    <row r="140" spans="50:67" ht="15.95" hidden="1" customHeight="1">
      <c r="AX140" s="26"/>
      <c r="BA140" s="32"/>
      <c r="BB140" s="26"/>
      <c r="BC140" s="26"/>
      <c r="BE140" s="26"/>
      <c r="BF140" s="32"/>
      <c r="BG140" s="32"/>
      <c r="BO140" s="26"/>
    </row>
    <row r="141" spans="50:67" ht="15.95" hidden="1" customHeight="1">
      <c r="AX141" s="26"/>
      <c r="BA141" s="32"/>
      <c r="BB141" s="26"/>
      <c r="BC141" s="26"/>
      <c r="BE141" s="26"/>
      <c r="BF141" s="32"/>
      <c r="BG141" s="32"/>
      <c r="BO141" s="26"/>
    </row>
    <row r="142" spans="50:67" ht="15.95" hidden="1" customHeight="1">
      <c r="AX142" s="26"/>
      <c r="BA142" s="32"/>
      <c r="BB142" s="26"/>
      <c r="BC142" s="26"/>
      <c r="BE142" s="26"/>
      <c r="BF142" s="32"/>
      <c r="BG142" s="32"/>
      <c r="BO142" s="26"/>
    </row>
    <row r="143" spans="50:67" ht="15.95" hidden="1" customHeight="1">
      <c r="AX143" s="26"/>
      <c r="BA143" s="32"/>
      <c r="BB143" s="26"/>
      <c r="BC143" s="26"/>
      <c r="BE143" s="26"/>
      <c r="BF143" s="32"/>
      <c r="BG143" s="32"/>
      <c r="BO143" s="26"/>
    </row>
    <row r="144" spans="50:67" ht="15.95" hidden="1" customHeight="1">
      <c r="AX144" s="26"/>
      <c r="BA144" s="32"/>
      <c r="BB144" s="26"/>
      <c r="BC144" s="26"/>
      <c r="BE144" s="26"/>
      <c r="BF144" s="32"/>
      <c r="BG144" s="32"/>
      <c r="BO144" s="26"/>
    </row>
    <row r="145" spans="50:67" ht="15.95" hidden="1" customHeight="1">
      <c r="AX145" s="26"/>
      <c r="BA145" s="32"/>
      <c r="BB145" s="26"/>
      <c r="BC145" s="26"/>
      <c r="BE145" s="26"/>
      <c r="BF145" s="32"/>
      <c r="BG145" s="32"/>
      <c r="BO145" s="26"/>
    </row>
    <row r="146" spans="50:67" ht="15.95" hidden="1" customHeight="1">
      <c r="AX146" s="26"/>
      <c r="BA146" s="32"/>
      <c r="BB146" s="26"/>
      <c r="BC146" s="26"/>
      <c r="BE146" s="26"/>
      <c r="BF146" s="32"/>
      <c r="BG146" s="32"/>
      <c r="BO146" s="26"/>
    </row>
    <row r="147" spans="50:67" ht="15.95" hidden="1" customHeight="1">
      <c r="AX147" s="26"/>
      <c r="BA147" s="32"/>
      <c r="BB147" s="26"/>
      <c r="BC147" s="26"/>
      <c r="BE147" s="26"/>
      <c r="BF147" s="32"/>
      <c r="BG147" s="32"/>
      <c r="BO147" s="26"/>
    </row>
    <row r="148" spans="50:67" ht="15.95" hidden="1" customHeight="1">
      <c r="AX148" s="26"/>
      <c r="BA148" s="32"/>
      <c r="BB148" s="26"/>
      <c r="BC148" s="26"/>
      <c r="BE148" s="26"/>
      <c r="BF148" s="32"/>
      <c r="BG148" s="32"/>
      <c r="BO148" s="26"/>
    </row>
    <row r="149" spans="50:67" ht="15.95" hidden="1" customHeight="1">
      <c r="AX149" s="26"/>
      <c r="BA149" s="32"/>
      <c r="BB149" s="26"/>
      <c r="BC149" s="26"/>
      <c r="BE149" s="26"/>
      <c r="BF149" s="32"/>
      <c r="BG149" s="32"/>
      <c r="BO149" s="26"/>
    </row>
    <row r="150" spans="50:67" ht="15.95" hidden="1" customHeight="1">
      <c r="AX150" s="26"/>
      <c r="BA150" s="32"/>
      <c r="BB150" s="26"/>
      <c r="BC150" s="26"/>
      <c r="BE150" s="26"/>
      <c r="BF150" s="32"/>
      <c r="BG150" s="32"/>
      <c r="BO150" s="26"/>
    </row>
    <row r="151" spans="50:67" ht="15.95" hidden="1" customHeight="1">
      <c r="AX151" s="26"/>
      <c r="BA151" s="32"/>
      <c r="BB151" s="26"/>
      <c r="BC151" s="26"/>
      <c r="BE151" s="26"/>
      <c r="BF151" s="32"/>
      <c r="BG151" s="32"/>
      <c r="BO151" s="26"/>
    </row>
    <row r="152" spans="50:67" ht="15.95" hidden="1" customHeight="1">
      <c r="AX152" s="26"/>
      <c r="BA152" s="32"/>
      <c r="BB152" s="26"/>
      <c r="BC152" s="26"/>
      <c r="BE152" s="26"/>
      <c r="BF152" s="32"/>
      <c r="BG152" s="32"/>
      <c r="BO152" s="26"/>
    </row>
    <row r="153" spans="50:67" ht="15.95" hidden="1" customHeight="1">
      <c r="AX153" s="26"/>
      <c r="BA153" s="32"/>
      <c r="BB153" s="26"/>
      <c r="BC153" s="26"/>
      <c r="BE153" s="26"/>
      <c r="BF153" s="32"/>
      <c r="BG153" s="32"/>
      <c r="BO153" s="26"/>
    </row>
    <row r="154" spans="50:67" ht="15.95" hidden="1" customHeight="1">
      <c r="AX154" s="26"/>
      <c r="BA154" s="32"/>
      <c r="BB154" s="26"/>
      <c r="BC154" s="26"/>
      <c r="BE154" s="26"/>
      <c r="BF154" s="32"/>
      <c r="BG154" s="32"/>
      <c r="BO154" s="26"/>
    </row>
    <row r="155" spans="50:67" ht="15.95" hidden="1" customHeight="1">
      <c r="AX155" s="26"/>
      <c r="BA155" s="32"/>
      <c r="BB155" s="26"/>
      <c r="BC155" s="26"/>
      <c r="BE155" s="26"/>
      <c r="BF155" s="32"/>
      <c r="BG155" s="32"/>
      <c r="BO155" s="26"/>
    </row>
    <row r="156" spans="50:67" ht="15.95" hidden="1" customHeight="1">
      <c r="AX156" s="26"/>
      <c r="BA156" s="32"/>
      <c r="BB156" s="26"/>
      <c r="BC156" s="26"/>
      <c r="BE156" s="26"/>
      <c r="BF156" s="32"/>
      <c r="BG156" s="32"/>
      <c r="BO156" s="26"/>
    </row>
    <row r="157" spans="50:67" ht="15.95" hidden="1" customHeight="1">
      <c r="AX157" s="26"/>
      <c r="BA157" s="32"/>
      <c r="BB157" s="26"/>
      <c r="BC157" s="26"/>
      <c r="BE157" s="26"/>
      <c r="BF157" s="32"/>
      <c r="BG157" s="32"/>
      <c r="BO157" s="26"/>
    </row>
    <row r="158" spans="50:67" ht="15.95" hidden="1" customHeight="1">
      <c r="AX158" s="26"/>
      <c r="BA158" s="32"/>
      <c r="BB158" s="26"/>
      <c r="BC158" s="26"/>
      <c r="BE158" s="26"/>
      <c r="BF158" s="32"/>
      <c r="BG158" s="32"/>
      <c r="BO158" s="26"/>
    </row>
    <row r="159" spans="50:67" ht="15.95" hidden="1" customHeight="1">
      <c r="AX159" s="26"/>
      <c r="BA159" s="32"/>
      <c r="BB159" s="26"/>
      <c r="BC159" s="26"/>
      <c r="BE159" s="26"/>
      <c r="BF159" s="32"/>
      <c r="BG159" s="32"/>
      <c r="BO159" s="26"/>
    </row>
    <row r="160" spans="50:67" ht="15.95" hidden="1" customHeight="1">
      <c r="AX160" s="26"/>
      <c r="BA160" s="32"/>
      <c r="BB160" s="26"/>
      <c r="BC160" s="26"/>
      <c r="BE160" s="26"/>
      <c r="BF160" s="32"/>
      <c r="BG160" s="32"/>
      <c r="BO160" s="26"/>
    </row>
    <row r="161" spans="50:67" ht="15.95" hidden="1" customHeight="1">
      <c r="AX161" s="26"/>
      <c r="BA161" s="32"/>
      <c r="BB161" s="26"/>
      <c r="BC161" s="26"/>
      <c r="BE161" s="26"/>
      <c r="BF161" s="32"/>
      <c r="BG161" s="32"/>
      <c r="BO161" s="26"/>
    </row>
    <row r="162" spans="50:67" ht="15.95" hidden="1" customHeight="1">
      <c r="AX162" s="26"/>
      <c r="BA162" s="32"/>
      <c r="BB162" s="26"/>
      <c r="BC162" s="26"/>
      <c r="BE162" s="26"/>
      <c r="BF162" s="32"/>
      <c r="BG162" s="32"/>
      <c r="BO162" s="26"/>
    </row>
    <row r="163" spans="50:67" ht="15.95" hidden="1" customHeight="1">
      <c r="AX163" s="26"/>
      <c r="BA163" s="32"/>
      <c r="BB163" s="26"/>
      <c r="BC163" s="26"/>
      <c r="BE163" s="26"/>
      <c r="BF163" s="32"/>
      <c r="BG163" s="32"/>
      <c r="BO163" s="26"/>
    </row>
    <row r="164" spans="50:67" ht="15.95" hidden="1" customHeight="1">
      <c r="AX164" s="26"/>
      <c r="BA164" s="32"/>
      <c r="BB164" s="26"/>
      <c r="BC164" s="26"/>
      <c r="BE164" s="26"/>
      <c r="BF164" s="32"/>
      <c r="BG164" s="32"/>
      <c r="BO164" s="26"/>
    </row>
    <row r="165" spans="50:67" ht="15.95" hidden="1" customHeight="1">
      <c r="AX165" s="26"/>
      <c r="BA165" s="32"/>
      <c r="BB165" s="26"/>
      <c r="BC165" s="26"/>
      <c r="BE165" s="26"/>
      <c r="BF165" s="32"/>
      <c r="BG165" s="32"/>
      <c r="BO165" s="26"/>
    </row>
    <row r="166" spans="50:67" ht="15.95" hidden="1" customHeight="1">
      <c r="AX166" s="26"/>
      <c r="BA166" s="32"/>
      <c r="BB166" s="26"/>
      <c r="BC166" s="26"/>
      <c r="BE166" s="26"/>
      <c r="BF166" s="32"/>
      <c r="BG166" s="32"/>
      <c r="BO166" s="26"/>
    </row>
    <row r="167" spans="50:67" ht="15.95" hidden="1" customHeight="1">
      <c r="AX167" s="26"/>
      <c r="BA167" s="32"/>
      <c r="BB167" s="26"/>
      <c r="BC167" s="26"/>
      <c r="BE167" s="26"/>
      <c r="BF167" s="32"/>
      <c r="BG167" s="32"/>
      <c r="BO167" s="26"/>
    </row>
    <row r="168" spans="50:67" ht="15.95" hidden="1" customHeight="1">
      <c r="AX168" s="26"/>
      <c r="BA168" s="32"/>
      <c r="BB168" s="26"/>
      <c r="BC168" s="26"/>
      <c r="BE168" s="26"/>
      <c r="BF168" s="32"/>
      <c r="BG168" s="32"/>
      <c r="BO168" s="26"/>
    </row>
    <row r="169" spans="50:67" ht="15.95" hidden="1" customHeight="1">
      <c r="AX169" s="26"/>
      <c r="BA169" s="32"/>
      <c r="BB169" s="26"/>
      <c r="BC169" s="26"/>
      <c r="BE169" s="26"/>
      <c r="BF169" s="32"/>
      <c r="BG169" s="32"/>
      <c r="BO169" s="26"/>
    </row>
    <row r="170" spans="50:67" ht="15.95" hidden="1" customHeight="1">
      <c r="AX170" s="26"/>
      <c r="BA170" s="32"/>
      <c r="BB170" s="26"/>
      <c r="BC170" s="26"/>
      <c r="BE170" s="26"/>
      <c r="BF170" s="32"/>
      <c r="BG170" s="32"/>
      <c r="BO170" s="26"/>
    </row>
    <row r="171" spans="50:67" ht="15.95" hidden="1" customHeight="1">
      <c r="AX171" s="26"/>
      <c r="BA171" s="32"/>
      <c r="BB171" s="26"/>
      <c r="BC171" s="26"/>
      <c r="BE171" s="26"/>
      <c r="BF171" s="32"/>
      <c r="BG171" s="32"/>
      <c r="BO171" s="26"/>
    </row>
    <row r="172" spans="50:67" ht="15.95" hidden="1" customHeight="1">
      <c r="AX172" s="26"/>
      <c r="BA172" s="32"/>
      <c r="BB172" s="26"/>
      <c r="BC172" s="26"/>
      <c r="BE172" s="26"/>
      <c r="BF172" s="32"/>
      <c r="BG172" s="32"/>
      <c r="BO172" s="26"/>
    </row>
    <row r="173" spans="50:67" ht="15.95" hidden="1" customHeight="1">
      <c r="AX173" s="26"/>
      <c r="BA173" s="32"/>
      <c r="BB173" s="26"/>
      <c r="BC173" s="26"/>
      <c r="BE173" s="26"/>
      <c r="BF173" s="32"/>
      <c r="BG173" s="32"/>
      <c r="BO173" s="26"/>
    </row>
    <row r="174" spans="50:67" ht="15.95" hidden="1" customHeight="1">
      <c r="AX174" s="26"/>
      <c r="BA174" s="32"/>
      <c r="BB174" s="26"/>
      <c r="BC174" s="26"/>
      <c r="BE174" s="26"/>
      <c r="BF174" s="32"/>
      <c r="BG174" s="32"/>
      <c r="BO174" s="26"/>
    </row>
    <row r="175" spans="50:67" ht="15.95" hidden="1" customHeight="1">
      <c r="AX175" s="26"/>
      <c r="BA175" s="32"/>
      <c r="BB175" s="26"/>
      <c r="BC175" s="26"/>
      <c r="BE175" s="26"/>
      <c r="BF175" s="32"/>
      <c r="BG175" s="32"/>
      <c r="BO175" s="26"/>
    </row>
    <row r="176" spans="50:67" ht="15.95" hidden="1" customHeight="1">
      <c r="AX176" s="26"/>
      <c r="BA176" s="32"/>
      <c r="BB176" s="26"/>
      <c r="BC176" s="26"/>
      <c r="BE176" s="26"/>
      <c r="BF176" s="32"/>
      <c r="BG176" s="32"/>
      <c r="BO176" s="26"/>
    </row>
    <row r="177" spans="50:67" ht="15.95" hidden="1" customHeight="1">
      <c r="AX177" s="26"/>
      <c r="BA177" s="32"/>
      <c r="BB177" s="26"/>
      <c r="BC177" s="26"/>
      <c r="BE177" s="26"/>
      <c r="BF177" s="32"/>
      <c r="BG177" s="32"/>
      <c r="BO177" s="26"/>
    </row>
    <row r="178" spans="50:67" ht="15.95" hidden="1" customHeight="1">
      <c r="AX178" s="26"/>
      <c r="BA178" s="32"/>
      <c r="BB178" s="26"/>
      <c r="BC178" s="26"/>
      <c r="BE178" s="26"/>
      <c r="BF178" s="32"/>
      <c r="BG178" s="32"/>
      <c r="BO178" s="26"/>
    </row>
    <row r="179" spans="50:67" ht="15.95" hidden="1" customHeight="1">
      <c r="AX179" s="26"/>
      <c r="BA179" s="32"/>
      <c r="BB179" s="26"/>
      <c r="BC179" s="26"/>
      <c r="BE179" s="26"/>
      <c r="BF179" s="32"/>
      <c r="BG179" s="32"/>
      <c r="BO179" s="26"/>
    </row>
    <row r="180" spans="50:67" ht="15.95" hidden="1" customHeight="1">
      <c r="AX180" s="26"/>
      <c r="BA180" s="32"/>
      <c r="BB180" s="26"/>
      <c r="BC180" s="26"/>
      <c r="BE180" s="26"/>
      <c r="BF180" s="32"/>
      <c r="BG180" s="32"/>
      <c r="BO180" s="26"/>
    </row>
    <row r="181" spans="50:67" ht="15.95" hidden="1" customHeight="1">
      <c r="AX181" s="26"/>
      <c r="BA181" s="32"/>
      <c r="BB181" s="26"/>
      <c r="BC181" s="26"/>
      <c r="BE181" s="26"/>
      <c r="BF181" s="32"/>
      <c r="BG181" s="32"/>
      <c r="BO181" s="26"/>
    </row>
    <row r="182" spans="50:67" ht="15.95" hidden="1" customHeight="1">
      <c r="AX182" s="26"/>
      <c r="BA182" s="32"/>
      <c r="BB182" s="26"/>
      <c r="BC182" s="26"/>
      <c r="BE182" s="26"/>
      <c r="BF182" s="32"/>
      <c r="BG182" s="32"/>
      <c r="BO182" s="26"/>
    </row>
    <row r="183" spans="50:67" ht="15.95" hidden="1" customHeight="1">
      <c r="AX183" s="26"/>
      <c r="BA183" s="32"/>
      <c r="BB183" s="26"/>
      <c r="BC183" s="26"/>
      <c r="BE183" s="26"/>
      <c r="BF183" s="32"/>
      <c r="BG183" s="32"/>
      <c r="BO183" s="26"/>
    </row>
    <row r="184" spans="50:67" ht="15.95" hidden="1" customHeight="1">
      <c r="AX184" s="26"/>
      <c r="BA184" s="32"/>
      <c r="BB184" s="26"/>
      <c r="BC184" s="26"/>
      <c r="BE184" s="26"/>
      <c r="BF184" s="32"/>
      <c r="BG184" s="32"/>
      <c r="BO184" s="26"/>
    </row>
    <row r="185" spans="50:67" ht="15.95" hidden="1" customHeight="1">
      <c r="AX185" s="26"/>
      <c r="BA185" s="32"/>
      <c r="BB185" s="26"/>
      <c r="BC185" s="26"/>
      <c r="BE185" s="26"/>
      <c r="BF185" s="32"/>
      <c r="BG185" s="32"/>
      <c r="BO185" s="26"/>
    </row>
    <row r="186" spans="50:67" ht="15.95" hidden="1" customHeight="1">
      <c r="AX186" s="26"/>
      <c r="BA186" s="32"/>
      <c r="BB186" s="26"/>
      <c r="BC186" s="26"/>
      <c r="BE186" s="26"/>
      <c r="BF186" s="32"/>
      <c r="BG186" s="32"/>
      <c r="BO186" s="26"/>
    </row>
    <row r="187" spans="50:67" ht="15.95" hidden="1" customHeight="1">
      <c r="AX187" s="26"/>
      <c r="BA187" s="32"/>
      <c r="BB187" s="26"/>
      <c r="BC187" s="26"/>
      <c r="BE187" s="26"/>
      <c r="BF187" s="32"/>
      <c r="BG187" s="32"/>
      <c r="BO187" s="26"/>
    </row>
    <row r="188" spans="50:67" ht="15.95" hidden="1" customHeight="1">
      <c r="AX188" s="26"/>
      <c r="BA188" s="32"/>
      <c r="BB188" s="26"/>
      <c r="BC188" s="26"/>
      <c r="BE188" s="26"/>
      <c r="BF188" s="32"/>
      <c r="BG188" s="32"/>
      <c r="BO188" s="26"/>
    </row>
    <row r="189" spans="50:67" ht="15.95" hidden="1" customHeight="1">
      <c r="AX189" s="26"/>
      <c r="BA189" s="32"/>
      <c r="BB189" s="26"/>
      <c r="BC189" s="26"/>
      <c r="BE189" s="26"/>
      <c r="BF189" s="32"/>
      <c r="BG189" s="32"/>
      <c r="BO189" s="26"/>
    </row>
    <row r="190" spans="50:67" ht="15.95" hidden="1" customHeight="1">
      <c r="AX190" s="26"/>
      <c r="BA190" s="32"/>
      <c r="BB190" s="26"/>
      <c r="BC190" s="26"/>
      <c r="BE190" s="26"/>
      <c r="BF190" s="32"/>
      <c r="BG190" s="32"/>
      <c r="BO190" s="26"/>
    </row>
    <row r="191" spans="50:67" ht="15.95" hidden="1" customHeight="1">
      <c r="AX191" s="26"/>
      <c r="BA191" s="32"/>
      <c r="BB191" s="26"/>
      <c r="BC191" s="26"/>
      <c r="BE191" s="26"/>
      <c r="BF191" s="32"/>
      <c r="BG191" s="32"/>
      <c r="BO191" s="26"/>
    </row>
    <row r="192" spans="50:67" ht="15.95" hidden="1" customHeight="1">
      <c r="AX192" s="26"/>
      <c r="BA192" s="32"/>
      <c r="BB192" s="26"/>
      <c r="BC192" s="26"/>
      <c r="BE192" s="26"/>
      <c r="BF192" s="32"/>
      <c r="BG192" s="32"/>
      <c r="BO192" s="26"/>
    </row>
    <row r="193" spans="1:67" ht="15.95" hidden="1" customHeight="1">
      <c r="AX193" s="26"/>
      <c r="BA193" s="32"/>
      <c r="BB193" s="26"/>
      <c r="BC193" s="26"/>
      <c r="BE193" s="26"/>
      <c r="BF193" s="32"/>
      <c r="BG193" s="32"/>
      <c r="BO193" s="26"/>
    </row>
    <row r="194" spans="1:67" ht="15.95" hidden="1" customHeight="1">
      <c r="AX194" s="26"/>
      <c r="BA194" s="32"/>
      <c r="BB194" s="26"/>
      <c r="BC194" s="26"/>
      <c r="BE194" s="26"/>
      <c r="BF194" s="32"/>
      <c r="BG194" s="32"/>
      <c r="BO194" s="26"/>
    </row>
    <row r="195" spans="1:67" ht="15.95" hidden="1" customHeight="1">
      <c r="AX195" s="26"/>
      <c r="BA195" s="32"/>
      <c r="BB195" s="26"/>
      <c r="BC195" s="26"/>
      <c r="BE195" s="26"/>
      <c r="BF195" s="32"/>
      <c r="BG195" s="32"/>
      <c r="BO195" s="26"/>
    </row>
    <row r="196" spans="1:67" ht="15.95" hidden="1" customHeight="1">
      <c r="AX196" s="26"/>
      <c r="BA196" s="32"/>
      <c r="BB196" s="26"/>
      <c r="BC196" s="26"/>
      <c r="BE196" s="26"/>
      <c r="BF196" s="32"/>
      <c r="BG196" s="32"/>
      <c r="BO196" s="26"/>
    </row>
    <row r="197" spans="1:67" ht="15.95" hidden="1" customHeight="1">
      <c r="AX197" s="26"/>
      <c r="BA197" s="32"/>
      <c r="BB197" s="26"/>
      <c r="BC197" s="26"/>
      <c r="BE197" s="26"/>
      <c r="BF197" s="32"/>
      <c r="BG197" s="32"/>
      <c r="BO197" s="26"/>
    </row>
    <row r="198" spans="1:67" ht="15.95" hidden="1" customHeight="1">
      <c r="AX198" s="26"/>
      <c r="BA198" s="32"/>
      <c r="BB198" s="26"/>
      <c r="BC198" s="26"/>
      <c r="BE198" s="26"/>
      <c r="BF198" s="32"/>
      <c r="BG198" s="32"/>
      <c r="BO198" s="26"/>
    </row>
    <row r="199" spans="1:67" ht="15.95" hidden="1" customHeight="1">
      <c r="AX199" s="26"/>
      <c r="BA199" s="32"/>
      <c r="BB199" s="26"/>
      <c r="BC199" s="26"/>
      <c r="BE199" s="26"/>
      <c r="BF199" s="32"/>
      <c r="BG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A200" s="861">
        <f>SUM(BA18:BA199)</f>
        <v>0</v>
      </c>
      <c r="BB200" s="861">
        <f>SUM(BB18:BB199)</f>
        <v>0</v>
      </c>
      <c r="BE200" s="861">
        <f t="shared" ref="BE200:BF200" si="206">SUM(BE18:BE199)</f>
        <v>0</v>
      </c>
      <c r="BF200" s="861">
        <f t="shared" si="206"/>
        <v>0</v>
      </c>
      <c r="BG200" s="319"/>
      <c r="BL200" s="862">
        <f>SUM(BL18:BL199)</f>
        <v>0</v>
      </c>
    </row>
    <row r="201" spans="1:67"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A201" s="861"/>
      <c r="BB201" s="861"/>
      <c r="BE201" s="861"/>
      <c r="BF201" s="861"/>
      <c r="BG201" s="319"/>
      <c r="BL201" s="862"/>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HUTHw4XxDpRT44Le8PJ96yYqKp46dF5eB6dtMMCCu4NRR2Y/1V5TvzkrnhqNtecCoqcbtMbqFqzvaOG4wHf80Q==" saltValue="+2QWw9gYRqTp1bBbwCdzgA==" spinCount="100000" sheet="1" objects="1" scenarios="1" selectLockedCells="1"/>
  <mergeCells count="1551">
    <mergeCell ref="B76:B77"/>
    <mergeCell ref="M76:N77"/>
    <mergeCell ref="BU74:BU75"/>
    <mergeCell ref="BY74:BY75"/>
    <mergeCell ref="B72:B73"/>
    <mergeCell ref="M72:N73"/>
    <mergeCell ref="BU70:BU71"/>
    <mergeCell ref="BY70:BY71"/>
    <mergeCell ref="BC68:BC69"/>
    <mergeCell ref="BE68:BE69"/>
    <mergeCell ref="BF68:BF69"/>
    <mergeCell ref="BQ68:BQ69"/>
    <mergeCell ref="BW68:BW69"/>
    <mergeCell ref="BU68:BU69"/>
    <mergeCell ref="BL68:BL69"/>
    <mergeCell ref="AX68:AX69"/>
    <mergeCell ref="BA68:BA69"/>
    <mergeCell ref="BB68:BB69"/>
    <mergeCell ref="AO68:AQ69"/>
    <mergeCell ref="AR74:AU75"/>
    <mergeCell ref="BL74:BL75"/>
    <mergeCell ref="AX74:AX75"/>
    <mergeCell ref="BA74:BA75"/>
    <mergeCell ref="AO74:AQ75"/>
    <mergeCell ref="BY76:BY77"/>
    <mergeCell ref="BJ76:BJ77"/>
    <mergeCell ref="BK76:BK77"/>
    <mergeCell ref="BD76:BD77"/>
    <mergeCell ref="BC76:BC77"/>
    <mergeCell ref="BE76:BE77"/>
    <mergeCell ref="BF76:BF77"/>
    <mergeCell ref="BQ76:BQ77"/>
    <mergeCell ref="BU76:BU77"/>
    <mergeCell ref="BL76:BL77"/>
    <mergeCell ref="AX76:AX77"/>
    <mergeCell ref="BI76:BI77"/>
    <mergeCell ref="BR76:BR77"/>
    <mergeCell ref="BT76:BT77"/>
    <mergeCell ref="BV76:BV77"/>
    <mergeCell ref="G72:L73"/>
    <mergeCell ref="O72:Q73"/>
    <mergeCell ref="R72:S73"/>
    <mergeCell ref="T72:U73"/>
    <mergeCell ref="V72:W73"/>
    <mergeCell ref="X72:Y73"/>
    <mergeCell ref="Z72:AB73"/>
    <mergeCell ref="AC72:AF73"/>
    <mergeCell ref="M74:N75"/>
    <mergeCell ref="AG74:AH75"/>
    <mergeCell ref="AI74:AJ75"/>
    <mergeCell ref="AK74:AL75"/>
    <mergeCell ref="AM74:AN75"/>
    <mergeCell ref="BM74:BM75"/>
    <mergeCell ref="BP74:BP75"/>
    <mergeCell ref="BS74:BS75"/>
    <mergeCell ref="BN74:BN75"/>
    <mergeCell ref="BO74:BO75"/>
    <mergeCell ref="B74:B75"/>
    <mergeCell ref="BC72:BC73"/>
    <mergeCell ref="BE72:BE73"/>
    <mergeCell ref="BF72:BF73"/>
    <mergeCell ref="BQ72:BQ73"/>
    <mergeCell ref="BW72:BW73"/>
    <mergeCell ref="BU72:BU73"/>
    <mergeCell ref="BL72:BL73"/>
    <mergeCell ref="AX72:AX73"/>
    <mergeCell ref="BA72:BA73"/>
    <mergeCell ref="BB72:BB73"/>
    <mergeCell ref="BG72:BG73"/>
    <mergeCell ref="BG74:BG75"/>
    <mergeCell ref="AG72:AH73"/>
    <mergeCell ref="AI72:AJ73"/>
    <mergeCell ref="AK72:AL73"/>
    <mergeCell ref="BJ74:BJ75"/>
    <mergeCell ref="BK74:BK75"/>
    <mergeCell ref="BD74:BD75"/>
    <mergeCell ref="BB74:BB75"/>
    <mergeCell ref="BC74:BC75"/>
    <mergeCell ref="C74:F75"/>
    <mergeCell ref="G74:L75"/>
    <mergeCell ref="O74:Q75"/>
    <mergeCell ref="R74:S75"/>
    <mergeCell ref="T74:U75"/>
    <mergeCell ref="V74:W75"/>
    <mergeCell ref="X74:Y75"/>
    <mergeCell ref="Z74:AB75"/>
    <mergeCell ref="AC74:AF75"/>
    <mergeCell ref="C72:F73"/>
    <mergeCell ref="B68:B69"/>
    <mergeCell ref="M68:N69"/>
    <mergeCell ref="BY68:BY69"/>
    <mergeCell ref="BJ68:BJ69"/>
    <mergeCell ref="BK68:BK69"/>
    <mergeCell ref="BD68:BD69"/>
    <mergeCell ref="C68:F69"/>
    <mergeCell ref="G68:L69"/>
    <mergeCell ref="O68:Q69"/>
    <mergeCell ref="R68:S69"/>
    <mergeCell ref="T68:U69"/>
    <mergeCell ref="V68:W69"/>
    <mergeCell ref="X68:Y69"/>
    <mergeCell ref="Z68:AB69"/>
    <mergeCell ref="AC68:AF69"/>
    <mergeCell ref="BJ70:BJ71"/>
    <mergeCell ref="M70:N71"/>
    <mergeCell ref="BG70:BG71"/>
    <mergeCell ref="B70:B71"/>
    <mergeCell ref="AG68:AH69"/>
    <mergeCell ref="AI68:AJ69"/>
    <mergeCell ref="AK68:AL69"/>
    <mergeCell ref="AM68:AN69"/>
    <mergeCell ref="C70:F71"/>
    <mergeCell ref="G70:L71"/>
    <mergeCell ref="O70:Q71"/>
    <mergeCell ref="R70:S71"/>
    <mergeCell ref="T70:U71"/>
    <mergeCell ref="V70:W71"/>
    <mergeCell ref="X70:Y71"/>
    <mergeCell ref="Z70:AB71"/>
    <mergeCell ref="AC70:AF71"/>
    <mergeCell ref="AR66:AU67"/>
    <mergeCell ref="BL66:BL67"/>
    <mergeCell ref="AX66:AX67"/>
    <mergeCell ref="BA66:BA67"/>
    <mergeCell ref="AO66:AQ67"/>
    <mergeCell ref="BG66:BG67"/>
    <mergeCell ref="AR68:AU69"/>
    <mergeCell ref="BK70:BK71"/>
    <mergeCell ref="BD70:BD71"/>
    <mergeCell ref="BB70:BB71"/>
    <mergeCell ref="BC70:BC71"/>
    <mergeCell ref="BE70:BE71"/>
    <mergeCell ref="BF70:BF71"/>
    <mergeCell ref="BQ70:BQ71"/>
    <mergeCell ref="BW70:BW71"/>
    <mergeCell ref="AR70:AU71"/>
    <mergeCell ref="BL70:BL71"/>
    <mergeCell ref="AX70:AX71"/>
    <mergeCell ref="BA70:BA71"/>
    <mergeCell ref="AO70:AQ71"/>
    <mergeCell ref="BG68:BG69"/>
    <mergeCell ref="BM68:BM69"/>
    <mergeCell ref="BP68:BP69"/>
    <mergeCell ref="BS68:BS69"/>
    <mergeCell ref="BT68:BT69"/>
    <mergeCell ref="BV68:BV69"/>
    <mergeCell ref="R64:S65"/>
    <mergeCell ref="T64:U65"/>
    <mergeCell ref="V64:W65"/>
    <mergeCell ref="X64:Y65"/>
    <mergeCell ref="Z64:AB65"/>
    <mergeCell ref="AC64:AF65"/>
    <mergeCell ref="M66:N67"/>
    <mergeCell ref="BY64:BY65"/>
    <mergeCell ref="BJ64:BJ65"/>
    <mergeCell ref="B66:B67"/>
    <mergeCell ref="BC64:BC65"/>
    <mergeCell ref="BE64:BE65"/>
    <mergeCell ref="BF64:BF65"/>
    <mergeCell ref="BQ64:BQ65"/>
    <mergeCell ref="BW64:BW65"/>
    <mergeCell ref="BU64:BU65"/>
    <mergeCell ref="BL64:BL65"/>
    <mergeCell ref="AX64:AX65"/>
    <mergeCell ref="BA64:BA65"/>
    <mergeCell ref="AY64:AY65"/>
    <mergeCell ref="AZ64:AZ65"/>
    <mergeCell ref="BH64:BH65"/>
    <mergeCell ref="BI64:BI65"/>
    <mergeCell ref="BU66:BU67"/>
    <mergeCell ref="BY66:BY67"/>
    <mergeCell ref="BJ66:BJ67"/>
    <mergeCell ref="BK66:BK67"/>
    <mergeCell ref="BD66:BD67"/>
    <mergeCell ref="BB66:BB67"/>
    <mergeCell ref="BC66:BC67"/>
    <mergeCell ref="BE66:BE67"/>
    <mergeCell ref="BF66:BF67"/>
    <mergeCell ref="B60:B61"/>
    <mergeCell ref="M60:N61"/>
    <mergeCell ref="BY60:BY61"/>
    <mergeCell ref="BJ60:BJ61"/>
    <mergeCell ref="BK60:BK61"/>
    <mergeCell ref="BD60:BD61"/>
    <mergeCell ref="C60:F61"/>
    <mergeCell ref="G60:L61"/>
    <mergeCell ref="O60:Q61"/>
    <mergeCell ref="R60:S61"/>
    <mergeCell ref="T60:U61"/>
    <mergeCell ref="V60:W61"/>
    <mergeCell ref="X60:Y61"/>
    <mergeCell ref="Z60:AB61"/>
    <mergeCell ref="AC60:AF61"/>
    <mergeCell ref="BB64:BB65"/>
    <mergeCell ref="BG62:BG63"/>
    <mergeCell ref="BG64:BG65"/>
    <mergeCell ref="B62:B63"/>
    <mergeCell ref="BC60:BC61"/>
    <mergeCell ref="BE60:BE61"/>
    <mergeCell ref="BF60:BF61"/>
    <mergeCell ref="BQ60:BQ61"/>
    <mergeCell ref="BW60:BW61"/>
    <mergeCell ref="BU60:BU61"/>
    <mergeCell ref="BL60:BL61"/>
    <mergeCell ref="AX60:AX61"/>
    <mergeCell ref="BA60:BA61"/>
    <mergeCell ref="BB60:BB61"/>
    <mergeCell ref="AO60:AQ61"/>
    <mergeCell ref="AR60:AU61"/>
    <mergeCell ref="B64:B65"/>
    <mergeCell ref="BQ58:BQ59"/>
    <mergeCell ref="BW58:BW59"/>
    <mergeCell ref="AR58:AU59"/>
    <mergeCell ref="BL58:BL59"/>
    <mergeCell ref="AX58:AX59"/>
    <mergeCell ref="BA58:BA59"/>
    <mergeCell ref="AO58:AQ59"/>
    <mergeCell ref="BG58:BG59"/>
    <mergeCell ref="BN62:BN63"/>
    <mergeCell ref="BD62:BD63"/>
    <mergeCell ref="BB62:BB63"/>
    <mergeCell ref="BC62:BC63"/>
    <mergeCell ref="BE62:BE63"/>
    <mergeCell ref="BF62:BF63"/>
    <mergeCell ref="BQ62:BQ63"/>
    <mergeCell ref="BW62:BW63"/>
    <mergeCell ref="AR62:AU63"/>
    <mergeCell ref="BL62:BL63"/>
    <mergeCell ref="AX62:AX63"/>
    <mergeCell ref="BA62:BA63"/>
    <mergeCell ref="AO62:AQ63"/>
    <mergeCell ref="BO62:BO63"/>
    <mergeCell ref="BG60:BG61"/>
    <mergeCell ref="BK62:BK63"/>
    <mergeCell ref="BT60:BT61"/>
    <mergeCell ref="BU62:BU63"/>
    <mergeCell ref="BJ62:BJ63"/>
    <mergeCell ref="BV60:BV61"/>
    <mergeCell ref="B56:B57"/>
    <mergeCell ref="M56:N57"/>
    <mergeCell ref="BU54:BU55"/>
    <mergeCell ref="BY54:BY55"/>
    <mergeCell ref="BJ54:BJ55"/>
    <mergeCell ref="M54:N55"/>
    <mergeCell ref="C56:F57"/>
    <mergeCell ref="G56:L57"/>
    <mergeCell ref="O56:Q57"/>
    <mergeCell ref="R56:S57"/>
    <mergeCell ref="T56:U57"/>
    <mergeCell ref="V56:W57"/>
    <mergeCell ref="X56:Y57"/>
    <mergeCell ref="Z56:AB57"/>
    <mergeCell ref="AC56:AF57"/>
    <mergeCell ref="M58:N59"/>
    <mergeCell ref="BY56:BY57"/>
    <mergeCell ref="BJ56:BJ57"/>
    <mergeCell ref="B58:B59"/>
    <mergeCell ref="BC56:BC57"/>
    <mergeCell ref="BE56:BE57"/>
    <mergeCell ref="BF56:BF57"/>
    <mergeCell ref="BQ56:BQ57"/>
    <mergeCell ref="BW56:BW57"/>
    <mergeCell ref="BU56:BU57"/>
    <mergeCell ref="BL56:BL57"/>
    <mergeCell ref="AX56:AX57"/>
    <mergeCell ref="BA56:BA57"/>
    <mergeCell ref="BB56:BB57"/>
    <mergeCell ref="BG54:BG55"/>
    <mergeCell ref="BG56:BG57"/>
    <mergeCell ref="B54:B55"/>
    <mergeCell ref="AO52:AQ53"/>
    <mergeCell ref="AR52:AU53"/>
    <mergeCell ref="BK54:BK55"/>
    <mergeCell ref="BN54:BN55"/>
    <mergeCell ref="BD54:BD55"/>
    <mergeCell ref="BB54:BB55"/>
    <mergeCell ref="BC54:BC55"/>
    <mergeCell ref="BE54:BE55"/>
    <mergeCell ref="BF54:BF55"/>
    <mergeCell ref="BQ54:BQ55"/>
    <mergeCell ref="BW54:BW55"/>
    <mergeCell ref="AR54:AU55"/>
    <mergeCell ref="BL54:BL55"/>
    <mergeCell ref="AX54:AX55"/>
    <mergeCell ref="BA54:BA55"/>
    <mergeCell ref="AO54:AQ55"/>
    <mergeCell ref="BG52:BG53"/>
    <mergeCell ref="BO52:BO53"/>
    <mergeCell ref="BO54:BO55"/>
    <mergeCell ref="AY52:AY53"/>
    <mergeCell ref="AZ52:AZ53"/>
    <mergeCell ref="BH52:BH53"/>
    <mergeCell ref="BI52:BI53"/>
    <mergeCell ref="BR52:BR53"/>
    <mergeCell ref="BT52:BT53"/>
    <mergeCell ref="BV52:BV53"/>
    <mergeCell ref="B52:B53"/>
    <mergeCell ref="M52:N53"/>
    <mergeCell ref="BU50:BU51"/>
    <mergeCell ref="BY50:BY51"/>
    <mergeCell ref="BJ50:BJ51"/>
    <mergeCell ref="BK50:BK51"/>
    <mergeCell ref="BD50:BD51"/>
    <mergeCell ref="BB50:BB51"/>
    <mergeCell ref="BC50:BC51"/>
    <mergeCell ref="BE50:BE51"/>
    <mergeCell ref="BF50:BF51"/>
    <mergeCell ref="BQ50:BQ51"/>
    <mergeCell ref="BW50:BW51"/>
    <mergeCell ref="AR50:AU51"/>
    <mergeCell ref="BL50:BL51"/>
    <mergeCell ref="AX50:AX51"/>
    <mergeCell ref="BA50:BA51"/>
    <mergeCell ref="AO50:AQ51"/>
    <mergeCell ref="BY52:BY53"/>
    <mergeCell ref="BJ52:BJ53"/>
    <mergeCell ref="BK52:BK53"/>
    <mergeCell ref="BN52:BN53"/>
    <mergeCell ref="BD52:BD53"/>
    <mergeCell ref="BG50:BG51"/>
    <mergeCell ref="C52:F53"/>
    <mergeCell ref="G52:L53"/>
    <mergeCell ref="O52:Q53"/>
    <mergeCell ref="R52:S53"/>
    <mergeCell ref="T52:U53"/>
    <mergeCell ref="V52:W53"/>
    <mergeCell ref="X52:Y53"/>
    <mergeCell ref="AX52:AX53"/>
    <mergeCell ref="B48:B49"/>
    <mergeCell ref="M48:N49"/>
    <mergeCell ref="BU46:BU47"/>
    <mergeCell ref="BY46:BY47"/>
    <mergeCell ref="BJ46:BJ47"/>
    <mergeCell ref="M46:N47"/>
    <mergeCell ref="C48:F49"/>
    <mergeCell ref="G48:L49"/>
    <mergeCell ref="O48:Q49"/>
    <mergeCell ref="R48:S49"/>
    <mergeCell ref="T48:U49"/>
    <mergeCell ref="V48:W49"/>
    <mergeCell ref="X48:Y49"/>
    <mergeCell ref="Z48:AB49"/>
    <mergeCell ref="AC48:AF49"/>
    <mergeCell ref="M50:N51"/>
    <mergeCell ref="BY48:BY49"/>
    <mergeCell ref="BJ48:BJ49"/>
    <mergeCell ref="B50:B51"/>
    <mergeCell ref="BC48:BC49"/>
    <mergeCell ref="BE48:BE49"/>
    <mergeCell ref="BF48:BF49"/>
    <mergeCell ref="BQ48:BQ49"/>
    <mergeCell ref="BW48:BW49"/>
    <mergeCell ref="BU48:BU49"/>
    <mergeCell ref="BL48:BL49"/>
    <mergeCell ref="AX48:AX49"/>
    <mergeCell ref="BA48:BA49"/>
    <mergeCell ref="BB48:BB49"/>
    <mergeCell ref="BG46:BG47"/>
    <mergeCell ref="BG48:BG49"/>
    <mergeCell ref="B46:B47"/>
    <mergeCell ref="AO44:AQ45"/>
    <mergeCell ref="AR44:AU45"/>
    <mergeCell ref="BK46:BK47"/>
    <mergeCell ref="BN46:BN47"/>
    <mergeCell ref="BD46:BD47"/>
    <mergeCell ref="BB46:BB47"/>
    <mergeCell ref="BC46:BC47"/>
    <mergeCell ref="BE46:BE47"/>
    <mergeCell ref="BF46:BF47"/>
    <mergeCell ref="BQ46:BQ47"/>
    <mergeCell ref="BW46:BW47"/>
    <mergeCell ref="AR46:AU47"/>
    <mergeCell ref="BL46:BL47"/>
    <mergeCell ref="AX46:AX47"/>
    <mergeCell ref="BA46:BA47"/>
    <mergeCell ref="AO46:AQ47"/>
    <mergeCell ref="BG44:BG45"/>
    <mergeCell ref="BO44:BO45"/>
    <mergeCell ref="BO46:BO47"/>
    <mergeCell ref="AY44:AY45"/>
    <mergeCell ref="AZ44:AZ45"/>
    <mergeCell ref="BH44:BH45"/>
    <mergeCell ref="BI44:BI45"/>
    <mergeCell ref="BR44:BR45"/>
    <mergeCell ref="BT44:BT45"/>
    <mergeCell ref="BV44:BV45"/>
    <mergeCell ref="B44:B45"/>
    <mergeCell ref="M44:N45"/>
    <mergeCell ref="BU42:BU43"/>
    <mergeCell ref="BY42:BY43"/>
    <mergeCell ref="BJ42:BJ43"/>
    <mergeCell ref="BK42:BK43"/>
    <mergeCell ref="BD42:BD43"/>
    <mergeCell ref="BB42:BB43"/>
    <mergeCell ref="BC42:BC43"/>
    <mergeCell ref="BE42:BE43"/>
    <mergeCell ref="BF42:BF43"/>
    <mergeCell ref="BQ42:BQ43"/>
    <mergeCell ref="BW42:BW43"/>
    <mergeCell ref="AR42:AU43"/>
    <mergeCell ref="BL42:BL43"/>
    <mergeCell ref="AX42:AX43"/>
    <mergeCell ref="BA42:BA43"/>
    <mergeCell ref="AO42:AQ43"/>
    <mergeCell ref="BY44:BY45"/>
    <mergeCell ref="BJ44:BJ45"/>
    <mergeCell ref="BK44:BK45"/>
    <mergeCell ref="BN44:BN45"/>
    <mergeCell ref="BD44:BD45"/>
    <mergeCell ref="BG42:BG43"/>
    <mergeCell ref="C44:F45"/>
    <mergeCell ref="G44:L45"/>
    <mergeCell ref="O44:Q45"/>
    <mergeCell ref="R44:S45"/>
    <mergeCell ref="T44:U45"/>
    <mergeCell ref="V44:W45"/>
    <mergeCell ref="X44:Y45"/>
    <mergeCell ref="AX44:AX45"/>
    <mergeCell ref="B40:B41"/>
    <mergeCell ref="M40:N41"/>
    <mergeCell ref="BU38:BU39"/>
    <mergeCell ref="BY38:BY39"/>
    <mergeCell ref="BJ38:BJ39"/>
    <mergeCell ref="M38:N39"/>
    <mergeCell ref="C40:F41"/>
    <mergeCell ref="G40:L41"/>
    <mergeCell ref="O40:Q41"/>
    <mergeCell ref="R40:S41"/>
    <mergeCell ref="T40:U41"/>
    <mergeCell ref="V40:W41"/>
    <mergeCell ref="X40:Y41"/>
    <mergeCell ref="Z40:AB41"/>
    <mergeCell ref="AC40:AF41"/>
    <mergeCell ref="M42:N43"/>
    <mergeCell ref="BY40:BY41"/>
    <mergeCell ref="BJ40:BJ41"/>
    <mergeCell ref="B42:B43"/>
    <mergeCell ref="BC40:BC41"/>
    <mergeCell ref="BE40:BE41"/>
    <mergeCell ref="BF40:BF41"/>
    <mergeCell ref="BQ40:BQ41"/>
    <mergeCell ref="BW40:BW41"/>
    <mergeCell ref="BU40:BU41"/>
    <mergeCell ref="BL40:BL41"/>
    <mergeCell ref="AX40:AX41"/>
    <mergeCell ref="BA40:BA41"/>
    <mergeCell ref="BB40:BB41"/>
    <mergeCell ref="BG38:BG39"/>
    <mergeCell ref="BG40:BG41"/>
    <mergeCell ref="B38:B39"/>
    <mergeCell ref="AO36:AQ37"/>
    <mergeCell ref="AR36:AU37"/>
    <mergeCell ref="BK38:BK39"/>
    <mergeCell ref="BN38:BN39"/>
    <mergeCell ref="BD38:BD39"/>
    <mergeCell ref="BB38:BB39"/>
    <mergeCell ref="BC38:BC39"/>
    <mergeCell ref="BE38:BE39"/>
    <mergeCell ref="BF38:BF39"/>
    <mergeCell ref="BQ38:BQ39"/>
    <mergeCell ref="BW38:BW39"/>
    <mergeCell ref="AR38:AU39"/>
    <mergeCell ref="BL38:BL39"/>
    <mergeCell ref="AX38:AX39"/>
    <mergeCell ref="BA38:BA39"/>
    <mergeCell ref="AO38:AQ39"/>
    <mergeCell ref="BO38:BO39"/>
    <mergeCell ref="BG36:BG37"/>
    <mergeCell ref="AY36:AY37"/>
    <mergeCell ref="AZ36:AZ37"/>
    <mergeCell ref="BH36:BH37"/>
    <mergeCell ref="BI36:BI37"/>
    <mergeCell ref="BR36:BR37"/>
    <mergeCell ref="BT36:BT37"/>
    <mergeCell ref="BV36:BV37"/>
    <mergeCell ref="B36:B37"/>
    <mergeCell ref="M36:N37"/>
    <mergeCell ref="BU34:BU35"/>
    <mergeCell ref="BY34:BY35"/>
    <mergeCell ref="BJ34:BJ35"/>
    <mergeCell ref="BK34:BK35"/>
    <mergeCell ref="BD34:BD35"/>
    <mergeCell ref="BB34:BB35"/>
    <mergeCell ref="BC34:BC35"/>
    <mergeCell ref="BE34:BE35"/>
    <mergeCell ref="BF34:BF35"/>
    <mergeCell ref="BQ34:BQ35"/>
    <mergeCell ref="BW34:BW35"/>
    <mergeCell ref="AR34:AU35"/>
    <mergeCell ref="BL34:BL35"/>
    <mergeCell ref="AX34:AX35"/>
    <mergeCell ref="BA34:BA35"/>
    <mergeCell ref="AO34:AQ35"/>
    <mergeCell ref="BY36:BY37"/>
    <mergeCell ref="BJ36:BJ37"/>
    <mergeCell ref="BK36:BK37"/>
    <mergeCell ref="BD36:BD37"/>
    <mergeCell ref="BG34:BG35"/>
    <mergeCell ref="C36:F37"/>
    <mergeCell ref="G36:L37"/>
    <mergeCell ref="O36:Q37"/>
    <mergeCell ref="R36:S37"/>
    <mergeCell ref="T36:U37"/>
    <mergeCell ref="V36:W37"/>
    <mergeCell ref="X36:Y37"/>
    <mergeCell ref="BU36:BU37"/>
    <mergeCell ref="BL36:BL37"/>
    <mergeCell ref="B32:B33"/>
    <mergeCell ref="M32:N33"/>
    <mergeCell ref="BU30:BU31"/>
    <mergeCell ref="BY30:BY31"/>
    <mergeCell ref="BJ30:BJ31"/>
    <mergeCell ref="M30:N31"/>
    <mergeCell ref="C32:F33"/>
    <mergeCell ref="G32:L33"/>
    <mergeCell ref="O32:Q33"/>
    <mergeCell ref="R32:S33"/>
    <mergeCell ref="T32:U33"/>
    <mergeCell ref="V32:W33"/>
    <mergeCell ref="X32:Y33"/>
    <mergeCell ref="Z32:AB33"/>
    <mergeCell ref="AC32:AF33"/>
    <mergeCell ref="M34:N35"/>
    <mergeCell ref="BY32:BY33"/>
    <mergeCell ref="BJ32:BJ33"/>
    <mergeCell ref="B34:B35"/>
    <mergeCell ref="BC32:BC33"/>
    <mergeCell ref="BE32:BE33"/>
    <mergeCell ref="BF32:BF33"/>
    <mergeCell ref="BQ32:BQ33"/>
    <mergeCell ref="BW32:BW33"/>
    <mergeCell ref="BU32:BU33"/>
    <mergeCell ref="BL32:BL33"/>
    <mergeCell ref="AX32:AX33"/>
    <mergeCell ref="BA32:BA33"/>
    <mergeCell ref="BB32:BB33"/>
    <mergeCell ref="BG30:BG31"/>
    <mergeCell ref="BG32:BG33"/>
    <mergeCell ref="B30:B31"/>
    <mergeCell ref="AX28:AX29"/>
    <mergeCell ref="BA28:BA29"/>
    <mergeCell ref="BB28:BB29"/>
    <mergeCell ref="AO28:AQ29"/>
    <mergeCell ref="AR28:AU29"/>
    <mergeCell ref="BK30:BK31"/>
    <mergeCell ref="BD30:BD31"/>
    <mergeCell ref="BB30:BB31"/>
    <mergeCell ref="BC30:BC31"/>
    <mergeCell ref="BE30:BE31"/>
    <mergeCell ref="BF30:BF31"/>
    <mergeCell ref="BQ30:BQ31"/>
    <mergeCell ref="BW30:BW31"/>
    <mergeCell ref="AR30:AU31"/>
    <mergeCell ref="BL30:BL31"/>
    <mergeCell ref="AX30:AX31"/>
    <mergeCell ref="BA30:BA31"/>
    <mergeCell ref="AO30:AQ31"/>
    <mergeCell ref="BG28:BG29"/>
    <mergeCell ref="AY28:AY29"/>
    <mergeCell ref="AZ28:AZ29"/>
    <mergeCell ref="BH28:BH29"/>
    <mergeCell ref="BI28:BI29"/>
    <mergeCell ref="BR28:BR29"/>
    <mergeCell ref="BT28:BT29"/>
    <mergeCell ref="BV28:BV29"/>
    <mergeCell ref="BR30:BR31"/>
    <mergeCell ref="BT30:BT31"/>
    <mergeCell ref="BV30:BV31"/>
    <mergeCell ref="B28:B29"/>
    <mergeCell ref="M28:N29"/>
    <mergeCell ref="BU26:BU27"/>
    <mergeCell ref="BY26:BY27"/>
    <mergeCell ref="BJ26:BJ27"/>
    <mergeCell ref="BK26:BK27"/>
    <mergeCell ref="BD26:BD27"/>
    <mergeCell ref="BB26:BB27"/>
    <mergeCell ref="BC26:BC27"/>
    <mergeCell ref="BE26:BE27"/>
    <mergeCell ref="BF26:BF27"/>
    <mergeCell ref="BQ26:BQ27"/>
    <mergeCell ref="BW26:BW27"/>
    <mergeCell ref="AR26:AU27"/>
    <mergeCell ref="BL26:BL27"/>
    <mergeCell ref="AX26:AX27"/>
    <mergeCell ref="BA26:BA27"/>
    <mergeCell ref="AO26:AQ27"/>
    <mergeCell ref="BY28:BY29"/>
    <mergeCell ref="BJ28:BJ29"/>
    <mergeCell ref="BK28:BK29"/>
    <mergeCell ref="BD28:BD29"/>
    <mergeCell ref="BG26:BG27"/>
    <mergeCell ref="C28:F29"/>
    <mergeCell ref="G28:L29"/>
    <mergeCell ref="O28:Q29"/>
    <mergeCell ref="R28:S29"/>
    <mergeCell ref="T28:U29"/>
    <mergeCell ref="V28:W29"/>
    <mergeCell ref="X28:Y29"/>
    <mergeCell ref="BQ28:BQ29"/>
    <mergeCell ref="BW28:BW29"/>
    <mergeCell ref="B24:B25"/>
    <mergeCell ref="M24:N25"/>
    <mergeCell ref="BU22:BU23"/>
    <mergeCell ref="BY22:BY23"/>
    <mergeCell ref="BJ22:BJ23"/>
    <mergeCell ref="M22:N23"/>
    <mergeCell ref="C24:F25"/>
    <mergeCell ref="G24:L25"/>
    <mergeCell ref="O24:Q25"/>
    <mergeCell ref="R24:S25"/>
    <mergeCell ref="T24:U25"/>
    <mergeCell ref="V24:W25"/>
    <mergeCell ref="X24:Y25"/>
    <mergeCell ref="Z24:AB25"/>
    <mergeCell ref="AC24:AF25"/>
    <mergeCell ref="M26:N27"/>
    <mergeCell ref="BY24:BY25"/>
    <mergeCell ref="BJ24:BJ25"/>
    <mergeCell ref="B26:B27"/>
    <mergeCell ref="BC24:BC25"/>
    <mergeCell ref="BE24:BE25"/>
    <mergeCell ref="BF24:BF25"/>
    <mergeCell ref="BQ24:BQ25"/>
    <mergeCell ref="BW24:BW25"/>
    <mergeCell ref="BU24:BU25"/>
    <mergeCell ref="BL24:BL25"/>
    <mergeCell ref="AX24:AX25"/>
    <mergeCell ref="BA24:BA25"/>
    <mergeCell ref="BB24:BB25"/>
    <mergeCell ref="BG22:BG23"/>
    <mergeCell ref="BG24:BG25"/>
    <mergeCell ref="B22:B23"/>
    <mergeCell ref="C20:F21"/>
    <mergeCell ref="G20:L21"/>
    <mergeCell ref="O20:Q21"/>
    <mergeCell ref="R20:S21"/>
    <mergeCell ref="T20:U21"/>
    <mergeCell ref="V20:W21"/>
    <mergeCell ref="X20:Y21"/>
    <mergeCell ref="BQ20:BQ21"/>
    <mergeCell ref="BW20:BW21"/>
    <mergeCell ref="BU20:BU21"/>
    <mergeCell ref="BL20:BL21"/>
    <mergeCell ref="AX20:AX21"/>
    <mergeCell ref="BA20:BA21"/>
    <mergeCell ref="BB20:BB21"/>
    <mergeCell ref="AO20:AQ21"/>
    <mergeCell ref="AR20:AU21"/>
    <mergeCell ref="BK22:BK23"/>
    <mergeCell ref="BD22:BD23"/>
    <mergeCell ref="BB22:BB23"/>
    <mergeCell ref="BC22:BC23"/>
    <mergeCell ref="BE22:BE23"/>
    <mergeCell ref="BF22:BF23"/>
    <mergeCell ref="BQ22:BQ23"/>
    <mergeCell ref="BW22:BW23"/>
    <mergeCell ref="AR22:AU23"/>
    <mergeCell ref="BL22:BL23"/>
    <mergeCell ref="AX22:AX23"/>
    <mergeCell ref="BA22:BA23"/>
    <mergeCell ref="AO22:AQ23"/>
    <mergeCell ref="BG20:BG21"/>
    <mergeCell ref="BI20:BI21"/>
    <mergeCell ref="BR20:BR21"/>
    <mergeCell ref="B18:B19"/>
    <mergeCell ref="BQ16:BQ17"/>
    <mergeCell ref="BW16:BW17"/>
    <mergeCell ref="BU16:BU17"/>
    <mergeCell ref="BY16:BY17"/>
    <mergeCell ref="BJ16:BJ17"/>
    <mergeCell ref="BA16:BA17"/>
    <mergeCell ref="BB16:BB17"/>
    <mergeCell ref="BC16:BC17"/>
    <mergeCell ref="AO16:AQ17"/>
    <mergeCell ref="AR16:AU17"/>
    <mergeCell ref="C16:F17"/>
    <mergeCell ref="BG16:BG17"/>
    <mergeCell ref="B20:B21"/>
    <mergeCell ref="M20:N21"/>
    <mergeCell ref="BU18:BU19"/>
    <mergeCell ref="BY18:BY19"/>
    <mergeCell ref="BJ18:BJ19"/>
    <mergeCell ref="BK18:BK19"/>
    <mergeCell ref="BD18:BD19"/>
    <mergeCell ref="BB18:BB19"/>
    <mergeCell ref="BC18:BC19"/>
    <mergeCell ref="BE18:BE19"/>
    <mergeCell ref="BF18:BF19"/>
    <mergeCell ref="BQ18:BQ19"/>
    <mergeCell ref="BW18:BW19"/>
    <mergeCell ref="AR18:AU19"/>
    <mergeCell ref="BL18:BL19"/>
    <mergeCell ref="AX18:AX19"/>
    <mergeCell ref="BA18:BA19"/>
    <mergeCell ref="AO18:AQ19"/>
    <mergeCell ref="BY20:BY21"/>
    <mergeCell ref="AT1:AW3"/>
    <mergeCell ref="A4:E6"/>
    <mergeCell ref="AS5:AW6"/>
    <mergeCell ref="A7:E8"/>
    <mergeCell ref="AS7:AW7"/>
    <mergeCell ref="AS8:AW8"/>
    <mergeCell ref="F1:I3"/>
    <mergeCell ref="J1:M3"/>
    <mergeCell ref="N1:T3"/>
    <mergeCell ref="U1:AK3"/>
    <mergeCell ref="AL1:AO3"/>
    <mergeCell ref="AP1:AS3"/>
    <mergeCell ref="BL16:BL17"/>
    <mergeCell ref="AX16:AX17"/>
    <mergeCell ref="M16:N17"/>
    <mergeCell ref="AH9:AK11"/>
    <mergeCell ref="AL9:AO11"/>
    <mergeCell ref="T12:W13"/>
    <mergeCell ref="X12:AA13"/>
    <mergeCell ref="AB12:AE13"/>
    <mergeCell ref="AM13:AU14"/>
    <mergeCell ref="T14:W14"/>
    <mergeCell ref="X14:AA14"/>
    <mergeCell ref="AB14:AE14"/>
    <mergeCell ref="J9:M11"/>
    <mergeCell ref="N9:Q11"/>
    <mergeCell ref="R9:U11"/>
    <mergeCell ref="V9:Y11"/>
    <mergeCell ref="Z9:AC11"/>
    <mergeCell ref="AD9:AG11"/>
    <mergeCell ref="G16:L17"/>
    <mergeCell ref="O16:Q17"/>
    <mergeCell ref="AI17:AJ17"/>
    <mergeCell ref="AK17:AL17"/>
    <mergeCell ref="C18:F19"/>
    <mergeCell ref="G18:L19"/>
    <mergeCell ref="O18:Q19"/>
    <mergeCell ref="R18:S19"/>
    <mergeCell ref="T18:U19"/>
    <mergeCell ref="V18:W19"/>
    <mergeCell ref="X18:Y19"/>
    <mergeCell ref="Z18:AB19"/>
    <mergeCell ref="AC18:AF19"/>
    <mergeCell ref="AG18:AH19"/>
    <mergeCell ref="AI18:AJ19"/>
    <mergeCell ref="AK18:AL19"/>
    <mergeCell ref="AM18:AN19"/>
    <mergeCell ref="BM18:BM19"/>
    <mergeCell ref="BP18:BP19"/>
    <mergeCell ref="BN16:BN17"/>
    <mergeCell ref="BO16:BO17"/>
    <mergeCell ref="BN18:BN19"/>
    <mergeCell ref="BO18:BO19"/>
    <mergeCell ref="M18:N19"/>
    <mergeCell ref="BK16:BK17"/>
    <mergeCell ref="R16:S17"/>
    <mergeCell ref="T16:U17"/>
    <mergeCell ref="V16:W17"/>
    <mergeCell ref="X16:Y17"/>
    <mergeCell ref="Z16:AB17"/>
    <mergeCell ref="AC16:AF17"/>
    <mergeCell ref="AG16:AH17"/>
    <mergeCell ref="AI16:AL16"/>
    <mergeCell ref="AM16:AN17"/>
    <mergeCell ref="Z20:AB21"/>
    <mergeCell ref="AC20:AF21"/>
    <mergeCell ref="AG20:AH21"/>
    <mergeCell ref="AI20:AJ21"/>
    <mergeCell ref="AK20:AL21"/>
    <mergeCell ref="AM20:AN21"/>
    <mergeCell ref="BM20:BM21"/>
    <mergeCell ref="BP20:BP21"/>
    <mergeCell ref="BS20:BS21"/>
    <mergeCell ref="C22:F23"/>
    <mergeCell ref="G22:L23"/>
    <mergeCell ref="O22:Q23"/>
    <mergeCell ref="R22:S23"/>
    <mergeCell ref="T22:U23"/>
    <mergeCell ref="V22:W23"/>
    <mergeCell ref="X22:Y23"/>
    <mergeCell ref="Z22:AB23"/>
    <mergeCell ref="AC22:AF23"/>
    <mergeCell ref="AG22:AH23"/>
    <mergeCell ref="AI22:AJ23"/>
    <mergeCell ref="AK22:AL23"/>
    <mergeCell ref="AM22:AN23"/>
    <mergeCell ref="BM22:BM23"/>
    <mergeCell ref="BP22:BP23"/>
    <mergeCell ref="BS22:BS23"/>
    <mergeCell ref="BN20:BN21"/>
    <mergeCell ref="BO20:BO21"/>
    <mergeCell ref="BN22:BN23"/>
    <mergeCell ref="BO22:BO23"/>
    <mergeCell ref="BC20:BC21"/>
    <mergeCell ref="BE20:BE21"/>
    <mergeCell ref="BF20:BF21"/>
    <mergeCell ref="AG24:AH25"/>
    <mergeCell ref="AI24:AJ25"/>
    <mergeCell ref="AK24:AL25"/>
    <mergeCell ref="AM24:AN25"/>
    <mergeCell ref="BM24:BM25"/>
    <mergeCell ref="BP24:BP25"/>
    <mergeCell ref="BS24:BS25"/>
    <mergeCell ref="C26:F27"/>
    <mergeCell ref="G26:L27"/>
    <mergeCell ref="O26:Q27"/>
    <mergeCell ref="R26:S27"/>
    <mergeCell ref="T26:U27"/>
    <mergeCell ref="V26:W27"/>
    <mergeCell ref="X26:Y27"/>
    <mergeCell ref="Z26:AB27"/>
    <mergeCell ref="AC26:AF27"/>
    <mergeCell ref="AG26:AH27"/>
    <mergeCell ref="AI26:AJ27"/>
    <mergeCell ref="AK26:AL27"/>
    <mergeCell ref="AM26:AN27"/>
    <mergeCell ref="BM26:BM27"/>
    <mergeCell ref="BP26:BP27"/>
    <mergeCell ref="BS26:BS27"/>
    <mergeCell ref="AO24:AQ25"/>
    <mergeCell ref="AR24:AU25"/>
    <mergeCell ref="BK24:BK25"/>
    <mergeCell ref="BN24:BN25"/>
    <mergeCell ref="BD24:BD25"/>
    <mergeCell ref="BO24:BO25"/>
    <mergeCell ref="BN26:BN27"/>
    <mergeCell ref="BO26:BO27"/>
    <mergeCell ref="Z28:AB29"/>
    <mergeCell ref="AC28:AF29"/>
    <mergeCell ref="AG28:AH29"/>
    <mergeCell ref="AI28:AJ29"/>
    <mergeCell ref="AK28:AL29"/>
    <mergeCell ref="AM28:AN29"/>
    <mergeCell ref="BM28:BM29"/>
    <mergeCell ref="BP28:BP29"/>
    <mergeCell ref="BS28:BS29"/>
    <mergeCell ref="C30:F31"/>
    <mergeCell ref="G30:L31"/>
    <mergeCell ref="O30:Q31"/>
    <mergeCell ref="R30:S31"/>
    <mergeCell ref="T30:U31"/>
    <mergeCell ref="V30:W31"/>
    <mergeCell ref="X30:Y31"/>
    <mergeCell ref="Z30:AB31"/>
    <mergeCell ref="AC30:AF31"/>
    <mergeCell ref="AG30:AH31"/>
    <mergeCell ref="AI30:AJ31"/>
    <mergeCell ref="AK30:AL31"/>
    <mergeCell ref="AM30:AN31"/>
    <mergeCell ref="BM30:BM31"/>
    <mergeCell ref="BP30:BP31"/>
    <mergeCell ref="BS30:BS31"/>
    <mergeCell ref="BN28:BN29"/>
    <mergeCell ref="BO28:BO29"/>
    <mergeCell ref="BN30:BN31"/>
    <mergeCell ref="BO30:BO31"/>
    <mergeCell ref="BC28:BC29"/>
    <mergeCell ref="BE28:BE29"/>
    <mergeCell ref="BF28:BF29"/>
    <mergeCell ref="AG32:AH33"/>
    <mergeCell ref="AI32:AJ33"/>
    <mergeCell ref="AK32:AL33"/>
    <mergeCell ref="AM32:AN33"/>
    <mergeCell ref="BM32:BM33"/>
    <mergeCell ref="BP32:BP33"/>
    <mergeCell ref="BS32:BS33"/>
    <mergeCell ref="C34:F35"/>
    <mergeCell ref="G34:L35"/>
    <mergeCell ref="O34:Q35"/>
    <mergeCell ref="R34:S35"/>
    <mergeCell ref="T34:U35"/>
    <mergeCell ref="V34:W35"/>
    <mergeCell ref="X34:Y35"/>
    <mergeCell ref="Z34:AB35"/>
    <mergeCell ref="AC34:AF35"/>
    <mergeCell ref="AG34:AH35"/>
    <mergeCell ref="AI34:AJ35"/>
    <mergeCell ref="AK34:AL35"/>
    <mergeCell ref="AM34:AN35"/>
    <mergeCell ref="BM34:BM35"/>
    <mergeCell ref="BP34:BP35"/>
    <mergeCell ref="BS34:BS35"/>
    <mergeCell ref="AO32:AQ33"/>
    <mergeCell ref="AR32:AU33"/>
    <mergeCell ref="BK32:BK33"/>
    <mergeCell ref="BN32:BN33"/>
    <mergeCell ref="BD32:BD33"/>
    <mergeCell ref="BO32:BO33"/>
    <mergeCell ref="BN34:BN35"/>
    <mergeCell ref="BO34:BO35"/>
    <mergeCell ref="AY34:AY35"/>
    <mergeCell ref="Z36:AB37"/>
    <mergeCell ref="AC36:AF37"/>
    <mergeCell ref="AG36:AH37"/>
    <mergeCell ref="AI36:AJ37"/>
    <mergeCell ref="AK36:AL37"/>
    <mergeCell ref="AM36:AN37"/>
    <mergeCell ref="BM36:BM37"/>
    <mergeCell ref="BP36:BP37"/>
    <mergeCell ref="BS36:BS37"/>
    <mergeCell ref="C38:F39"/>
    <mergeCell ref="G38:L39"/>
    <mergeCell ref="O38:Q39"/>
    <mergeCell ref="R38:S39"/>
    <mergeCell ref="T38:U39"/>
    <mergeCell ref="V38:W39"/>
    <mergeCell ref="X38:Y39"/>
    <mergeCell ref="Z38:AB39"/>
    <mergeCell ref="AC38:AF39"/>
    <mergeCell ref="AG38:AH39"/>
    <mergeCell ref="AI38:AJ39"/>
    <mergeCell ref="AK38:AL39"/>
    <mergeCell ref="AM38:AN39"/>
    <mergeCell ref="BM38:BM39"/>
    <mergeCell ref="BP38:BP39"/>
    <mergeCell ref="BS38:BS39"/>
    <mergeCell ref="BN36:BN37"/>
    <mergeCell ref="BO36:BO37"/>
    <mergeCell ref="BC36:BC37"/>
    <mergeCell ref="BE36:BE37"/>
    <mergeCell ref="BF36:BF37"/>
    <mergeCell ref="BQ36:BQ37"/>
    <mergeCell ref="AX36:AX37"/>
    <mergeCell ref="AG40:AH41"/>
    <mergeCell ref="AI40:AJ41"/>
    <mergeCell ref="AK40:AL41"/>
    <mergeCell ref="AM40:AN41"/>
    <mergeCell ref="BM40:BM41"/>
    <mergeCell ref="BP40:BP41"/>
    <mergeCell ref="BS40:BS41"/>
    <mergeCell ref="C42:F43"/>
    <mergeCell ref="G42:L43"/>
    <mergeCell ref="O42:Q43"/>
    <mergeCell ref="R42:S43"/>
    <mergeCell ref="T42:U43"/>
    <mergeCell ref="V42:W43"/>
    <mergeCell ref="X42:Y43"/>
    <mergeCell ref="Z42:AB43"/>
    <mergeCell ref="AC42:AF43"/>
    <mergeCell ref="AG42:AH43"/>
    <mergeCell ref="AI42:AJ43"/>
    <mergeCell ref="AK42:AL43"/>
    <mergeCell ref="AM42:AN43"/>
    <mergeCell ref="BM42:BM43"/>
    <mergeCell ref="BP42:BP43"/>
    <mergeCell ref="BS42:BS43"/>
    <mergeCell ref="BN40:BN41"/>
    <mergeCell ref="BO40:BO41"/>
    <mergeCell ref="BN42:BN43"/>
    <mergeCell ref="BO42:BO43"/>
    <mergeCell ref="AO40:AQ41"/>
    <mergeCell ref="AR40:AU41"/>
    <mergeCell ref="BK40:BK41"/>
    <mergeCell ref="BD40:BD41"/>
    <mergeCell ref="AY40:AY41"/>
    <mergeCell ref="Z44:AB45"/>
    <mergeCell ref="AC44:AF45"/>
    <mergeCell ref="AG44:AH45"/>
    <mergeCell ref="AI44:AJ45"/>
    <mergeCell ref="AK44:AL45"/>
    <mergeCell ref="AM44:AN45"/>
    <mergeCell ref="BM44:BM45"/>
    <mergeCell ref="BP44:BP45"/>
    <mergeCell ref="BS44:BS45"/>
    <mergeCell ref="C46:F47"/>
    <mergeCell ref="G46:L47"/>
    <mergeCell ref="O46:Q47"/>
    <mergeCell ref="R46:S47"/>
    <mergeCell ref="T46:U47"/>
    <mergeCell ref="V46:W47"/>
    <mergeCell ref="X46:Y47"/>
    <mergeCell ref="Z46:AB47"/>
    <mergeCell ref="AC46:AF47"/>
    <mergeCell ref="AG46:AH47"/>
    <mergeCell ref="AI46:AJ47"/>
    <mergeCell ref="AK46:AL47"/>
    <mergeCell ref="AM46:AN47"/>
    <mergeCell ref="BM46:BM47"/>
    <mergeCell ref="BP46:BP47"/>
    <mergeCell ref="BS46:BS47"/>
    <mergeCell ref="BC44:BC45"/>
    <mergeCell ref="BE44:BE45"/>
    <mergeCell ref="BF44:BF45"/>
    <mergeCell ref="BQ44:BQ45"/>
    <mergeCell ref="BL44:BL45"/>
    <mergeCell ref="BA44:BA45"/>
    <mergeCell ref="BB44:BB45"/>
    <mergeCell ref="AG48:AH49"/>
    <mergeCell ref="AI48:AJ49"/>
    <mergeCell ref="AK48:AL49"/>
    <mergeCell ref="AM48:AN49"/>
    <mergeCell ref="BM48:BM49"/>
    <mergeCell ref="BP48:BP49"/>
    <mergeCell ref="BS48:BS49"/>
    <mergeCell ref="C50:F51"/>
    <mergeCell ref="G50:L51"/>
    <mergeCell ref="O50:Q51"/>
    <mergeCell ref="R50:S51"/>
    <mergeCell ref="T50:U51"/>
    <mergeCell ref="V50:W51"/>
    <mergeCell ref="X50:Y51"/>
    <mergeCell ref="Z50:AB51"/>
    <mergeCell ref="AC50:AF51"/>
    <mergeCell ref="AG50:AH51"/>
    <mergeCell ref="AI50:AJ51"/>
    <mergeCell ref="AK50:AL51"/>
    <mergeCell ref="AM50:AN51"/>
    <mergeCell ref="BM50:BM51"/>
    <mergeCell ref="BP50:BP51"/>
    <mergeCell ref="BS50:BS51"/>
    <mergeCell ref="AO48:AQ49"/>
    <mergeCell ref="AR48:AU49"/>
    <mergeCell ref="BK48:BK49"/>
    <mergeCell ref="BN48:BN49"/>
    <mergeCell ref="BD48:BD49"/>
    <mergeCell ref="BO48:BO49"/>
    <mergeCell ref="BN50:BN51"/>
    <mergeCell ref="BO50:BO51"/>
    <mergeCell ref="AY48:AY49"/>
    <mergeCell ref="Z52:AB53"/>
    <mergeCell ref="AC52:AF53"/>
    <mergeCell ref="AG52:AH53"/>
    <mergeCell ref="AI52:AJ53"/>
    <mergeCell ref="AK52:AL53"/>
    <mergeCell ref="AM52:AN53"/>
    <mergeCell ref="BM52:BM53"/>
    <mergeCell ref="BP52:BP53"/>
    <mergeCell ref="BS52:BS53"/>
    <mergeCell ref="C54:F55"/>
    <mergeCell ref="G54:L55"/>
    <mergeCell ref="O54:Q55"/>
    <mergeCell ref="R54:S55"/>
    <mergeCell ref="T54:U55"/>
    <mergeCell ref="V54:W55"/>
    <mergeCell ref="X54:Y55"/>
    <mergeCell ref="Z54:AB55"/>
    <mergeCell ref="AC54:AF55"/>
    <mergeCell ref="AG54:AH55"/>
    <mergeCell ref="AI54:AJ55"/>
    <mergeCell ref="AK54:AL55"/>
    <mergeCell ref="AM54:AN55"/>
    <mergeCell ref="BM54:BM55"/>
    <mergeCell ref="BP54:BP55"/>
    <mergeCell ref="BS54:BS55"/>
    <mergeCell ref="BC52:BC53"/>
    <mergeCell ref="BE52:BE53"/>
    <mergeCell ref="BF52:BF53"/>
    <mergeCell ref="BQ52:BQ53"/>
    <mergeCell ref="BL52:BL53"/>
    <mergeCell ref="BA52:BA53"/>
    <mergeCell ref="BB52:BB53"/>
    <mergeCell ref="AG56:AH57"/>
    <mergeCell ref="AI56:AJ57"/>
    <mergeCell ref="AK56:AL57"/>
    <mergeCell ref="AM56:AN57"/>
    <mergeCell ref="BM56:BM57"/>
    <mergeCell ref="BP56:BP57"/>
    <mergeCell ref="BS56:BS57"/>
    <mergeCell ref="C58:F59"/>
    <mergeCell ref="G58:L59"/>
    <mergeCell ref="O58:Q59"/>
    <mergeCell ref="R58:S59"/>
    <mergeCell ref="T58:U59"/>
    <mergeCell ref="V58:W59"/>
    <mergeCell ref="X58:Y59"/>
    <mergeCell ref="Z58:AB59"/>
    <mergeCell ref="AC58:AF59"/>
    <mergeCell ref="AG58:AH59"/>
    <mergeCell ref="AI58:AJ59"/>
    <mergeCell ref="AK58:AL59"/>
    <mergeCell ref="AM58:AN59"/>
    <mergeCell ref="BM58:BM59"/>
    <mergeCell ref="BP58:BP59"/>
    <mergeCell ref="BS58:BS59"/>
    <mergeCell ref="AO56:AQ57"/>
    <mergeCell ref="AR56:AU57"/>
    <mergeCell ref="BK56:BK57"/>
    <mergeCell ref="BD56:BD57"/>
    <mergeCell ref="BJ58:BJ59"/>
    <mergeCell ref="BK58:BK59"/>
    <mergeCell ref="BD58:BD59"/>
    <mergeCell ref="BB58:BB59"/>
    <mergeCell ref="BC58:BC59"/>
    <mergeCell ref="C62:F63"/>
    <mergeCell ref="G62:L63"/>
    <mergeCell ref="O62:Q63"/>
    <mergeCell ref="R62:S63"/>
    <mergeCell ref="T62:U63"/>
    <mergeCell ref="V62:W63"/>
    <mergeCell ref="X62:Y63"/>
    <mergeCell ref="Z62:AB63"/>
    <mergeCell ref="AC62:AF63"/>
    <mergeCell ref="AG62:AH63"/>
    <mergeCell ref="AI62:AJ63"/>
    <mergeCell ref="AK62:AL63"/>
    <mergeCell ref="AM62:AN63"/>
    <mergeCell ref="BM62:BM63"/>
    <mergeCell ref="BP62:BP63"/>
    <mergeCell ref="BS62:BS63"/>
    <mergeCell ref="AG60:AH61"/>
    <mergeCell ref="AI60:AJ61"/>
    <mergeCell ref="AK60:AL61"/>
    <mergeCell ref="AM60:AN61"/>
    <mergeCell ref="AY60:AY61"/>
    <mergeCell ref="AZ60:AZ61"/>
    <mergeCell ref="BH60:BH61"/>
    <mergeCell ref="BI60:BI61"/>
    <mergeCell ref="BR60:BR61"/>
    <mergeCell ref="M62:N63"/>
    <mergeCell ref="C66:F67"/>
    <mergeCell ref="G66:L67"/>
    <mergeCell ref="O66:Q67"/>
    <mergeCell ref="R66:S67"/>
    <mergeCell ref="T66:U67"/>
    <mergeCell ref="V66:W67"/>
    <mergeCell ref="X66:Y67"/>
    <mergeCell ref="Z66:AB67"/>
    <mergeCell ref="AC66:AF67"/>
    <mergeCell ref="AG66:AH67"/>
    <mergeCell ref="AI66:AJ67"/>
    <mergeCell ref="AK66:AL67"/>
    <mergeCell ref="AM66:AN67"/>
    <mergeCell ref="BM66:BM67"/>
    <mergeCell ref="BP66:BP67"/>
    <mergeCell ref="BS66:BS67"/>
    <mergeCell ref="BN64:BN65"/>
    <mergeCell ref="BO64:BO65"/>
    <mergeCell ref="BN66:BN67"/>
    <mergeCell ref="BO66:BO67"/>
    <mergeCell ref="AO64:AQ65"/>
    <mergeCell ref="AR64:AU65"/>
    <mergeCell ref="BK64:BK65"/>
    <mergeCell ref="BD64:BD65"/>
    <mergeCell ref="AG64:AH65"/>
    <mergeCell ref="AI64:AJ65"/>
    <mergeCell ref="AK64:AL65"/>
    <mergeCell ref="AM64:AN65"/>
    <mergeCell ref="M64:N65"/>
    <mergeCell ref="C64:F65"/>
    <mergeCell ref="G64:L65"/>
    <mergeCell ref="O64:Q65"/>
    <mergeCell ref="BL200:BL201"/>
    <mergeCell ref="BB200:BB201"/>
    <mergeCell ref="O200:AI201"/>
    <mergeCell ref="BA200:BA201"/>
    <mergeCell ref="BE200:BE201"/>
    <mergeCell ref="BF200:BF201"/>
    <mergeCell ref="BA76:BA77"/>
    <mergeCell ref="BB76:BB77"/>
    <mergeCell ref="AO76:AQ77"/>
    <mergeCell ref="AR76:AU77"/>
    <mergeCell ref="BG76:BG77"/>
    <mergeCell ref="BN76:BN77"/>
    <mergeCell ref="BO76:BO77"/>
    <mergeCell ref="AY76:AY77"/>
    <mergeCell ref="AZ76:AZ77"/>
    <mergeCell ref="BH76:BH77"/>
    <mergeCell ref="AG70:AH71"/>
    <mergeCell ref="AI70:AJ71"/>
    <mergeCell ref="AK70:AL71"/>
    <mergeCell ref="AM70:AN71"/>
    <mergeCell ref="BM70:BM71"/>
    <mergeCell ref="BN70:BN71"/>
    <mergeCell ref="BO70:BO71"/>
    <mergeCell ref="AM72:AN73"/>
    <mergeCell ref="BM72:BM73"/>
    <mergeCell ref="AO72:AQ73"/>
    <mergeCell ref="AR72:AU73"/>
    <mergeCell ref="BK72:BK73"/>
    <mergeCell ref="BN72:BN73"/>
    <mergeCell ref="BD72:BD73"/>
    <mergeCell ref="BO72:BO73"/>
    <mergeCell ref="AY72:AY73"/>
    <mergeCell ref="BZ30:BZ31"/>
    <mergeCell ref="CA30:CA31"/>
    <mergeCell ref="C76:F77"/>
    <mergeCell ref="G76:L77"/>
    <mergeCell ref="O76:Q77"/>
    <mergeCell ref="R76:S77"/>
    <mergeCell ref="T76:U77"/>
    <mergeCell ref="V76:W77"/>
    <mergeCell ref="X76:Y77"/>
    <mergeCell ref="Z76:AB77"/>
    <mergeCell ref="AC76:AF77"/>
    <mergeCell ref="AG76:AH77"/>
    <mergeCell ref="AI76:AJ77"/>
    <mergeCell ref="AK76:AL77"/>
    <mergeCell ref="AM76:AN77"/>
    <mergeCell ref="BM76:BM77"/>
    <mergeCell ref="BP76:BP77"/>
    <mergeCell ref="BS76:BS77"/>
    <mergeCell ref="BP70:BP71"/>
    <mergeCell ref="BS70:BS71"/>
    <mergeCell ref="BN68:BN69"/>
    <mergeCell ref="BO68:BO69"/>
    <mergeCell ref="AY68:AY69"/>
    <mergeCell ref="AZ68:AZ69"/>
    <mergeCell ref="BH68:BH69"/>
    <mergeCell ref="BI68:BI69"/>
    <mergeCell ref="BR68:BR69"/>
    <mergeCell ref="BP72:BP73"/>
    <mergeCell ref="BS72:BS73"/>
    <mergeCell ref="AZ72:AZ73"/>
    <mergeCell ref="BH72:BH73"/>
    <mergeCell ref="BJ72:BJ73"/>
    <mergeCell ref="CB16:CB17"/>
    <mergeCell ref="CC16:CC17"/>
    <mergeCell ref="AY16:AY17"/>
    <mergeCell ref="AZ16:AZ17"/>
    <mergeCell ref="BR16:BR17"/>
    <mergeCell ref="BT16:BT17"/>
    <mergeCell ref="BV16:BV17"/>
    <mergeCell ref="BX16:BX17"/>
    <mergeCell ref="AY18:AY19"/>
    <mergeCell ref="AZ18:AZ19"/>
    <mergeCell ref="BH18:BH19"/>
    <mergeCell ref="BI18:BI19"/>
    <mergeCell ref="BR18:BR19"/>
    <mergeCell ref="BT18:BT19"/>
    <mergeCell ref="BV18:BV19"/>
    <mergeCell ref="BX18:BX19"/>
    <mergeCell ref="BZ18:BZ19"/>
    <mergeCell ref="CA18:CA19"/>
    <mergeCell ref="CB18:CB19"/>
    <mergeCell ref="CC18:CC19"/>
    <mergeCell ref="BM16:BM17"/>
    <mergeCell ref="BP16:BP17"/>
    <mergeCell ref="BS16:BS17"/>
    <mergeCell ref="BS18:BS19"/>
    <mergeCell ref="BE16:BF16"/>
    <mergeCell ref="BD16:BD17"/>
    <mergeCell ref="BG18:BG19"/>
    <mergeCell ref="BH16:BH17"/>
    <mergeCell ref="BI16:BI17"/>
    <mergeCell ref="BZ16:BZ17"/>
    <mergeCell ref="CA16:CA17"/>
    <mergeCell ref="CB20:CB21"/>
    <mergeCell ref="CC20:CC21"/>
    <mergeCell ref="AY22:AY23"/>
    <mergeCell ref="AZ22:AZ23"/>
    <mergeCell ref="BH22:BH23"/>
    <mergeCell ref="BI22:BI23"/>
    <mergeCell ref="BR22:BR23"/>
    <mergeCell ref="BT22:BT23"/>
    <mergeCell ref="BV22:BV23"/>
    <mergeCell ref="BX22:BX23"/>
    <mergeCell ref="BZ22:BZ23"/>
    <mergeCell ref="CA22:CA23"/>
    <mergeCell ref="CB22:CB23"/>
    <mergeCell ref="CC22:CC23"/>
    <mergeCell ref="AY20:AY21"/>
    <mergeCell ref="AZ20:AZ21"/>
    <mergeCell ref="BH20:BH21"/>
    <mergeCell ref="BJ20:BJ21"/>
    <mergeCell ref="BK20:BK21"/>
    <mergeCell ref="BD20:BD21"/>
    <mergeCell ref="BT20:BT21"/>
    <mergeCell ref="BV20:BV21"/>
    <mergeCell ref="BX20:BX21"/>
    <mergeCell ref="BZ20:BZ21"/>
    <mergeCell ref="CA20:CA21"/>
    <mergeCell ref="CB24:CB25"/>
    <mergeCell ref="CC24:CC25"/>
    <mergeCell ref="AY26:AY27"/>
    <mergeCell ref="AZ26:AZ27"/>
    <mergeCell ref="BH26:BH27"/>
    <mergeCell ref="BI26:BI27"/>
    <mergeCell ref="BR26:BR27"/>
    <mergeCell ref="BT26:BT27"/>
    <mergeCell ref="BV26:BV27"/>
    <mergeCell ref="BX26:BX27"/>
    <mergeCell ref="BZ26:BZ27"/>
    <mergeCell ref="CA26:CA27"/>
    <mergeCell ref="CB26:CB27"/>
    <mergeCell ref="CC26:CC27"/>
    <mergeCell ref="BX28:BX29"/>
    <mergeCell ref="BZ28:BZ29"/>
    <mergeCell ref="CA28:CA29"/>
    <mergeCell ref="CB28:CB29"/>
    <mergeCell ref="CC28:CC29"/>
    <mergeCell ref="AY24:AY25"/>
    <mergeCell ref="AZ24:AZ25"/>
    <mergeCell ref="BH24:BH25"/>
    <mergeCell ref="BI24:BI25"/>
    <mergeCell ref="BR24:BR25"/>
    <mergeCell ref="BT24:BT25"/>
    <mergeCell ref="BV24:BV25"/>
    <mergeCell ref="BX24:BX25"/>
    <mergeCell ref="BZ24:BZ25"/>
    <mergeCell ref="CA24:CA25"/>
    <mergeCell ref="CB30:CB31"/>
    <mergeCell ref="CC30:CC31"/>
    <mergeCell ref="BU28:BU29"/>
    <mergeCell ref="BL28:BL29"/>
    <mergeCell ref="AY32:AY33"/>
    <mergeCell ref="AZ32:AZ33"/>
    <mergeCell ref="BH32:BH33"/>
    <mergeCell ref="BI32:BI33"/>
    <mergeCell ref="BR32:BR33"/>
    <mergeCell ref="BT32:BT33"/>
    <mergeCell ref="BV32:BV33"/>
    <mergeCell ref="BX32:BX33"/>
    <mergeCell ref="BZ32:BZ33"/>
    <mergeCell ref="CA32:CA33"/>
    <mergeCell ref="CB32:CB33"/>
    <mergeCell ref="CC32:CC33"/>
    <mergeCell ref="AZ34:AZ35"/>
    <mergeCell ref="BH34:BH35"/>
    <mergeCell ref="BI34:BI35"/>
    <mergeCell ref="BR34:BR35"/>
    <mergeCell ref="BT34:BT35"/>
    <mergeCell ref="BV34:BV35"/>
    <mergeCell ref="BX34:BX35"/>
    <mergeCell ref="BZ34:BZ35"/>
    <mergeCell ref="CA34:CA35"/>
    <mergeCell ref="CB34:CB35"/>
    <mergeCell ref="CC34:CC35"/>
    <mergeCell ref="AY30:AY31"/>
    <mergeCell ref="AZ30:AZ31"/>
    <mergeCell ref="BH30:BH31"/>
    <mergeCell ref="BI30:BI31"/>
    <mergeCell ref="BX30:BX31"/>
    <mergeCell ref="BX36:BX37"/>
    <mergeCell ref="BZ36:BZ37"/>
    <mergeCell ref="CA36:CA37"/>
    <mergeCell ref="CB36:CB37"/>
    <mergeCell ref="CC36:CC37"/>
    <mergeCell ref="AY38:AY39"/>
    <mergeCell ref="AZ38:AZ39"/>
    <mergeCell ref="BH38:BH39"/>
    <mergeCell ref="BI38:BI39"/>
    <mergeCell ref="BR38:BR39"/>
    <mergeCell ref="BT38:BT39"/>
    <mergeCell ref="BV38:BV39"/>
    <mergeCell ref="BX38:BX39"/>
    <mergeCell ref="BZ38:BZ39"/>
    <mergeCell ref="CA38:CA39"/>
    <mergeCell ref="CB38:CB39"/>
    <mergeCell ref="CC38:CC39"/>
    <mergeCell ref="BW36:BW37"/>
    <mergeCell ref="BA36:BA37"/>
    <mergeCell ref="BB36:BB37"/>
    <mergeCell ref="AZ40:AZ41"/>
    <mergeCell ref="BH40:BH41"/>
    <mergeCell ref="BI40:BI41"/>
    <mergeCell ref="BR40:BR41"/>
    <mergeCell ref="BT40:BT41"/>
    <mergeCell ref="BV40:BV41"/>
    <mergeCell ref="BX40:BX41"/>
    <mergeCell ref="BZ40:BZ41"/>
    <mergeCell ref="CA40:CA41"/>
    <mergeCell ref="CB40:CB41"/>
    <mergeCell ref="CC40:CC41"/>
    <mergeCell ref="AY42:AY43"/>
    <mergeCell ref="AZ42:AZ43"/>
    <mergeCell ref="BH42:BH43"/>
    <mergeCell ref="BI42:BI43"/>
    <mergeCell ref="BR42:BR43"/>
    <mergeCell ref="BT42:BT43"/>
    <mergeCell ref="BV42:BV43"/>
    <mergeCell ref="BX42:BX43"/>
    <mergeCell ref="BZ42:BZ43"/>
    <mergeCell ref="CA42:CA43"/>
    <mergeCell ref="CB42:CB43"/>
    <mergeCell ref="CC42:CC43"/>
    <mergeCell ref="BX44:BX45"/>
    <mergeCell ref="BZ44:BZ45"/>
    <mergeCell ref="CA44:CA45"/>
    <mergeCell ref="CB44:CB45"/>
    <mergeCell ref="CC44:CC45"/>
    <mergeCell ref="AY46:AY47"/>
    <mergeCell ref="AZ46:AZ47"/>
    <mergeCell ref="BH46:BH47"/>
    <mergeCell ref="BI46:BI47"/>
    <mergeCell ref="BR46:BR47"/>
    <mergeCell ref="BT46:BT47"/>
    <mergeCell ref="BV46:BV47"/>
    <mergeCell ref="BX46:BX47"/>
    <mergeCell ref="BZ46:BZ47"/>
    <mergeCell ref="CA46:CA47"/>
    <mergeCell ref="CB46:CB47"/>
    <mergeCell ref="CC46:CC47"/>
    <mergeCell ref="BW44:BW45"/>
    <mergeCell ref="BU44:BU45"/>
    <mergeCell ref="AZ48:AZ49"/>
    <mergeCell ref="BH48:BH49"/>
    <mergeCell ref="BI48:BI49"/>
    <mergeCell ref="BR48:BR49"/>
    <mergeCell ref="BT48:BT49"/>
    <mergeCell ref="BV48:BV49"/>
    <mergeCell ref="BX48:BX49"/>
    <mergeCell ref="BZ48:BZ49"/>
    <mergeCell ref="CA48:CA49"/>
    <mergeCell ref="CB48:CB49"/>
    <mergeCell ref="CC48:CC49"/>
    <mergeCell ref="AY50:AY51"/>
    <mergeCell ref="AZ50:AZ51"/>
    <mergeCell ref="BH50:BH51"/>
    <mergeCell ref="BI50:BI51"/>
    <mergeCell ref="BR50:BR51"/>
    <mergeCell ref="BT50:BT51"/>
    <mergeCell ref="BV50:BV51"/>
    <mergeCell ref="BX50:BX51"/>
    <mergeCell ref="BZ50:BZ51"/>
    <mergeCell ref="CA50:CA51"/>
    <mergeCell ref="CB50:CB51"/>
    <mergeCell ref="CC50:CC51"/>
    <mergeCell ref="BX52:BX53"/>
    <mergeCell ref="BZ52:BZ53"/>
    <mergeCell ref="CA52:CA53"/>
    <mergeCell ref="CB52:CB53"/>
    <mergeCell ref="CC52:CC53"/>
    <mergeCell ref="AY54:AY55"/>
    <mergeCell ref="AZ54:AZ55"/>
    <mergeCell ref="BH54:BH55"/>
    <mergeCell ref="BI54:BI55"/>
    <mergeCell ref="BR54:BR55"/>
    <mergeCell ref="BT54:BT55"/>
    <mergeCell ref="BV54:BV55"/>
    <mergeCell ref="BX54:BX55"/>
    <mergeCell ref="BZ54:BZ55"/>
    <mergeCell ref="CA54:CA55"/>
    <mergeCell ref="CB54:CB55"/>
    <mergeCell ref="CC54:CC55"/>
    <mergeCell ref="BW52:BW53"/>
    <mergeCell ref="BU52:BU53"/>
    <mergeCell ref="AY56:AY57"/>
    <mergeCell ref="AZ56:AZ57"/>
    <mergeCell ref="BH56:BH57"/>
    <mergeCell ref="BI56:BI57"/>
    <mergeCell ref="BR56:BR57"/>
    <mergeCell ref="BT56:BT57"/>
    <mergeCell ref="BV56:BV57"/>
    <mergeCell ref="BX56:BX57"/>
    <mergeCell ref="BZ56:BZ57"/>
    <mergeCell ref="CA56:CA57"/>
    <mergeCell ref="CB56:CB57"/>
    <mergeCell ref="CC56:CC57"/>
    <mergeCell ref="AY58:AY59"/>
    <mergeCell ref="AZ58:AZ59"/>
    <mergeCell ref="BH58:BH59"/>
    <mergeCell ref="BI58:BI59"/>
    <mergeCell ref="BR58:BR59"/>
    <mergeCell ref="BT58:BT59"/>
    <mergeCell ref="BV58:BV59"/>
    <mergeCell ref="BX58:BX59"/>
    <mergeCell ref="BZ58:BZ59"/>
    <mergeCell ref="CA58:CA59"/>
    <mergeCell ref="CB58:CB59"/>
    <mergeCell ref="CC58:CC59"/>
    <mergeCell ref="BN56:BN57"/>
    <mergeCell ref="BO56:BO57"/>
    <mergeCell ref="BN58:BN59"/>
    <mergeCell ref="BO58:BO59"/>
    <mergeCell ref="BU58:BU59"/>
    <mergeCell ref="BY58:BY59"/>
    <mergeCell ref="BE58:BE59"/>
    <mergeCell ref="BF58:BF59"/>
    <mergeCell ref="BX60:BX61"/>
    <mergeCell ref="BZ60:BZ61"/>
    <mergeCell ref="CA60:CA61"/>
    <mergeCell ref="CB60:CB61"/>
    <mergeCell ref="CC60:CC61"/>
    <mergeCell ref="AY62:AY63"/>
    <mergeCell ref="AZ62:AZ63"/>
    <mergeCell ref="BH62:BH63"/>
    <mergeCell ref="BI62:BI63"/>
    <mergeCell ref="BR62:BR63"/>
    <mergeCell ref="BT62:BT63"/>
    <mergeCell ref="BV62:BV63"/>
    <mergeCell ref="BX62:BX63"/>
    <mergeCell ref="BZ62:BZ63"/>
    <mergeCell ref="CA62:CA63"/>
    <mergeCell ref="CB62:CB63"/>
    <mergeCell ref="CC62:CC63"/>
    <mergeCell ref="BN60:BN61"/>
    <mergeCell ref="BO60:BO61"/>
    <mergeCell ref="BM60:BM61"/>
    <mergeCell ref="BP60:BP61"/>
    <mergeCell ref="BS60:BS61"/>
    <mergeCell ref="BY62:BY63"/>
    <mergeCell ref="BR64:BR65"/>
    <mergeCell ref="BT64:BT65"/>
    <mergeCell ref="BV64:BV65"/>
    <mergeCell ref="BX64:BX65"/>
    <mergeCell ref="BZ64:BZ65"/>
    <mergeCell ref="CA64:CA65"/>
    <mergeCell ref="CB64:CB65"/>
    <mergeCell ref="CC64:CC65"/>
    <mergeCell ref="AY66:AY67"/>
    <mergeCell ref="AZ66:AZ67"/>
    <mergeCell ref="BH66:BH67"/>
    <mergeCell ref="BI66:BI67"/>
    <mergeCell ref="BR66:BR67"/>
    <mergeCell ref="BT66:BT67"/>
    <mergeCell ref="BV66:BV67"/>
    <mergeCell ref="BX66:BX67"/>
    <mergeCell ref="BZ66:BZ67"/>
    <mergeCell ref="CA66:CA67"/>
    <mergeCell ref="CB66:CB67"/>
    <mergeCell ref="CC66:CC67"/>
    <mergeCell ref="BM64:BM65"/>
    <mergeCell ref="BP64:BP65"/>
    <mergeCell ref="BS64:BS65"/>
    <mergeCell ref="BQ66:BQ67"/>
    <mergeCell ref="BW66:BW67"/>
    <mergeCell ref="BX68:BX69"/>
    <mergeCell ref="BZ68:BZ69"/>
    <mergeCell ref="CA68:CA69"/>
    <mergeCell ref="CB68:CB69"/>
    <mergeCell ref="CC68:CC69"/>
    <mergeCell ref="AY70:AY71"/>
    <mergeCell ref="AZ70:AZ71"/>
    <mergeCell ref="BH70:BH71"/>
    <mergeCell ref="BI70:BI71"/>
    <mergeCell ref="BR70:BR71"/>
    <mergeCell ref="BT70:BT71"/>
    <mergeCell ref="BV70:BV71"/>
    <mergeCell ref="BX70:BX71"/>
    <mergeCell ref="BZ70:BZ71"/>
    <mergeCell ref="CA70:CA71"/>
    <mergeCell ref="CB70:CB71"/>
    <mergeCell ref="CC70:CC71"/>
    <mergeCell ref="BX76:BX77"/>
    <mergeCell ref="BZ76:BZ77"/>
    <mergeCell ref="CA76:CA77"/>
    <mergeCell ref="CB76:CB77"/>
    <mergeCell ref="CC76:CC77"/>
    <mergeCell ref="BI72:BI73"/>
    <mergeCell ref="BR72:BR73"/>
    <mergeCell ref="BT72:BT73"/>
    <mergeCell ref="BV72:BV73"/>
    <mergeCell ref="BX72:BX73"/>
    <mergeCell ref="BZ72:BZ73"/>
    <mergeCell ref="CA72:CA73"/>
    <mergeCell ref="CB72:CB73"/>
    <mergeCell ref="CC72:CC73"/>
    <mergeCell ref="AY74:AY75"/>
    <mergeCell ref="AZ74:AZ75"/>
    <mergeCell ref="BH74:BH75"/>
    <mergeCell ref="BI74:BI75"/>
    <mergeCell ref="BR74:BR75"/>
    <mergeCell ref="BT74:BT75"/>
    <mergeCell ref="BV74:BV75"/>
    <mergeCell ref="BX74:BX75"/>
    <mergeCell ref="BZ74:BZ75"/>
    <mergeCell ref="CA74:CA75"/>
    <mergeCell ref="CB74:CB75"/>
    <mergeCell ref="CC74:CC75"/>
    <mergeCell ref="BE74:BE75"/>
    <mergeCell ref="BF74:BF75"/>
    <mergeCell ref="BQ74:BQ75"/>
    <mergeCell ref="BW74:BW75"/>
    <mergeCell ref="BY72:BY73"/>
    <mergeCell ref="BW76:BW77"/>
  </mergeCells>
  <conditionalFormatting sqref="G18:Y77 AC18:AL77">
    <cfRule type="expression" dxfId="60" priority="4">
      <formula>AND(ISBLANK($C18)=FALSE,OR(ISBLANK(G18)=TRUE,G18=""))</formula>
    </cfRule>
  </conditionalFormatting>
  <conditionalFormatting sqref="R18:S77">
    <cfRule type="expression" dxfId="59" priority="3">
      <formula>IF($R18="",FALSE,IF($R18&lt;&gt;INDEX(STDLIGHTINEFCAT2W,MATCH($M18&amp;"_"&amp;INDEX(STDLIGHTINEFCAT2DROP,MATCH($G18,STDLIGHTMEASURES,0))&amp;"_"&amp;O18,STDLIGHTINEFCAT2NAME,0)),TRUE,FALSE))</formula>
    </cfRule>
  </conditionalFormatting>
  <conditionalFormatting sqref="AM18:AN77">
    <cfRule type="expression" dxfId="58" priority="1">
      <formula>AM18 &lt;&gt; INDEX(STDLIGHTINC,MATCH(G18,STDLIGHTLIST,0))</formula>
    </cfRule>
  </conditionalFormatting>
  <conditionalFormatting sqref="AR18:AU77">
    <cfRule type="expression" dxfId="57" priority="1956" stopIfTrue="1">
      <formula>ISNUMBER($AR18)=FALSE</formula>
    </cfRule>
    <cfRule type="expression" dxfId="56" priority="1957">
      <formula>$AR18 &lt;&gt; $BQ18</formula>
    </cfRule>
  </conditionalFormatting>
  <conditionalFormatting sqref="AS8:AW8">
    <cfRule type="expression" dxfId="55" priority="11">
      <formula>IF($AS$8=PROJSTATMEASURE,FALSE,TRUE)</formula>
    </cfRule>
  </conditionalFormatting>
  <dataValidations count="12">
    <dataValidation allowBlank="1" showInputMessage="1" showErrorMessage="1" prompt="Install Location should describe the area where the equipment installed. (e.g. Room 201, Garage, Mechanical Room)" sqref="AG18:AH77" xr:uid="{8FA35092-4EC0-47CF-AA7A-C95BFA4DC51C}"/>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9D74874-693E-4184-9411-B86A0C7473DE}"/>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2961B5C2-19C0-484A-9556-99DBD9BC71B5}">
      <formula1>0</formula1>
      <formula2>IF(ISNUMBER(SEARCH("Exterior",C18)),4380,8760)</formula2>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0A6D2DB-CFC4-4ECF-B720-8A1C330AEE51}">
      <formula1>IF(ISBLANK(G18),CLLIGHTCATLIST,"")</formula1>
    </dataValidation>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DDD5AF70-E1BB-456A-9DF5-6C26B4D4194A}">
      <formula1>IF(ISBLANK($M18),CLLIGHTMEASURELIST,"")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E89FF25B-E950-49A3-A686-2CEC4C8CFABE}">
      <formula1>IF(ISBLANK($O18),CLLIGHTINEFCAT1_LIST,"")</formula1>
    </dataValidation>
    <dataValidation type="list" allowBlank="1" showInputMessage="1" showErrorMessage="1" prompt="Select Inefficient Details." sqref="O18:Q77" xr:uid="{587665F5-F06C-430A-87A2-50D0DEC1A6CC}">
      <formula1>CLLIGHTINEFCAT2_LIST</formula1>
    </dataValidation>
    <dataValidation type="decimal" showInputMessage="1" showErrorMessage="1" error="Please enter a numerical value within the designated range" prompt="Enter inefficient lamp/fixture wattage." sqref="R18:S77" xr:uid="{523859AD-2589-4D0D-AC43-963D2C99B6B2}">
      <formula1>INDEX(CLLIGHTBASEMIN,MATCH($G18,CLLIGHTMEASURES,0))</formula1>
      <formula2>INDEX(CLLIGHTBASEMAX,MATCH($G18,CLLIGHTMEASURES,0))</formula2>
    </dataValidation>
    <dataValidation type="decimal" allowBlank="1" showInputMessage="1" showErrorMessage="1" promptTitle="Incremental Cost" prompt="This is the difference between the actual cost of installed Labor and the cost of the hypothetical baseline." sqref="AK18:AL77" xr:uid="{F40D3066-44B6-4D08-9710-3BF9BA347FDF}">
      <formula1>0</formula1>
      <formula2>999999</formula2>
    </dataValidation>
    <dataValidation type="decimal" allowBlank="1" showInputMessage="1" showErrorMessage="1" error="Please enter a value within the designated range." prompt="Enter efficient lamp/fixture wattage." sqref="T18:U77" xr:uid="{5568D1B5-4819-4EA2-8F35-C6DA122F976A}">
      <formula1>INDEX(CLLIGHTEFFMIN,MATCH($G18,CLLIGHTMEASURES,0))</formula1>
      <formula2>INDEX(CLLIGHTEFFMAX,MATCH($G18,CLLIGHTMEASURES,0))</formula2>
    </dataValidation>
    <dataValidation type="decimal" allowBlank="1" showInputMessage="1" showErrorMessage="1" promptTitle="Incremental Cost" prompt="This is the difference between actual cost of installed Equipment and the cost of the hypothetical baseline." sqref="AI18:AJ77" xr:uid="{F6681471-EE51-4BA7-9BDE-B6F0DEBD5444}">
      <formula1>0</formula1>
      <formula2>999999</formula2>
    </dataValidation>
    <dataValidation type="whole" operator="greaterThan" allowBlank="1" showInputMessage="1" showErrorMessage="1" errorTitle="Invalid Entry" error="Value must be a whole number greater than zero." prompt="Enter the total number of lamps/fixtures." sqref="V18:W77" xr:uid="{5AD6CEB2-280C-4F12-BAD7-E5F59CBDD1C7}">
      <formula1>0</formula1>
    </dataValidation>
  </dataValidations>
  <hyperlinks>
    <hyperlink ref="J9:M11" location="'M03-S02'!C18" tooltip="Lighting" display="'M03-S02'!C18" xr:uid="{70ACAA9E-8D12-4186-B6D4-C6BEA8333CEB}"/>
    <hyperlink ref="V9:Y11" location="'M03-S05'!C18" tooltip="HVAC" display="'M03-S05'!C18" xr:uid="{079DF94F-30A5-447F-9F71-58ED2F010464}"/>
    <hyperlink ref="B202" r:id="rId1" display="businessrebates@evergy.com" xr:uid="{F85A85B7-5F0F-48B6-AF8E-30E6BDD93002}"/>
    <hyperlink ref="J1:M3" location="'M01-S02'!J1" tooltip="Instructions" display="'M01-S02'!J1" xr:uid="{0DF7D34D-FEDC-4521-B9E7-75A87E36C2BC}"/>
    <hyperlink ref="AP1:AS3" location="'M05-S05'!AL1" tooltip=" " display="'M05-S05'!AL1" xr:uid="{EEA6B8EE-B39B-45E2-945C-2158BA1305DE}"/>
    <hyperlink ref="AL1:AO3" location="'M05-S04'!AH1" tooltip=" " display="'M05-S04'!AH1" xr:uid="{11B4447F-8ACC-405B-BD04-2A08249A51CF}"/>
    <hyperlink ref="AT1:AW3" location="'M01-S03'!AP1" tooltip="Contact" display="'M01-S03'!AP1" xr:uid="{C92424BD-EBA7-4E6A-BDD1-131CC4DAB2AF}"/>
  </hyperlinks>
  <printOptions horizontalCentered="1"/>
  <pageMargins left="0" right="0" top="0" bottom="0" header="0" footer="0"/>
  <pageSetup scale="43"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90109-1099-4EC1-9B63-5446FB7E62AC}">
  <sheetPr codeName="Sheet104">
    <tabColor theme="8" tint="0.59999389629810485"/>
    <pageSetUpPr fitToPage="1"/>
  </sheetPr>
  <dimension ref="A1:CW204"/>
  <sheetViews>
    <sheetView showGridLines="0" showRowColHeaders="0" zoomScale="85" zoomScaleNormal="85" workbookViewId="0">
      <selection activeCell="C18" sqref="C18:I19"/>
    </sheetView>
  </sheetViews>
  <sheetFormatPr defaultColWidth="0" defaultRowHeight="14.4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81"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81"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81" ht="15.95" customHeight="1">
      <c r="A4" s="691">
        <f>INCENTOTAL</f>
        <v>0</v>
      </c>
      <c r="B4" s="691"/>
      <c r="C4" s="691"/>
      <c r="D4" s="691"/>
      <c r="E4" s="691"/>
      <c r="F4" s="179"/>
      <c r="G4" s="179"/>
      <c r="H4" s="179"/>
      <c r="I4" s="179"/>
    </row>
    <row r="5" spans="1:81" ht="15.95" customHeight="1">
      <c r="A5" s="692"/>
      <c r="B5" s="692"/>
      <c r="C5" s="692"/>
      <c r="D5" s="692"/>
      <c r="E5" s="692"/>
      <c r="F5" s="372"/>
      <c r="G5" s="372"/>
      <c r="H5" s="372"/>
      <c r="I5" s="372"/>
      <c r="AS5" s="663">
        <f ca="1">PROGRESSSTATUS</f>
        <v>0</v>
      </c>
      <c r="AT5" s="663"/>
      <c r="AU5" s="663"/>
      <c r="AV5" s="663"/>
      <c r="AW5" s="663"/>
      <c r="AY5" s="17"/>
      <c r="AZ5" s="108" t="s">
        <v>933</v>
      </c>
      <c r="BA5" s="108" t="s">
        <v>325</v>
      </c>
    </row>
    <row r="6" spans="1:81" ht="15.95" customHeight="1">
      <c r="A6" s="692"/>
      <c r="B6" s="692"/>
      <c r="C6" s="692"/>
      <c r="D6" s="692"/>
      <c r="E6" s="692"/>
      <c r="F6" s="372"/>
      <c r="G6" s="372"/>
      <c r="H6" s="372"/>
      <c r="I6" s="372"/>
      <c r="AS6" s="663"/>
      <c r="AT6" s="663"/>
      <c r="AU6" s="663"/>
      <c r="AV6" s="663"/>
      <c r="AW6" s="663"/>
      <c r="AY6" s="107" t="s">
        <v>938</v>
      </c>
      <c r="AZ6" s="106" t="str">
        <f>CBPRESE</f>
        <v>NA</v>
      </c>
      <c r="BA6" s="106" t="str">
        <f>PAYPRESE</f>
        <v>NA</v>
      </c>
    </row>
    <row r="7" spans="1:81" ht="15.95" customHeight="1">
      <c r="A7" s="662" t="s">
        <v>83</v>
      </c>
      <c r="B7" s="662"/>
      <c r="C7" s="662"/>
      <c r="D7" s="662"/>
      <c r="E7" s="662"/>
      <c r="F7" s="75"/>
      <c r="G7" s="75"/>
      <c r="H7" s="75"/>
      <c r="I7" s="75"/>
      <c r="AS7" s="662" t="s">
        <v>299</v>
      </c>
      <c r="AT7" s="662"/>
      <c r="AU7" s="662"/>
      <c r="AV7" s="662"/>
      <c r="AW7" s="662"/>
      <c r="AY7" s="107" t="s">
        <v>135</v>
      </c>
      <c r="AZ7" s="106" t="str">
        <f>CBCUSE</f>
        <v>NA</v>
      </c>
      <c r="BA7" s="106" t="str">
        <f>PAYCUSE</f>
        <v>NA</v>
      </c>
    </row>
    <row r="8" spans="1:81" ht="15.95" customHeight="1" thickBot="1">
      <c r="A8" s="665"/>
      <c r="B8" s="665"/>
      <c r="C8" s="665"/>
      <c r="D8" s="665"/>
      <c r="E8" s="665"/>
      <c r="F8" s="373"/>
      <c r="G8" s="373"/>
      <c r="H8" s="373"/>
      <c r="I8" s="75"/>
      <c r="AS8" s="661" t="str">
        <f ca="1">PROJSTATUS</f>
        <v>Enter Measures</v>
      </c>
      <c r="AT8" s="661"/>
      <c r="AU8" s="661"/>
      <c r="AV8" s="661"/>
      <c r="AW8" s="661"/>
      <c r="AY8" s="107" t="s">
        <v>596</v>
      </c>
      <c r="AZ8" s="106" t="str">
        <f>CBALL</f>
        <v>NA</v>
      </c>
      <c r="BA8" s="106" t="str">
        <f>PAYALL</f>
        <v>NA</v>
      </c>
    </row>
    <row r="9" spans="1:81" s="78" customFormat="1" ht="15.95" customHeight="1">
      <c r="B9" s="99"/>
      <c r="C9" s="99"/>
      <c r="D9" s="99"/>
      <c r="E9" s="99"/>
      <c r="F9" s="99"/>
      <c r="G9" s="99"/>
      <c r="H9" s="100"/>
      <c r="I9" s="100"/>
      <c r="J9" s="829" t="str">
        <f>M4S10</f>
        <v>Lighting</v>
      </c>
      <c r="K9" s="830"/>
      <c r="L9" s="830"/>
      <c r="M9" s="830"/>
      <c r="N9" s="1235" t="str">
        <f>M3S3</f>
        <v>Lighting Controls</v>
      </c>
      <c r="O9" s="1236"/>
      <c r="P9" s="1236"/>
      <c r="Q9" s="1236"/>
      <c r="R9" s="1235" t="str">
        <f>M3S4</f>
        <v>Refrigeration</v>
      </c>
      <c r="S9" s="1236"/>
      <c r="T9" s="1236"/>
      <c r="U9" s="1236"/>
      <c r="V9" s="842" t="str">
        <f>M4S13</f>
        <v>HVAC</v>
      </c>
      <c r="W9" s="842"/>
      <c r="X9" s="842"/>
      <c r="Y9" s="842"/>
      <c r="Z9" s="1235" t="str">
        <f>M4S8</f>
        <v>Motors and Drives</v>
      </c>
      <c r="AA9" s="1236"/>
      <c r="AB9" s="1236"/>
      <c r="AC9" s="1236"/>
      <c r="AD9" s="1235" t="str">
        <f>M3S6</f>
        <v>Compressed Air / Process</v>
      </c>
      <c r="AE9" s="1236"/>
      <c r="AF9" s="1236"/>
      <c r="AG9" s="1236"/>
      <c r="AH9" s="1235" t="str">
        <f>M3S7</f>
        <v>Water Heating / Food Services</v>
      </c>
      <c r="AI9" s="1236"/>
      <c r="AJ9" s="1236"/>
      <c r="AK9" s="1236"/>
      <c r="AL9" s="1235" t="str">
        <f>M4S9</f>
        <v>Miscellaneous</v>
      </c>
      <c r="AM9" s="1236"/>
      <c r="AN9" s="1236"/>
      <c r="AO9" s="1236"/>
      <c r="AP9" s="99"/>
      <c r="AQ9" s="99"/>
      <c r="AR9" s="99"/>
      <c r="AS9" s="101"/>
      <c r="AU9" s="99"/>
      <c r="AV9" s="99"/>
    </row>
    <row r="10" spans="1:81" s="78" customFormat="1" ht="15.95" customHeight="1">
      <c r="B10" s="79"/>
      <c r="C10" s="79"/>
      <c r="D10" s="79"/>
      <c r="E10" s="79"/>
      <c r="F10" s="79"/>
      <c r="G10" s="79"/>
      <c r="J10" s="831"/>
      <c r="K10" s="831"/>
      <c r="L10" s="831"/>
      <c r="M10" s="831"/>
      <c r="N10" s="1237"/>
      <c r="O10" s="1237"/>
      <c r="P10" s="1237"/>
      <c r="Q10" s="1237"/>
      <c r="R10" s="1237"/>
      <c r="S10" s="1237"/>
      <c r="T10" s="1237"/>
      <c r="U10" s="1237"/>
      <c r="V10" s="843"/>
      <c r="W10" s="843"/>
      <c r="X10" s="843"/>
      <c r="Y10" s="843"/>
      <c r="Z10" s="1237"/>
      <c r="AA10" s="1237"/>
      <c r="AB10" s="1237"/>
      <c r="AC10" s="1237"/>
      <c r="AD10" s="1237"/>
      <c r="AE10" s="1237"/>
      <c r="AF10" s="1237"/>
      <c r="AG10" s="1237"/>
      <c r="AH10" s="1237"/>
      <c r="AI10" s="1237"/>
      <c r="AJ10" s="1237"/>
      <c r="AK10" s="1237"/>
      <c r="AL10" s="1237"/>
      <c r="AM10" s="1237"/>
      <c r="AN10" s="1237"/>
      <c r="AO10" s="1237"/>
      <c r="AP10" s="79"/>
      <c r="AQ10" s="79"/>
      <c r="AR10" s="79"/>
      <c r="AS10"/>
      <c r="AU10" s="79"/>
      <c r="AV10" s="79"/>
    </row>
    <row r="11" spans="1:81" ht="15.95" customHeight="1">
      <c r="B11" s="96"/>
      <c r="C11" s="96"/>
      <c r="D11" s="96"/>
      <c r="E11" s="96"/>
      <c r="F11" s="96"/>
      <c r="G11" s="96"/>
      <c r="J11" s="831"/>
      <c r="K11" s="831"/>
      <c r="L11" s="831"/>
      <c r="M11" s="831"/>
      <c r="N11" s="1237"/>
      <c r="O11" s="1237"/>
      <c r="P11" s="1237"/>
      <c r="Q11" s="1237"/>
      <c r="R11" s="1237"/>
      <c r="S11" s="1237"/>
      <c r="T11" s="1237"/>
      <c r="U11" s="1237"/>
      <c r="V11" s="843"/>
      <c r="W11" s="843"/>
      <c r="X11" s="843"/>
      <c r="Y11" s="843"/>
      <c r="Z11" s="1237"/>
      <c r="AA11" s="1237"/>
      <c r="AB11" s="1237"/>
      <c r="AC11" s="1237"/>
      <c r="AD11" s="1237"/>
      <c r="AE11" s="1237"/>
      <c r="AF11" s="1237"/>
      <c r="AG11" s="1237"/>
      <c r="AH11" s="1237"/>
      <c r="AI11" s="1237"/>
      <c r="AJ11" s="1237"/>
      <c r="AK11" s="1237"/>
      <c r="AL11" s="1237"/>
      <c r="AM11" s="1237"/>
      <c r="AN11" s="1237"/>
      <c r="AO11" s="1237"/>
      <c r="AP11" s="96"/>
      <c r="AQ11" s="96"/>
      <c r="AR11" s="96"/>
      <c r="AU11" s="96"/>
      <c r="AV11" s="96"/>
    </row>
    <row r="12" spans="1:81" ht="15.95" customHeight="1">
      <c r="A12" s="76"/>
      <c r="B12" s="76"/>
      <c r="C12" s="76"/>
      <c r="D12" s="76"/>
      <c r="E12" s="76"/>
      <c r="F12" s="76"/>
      <c r="G12" s="76"/>
      <c r="T12" s="837">
        <f>SUM(AR18:AU199)</f>
        <v>0</v>
      </c>
      <c r="U12" s="837"/>
      <c r="V12" s="837"/>
      <c r="W12" s="837"/>
      <c r="X12" s="837">
        <f>SUM(BL18:BL199)</f>
        <v>0</v>
      </c>
      <c r="Y12" s="837"/>
      <c r="Z12" s="837"/>
      <c r="AA12" s="837"/>
      <c r="AB12" s="836">
        <f ca="1">SUMIF(AR18:AU199,"&gt;0",AO18:AQ199)</f>
        <v>0</v>
      </c>
      <c r="AC12" s="836"/>
      <c r="AD12" s="836"/>
      <c r="AE12" s="836"/>
      <c r="AT12" s="320"/>
    </row>
    <row r="13" spans="1:81" ht="15.95" customHeight="1">
      <c r="A13" s="76"/>
      <c r="B13" s="76"/>
      <c r="C13" s="76"/>
      <c r="D13" s="76"/>
      <c r="T13" s="837"/>
      <c r="U13" s="837"/>
      <c r="V13" s="837"/>
      <c r="W13" s="837"/>
      <c r="X13" s="837"/>
      <c r="Y13" s="837"/>
      <c r="Z13" s="837"/>
      <c r="AA13" s="837"/>
      <c r="AB13" s="836"/>
      <c r="AC13" s="836"/>
      <c r="AD13" s="836"/>
      <c r="AE13" s="836"/>
      <c r="AM13" s="839" t="str">
        <f>IF(IFERROR(MATCH("100% Total Cost", BI:BI, 0), FALSE), "The incentive for one or more measures is capped due to measure cost.", "")</f>
        <v/>
      </c>
      <c r="AN13" s="839"/>
      <c r="AO13" s="839"/>
      <c r="AP13" s="839"/>
      <c r="AQ13" s="839"/>
      <c r="AR13" s="839"/>
      <c r="AS13" s="839"/>
      <c r="AT13" s="839"/>
      <c r="AU13" s="839"/>
    </row>
    <row r="14" spans="1:81" ht="15.95" customHeight="1">
      <c r="T14" s="838" t="s">
        <v>1226</v>
      </c>
      <c r="U14" s="838"/>
      <c r="V14" s="838"/>
      <c r="W14" s="838"/>
      <c r="X14" s="838" t="s">
        <v>67</v>
      </c>
      <c r="Y14" s="838"/>
      <c r="Z14" s="838"/>
      <c r="AA14" s="838"/>
      <c r="AB14" s="838" t="s">
        <v>787</v>
      </c>
      <c r="AC14" s="838"/>
      <c r="AD14" s="838"/>
      <c r="AE14" s="838"/>
      <c r="AM14" s="839"/>
      <c r="AN14" s="839"/>
      <c r="AO14" s="839"/>
      <c r="AP14" s="839"/>
      <c r="AQ14" s="839"/>
      <c r="AR14" s="839"/>
      <c r="AS14" s="839"/>
      <c r="AT14" s="839"/>
      <c r="AU14" s="839"/>
      <c r="AY14" s="542" t="s">
        <v>2112</v>
      </c>
      <c r="AZ14" s="542" t="s">
        <v>2112</v>
      </c>
      <c r="BA14" s="51" t="s">
        <v>3048</v>
      </c>
      <c r="BB14" s="51" t="s">
        <v>3048</v>
      </c>
      <c r="BE14" s="51" t="s">
        <v>3048</v>
      </c>
      <c r="BG14" s="542" t="s">
        <v>2112</v>
      </c>
      <c r="BL14" s="51" t="s">
        <v>3048</v>
      </c>
      <c r="BO14" s="51" t="s">
        <v>3048</v>
      </c>
      <c r="BR14" s="542" t="s">
        <v>2112</v>
      </c>
      <c r="BV14" s="542" t="s">
        <v>2112</v>
      </c>
      <c r="BX14" s="542" t="s">
        <v>2112</v>
      </c>
    </row>
    <row r="15" spans="1:81" ht="15.95" customHeight="1"/>
    <row r="16" spans="1:81" ht="15.95" customHeight="1">
      <c r="C16" s="832" t="s">
        <v>1254</v>
      </c>
      <c r="D16" s="832"/>
      <c r="E16" s="832"/>
      <c r="F16" s="832"/>
      <c r="G16" s="832"/>
      <c r="H16" s="832"/>
      <c r="I16" s="832"/>
      <c r="J16" s="947" t="s">
        <v>2180</v>
      </c>
      <c r="K16" s="947"/>
      <c r="L16" s="947"/>
      <c r="M16" s="947"/>
      <c r="N16" s="947"/>
      <c r="O16" s="947"/>
      <c r="P16" s="947" t="s">
        <v>2181</v>
      </c>
      <c r="Q16" s="947"/>
      <c r="R16" s="947"/>
      <c r="S16" s="947"/>
      <c r="T16" s="947"/>
      <c r="U16" s="947"/>
      <c r="V16" s="832" t="s">
        <v>2169</v>
      </c>
      <c r="W16" s="832"/>
      <c r="X16" s="832" t="s">
        <v>2170</v>
      </c>
      <c r="Y16" s="832"/>
      <c r="Z16" s="832"/>
      <c r="AA16" s="783" t="s">
        <v>2171</v>
      </c>
      <c r="AB16" s="783"/>
      <c r="AC16" s="783"/>
      <c r="AD16" s="783"/>
      <c r="AE16" s="860" t="s">
        <v>922</v>
      </c>
      <c r="AF16" s="860"/>
      <c r="AG16" s="860"/>
      <c r="AH16" s="860"/>
      <c r="AI16" s="832" t="s">
        <v>1255</v>
      </c>
      <c r="AJ16" s="832"/>
      <c r="AK16" s="832"/>
      <c r="AL16" s="832"/>
      <c r="AM16" s="832" t="s">
        <v>1227</v>
      </c>
      <c r="AN16" s="832"/>
      <c r="AO16" s="832" t="s">
        <v>735</v>
      </c>
      <c r="AP16" s="832"/>
      <c r="AQ16" s="832"/>
      <c r="AR16" s="832" t="s">
        <v>83</v>
      </c>
      <c r="AS16" s="832"/>
      <c r="AT16" s="832"/>
      <c r="AU16" s="832"/>
      <c r="AX16" s="783" t="s">
        <v>743</v>
      </c>
      <c r="AY16" s="779" t="s">
        <v>1985</v>
      </c>
      <c r="AZ16" s="779" t="s">
        <v>942</v>
      </c>
      <c r="BA16" s="779" t="s">
        <v>635</v>
      </c>
      <c r="BB16" s="783" t="s">
        <v>875</v>
      </c>
      <c r="BC16" s="783" t="s">
        <v>924</v>
      </c>
      <c r="BD16" s="781" t="s">
        <v>1701</v>
      </c>
      <c r="BE16" s="828" t="s">
        <v>874</v>
      </c>
      <c r="BF16" s="828"/>
      <c r="BG16" s="779" t="s">
        <v>926</v>
      </c>
      <c r="BH16" s="600"/>
      <c r="BI16" s="600"/>
      <c r="BJ16" s="781" t="s">
        <v>88</v>
      </c>
      <c r="BK16" s="781" t="s">
        <v>1619</v>
      </c>
      <c r="BL16" s="783" t="s">
        <v>876</v>
      </c>
      <c r="BM16" s="783"/>
      <c r="BN16" s="779" t="s">
        <v>132</v>
      </c>
      <c r="BO16" s="779" t="s">
        <v>325</v>
      </c>
      <c r="BP16" s="781" t="s">
        <v>1833</v>
      </c>
      <c r="BQ16" s="783" t="s">
        <v>2107</v>
      </c>
      <c r="BR16" s="781" t="s">
        <v>1614</v>
      </c>
      <c r="BS16" s="783"/>
      <c r="BT16" s="779"/>
      <c r="BU16" s="783" t="s">
        <v>925</v>
      </c>
      <c r="BV16" s="781" t="s">
        <v>691</v>
      </c>
      <c r="BW16" s="783" t="s">
        <v>85</v>
      </c>
      <c r="BX16" s="783" t="s">
        <v>840</v>
      </c>
      <c r="BY16" s="783" t="s">
        <v>309</v>
      </c>
      <c r="BZ16" s="1245" t="s">
        <v>1900</v>
      </c>
      <c r="CA16" s="1245" t="s">
        <v>1901</v>
      </c>
      <c r="CB16" s="755" t="s">
        <v>1902</v>
      </c>
      <c r="CC16" s="755" t="s">
        <v>1982</v>
      </c>
    </row>
    <row r="17" spans="1:81" ht="15.95" customHeight="1" thickBot="1">
      <c r="C17" s="833"/>
      <c r="D17" s="833"/>
      <c r="E17" s="833"/>
      <c r="F17" s="833"/>
      <c r="G17" s="833"/>
      <c r="H17" s="833"/>
      <c r="I17" s="833"/>
      <c r="J17" s="943" t="s">
        <v>1259</v>
      </c>
      <c r="K17" s="943"/>
      <c r="L17" s="943" t="s">
        <v>920</v>
      </c>
      <c r="M17" s="943"/>
      <c r="N17" s="944" t="s">
        <v>1258</v>
      </c>
      <c r="O17" s="944"/>
      <c r="P17" s="943" t="s">
        <v>1259</v>
      </c>
      <c r="Q17" s="943"/>
      <c r="R17" s="943" t="s">
        <v>920</v>
      </c>
      <c r="S17" s="943"/>
      <c r="T17" s="944" t="s">
        <v>1258</v>
      </c>
      <c r="U17" s="944"/>
      <c r="V17" s="833"/>
      <c r="W17" s="833"/>
      <c r="X17" s="833"/>
      <c r="Y17" s="833"/>
      <c r="Z17" s="833"/>
      <c r="AA17" s="784"/>
      <c r="AB17" s="784"/>
      <c r="AC17" s="784"/>
      <c r="AD17" s="784"/>
      <c r="AE17" s="833" t="s">
        <v>862</v>
      </c>
      <c r="AF17" s="833"/>
      <c r="AG17" s="833" t="s">
        <v>863</v>
      </c>
      <c r="AH17" s="833"/>
      <c r="AI17" s="833"/>
      <c r="AJ17" s="833"/>
      <c r="AK17" s="833"/>
      <c r="AL17" s="833"/>
      <c r="AM17" s="833"/>
      <c r="AN17" s="833"/>
      <c r="AO17" s="833"/>
      <c r="AP17" s="833"/>
      <c r="AQ17" s="833"/>
      <c r="AR17" s="833"/>
      <c r="AS17" s="833"/>
      <c r="AT17" s="833"/>
      <c r="AU17" s="833"/>
      <c r="AX17" s="784"/>
      <c r="AY17" s="780"/>
      <c r="AZ17" s="780"/>
      <c r="BA17" s="780"/>
      <c r="BB17" s="784" t="s">
        <v>875</v>
      </c>
      <c r="BC17" s="784"/>
      <c r="BD17" s="782"/>
      <c r="BE17" s="97" t="s">
        <v>871</v>
      </c>
      <c r="BF17" s="97" t="s">
        <v>1084</v>
      </c>
      <c r="BG17" s="780"/>
      <c r="BH17" s="1097"/>
      <c r="BI17" s="1097"/>
      <c r="BJ17" s="782"/>
      <c r="BK17" s="782"/>
      <c r="BL17" s="784"/>
      <c r="BM17" s="784"/>
      <c r="BN17" s="780"/>
      <c r="BO17" s="780"/>
      <c r="BP17" s="782"/>
      <c r="BQ17" s="784"/>
      <c r="BR17" s="782"/>
      <c r="BS17" s="784"/>
      <c r="BT17" s="780"/>
      <c r="BU17" s="784"/>
      <c r="BV17" s="782"/>
      <c r="BW17" s="784"/>
      <c r="BX17" s="784"/>
      <c r="BY17" s="784"/>
      <c r="BZ17" s="1246"/>
      <c r="CA17" s="1246"/>
      <c r="CB17" s="756"/>
      <c r="CC17" s="756"/>
    </row>
    <row r="18" spans="1:81" ht="15.95" customHeight="1">
      <c r="B18" s="785">
        <v>1</v>
      </c>
      <c r="C18" s="873"/>
      <c r="D18" s="874"/>
      <c r="E18" s="874"/>
      <c r="F18" s="874"/>
      <c r="G18" s="874"/>
      <c r="H18" s="874"/>
      <c r="I18" s="874"/>
      <c r="J18" s="932" t="str">
        <f>IF(C18="","",INDEX(CLHVAC[Eff Unit 1],MATCH(C18,CLHVAC[Measure Name],0)))</f>
        <v/>
      </c>
      <c r="K18" s="933"/>
      <c r="L18" s="928" t="str">
        <f>IF(C18="","",INDEX(CLHVAC[Base Efficiency 1],MATCH(C18,CLHVAC[Measure Name],0)))</f>
        <v/>
      </c>
      <c r="M18" s="929"/>
      <c r="N18" s="945"/>
      <c r="O18" s="946"/>
      <c r="P18" s="932" t="str">
        <f>IF(C18="","",INDEX(CLHVAC[Eff Unit 2],MATCH(C18,CLHVAC[Measure Name],0)))</f>
        <v/>
      </c>
      <c r="Q18" s="933"/>
      <c r="R18" s="928" t="str">
        <f>IF(C18="","",INDEX(CLHVAC[Base Efficiency 2],MATCH(C18,CLHVAC[Measure Name],0)))</f>
        <v/>
      </c>
      <c r="S18" s="929"/>
      <c r="T18" s="950" t="str">
        <f>IF(AND(ISNUMBER(SEARCH("DX",C18)),ISNUMBER(SEARCH("&lt;65 kbtu",C18)),N18&lt;&gt;""),1.12*N18-0.02*N18^2,IF(AND(ISNUMBER(SEARCH("PTAC",C18)),N18&lt;&gt;""),1,""))</f>
        <v/>
      </c>
      <c r="U18" s="951"/>
      <c r="V18" s="954"/>
      <c r="W18" s="955"/>
      <c r="X18" s="873"/>
      <c r="Y18" s="874"/>
      <c r="Z18" s="875"/>
      <c r="AA18" s="1244"/>
      <c r="AB18" s="941"/>
      <c r="AC18" s="941"/>
      <c r="AD18" s="942"/>
      <c r="AE18" s="807"/>
      <c r="AF18" s="808"/>
      <c r="AG18" s="808"/>
      <c r="AH18" s="811"/>
      <c r="AI18" s="948" t="str">
        <f>IF(C18="","",INDEX(CLHVAC[Current Unit],MATCH(C18,CLHVAC[Measure Name],0)))</f>
        <v/>
      </c>
      <c r="AJ18" s="948"/>
      <c r="AK18" s="948"/>
      <c r="AL18" s="949"/>
      <c r="AM18" s="814" t="str" cm="1">
        <f t="array" ref="AM18">IFERROR(IF(C18="","",INDEX(IF(AND(ACTIVEBONUS = TRUE,INDEX(CLHVAC[Bonus Incentive],MATCH(C18,CLHVAC[Measure Name],0))&lt;&gt; ""),CLHVAC[Bonus Incentive],_xlfn.SWITCH(Program_Banner,"Business Energy Savings",CLHVAC[BESP Incentive],"Small Business / Non-Profit",CLHVAC[SBNP Incentive],0)),MATCH(C18,CLHVAC[Measure Name],0))),"")</f>
        <v/>
      </c>
      <c r="AN18" s="814"/>
      <c r="AO18" s="817" t="str">
        <f>IFERROR(IF(OR(C18="",N18="",T18="",V18="",AA18="",AE18="",AG18=""),"",IF(BE18&lt;=0, 0, BE18)),"")</f>
        <v/>
      </c>
      <c r="AP18" s="817"/>
      <c r="AQ18" s="817"/>
      <c r="AR18" s="840" t="str">
        <f>IFERROR(IF(OR(C18="",N18="",V18="",AA18="",T18="",AE18="",AG18=""),"",IF(BY18&lt;&gt;"",BY18,IF(BP18&gt;0,BP18,ROUND(IF(AO18&lt;=0,0,MIN(BL18,BQ18)), 2)))), "")</f>
        <v/>
      </c>
      <c r="AS18" s="840"/>
      <c r="AT18" s="840"/>
      <c r="AU18" s="840"/>
      <c r="AV18" s="17"/>
      <c r="AX18" s="773" t="str">
        <f>IFERROR(IF(OR(C18="",N18="",V18="",AA18="",T18="",AE18="",AG18=""),"",INDEX(CLHVAC[Current Unit],MATCH(C18,CLHVAC[Measure Name],0))),"Err")</f>
        <v/>
      </c>
      <c r="AY18" s="759" t="str">
        <f t="shared" ref="AY18" si="0">IF(OR(L18="", N18="", V18=""), "", ABS(N18-L18)*V18)</f>
        <v/>
      </c>
      <c r="AZ18" s="759" t="str">
        <f t="shared" ref="AZ18" si="1">IF(OR(L18="", N18="", V18=""), "", ABS(N18-L18)*V18)</f>
        <v/>
      </c>
      <c r="BA18" s="919" t="str">
        <f>IF(C18&lt;&gt;"", _xlfn.LET(
_xlpm.Tons_Cool, V18, _xlpm.PLC_Base, L18, _xlpm.Tons_Heat, CC18, _xlpm.Other_Base, R18,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(12/_xlpm.PLC_Base)*_xlpm.EFLH_Cool,
IF(ISNUMBER(SEARCH("Water", C18)),
_xlpm.Tons_Cool * (_xlpm.PLC_Base) * _xlpm.EFLH_Cool,
" "
)),4),
_xlpm.kWhHeat,
IF(
_xlpm.ElecHeat=1,
ROUND(
IF(OR(ISNUMBER(SEARCH("DX", C18)),ISNUMBER(SEARCH("PTAC", C18)), ISNUMBER(SEARCH("Air-Cooled Chiller", C18)), ISNUMBER(SEARCH("Water", C18)),
ISNUMBER(SEARCH("VRF", C18))),
0,
IF(
OR(ISNUMBER(SEARCH("ASHP", C18)), ISNUMBER(SEARCH("PTHP", C18))),
_xlpm.Tons_Heat * (1/_xlpm.Other_Base) * _xlpm.EFLH_Heat,
" "
)),4),
0
),
IFERROR(_xlpm.kWhCool + _xlpm.kWhHeat, "Measure Not Specified.")
), "")</f>
        <v/>
      </c>
      <c r="BB18" s="919" t="str">
        <f>IF(C18&lt;&gt;"", _xlfn.LET(
_xlpm.Tons_Cool, V18,_xlpm.PLC_Eff, N18, _xlpm.Tons_Heat, CC18, _xlpm.Other_Eff, T18,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(12/_xlpm.PLC_Eff)*_xlpm.EFLH_Cool,
IF(ISNUMBER(SEARCH("Water", C18)),
_xlpm.Tons_Cool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(1/_xlpm.Other_Eff) * _xlpm.EFLH_Heat,
" "
)),4),
0
),
IFERROR(_xlpm.kWhCool + _xlpm.kWhHeat, "Measure Not Specified.")
), "")</f>
        <v/>
      </c>
      <c r="BC18" s="773" t="str">
        <f>IFERROR(IF(OR(C18="",N18="",V18="",AA18="",T18="",AE18="",AG18=""),"",INDEX(CLHVAC[End Use],MATCH(C18,CLHVAC[Measure Name],0))),"Err")</f>
        <v/>
      </c>
      <c r="BD18" s="757" t="str">
        <f>IFERROR(IF(OR(C18="",N18="",V18="",AA18="",T18="",AE18="",AG18=""),"",INDEX(CLHVAC[Reporting Methodology],MATCH(C18,CLHVAC[Measure Name],0))),"Err")</f>
        <v/>
      </c>
      <c r="BE18" s="775" t="str">
        <f t="shared" ref="BE18:BE80" si="2">IF(AND(BA18&lt;&gt;"", BB18&lt;&gt;""), BA18-BB18, "")</f>
        <v/>
      </c>
      <c r="BF18" s="775" t="str">
        <f>IF(C18&lt;&gt;"", _xlfn.LET(
_xlpm.Tons, V18, _xlpm.PCF, 0.913,
IF(OR(ISNUMBER(SEARCH("DX", C18)), ISNUMBER(SEARCH("Air-Cooled Chiller", C18)), ISNUMBER(SEARCH("VRF", C18))),
IFERROR(_xlpm.Tons * (12/R18 - 12/T18) * _xlpm.PCF, 0),
IF(ISNUMBER(SEARCH("Water", C18)),
IFERROR(_xlpm.Tons * (R18-T18) * _xlpm.PCF, 0),
IF(ISNUMBER(SEARCH("ASHP", C18)),
IFERROR(_xlpm.Tons * (12/CA18 - 12/CB18) * _xlpm.PCF, 0),
IF(OR(ISNUMBER(SEARCH("PTAC", C18)), ISNUMBER(SEARCH("PTHP", C18))),
IFERROR(_xlpm.Tons * (12/L18 - 12/N18) * _xlpm.PCF, 0),
"Measure Not Specified."))))), "")</f>
        <v/>
      </c>
      <c r="BG18" s="775"/>
      <c r="BH18" s="1240"/>
      <c r="BI18" s="1240"/>
      <c r="BJ18" s="777" t="str">
        <f>IFERROR(INDEX(CLHVAC[Measure Life (Years)],MATCH(C18,CLHVAC[Measure Name],0)),"")</f>
        <v/>
      </c>
      <c r="BK18" s="767" t="str">
        <f>IFERROR(IF(OR(C18="",N18="",T18="",V18="",AA18="",AE18="",AG18=""),"",
ROUND(((1+ELOSS)*((BE18*INDEX(ELECCB[NPV AEC $/kWh],MATCH(BJ18,ELECCB[Year Number],1)))+(BF18*INDEX(ELECCB[NPV ACC $/kW],MATCH(BJ18,ELECCB[Year Number],1))))),2)),0)</f>
        <v/>
      </c>
      <c r="BL18" s="767" t="str">
        <f t="shared" ref="BL18" si="3">IF(OR(AE18="", AG18=""), "", AE18+AG18)</f>
        <v/>
      </c>
      <c r="BM18" s="765"/>
      <c r="BN18" s="763" t="str">
        <f t="shared" ref="BN18:BN80" si="4">IFERROR( BK18 / IF(BM18 &lt;&gt; "", BM18, BL18), "")</f>
        <v/>
      </c>
      <c r="BO18" s="763" t="str">
        <f>IFERROR(IF(BM18 &lt;&gt; "", BM18, BL18) / M02S04F06 / AO18, "")</f>
        <v/>
      </c>
      <c r="BP18" s="769"/>
      <c r="BQ18" s="767" t="str">
        <f>IFERROR(IF(AI18="per ton", ROUND(V18*AM18, 2),
IF(AND(ISNUMBER(SEARCH("Air-Cooled Chiller",C18)),AI18="$/ton/IPLV"), ROUND((12/L18-12/N18)*V18*AM18, 2),
ROUND(ABS(N18-L18)*V18*AM18, 2))), "")</f>
        <v/>
      </c>
      <c r="BR18" s="767"/>
      <c r="BS18" s="765"/>
      <c r="BT18" s="765"/>
      <c r="BU18" s="757" t="str">
        <f>IFERROR(IF(BP18="",IF(AND(AO18&gt;0, AR18 &lt; BQ18), "100% Total Cost", ""), ""), "")</f>
        <v/>
      </c>
      <c r="BV18" s="767"/>
      <c r="BW18" s="757" t="str">
        <f>IFERROR(IF(OR(C18="",N18="",V18="",AA18="",T18="",AE18="",AG18=""),"",IF(BY18&lt;&gt;"", SPILLOVERNUMBER, INDEX(CLHVAC[Measure Number],MATCH(C18,CLHVAC[Measure Name],0)))),"Err")</f>
        <v/>
      </c>
      <c r="BX18" s="757" t="str" cm="1">
        <f t="array" ref="BX18">IFERROR(INDEX(_xlfn.SWITCH(Program_Banner,"Business Energy Savings",CLHVAC[Primary Key WBE],"Small Business / Non-Profit",CLHVAC[Primary Key HTRB],0),MATCH(BW18,CLHVAC[Measure Number],0)),"")</f>
        <v/>
      </c>
      <c r="BY18" s="907" t="str">
        <f>IFERROR(
IF(OR(C18="",N18="",T18="",V18="",AA18="",AE18="",AG18=""),
"",
IF(BP18&gt;0,"",IF(OR(AND(ISNUMBER(SEARCH("kW/ton", J18)),OR(L18&lt;N18,R18&lt;T18)),AND(NOT(ISNUMBER(SEARCH("kW/ton", J18))),OR(L18&gt;N18,R18&gt;T18))),
"Must Improve Efficiency",
IFERROR(IF(EXPIRATION&lt;&gt;"",PROJSTATEXP,
IF(BP18&gt;0,"",
IF(OR(M02S04F06="",M02S04F06="Select Rate Code",M02S04F06=0),MEASURERATE,
IF(M02S04F22="", SPACECONDTYPE,
IF(PAYCUSE&lt;PAYBACKREQ,PROJECTSTATPAYBACK,
IF(BN18&lt;CBREQ,PROJECTSTATCB,"")))))),MEASURESUBMIT)))),"")</f>
        <v/>
      </c>
      <c r="BZ18" s="1247" t="str">
        <f>IFERROR(IF(INDEX(CLHVAC[Eff Unit 3],MATCH(C18,CLHVAC[Measure Name],0))="","",INDEX(CLHVAC[Eff Unit 3],MATCH(C18,CLHVAC[Measure Name],0))),"")</f>
        <v/>
      </c>
      <c r="CA18" s="1249" t="str">
        <f>IFERROR(IF(INDEX(CLHVAC[Base Efficiency 3],MATCH(C18,CLHVAC[Measure Name],0))="","",INDEX(CLHVAC[Base Efficiency 3],MATCH(C18,CLHVAC[Measure Name],0))),"")</f>
        <v/>
      </c>
      <c r="CB18" s="1251" t="str">
        <f>IFERROR(IF(ISNUMBER(SEARCH("Air-Cooled Chiller",$C18)),12/N18,""),"")</f>
        <v/>
      </c>
      <c r="CC18" s="1252"/>
    </row>
    <row r="19" spans="1:81" ht="15.95" customHeight="1">
      <c r="B19" s="785"/>
      <c r="C19" s="793"/>
      <c r="D19" s="795"/>
      <c r="E19" s="795"/>
      <c r="F19" s="795"/>
      <c r="G19" s="795"/>
      <c r="H19" s="795"/>
      <c r="I19" s="795"/>
      <c r="J19" s="934"/>
      <c r="K19" s="935"/>
      <c r="L19" s="930"/>
      <c r="M19" s="931"/>
      <c r="N19" s="915"/>
      <c r="O19" s="916"/>
      <c r="P19" s="934"/>
      <c r="Q19" s="935"/>
      <c r="R19" s="930"/>
      <c r="S19" s="931"/>
      <c r="T19" s="952"/>
      <c r="U19" s="953"/>
      <c r="V19" s="926"/>
      <c r="W19" s="927"/>
      <c r="X19" s="793"/>
      <c r="Y19" s="795"/>
      <c r="Z19" s="794"/>
      <c r="AA19" s="904"/>
      <c r="AB19" s="905"/>
      <c r="AC19" s="905"/>
      <c r="AD19" s="906"/>
      <c r="AE19" s="809"/>
      <c r="AF19" s="810"/>
      <c r="AG19" s="810"/>
      <c r="AH19" s="812"/>
      <c r="AI19" s="921"/>
      <c r="AJ19" s="921"/>
      <c r="AK19" s="921"/>
      <c r="AL19" s="922"/>
      <c r="AM19" s="816"/>
      <c r="AN19" s="816"/>
      <c r="AO19" s="818"/>
      <c r="AP19" s="818"/>
      <c r="AQ19" s="818"/>
      <c r="AR19" s="841"/>
      <c r="AS19" s="841"/>
      <c r="AT19" s="841"/>
      <c r="AU19" s="841"/>
      <c r="AV19" s="17"/>
      <c r="AX19" s="774"/>
      <c r="AY19" s="760"/>
      <c r="AZ19" s="760"/>
      <c r="BA19" s="920"/>
      <c r="BB19" s="920"/>
      <c r="BC19" s="774"/>
      <c r="BD19" s="758"/>
      <c r="BE19" s="776"/>
      <c r="BF19" s="776"/>
      <c r="BG19" s="776"/>
      <c r="BH19" s="1241"/>
      <c r="BI19" s="1241"/>
      <c r="BJ19" s="778"/>
      <c r="BK19" s="768"/>
      <c r="BL19" s="768"/>
      <c r="BM19" s="766"/>
      <c r="BN19" s="764"/>
      <c r="BO19" s="764"/>
      <c r="BP19" s="770"/>
      <c r="BQ19" s="768"/>
      <c r="BR19" s="768"/>
      <c r="BS19" s="766"/>
      <c r="BT19" s="766"/>
      <c r="BU19" s="758"/>
      <c r="BV19" s="768"/>
      <c r="BW19" s="758"/>
      <c r="BX19" s="758"/>
      <c r="BY19" s="908"/>
      <c r="BZ19" s="1248"/>
      <c r="CA19" s="1250"/>
      <c r="CB19" s="913"/>
      <c r="CC19" s="909"/>
    </row>
    <row r="20" spans="1:81" ht="15.95" customHeight="1">
      <c r="A20" s="75"/>
      <c r="B20" s="785">
        <v>2</v>
      </c>
      <c r="C20" s="825"/>
      <c r="D20" s="826"/>
      <c r="E20" s="826"/>
      <c r="F20" s="826"/>
      <c r="G20" s="826"/>
      <c r="H20" s="826"/>
      <c r="I20" s="844"/>
      <c r="J20" s="932" t="str">
        <f>IF(C20="","",INDEX(CLHVAC[Eff Unit 1],MATCH(C20,CLHVAC[Measure Name],0)))</f>
        <v/>
      </c>
      <c r="K20" s="933"/>
      <c r="L20" s="928" t="str">
        <f>IF(C20="","",INDEX(CLHVAC[Base Efficiency 1],MATCH(C20,CLHVAC[Measure Name],0)))</f>
        <v/>
      </c>
      <c r="M20" s="929"/>
      <c r="N20" s="915"/>
      <c r="O20" s="916"/>
      <c r="P20" s="932" t="str">
        <f>IF(C20="","",INDEX(CLHVAC[Eff Unit 2],MATCH(C20,CLHVAC[Measure Name],0)))</f>
        <v/>
      </c>
      <c r="Q20" s="933"/>
      <c r="R20" s="928" t="str">
        <f>IF(C20="","",INDEX(CLHVAC[Base Efficiency 2],MATCH(C20,CLHVAC[Measure Name],0)))</f>
        <v/>
      </c>
      <c r="S20" s="929"/>
      <c r="T20" s="950" t="str">
        <f>IF(AND(ISNUMBER(SEARCH("DX",C20)),ISNUMBER(SEARCH("&lt;65 kbtu",C20)),N20&lt;&gt;""),1.12*N20-0.02*N20^2,IF(AND(ISNUMBER(SEARCH("PTAC",C20)),N20&lt;&gt;""),1,""))</f>
        <v/>
      </c>
      <c r="U20" s="951"/>
      <c r="V20" s="926"/>
      <c r="W20" s="927"/>
      <c r="X20" s="825"/>
      <c r="Y20" s="826"/>
      <c r="Z20" s="827"/>
      <c r="AA20" s="904"/>
      <c r="AB20" s="905"/>
      <c r="AC20" s="905"/>
      <c r="AD20" s="906"/>
      <c r="AE20" s="807"/>
      <c r="AF20" s="808"/>
      <c r="AG20" s="808"/>
      <c r="AH20" s="811"/>
      <c r="AI20" s="948" t="str">
        <f>IF(C20="","",INDEX(CLHVAC[Current Unit],MATCH(C20,CLHVAC[Measure Name],0)))</f>
        <v/>
      </c>
      <c r="AJ20" s="948"/>
      <c r="AK20" s="948"/>
      <c r="AL20" s="949"/>
      <c r="AM20" s="814" t="str" cm="1">
        <f t="array" ref="AM20">IFERROR(IF(C20="","",INDEX(IF(AND(ACTIVEBONUS = TRUE,INDEX(CLHVAC[Bonus Incentive],MATCH(C20,CLHVAC[Measure Name],0))&lt;&gt; ""),CLHVAC[Bonus Incentive],_xlfn.SWITCH(Program_Banner,"Business Energy Savings",CLHVAC[BESP Incentive],"Small Business / Non-Profit",CLHVAC[SBNP Incentive],0)),MATCH(C20,CLHVAC[Measure Name],0))),"")</f>
        <v/>
      </c>
      <c r="AN20" s="814"/>
      <c r="AO20" s="817" t="str">
        <f t="shared" ref="AO20" si="5">IFERROR(IF(OR(C20="",N20="",T20="",V20="",AA20="",AE20="",AG20=""),"",IF(BE20&lt;=0, 0, BE20)),"")</f>
        <v/>
      </c>
      <c r="AP20" s="817"/>
      <c r="AQ20" s="817"/>
      <c r="AR20" s="840" t="str">
        <f>IFERROR(IF(OR(C20="",N20="",V20="",AA20="",T20="",AE20="",AG20=""),"",IF(BY20&lt;&gt;"",BY20,IF(BP20&gt;0,BP20,ROUND(IF(AO20&lt;=0,0,MIN(BL20,BQ20)), 2)))), "")</f>
        <v/>
      </c>
      <c r="AS20" s="840"/>
      <c r="AT20" s="840"/>
      <c r="AU20" s="840"/>
      <c r="AV20" s="17"/>
      <c r="AX20" s="1242" t="str">
        <f>IFERROR(IF(OR(C20="",N20="",V20="",AA20="",T20="",AE20="",AG20=""),"",INDEX(CLHVAC[Current Unit],MATCH(C20,CLHVAC[Measure Name],0))),"Err")</f>
        <v/>
      </c>
      <c r="AY20" s="759" t="str">
        <f t="shared" ref="AY20" si="6">IF(OR(L20="", N20="", V20=""), "", ABS(N20-L20)*V20)</f>
        <v/>
      </c>
      <c r="AZ20" s="759" t="str">
        <f t="shared" ref="AZ20" si="7">IF(OR(L20="", N20="", V20=""), "", ABS(N20-L20)*V20)</f>
        <v/>
      </c>
      <c r="BA20" s="919" t="str">
        <f>IF(C20&lt;&gt;"", _xlfn.LET(
_xlpm.Tons_Cool, V20, _xlpm.PLC_Base, L20, _xlpm.Tons_Heat, CC20, _xlpm.Other_Base, R20,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(12/_xlpm.PLC_Base)*_xlpm.EFLH_Cool,
IF(ISNUMBER(SEARCH("Water", C20)),
_xlpm.Tons_Cool * (_xlpm.PLC_Base) * _xlpm.EFLH_Cool,
" "
)),4),
_xlpm.kWhHeat,
IF(
_xlpm.ElecHeat=1,
ROUND(
IF(OR(ISNUMBER(SEARCH("DX", C20)),ISNUMBER(SEARCH("PTAC", C20)), ISNUMBER(SEARCH("Air-Cooled Chiller", C20)), ISNUMBER(SEARCH("Water", C20)),
ISNUMBER(SEARCH("VRF", C20))),
0,
IF(
OR(ISNUMBER(SEARCH("ASHP", C20)), ISNUMBER(SEARCH("PTHP", C20))),
_xlpm.Tons_Heat * (1/_xlpm.Other_Base) * _xlpm.EFLH_Heat,
" "
)),4),
0
),
IFERROR(_xlpm.kWhCool + _xlpm.kWhHeat, "Measure Not Specified.")
), "")</f>
        <v/>
      </c>
      <c r="BB20" s="919" t="str">
        <f>IF(C20&lt;&gt;"", _xlfn.LET(
_xlpm.Tons_Cool, V20,_xlpm.PLC_Eff, N20, _xlpm.Tons_Heat, CC20, _xlpm.Other_Eff, T20,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(12/_xlpm.PLC_Eff)*_xlpm.EFLH_Cool,
IF(ISNUMBER(SEARCH("Water", C20)),
_xlpm.Tons_Cool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(1/_xlpm.Other_Eff) * _xlpm.EFLH_Heat,
" "
)),4),
0
),
IFERROR(_xlpm.kWhCool + _xlpm.kWhHeat, "Measure Not Specified.")
), "")</f>
        <v/>
      </c>
      <c r="BC20" s="1242" t="str">
        <f>IFERROR(IF(OR(C20="",N20="",V20="",AA20="",T20="",AE20="",AG20=""),"",INDEX(CLHVAC[End Use],MATCH(C20,CLHVAC[Measure Name],0))),"Err")</f>
        <v/>
      </c>
      <c r="BD20" s="1238" t="str">
        <f>IFERROR(IF(OR(C20="",N20="",V20="",AA20="",T20="",AE20="",AG20=""),"",INDEX(CLHVAC[Reporting Methodology],MATCH(C20,CLHVAC[Measure Name],0))),"Err")</f>
        <v/>
      </c>
      <c r="BE20" s="775" t="str">
        <f t="shared" si="2"/>
        <v/>
      </c>
      <c r="BF20" s="775" t="str">
        <f t="shared" ref="BF20" si="8">IF(C20&lt;&gt;"", _xlfn.LET(
_xlpm.Tons, V20, _xlpm.PCF, 0.913,
IF(OR(ISNUMBER(SEARCH("DX", C20)), ISNUMBER(SEARCH("Air-Cooled Chiller", C20)), ISNUMBER(SEARCH("VRF", C20))),
IFERROR(_xlpm.Tons * (12/R20 - 12/T20) * _xlpm.PCF, 0),
IF(ISNUMBER(SEARCH("Water", C20)),
IFERROR(_xlpm.Tons * (R20-T20) * _xlpm.PCF, 0),
IF(ISNUMBER(SEARCH("ASHP", C20)),
IFERROR(_xlpm.Tons * (12/CA20 - 12/CB20) * _xlpm.PCF, 0),
IF(OR(ISNUMBER(SEARCH("PTAC", C20)), ISNUMBER(SEARCH("PTHP", C20))),
IFERROR(_xlpm.Tons * (12/L20 - 12/N20) * _xlpm.PCF, 0),
"Measure Not Specified."))))), "")</f>
        <v/>
      </c>
      <c r="BG20" s="775"/>
      <c r="BH20" s="1240"/>
      <c r="BI20" s="1240"/>
      <c r="BJ20" s="777" t="str">
        <f>IFERROR(INDEX(CLHVAC[Measure Life (Years)],MATCH(C20,CLHVAC[Measure Name],0)),"")</f>
        <v/>
      </c>
      <c r="BK20" s="767" t="str">
        <f>IFERROR(IF(OR(C20="",N20="",T20="",V20="",AA20="",AE20="",AG20=""),"",
ROUND(((1+ELOSS)*((BE20*INDEX(ELECCB[NPV AEC $/kWh],MATCH(BJ20,ELECCB[Year Number],1)))+(BF20*INDEX(ELECCB[NPV ACC $/kW],MATCH(BJ20,ELECCB[Year Number],1))))),2)),0)</f>
        <v/>
      </c>
      <c r="BL20" s="767" t="str">
        <f t="shared" ref="BL20" si="9">IF(OR(C20="",N20="",V20="",AA20="",T20="",AE20="",AG20=""),"",ROUND(AE20+AG20,2))</f>
        <v/>
      </c>
      <c r="BM20" s="765"/>
      <c r="BN20" s="763" t="str">
        <f t="shared" si="4"/>
        <v/>
      </c>
      <c r="BO20" s="763" t="str">
        <f>IFERROR(IF(BM20 &lt;&gt; "", BM20, BL20) / M02S04F06 / AO20, "")</f>
        <v/>
      </c>
      <c r="BP20" s="769"/>
      <c r="BQ20" s="767" t="str">
        <f t="shared" ref="BQ20" si="10">IFERROR(IF(AI20="per ton", ROUND(V20*AM20, 2),
IF(AND(ISNUMBER(SEARCH("Air-Cooled Chiller",C20)),AI20="$/ton/IPLV"), ROUND((12/L20-12/N20)*V20*AM20, 2),
ROUND(ABS(N20-L20)*V20*AM20, 2))), "")</f>
        <v/>
      </c>
      <c r="BR20" s="767"/>
      <c r="BS20" s="765"/>
      <c r="BT20" s="765"/>
      <c r="BU20" s="1238" t="str">
        <f t="shared" ref="BU20" si="11">IFERROR(IF(BP20="",IF(AND(AO20&gt;0, AR20 &lt; BQ20), "100% Total Cost", ""), ""), "")</f>
        <v/>
      </c>
      <c r="BV20" s="767"/>
      <c r="BW20" s="1238" t="str">
        <f>IFERROR(IF(OR(C20="",N20="",V20="",AA20="",T20="",AE20="",AG20=""),"",IF(BY20&lt;&gt;"", SPILLOVERNUMBER, INDEX(CLHVAC[Measure Number],MATCH(C20,CLHVAC[Measure Name],0)))),"Err")</f>
        <v/>
      </c>
      <c r="BX20" s="757" t="str" cm="1">
        <f t="array" ref="BX20">IFERROR(INDEX(_xlfn.SWITCH(Program_Banner,"Business Energy Savings",CLHVAC[Primary Key WBE],"Small Business / Non-Profit",CLHVAC[Primary Key HTRB],0),MATCH(BW20,CLHVAC[Measure Number],0)),"")</f>
        <v/>
      </c>
      <c r="BY20" s="1253" t="str">
        <f>IFERROR(
IF(OR(C20="",N20="",T20="",V20="",AA20="",AE20="",AG20=""),
"",
IF(BP20&gt;0,"",IF(OR(AND(ISNUMBER(SEARCH("kW/ton", J20)),OR(L20&lt;N20,R20&lt;T20)),AND(NOT(ISNUMBER(SEARCH("kW/ton", J20))),OR(L20&gt;N20,R20&gt;T20))),
"Must Improve Efficiency",
IFERROR(IF(EXPIRATION&lt;&gt;"",PROJSTATEXP,
IF(BP20&gt;0,"",
IF(OR(M02S04F06="",M02S04F06="Select Rate Code",M02S04F06=0),MEASURERATE,
IF(M02S04F22="", SPACECONDTYPE,
IF(PAYCUSE&lt;PAYBACKREQ,PROJECTSTATPAYBACK,
IF(BN20&lt;CBREQ,PROJECTSTATCB,"")))))),MEASURESUBMIT)))),"")</f>
        <v/>
      </c>
      <c r="BZ20" s="1247" t="str">
        <f>IFERROR(IF(INDEX(CLHVAC[Eff Unit 3],MATCH(C20,CLHVAC[Measure Name],0))="","",INDEX(CLHVAC[Eff Unit 3],MATCH(C20,CLHVAC[Measure Name],0))),"")</f>
        <v/>
      </c>
      <c r="CA20" s="1249" t="str">
        <f>IFERROR(IF(INDEX(CLHVAC[Base Efficiency 3],MATCH(C20,CLHVAC[Measure Name],0))="","",INDEX(CLHVAC[Base Efficiency 3],MATCH(C20,CLHVAC[Measure Name],0))),"")</f>
        <v/>
      </c>
      <c r="CB20" s="1251" t="str">
        <f t="shared" ref="CB20" si="12">IFERROR(IF(ISNUMBER(SEARCH("Air-Cooled Chiller",$C20)),12/N20,""),"")</f>
        <v/>
      </c>
      <c r="CC20" s="1252"/>
    </row>
    <row r="21" spans="1:81" ht="15.95" customHeight="1">
      <c r="B21" s="785"/>
      <c r="C21" s="793"/>
      <c r="D21" s="795"/>
      <c r="E21" s="795"/>
      <c r="F21" s="795"/>
      <c r="G21" s="795"/>
      <c r="H21" s="795"/>
      <c r="I21" s="845"/>
      <c r="J21" s="934"/>
      <c r="K21" s="935"/>
      <c r="L21" s="930"/>
      <c r="M21" s="931"/>
      <c r="N21" s="915"/>
      <c r="O21" s="916"/>
      <c r="P21" s="934"/>
      <c r="Q21" s="935"/>
      <c r="R21" s="930"/>
      <c r="S21" s="931"/>
      <c r="T21" s="952"/>
      <c r="U21" s="953"/>
      <c r="V21" s="926"/>
      <c r="W21" s="927"/>
      <c r="X21" s="793"/>
      <c r="Y21" s="795"/>
      <c r="Z21" s="794"/>
      <c r="AA21" s="904"/>
      <c r="AB21" s="905"/>
      <c r="AC21" s="905"/>
      <c r="AD21" s="906"/>
      <c r="AE21" s="809"/>
      <c r="AF21" s="810"/>
      <c r="AG21" s="810"/>
      <c r="AH21" s="812"/>
      <c r="AI21" s="921"/>
      <c r="AJ21" s="921"/>
      <c r="AK21" s="921"/>
      <c r="AL21" s="922"/>
      <c r="AM21" s="816"/>
      <c r="AN21" s="816"/>
      <c r="AO21" s="818"/>
      <c r="AP21" s="818"/>
      <c r="AQ21" s="818"/>
      <c r="AR21" s="841"/>
      <c r="AS21" s="841"/>
      <c r="AT21" s="841"/>
      <c r="AU21" s="841"/>
      <c r="AV21" s="17"/>
      <c r="AX21" s="1243"/>
      <c r="AY21" s="760"/>
      <c r="AZ21" s="760"/>
      <c r="BA21" s="920"/>
      <c r="BB21" s="920"/>
      <c r="BC21" s="1243"/>
      <c r="BD21" s="1239"/>
      <c r="BE21" s="776"/>
      <c r="BF21" s="776"/>
      <c r="BG21" s="776"/>
      <c r="BH21" s="1241"/>
      <c r="BI21" s="1241"/>
      <c r="BJ21" s="778"/>
      <c r="BK21" s="768"/>
      <c r="BL21" s="768"/>
      <c r="BM21" s="766"/>
      <c r="BN21" s="764"/>
      <c r="BO21" s="764"/>
      <c r="BP21" s="770"/>
      <c r="BQ21" s="768"/>
      <c r="BR21" s="768"/>
      <c r="BS21" s="766"/>
      <c r="BT21" s="766"/>
      <c r="BU21" s="1239"/>
      <c r="BV21" s="768"/>
      <c r="BW21" s="1239"/>
      <c r="BX21" s="758"/>
      <c r="BY21" s="1254"/>
      <c r="BZ21" s="1248"/>
      <c r="CA21" s="1250"/>
      <c r="CB21" s="913"/>
      <c r="CC21" s="909"/>
    </row>
    <row r="22" spans="1:81" ht="15.95" customHeight="1">
      <c r="A22" s="75"/>
      <c r="B22" s="785">
        <v>3</v>
      </c>
      <c r="C22" s="825"/>
      <c r="D22" s="826"/>
      <c r="E22" s="826"/>
      <c r="F22" s="826"/>
      <c r="G22" s="826"/>
      <c r="H22" s="826"/>
      <c r="I22" s="826"/>
      <c r="J22" s="932" t="str">
        <f>IF(C22="","",INDEX(CLHVAC[Eff Unit 1],MATCH(C22,CLHVAC[Measure Name],0)))</f>
        <v/>
      </c>
      <c r="K22" s="933"/>
      <c r="L22" s="928" t="str">
        <f>IF(C22="","",INDEX(CLHVAC[Base Efficiency 1],MATCH(C22,CLHVAC[Measure Name],0)))</f>
        <v/>
      </c>
      <c r="M22" s="929"/>
      <c r="N22" s="915"/>
      <c r="O22" s="916"/>
      <c r="P22" s="932" t="str">
        <f>IF(C22="","",INDEX(CLHVAC[Eff Unit 2],MATCH(C22,CLHVAC[Measure Name],0)))</f>
        <v/>
      </c>
      <c r="Q22" s="933"/>
      <c r="R22" s="928" t="str">
        <f>IF(C22="","",INDEX(CLHVAC[Base Efficiency 2],MATCH(C22,CLHVAC[Measure Name],0)))</f>
        <v/>
      </c>
      <c r="S22" s="929"/>
      <c r="T22" s="950" t="str">
        <f>IF(AND(ISNUMBER(SEARCH("DX",C22)),ISNUMBER(SEARCH("&lt;65 kbtu",C22)),N22&lt;&gt;""),1.12*N22-0.02*N22^2,IF(AND(ISNUMBER(SEARCH("PTAC",C22)),N22&lt;&gt;""),1,""))</f>
        <v/>
      </c>
      <c r="U22" s="951"/>
      <c r="V22" s="926"/>
      <c r="W22" s="927"/>
      <c r="X22" s="825"/>
      <c r="Y22" s="826"/>
      <c r="Z22" s="827"/>
      <c r="AA22" s="904"/>
      <c r="AB22" s="905"/>
      <c r="AC22" s="905"/>
      <c r="AD22" s="906"/>
      <c r="AE22" s="807"/>
      <c r="AF22" s="808"/>
      <c r="AG22" s="808"/>
      <c r="AH22" s="811"/>
      <c r="AI22" s="948" t="str">
        <f>IF(C22="","",INDEX(CLHVAC[Current Unit],MATCH(C22,CLHVAC[Measure Name],0)))</f>
        <v/>
      </c>
      <c r="AJ22" s="948"/>
      <c r="AK22" s="948"/>
      <c r="AL22" s="949"/>
      <c r="AM22" s="814" t="str" cm="1">
        <f t="array" ref="AM22">IFERROR(IF(C22="","",INDEX(IF(AND(ACTIVEBONUS = TRUE,INDEX(CLHVAC[Bonus Incentive],MATCH(C22,CLHVAC[Measure Name],0))&lt;&gt; ""),CLHVAC[Bonus Incentive],_xlfn.SWITCH(Program_Banner,"Business Energy Savings",CLHVAC[BESP Incentive],"Small Business / Non-Profit",CLHVAC[SBNP Incentive],0)),MATCH(C22,CLHVAC[Measure Name],0))),"")</f>
        <v/>
      </c>
      <c r="AN22" s="814"/>
      <c r="AO22" s="817" t="str">
        <f t="shared" ref="AO22" si="13">IFERROR(IF(OR(C22="",N22="",T22="",V22="",AA22="",AE22="",AG22=""),"",IF(BE22&lt;=0, 0, BE22)),"")</f>
        <v/>
      </c>
      <c r="AP22" s="817"/>
      <c r="AQ22" s="817"/>
      <c r="AR22" s="840" t="str">
        <f>IFERROR(IF(OR(C22="",N22="",V22="",AA22="",T22="",AE22="",AG22=""),"",IF(BY22&lt;&gt;"",BY22,IF(BP22&gt;0,BP22,ROUND(IF(AO22&lt;=0,0,MIN(BL22,BQ22)), 2)))), "")</f>
        <v/>
      </c>
      <c r="AS22" s="840"/>
      <c r="AT22" s="840"/>
      <c r="AU22" s="840"/>
      <c r="AV22" s="17"/>
      <c r="AX22" s="1242" t="str">
        <f>IFERROR(IF(OR(C22="",N22="",V22="",AA22="",T22="",AE22="",AG22=""),"",INDEX(CLHVAC[Current Unit],MATCH(C22,CLHVAC[Measure Name],0))),"Err")</f>
        <v/>
      </c>
      <c r="AY22" s="759" t="str">
        <f t="shared" ref="AY22" si="14">IF(OR(L22="", N22="", V22=""), "", ABS(N22-L22)*V22)</f>
        <v/>
      </c>
      <c r="AZ22" s="759" t="str">
        <f t="shared" ref="AZ22" si="15">IF(OR(L22="", N22="", V22=""), "", ABS(N22-L22)*V22)</f>
        <v/>
      </c>
      <c r="BA22" s="919" t="str">
        <f>IF(C22&lt;&gt;"", _xlfn.LET(
_xlpm.Tons_Cool, V22, _xlpm.PLC_Base, L22, _xlpm.Tons_Heat, CC22, _xlpm.Other_Base, R22,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(12/_xlpm.PLC_Base)*_xlpm.EFLH_Cool,
IF(ISNUMBER(SEARCH("Water", C22)),
_xlpm.Tons_Cool * (_xlpm.PLC_Base) * _xlpm.EFLH_Cool,
" "
)),4),
_xlpm.kWhHeat,
IF(
_xlpm.ElecHeat=1,
ROUND(
IF(OR(ISNUMBER(SEARCH("DX", C22)),ISNUMBER(SEARCH("PTAC", C22)), ISNUMBER(SEARCH("Air-Cooled Chiller", C22)), ISNUMBER(SEARCH("Water", C22)),
ISNUMBER(SEARCH("VRF", C22))),
0,
IF(
OR(ISNUMBER(SEARCH("ASHP", C22)), ISNUMBER(SEARCH("PTHP", C22))),
_xlpm.Tons_Heat * (1/_xlpm.Other_Base) * _xlpm.EFLH_Heat,
" "
)),4),
0
),
IFERROR(_xlpm.kWhCool + _xlpm.kWhHeat, "Measure Not Specified.")
), "")</f>
        <v/>
      </c>
      <c r="BB22" s="919" t="str">
        <f>IF(C22&lt;&gt;"", _xlfn.LET(
_xlpm.Tons_Cool, V22,_xlpm.PLC_Eff, N22, _xlpm.Tons_Heat, CC22, _xlpm.Other_Eff, T22,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(12/_xlpm.PLC_Eff)*_xlpm.EFLH_Cool,
IF(ISNUMBER(SEARCH("Water", C22)),
_xlpm.Tons_Cool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(1/_xlpm.Other_Eff) * _xlpm.EFLH_Heat,
" "
)),4),
0
),
IFERROR(_xlpm.kWhCool + _xlpm.kWhHeat, "Measure Not Specified.")
), "")</f>
        <v/>
      </c>
      <c r="BC22" s="1242" t="str">
        <f>IFERROR(IF(OR(C22="",N22="",V22="",AA22="",T22="",AE22="",AG22=""),"",INDEX(CLHVAC[End Use],MATCH(C22,CLHVAC[Measure Name],0))),"Err")</f>
        <v/>
      </c>
      <c r="BD22" s="1238" t="str">
        <f>IFERROR(IF(OR(C22="",N22="",V22="",AA22="",T22="",AE22="",AG22=""),"",INDEX(CLHVAC[Reporting Methodology],MATCH(C22,CLHVAC[Measure Name],0))),"Err")</f>
        <v/>
      </c>
      <c r="BE22" s="775" t="str">
        <f t="shared" si="2"/>
        <v/>
      </c>
      <c r="BF22" s="775" t="str">
        <f t="shared" ref="BF22" si="16">IF(C22&lt;&gt;"", _xlfn.LET(
_xlpm.Tons, V22, _xlpm.PCF, 0.913,
IF(OR(ISNUMBER(SEARCH("DX", C22)), ISNUMBER(SEARCH("Air-Cooled Chiller", C22)), ISNUMBER(SEARCH("VRF", C22))),
IFERROR(_xlpm.Tons * (12/R22 - 12/T22) * _xlpm.PCF, 0),
IF(ISNUMBER(SEARCH("Water", C22)),
IFERROR(_xlpm.Tons * (R22-T22) * _xlpm.PCF, 0),
IF(ISNUMBER(SEARCH("ASHP", C22)),
IFERROR(_xlpm.Tons * (12/CA22 - 12/CB22) * _xlpm.PCF, 0),
IF(OR(ISNUMBER(SEARCH("PTAC", C22)), ISNUMBER(SEARCH("PTHP", C22))),
IFERROR(_xlpm.Tons * (12/L22 - 12/N22) * _xlpm.PCF, 0),
"Measure Not Specified."))))), "")</f>
        <v/>
      </c>
      <c r="BG22" s="775"/>
      <c r="BH22" s="1240"/>
      <c r="BI22" s="1240"/>
      <c r="BJ22" s="777" t="str">
        <f>IFERROR(INDEX(CLHVAC[Measure Life (Years)],MATCH(C22,CLHVAC[Measure Name],0)),"")</f>
        <v/>
      </c>
      <c r="BK22" s="767" t="str">
        <f>IFERROR(IF(OR(C22="",N22="",T22="",V22="",AA22="",AE22="",AG22=""),"",
ROUND(((1+ELOSS)*((BE22*INDEX(ELECCB[NPV AEC $/kWh],MATCH(BJ22,ELECCB[Year Number],1)))+(BF22*INDEX(ELECCB[NPV ACC $/kW],MATCH(BJ22,ELECCB[Year Number],1))))),2)),0)</f>
        <v/>
      </c>
      <c r="BL22" s="767" t="str">
        <f t="shared" ref="BL22" si="17">IF(OR(C22="",N22="",V22="",AA22="",T22="",AE22="",AG22=""),"",ROUND(AE22+AG22,2))</f>
        <v/>
      </c>
      <c r="BM22" s="765"/>
      <c r="BN22" s="763" t="str">
        <f t="shared" si="4"/>
        <v/>
      </c>
      <c r="BO22" s="763" t="str">
        <f>IFERROR(IF(BM22 &lt;&gt; "", BM22, BL22) / M02S04F06 / AO22, "")</f>
        <v/>
      </c>
      <c r="BP22" s="769"/>
      <c r="BQ22" s="767" t="str">
        <f t="shared" ref="BQ22" si="18">IFERROR(IF(AI22="per ton", ROUND(V22*AM22, 2),
IF(AND(ISNUMBER(SEARCH("Air-Cooled Chiller",C22)),AI22="$/ton/IPLV"), ROUND((12/L22-12/N22)*V22*AM22, 2),
ROUND(ABS(N22-L22)*V22*AM22, 2))), "")</f>
        <v/>
      </c>
      <c r="BR22" s="767"/>
      <c r="BS22" s="765"/>
      <c r="BT22" s="765"/>
      <c r="BU22" s="1238" t="str">
        <f t="shared" ref="BU22" si="19">IFERROR(IF(BP22="",IF(AND(AO22&gt;0, AR22 &lt; BQ22), "100% Total Cost", ""), ""), "")</f>
        <v/>
      </c>
      <c r="BV22" s="767"/>
      <c r="BW22" s="1238" t="str">
        <f>IFERROR(IF(OR(C22="",N22="",V22="",AA22="",T22="",AE22="",AG22=""),"",IF(BY22&lt;&gt;"", SPILLOVERNUMBER, INDEX(CLHVAC[Measure Number],MATCH(C22,CLHVAC[Measure Name],0)))),"Err")</f>
        <v/>
      </c>
      <c r="BX22" s="757" t="str" cm="1">
        <f t="array" ref="BX22">IFERROR(INDEX(_xlfn.SWITCH(Program_Banner,"Business Energy Savings",CLHVAC[Primary Key WBE],"Small Business / Non-Profit",CLHVAC[Primary Key HTRB],0),MATCH(BW22,CLHVAC[Measure Number],0)),"")</f>
        <v/>
      </c>
      <c r="BY22" s="1253" t="str">
        <f>IFERROR(
IF(OR(C22="",N22="",T22="",V22="",AA22="",AE22="",AG22=""),
"",
IF(BP22&gt;0,"",IF(OR(AND(ISNUMBER(SEARCH("kW/ton", J22)),OR(L22&lt;N22,R22&lt;T22)),AND(NOT(ISNUMBER(SEARCH("kW/ton", J22))),OR(L22&gt;N22,R22&gt;T22))),
"Must Improve Efficiency",
IFERROR(IF(EXPIRATION&lt;&gt;"",PROJSTATEXP,
IF(BP22&gt;0,"",
IF(OR(M02S04F06="",M02S04F06="Select Rate Code",M02S04F06=0),MEASURERATE,
IF(M02S04F22="", SPACECONDTYPE,
IF(PAYCUSE&lt;PAYBACKREQ,PROJECTSTATPAYBACK,
IF(BN22&lt;CBREQ,PROJECTSTATCB,"")))))),MEASURESUBMIT)))),"")</f>
        <v/>
      </c>
      <c r="BZ22" s="1247" t="str">
        <f>IFERROR(IF(INDEX(CLHVAC[Eff Unit 3],MATCH(C22,CLHVAC[Measure Name],0))="","",INDEX(CLHVAC[Eff Unit 3],MATCH(C22,CLHVAC[Measure Name],0))),"")</f>
        <v/>
      </c>
      <c r="CA22" s="1249" t="str">
        <f>IFERROR(IF(INDEX(CLHVAC[Base Efficiency 3],MATCH(C22,CLHVAC[Measure Name],0))="","",INDEX(CLHVAC[Base Efficiency 3],MATCH(C22,CLHVAC[Measure Name],0))),"")</f>
        <v/>
      </c>
      <c r="CB22" s="1251" t="str">
        <f t="shared" ref="CB22" si="20">IFERROR(IF(ISNUMBER(SEARCH("Air-Cooled Chiller",$C22)),12/N22,""),"")</f>
        <v/>
      </c>
      <c r="CC22" s="1252"/>
    </row>
    <row r="23" spans="1:81" ht="15.95" customHeight="1">
      <c r="B23" s="785"/>
      <c r="C23" s="793"/>
      <c r="D23" s="795"/>
      <c r="E23" s="795"/>
      <c r="F23" s="795"/>
      <c r="G23" s="795"/>
      <c r="H23" s="795"/>
      <c r="I23" s="795"/>
      <c r="J23" s="934"/>
      <c r="K23" s="935"/>
      <c r="L23" s="930"/>
      <c r="M23" s="931"/>
      <c r="N23" s="915"/>
      <c r="O23" s="916"/>
      <c r="P23" s="934"/>
      <c r="Q23" s="935"/>
      <c r="R23" s="930"/>
      <c r="S23" s="931"/>
      <c r="T23" s="952"/>
      <c r="U23" s="953"/>
      <c r="V23" s="926"/>
      <c r="W23" s="927"/>
      <c r="X23" s="793"/>
      <c r="Y23" s="795"/>
      <c r="Z23" s="794"/>
      <c r="AA23" s="904"/>
      <c r="AB23" s="905"/>
      <c r="AC23" s="905"/>
      <c r="AD23" s="906"/>
      <c r="AE23" s="809"/>
      <c r="AF23" s="810"/>
      <c r="AG23" s="810"/>
      <c r="AH23" s="812"/>
      <c r="AI23" s="921"/>
      <c r="AJ23" s="921"/>
      <c r="AK23" s="921"/>
      <c r="AL23" s="922"/>
      <c r="AM23" s="816"/>
      <c r="AN23" s="816"/>
      <c r="AO23" s="818"/>
      <c r="AP23" s="818"/>
      <c r="AQ23" s="818"/>
      <c r="AR23" s="841"/>
      <c r="AS23" s="841"/>
      <c r="AT23" s="841"/>
      <c r="AU23" s="841"/>
      <c r="AV23" s="17"/>
      <c r="AX23" s="1243"/>
      <c r="AY23" s="760"/>
      <c r="AZ23" s="760"/>
      <c r="BA23" s="920"/>
      <c r="BB23" s="920"/>
      <c r="BC23" s="1243"/>
      <c r="BD23" s="1239"/>
      <c r="BE23" s="776"/>
      <c r="BF23" s="776"/>
      <c r="BG23" s="776"/>
      <c r="BH23" s="1241"/>
      <c r="BI23" s="1241"/>
      <c r="BJ23" s="778"/>
      <c r="BK23" s="768"/>
      <c r="BL23" s="768"/>
      <c r="BM23" s="766"/>
      <c r="BN23" s="764"/>
      <c r="BO23" s="764"/>
      <c r="BP23" s="770"/>
      <c r="BQ23" s="768"/>
      <c r="BR23" s="768"/>
      <c r="BS23" s="766"/>
      <c r="BT23" s="766"/>
      <c r="BU23" s="1239"/>
      <c r="BV23" s="768"/>
      <c r="BW23" s="1239"/>
      <c r="BX23" s="758"/>
      <c r="BY23" s="1254"/>
      <c r="BZ23" s="1248"/>
      <c r="CA23" s="1250"/>
      <c r="CB23" s="913"/>
      <c r="CC23" s="909"/>
    </row>
    <row r="24" spans="1:81" ht="15.95" customHeight="1">
      <c r="B24" s="785">
        <v>4</v>
      </c>
      <c r="C24" s="825"/>
      <c r="D24" s="826"/>
      <c r="E24" s="826"/>
      <c r="F24" s="826"/>
      <c r="G24" s="826"/>
      <c r="H24" s="826"/>
      <c r="I24" s="826"/>
      <c r="J24" s="932" t="str">
        <f>IF(C24="","",INDEX(CLHVAC[Eff Unit 1],MATCH(C24,CLHVAC[Measure Name],0)))</f>
        <v/>
      </c>
      <c r="K24" s="933"/>
      <c r="L24" s="928" t="str">
        <f>IF(C24="","",INDEX(CLHVAC[Base Efficiency 1],MATCH(C24,CLHVAC[Measure Name],0)))</f>
        <v/>
      </c>
      <c r="M24" s="929"/>
      <c r="N24" s="915"/>
      <c r="O24" s="916"/>
      <c r="P24" s="932" t="str">
        <f>IF(C24="","",INDEX(CLHVAC[Eff Unit 2],MATCH(C24,CLHVAC[Measure Name],0)))</f>
        <v/>
      </c>
      <c r="Q24" s="933"/>
      <c r="R24" s="928" t="str">
        <f>IF(C24="","",INDEX(CLHVAC[Base Efficiency 2],MATCH(C24,CLHVAC[Measure Name],0)))</f>
        <v/>
      </c>
      <c r="S24" s="929"/>
      <c r="T24" s="950" t="str">
        <f>IF(AND(ISNUMBER(SEARCH("DX",C24)),ISNUMBER(SEARCH("&lt;65 kbtu",C24)),N24&lt;&gt;""),1.12*N24-0.02*N24^2,IF(AND(ISNUMBER(SEARCH("PTAC",C24)),N24&lt;&gt;""),1,""))</f>
        <v/>
      </c>
      <c r="U24" s="951"/>
      <c r="V24" s="926"/>
      <c r="W24" s="927"/>
      <c r="X24" s="825"/>
      <c r="Y24" s="826"/>
      <c r="Z24" s="827"/>
      <c r="AA24" s="904"/>
      <c r="AB24" s="905"/>
      <c r="AC24" s="905"/>
      <c r="AD24" s="906"/>
      <c r="AE24" s="807"/>
      <c r="AF24" s="808"/>
      <c r="AG24" s="808"/>
      <c r="AH24" s="811"/>
      <c r="AI24" s="948" t="str">
        <f>IF(C24="","",INDEX(CLHVAC[Current Unit],MATCH(C24,CLHVAC[Measure Name],0)))</f>
        <v/>
      </c>
      <c r="AJ24" s="948"/>
      <c r="AK24" s="948"/>
      <c r="AL24" s="949"/>
      <c r="AM24" s="814" t="str" cm="1">
        <f t="array" ref="AM24">IFERROR(IF(C24="","",INDEX(IF(AND(ACTIVEBONUS = TRUE,INDEX(CLHVAC[Bonus Incentive],MATCH(C24,CLHVAC[Measure Name],0))&lt;&gt; ""),CLHVAC[Bonus Incentive],_xlfn.SWITCH(Program_Banner,"Business Energy Savings",CLHVAC[BESP Incentive],"Small Business / Non-Profit",CLHVAC[SBNP Incentive],0)),MATCH(C24,CLHVAC[Measure Name],0))),"")</f>
        <v/>
      </c>
      <c r="AN24" s="814"/>
      <c r="AO24" s="817" t="str">
        <f t="shared" ref="AO24" si="21">IFERROR(IF(OR(C24="",N24="",T24="",V24="",AA24="",AE24="",AG24=""),"",IF(BE24&lt;=0, 0, BE24)),"")</f>
        <v/>
      </c>
      <c r="AP24" s="817"/>
      <c r="AQ24" s="817"/>
      <c r="AR24" s="840" t="str">
        <f>IFERROR(IF(OR(C24="",N24="",V24="",AA24="",T24="",AE24="",AG24=""),"",IF(BY24&lt;&gt;"",BY24,IF(BP24&gt;0,BP24,ROUND(IF(AO24&lt;=0,0,MIN(BL24,BQ24)), 2)))), "")</f>
        <v/>
      </c>
      <c r="AS24" s="840"/>
      <c r="AT24" s="840"/>
      <c r="AU24" s="840"/>
      <c r="AV24" s="17"/>
      <c r="AX24" s="1242" t="str">
        <f>IFERROR(IF(OR(C24="",N24="",V24="",AA24="",T24="",AE24="",AG24=""),"",INDEX(CLHVAC[Current Unit],MATCH(C24,CLHVAC[Measure Name],0))),"Err")</f>
        <v/>
      </c>
      <c r="AY24" s="759" t="str">
        <f t="shared" ref="AY24" si="22">IF(OR(L24="", N24="", V24=""), "", ABS(N24-L24)*V24)</f>
        <v/>
      </c>
      <c r="AZ24" s="759" t="str">
        <f t="shared" ref="AZ24" si="23">IF(OR(L24="", N24="", V24=""), "", ABS(N24-L24)*V24)</f>
        <v/>
      </c>
      <c r="BA24" s="919" t="str">
        <f>IF(C24&lt;&gt;"", _xlfn.LET(
_xlpm.Tons_Cool, V24, _xlpm.PLC_Base, L24, _xlpm.Tons_Heat, CC24, _xlpm.Other_Base, R24,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(12/_xlpm.PLC_Base)*_xlpm.EFLH_Cool,
IF(ISNUMBER(SEARCH("Water", C24)),
_xlpm.Tons_Cool * (_xlpm.PLC_Base) * _xlpm.EFLH_Cool,
" "
)),4),
_xlpm.kWhHeat,
IF(
_xlpm.ElecHeat=1,
ROUND(
IF(OR(ISNUMBER(SEARCH("DX", C24)),ISNUMBER(SEARCH("PTAC", C24)), ISNUMBER(SEARCH("Air-Cooled Chiller", C24)), ISNUMBER(SEARCH("Water", C24)),
ISNUMBER(SEARCH("VRF", C24))),
0,
IF(
OR(ISNUMBER(SEARCH("ASHP", C24)), ISNUMBER(SEARCH("PTHP", C24))),
_xlpm.Tons_Heat * (1/_xlpm.Other_Base) * _xlpm.EFLH_Heat,
" "
)),4),
0
),
IFERROR(_xlpm.kWhCool + _xlpm.kWhHeat, "Measure Not Specified.")
), "")</f>
        <v/>
      </c>
      <c r="BB24" s="919" t="str">
        <f>IF(C24&lt;&gt;"", _xlfn.LET(
_xlpm.Tons_Cool, V24,_xlpm.PLC_Eff, N24, _xlpm.Tons_Heat, CC24, _xlpm.Other_Eff, T24,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(12/_xlpm.PLC_Eff)*_xlpm.EFLH_Cool,
IF(ISNUMBER(SEARCH("Water", C24)),
_xlpm.Tons_Cool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(1/_xlpm.Other_Eff) * _xlpm.EFLH_Heat,
" "
)),4),
0
),
IFERROR(_xlpm.kWhCool + _xlpm.kWhHeat, "Measure Not Specified.")
), "")</f>
        <v/>
      </c>
      <c r="BC24" s="1242" t="str">
        <f>IFERROR(IF(OR(C24="",N24="",V24="",AA24="",T24="",AE24="",AG24=""),"",INDEX(CLHVAC[End Use],MATCH(C24,CLHVAC[Measure Name],0))),"Err")</f>
        <v/>
      </c>
      <c r="BD24" s="1238" t="str">
        <f>IFERROR(IF(OR(C24="",N24="",V24="",AA24="",T24="",AE24="",AG24=""),"",INDEX(CLHVAC[Reporting Methodology],MATCH(C24,CLHVAC[Measure Name],0))),"Err")</f>
        <v/>
      </c>
      <c r="BE24" s="775" t="str">
        <f t="shared" si="2"/>
        <v/>
      </c>
      <c r="BF24" s="775" t="str">
        <f t="shared" ref="BF24" si="24">IF(C24&lt;&gt;"", _xlfn.LET(
_xlpm.Tons, V24, _xlpm.PCF, 0.913,
IF(OR(ISNUMBER(SEARCH("DX", C24)), ISNUMBER(SEARCH("Air-Cooled Chiller", C24)), ISNUMBER(SEARCH("VRF", C24))),
IFERROR(_xlpm.Tons * (12/R24 - 12/T24) * _xlpm.PCF, 0),
IF(ISNUMBER(SEARCH("Water", C24)),
IFERROR(_xlpm.Tons * (R24-T24) * _xlpm.PCF, 0),
IF(ISNUMBER(SEARCH("ASHP", C24)),
IFERROR(_xlpm.Tons * (12/CA24 - 12/CB24) * _xlpm.PCF, 0),
IF(OR(ISNUMBER(SEARCH("PTAC", C24)), ISNUMBER(SEARCH("PTHP", C24))),
IFERROR(_xlpm.Tons * (12/L24 - 12/N24) * _xlpm.PCF, 0),
"Measure Not Specified."))))), "")</f>
        <v/>
      </c>
      <c r="BG24" s="775"/>
      <c r="BH24" s="1240"/>
      <c r="BI24" s="1240"/>
      <c r="BJ24" s="777" t="str">
        <f>IFERROR(INDEX(CLHVAC[Measure Life (Years)],MATCH(C24,CLHVAC[Measure Name],0)),"")</f>
        <v/>
      </c>
      <c r="BK24" s="767" t="str">
        <f>IFERROR(IF(OR(C24="",N24="",T24="",V24="",AA24="",AE24="",AG24=""),"",
ROUND(((1+ELOSS)*((BE24*INDEX(ELECCB[NPV AEC $/kWh],MATCH(BJ24,ELECCB[Year Number],1)))+(BF24*INDEX(ELECCB[NPV ACC $/kW],MATCH(BJ24,ELECCB[Year Number],1))))),2)),0)</f>
        <v/>
      </c>
      <c r="BL24" s="767" t="str">
        <f t="shared" ref="BL24" si="25">IF(OR(C24="",N24="",V24="",AA24="",T24="",AE24="",AG24=""),"",ROUND(AE24+AG24,2))</f>
        <v/>
      </c>
      <c r="BM24" s="765"/>
      <c r="BN24" s="763" t="str">
        <f t="shared" si="4"/>
        <v/>
      </c>
      <c r="BO24" s="763" t="str">
        <f>IFERROR(IF(BM24 &lt;&gt; "", BM24, BL24) / M02S04F06 / AO24, "")</f>
        <v/>
      </c>
      <c r="BP24" s="769"/>
      <c r="BQ24" s="767" t="str">
        <f t="shared" ref="BQ24" si="26">IFERROR(IF(AI24="per ton", ROUND(V24*AM24, 2),
IF(AND(ISNUMBER(SEARCH("Air-Cooled Chiller",C24)),AI24="$/ton/IPLV"), ROUND((12/L24-12/N24)*V24*AM24, 2),
ROUND(ABS(N24-L24)*V24*AM24, 2))), "")</f>
        <v/>
      </c>
      <c r="BR24" s="767"/>
      <c r="BS24" s="765"/>
      <c r="BT24" s="765"/>
      <c r="BU24" s="1238" t="str">
        <f t="shared" ref="BU24" si="27">IFERROR(IF(BP24="",IF(AND(AO24&gt;0, AR24 &lt; BQ24), "100% Total Cost", ""), ""), "")</f>
        <v/>
      </c>
      <c r="BV24" s="767"/>
      <c r="BW24" s="1238" t="str">
        <f>IFERROR(IF(OR(C24="",N24="",V24="",AA24="",T24="",AE24="",AG24=""),"",IF(BY24&lt;&gt;"", SPILLOVERNUMBER, INDEX(CLHVAC[Measure Number],MATCH(C24,CLHVAC[Measure Name],0)))),"Err")</f>
        <v/>
      </c>
      <c r="BX24" s="757" t="str" cm="1">
        <f t="array" ref="BX24">IFERROR(INDEX(_xlfn.SWITCH(Program_Banner,"Business Energy Savings",CLHVAC[Primary Key WBE],"Small Business / Non-Profit",CLHVAC[Primary Key HTRB],0),MATCH(BW24,CLHVAC[Measure Number],0)),"")</f>
        <v/>
      </c>
      <c r="BY24" s="1253" t="str">
        <f>IFERROR(
IF(OR(C24="",N24="",T24="",V24="",AA24="",AE24="",AG24=""),
"",
IF(BP24&gt;0,"",IF(OR(AND(ISNUMBER(SEARCH("kW/ton", J24)),OR(L24&lt;N24,R24&lt;T24)),AND(NOT(ISNUMBER(SEARCH("kW/ton", J24))),OR(L24&gt;N24,R24&gt;T24))),
"Must Improve Efficiency",
IFERROR(IF(EXPIRATION&lt;&gt;"",PROJSTATEXP,
IF(BP24&gt;0,"",
IF(OR(M02S04F06="",M02S04F06="Select Rate Code",M02S04F06=0),MEASURERATE,
IF(M02S04F22="", SPACECONDTYPE,
IF(PAYCUSE&lt;PAYBACKREQ,PROJECTSTATPAYBACK,
IF(BN24&lt;CBREQ,PROJECTSTATCB,"")))))),MEASURESUBMIT)))),"")</f>
        <v/>
      </c>
      <c r="BZ24" s="1247" t="str">
        <f>IFERROR(IF(INDEX(CLHVAC[Eff Unit 3],MATCH(C24,CLHVAC[Measure Name],0))="","",INDEX(CLHVAC[Eff Unit 3],MATCH(C24,CLHVAC[Measure Name],0))),"")</f>
        <v/>
      </c>
      <c r="CA24" s="1249" t="str">
        <f>IFERROR(IF(INDEX(CLHVAC[Base Efficiency 3],MATCH(C24,CLHVAC[Measure Name],0))="","",INDEX(CLHVAC[Base Efficiency 3],MATCH(C24,CLHVAC[Measure Name],0))),"")</f>
        <v/>
      </c>
      <c r="CB24" s="1251" t="str">
        <f t="shared" ref="CB24" si="28">IFERROR(IF(ISNUMBER(SEARCH("Air-Cooled Chiller",$C24)),12/N24,""),"")</f>
        <v/>
      </c>
      <c r="CC24" s="1252"/>
    </row>
    <row r="25" spans="1:81" ht="15.95" customHeight="1">
      <c r="A25" s="75"/>
      <c r="B25" s="785"/>
      <c r="C25" s="793"/>
      <c r="D25" s="795"/>
      <c r="E25" s="795"/>
      <c r="F25" s="795"/>
      <c r="G25" s="795"/>
      <c r="H25" s="795"/>
      <c r="I25" s="795"/>
      <c r="J25" s="934"/>
      <c r="K25" s="935"/>
      <c r="L25" s="930"/>
      <c r="M25" s="931"/>
      <c r="N25" s="915"/>
      <c r="O25" s="916"/>
      <c r="P25" s="934"/>
      <c r="Q25" s="935"/>
      <c r="R25" s="930"/>
      <c r="S25" s="931"/>
      <c r="T25" s="952"/>
      <c r="U25" s="953"/>
      <c r="V25" s="926"/>
      <c r="W25" s="927"/>
      <c r="X25" s="793"/>
      <c r="Y25" s="795"/>
      <c r="Z25" s="794"/>
      <c r="AA25" s="904"/>
      <c r="AB25" s="905"/>
      <c r="AC25" s="905"/>
      <c r="AD25" s="906"/>
      <c r="AE25" s="809"/>
      <c r="AF25" s="810"/>
      <c r="AG25" s="810"/>
      <c r="AH25" s="812"/>
      <c r="AI25" s="921"/>
      <c r="AJ25" s="921"/>
      <c r="AK25" s="921"/>
      <c r="AL25" s="922"/>
      <c r="AM25" s="816"/>
      <c r="AN25" s="816"/>
      <c r="AO25" s="818"/>
      <c r="AP25" s="818"/>
      <c r="AQ25" s="818"/>
      <c r="AR25" s="841"/>
      <c r="AS25" s="841"/>
      <c r="AT25" s="841"/>
      <c r="AU25" s="841"/>
      <c r="AV25" s="17"/>
      <c r="AX25" s="1243"/>
      <c r="AY25" s="760"/>
      <c r="AZ25" s="760"/>
      <c r="BA25" s="920"/>
      <c r="BB25" s="920"/>
      <c r="BC25" s="1243"/>
      <c r="BD25" s="1239"/>
      <c r="BE25" s="776"/>
      <c r="BF25" s="776"/>
      <c r="BG25" s="776"/>
      <c r="BH25" s="1241"/>
      <c r="BI25" s="1241"/>
      <c r="BJ25" s="778"/>
      <c r="BK25" s="768"/>
      <c r="BL25" s="768"/>
      <c r="BM25" s="766"/>
      <c r="BN25" s="764"/>
      <c r="BO25" s="764"/>
      <c r="BP25" s="770"/>
      <c r="BQ25" s="768"/>
      <c r="BR25" s="768"/>
      <c r="BS25" s="766"/>
      <c r="BT25" s="766"/>
      <c r="BU25" s="1239"/>
      <c r="BV25" s="768"/>
      <c r="BW25" s="1239"/>
      <c r="BX25" s="758"/>
      <c r="BY25" s="1254"/>
      <c r="BZ25" s="1248"/>
      <c r="CA25" s="1250"/>
      <c r="CB25" s="913"/>
      <c r="CC25" s="909"/>
    </row>
    <row r="26" spans="1:81" ht="15.95" customHeight="1">
      <c r="B26" s="785">
        <v>5</v>
      </c>
      <c r="C26" s="825"/>
      <c r="D26" s="826"/>
      <c r="E26" s="826"/>
      <c r="F26" s="826"/>
      <c r="G26" s="826"/>
      <c r="H26" s="826"/>
      <c r="I26" s="826"/>
      <c r="J26" s="932" t="str">
        <f>IF(C26="","",INDEX(CLHVAC[Eff Unit 1],MATCH(C26,CLHVAC[Measure Name],0)))</f>
        <v/>
      </c>
      <c r="K26" s="933"/>
      <c r="L26" s="928" t="str">
        <f>IF(C26="","",INDEX(CLHVAC[Base Efficiency 1],MATCH(C26,CLHVAC[Measure Name],0)))</f>
        <v/>
      </c>
      <c r="M26" s="929"/>
      <c r="N26" s="915"/>
      <c r="O26" s="916"/>
      <c r="P26" s="932" t="str">
        <f>IF(C26="","",INDEX(CLHVAC[Eff Unit 2],MATCH(C26,CLHVAC[Measure Name],0)))</f>
        <v/>
      </c>
      <c r="Q26" s="933"/>
      <c r="R26" s="928" t="str">
        <f>IF(C26="","",INDEX(CLHVAC[Base Efficiency 2],MATCH(C26,CLHVAC[Measure Name],0)))</f>
        <v/>
      </c>
      <c r="S26" s="929"/>
      <c r="T26" s="950" t="str">
        <f>IF(AND(ISNUMBER(SEARCH("DX",C26)),ISNUMBER(SEARCH("&lt;65 kbtu",C26)),N26&lt;&gt;""),1.12*N26-0.02*N26^2,IF(AND(ISNUMBER(SEARCH("PTAC",C26)),N26&lt;&gt;""),1,""))</f>
        <v/>
      </c>
      <c r="U26" s="951"/>
      <c r="V26" s="926"/>
      <c r="W26" s="927"/>
      <c r="X26" s="825"/>
      <c r="Y26" s="826"/>
      <c r="Z26" s="827"/>
      <c r="AA26" s="904"/>
      <c r="AB26" s="905"/>
      <c r="AC26" s="905"/>
      <c r="AD26" s="906"/>
      <c r="AE26" s="807"/>
      <c r="AF26" s="808"/>
      <c r="AG26" s="808"/>
      <c r="AH26" s="811"/>
      <c r="AI26" s="948" t="str">
        <f>IF(C26="","",INDEX(CLHVAC[Current Unit],MATCH(C26,CLHVAC[Measure Name],0)))</f>
        <v/>
      </c>
      <c r="AJ26" s="948"/>
      <c r="AK26" s="948"/>
      <c r="AL26" s="949"/>
      <c r="AM26" s="814" t="str" cm="1">
        <f t="array" ref="AM26">IFERROR(IF(C26="","",INDEX(IF(AND(ACTIVEBONUS = TRUE,INDEX(CLHVAC[Bonus Incentive],MATCH(C26,CLHVAC[Measure Name],0))&lt;&gt; ""),CLHVAC[Bonus Incentive],_xlfn.SWITCH(Program_Banner,"Business Energy Savings",CLHVAC[BESP Incentive],"Small Business / Non-Profit",CLHVAC[SBNP Incentive],0)),MATCH(C26,CLHVAC[Measure Name],0))),"")</f>
        <v/>
      </c>
      <c r="AN26" s="814"/>
      <c r="AO26" s="817" t="str">
        <f t="shared" ref="AO26" si="29">IFERROR(IF(OR(C26="",N26="",T26="",V26="",AA26="",AE26="",AG26=""),"",IF(BE26&lt;=0, 0, BE26)),"")</f>
        <v/>
      </c>
      <c r="AP26" s="817"/>
      <c r="AQ26" s="817"/>
      <c r="AR26" s="840" t="str">
        <f>IFERROR(IF(OR(C26="",N26="",V26="",AA26="",T26="",AE26="",AG26=""),"",IF(BY26&lt;&gt;"",BY26,IF(BP26&gt;0,BP26,ROUND(IF(AO26&lt;=0,0,MIN(BL26,BQ26)), 2)))), "")</f>
        <v/>
      </c>
      <c r="AS26" s="840"/>
      <c r="AT26" s="840"/>
      <c r="AU26" s="840"/>
      <c r="AV26" s="17"/>
      <c r="AX26" s="1242" t="str">
        <f>IFERROR(IF(OR(C26="",N26="",V26="",AA26="",T26="",AE26="",AG26=""),"",INDEX(CLHVAC[Current Unit],MATCH(C26,CLHVAC[Measure Name],0))),"Err")</f>
        <v/>
      </c>
      <c r="AY26" s="759" t="str">
        <f t="shared" ref="AY26" si="30">IF(OR(L26="", N26="", V26=""), "", ABS(N26-L26)*V26)</f>
        <v/>
      </c>
      <c r="AZ26" s="759" t="str">
        <f t="shared" ref="AZ26" si="31">IF(OR(L26="", N26="", V26=""), "", ABS(N26-L26)*V26)</f>
        <v/>
      </c>
      <c r="BA26" s="919" t="str">
        <f>IF(C26&lt;&gt;"", _xlfn.LET(
_xlpm.Tons_Cool, V26, _xlpm.PLC_Base, L26, _xlpm.Tons_Heat, CC26, _xlpm.Other_Base, R26,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(12/_xlpm.PLC_Base)*_xlpm.EFLH_Cool,
IF(ISNUMBER(SEARCH("Water", C26)),
_xlpm.Tons_Cool * (_xlpm.PLC_Base) * _xlpm.EFLH_Cool,
" "
)),4),
_xlpm.kWhHeat,
IF(
_xlpm.ElecHeat=1,
ROUND(
IF(OR(ISNUMBER(SEARCH("DX", C26)),ISNUMBER(SEARCH("PTAC", C26)), ISNUMBER(SEARCH("Air-Cooled Chiller", C26)), ISNUMBER(SEARCH("Water", C26)),
ISNUMBER(SEARCH("VRF", C26))),
0,
IF(
OR(ISNUMBER(SEARCH("ASHP", C26)), ISNUMBER(SEARCH("PTHP", C26))),
_xlpm.Tons_Heat * (1/_xlpm.Other_Base) * _xlpm.EFLH_Heat,
" "
)),4),
0
),
IFERROR(_xlpm.kWhCool + _xlpm.kWhHeat, "Measure Not Specified.")
), "")</f>
        <v/>
      </c>
      <c r="BB26" s="919" t="str">
        <f>IF(C26&lt;&gt;"", _xlfn.LET(
_xlpm.Tons_Cool, V26,_xlpm.PLC_Eff, N26, _xlpm.Tons_Heat, CC26, _xlpm.Other_Eff, T26,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(12/_xlpm.PLC_Eff)*_xlpm.EFLH_Cool,
IF(ISNUMBER(SEARCH("Water", C26)),
_xlpm.Tons_Cool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(1/_xlpm.Other_Eff) * _xlpm.EFLH_Heat,
" "
)),4),
0
),
IFERROR(_xlpm.kWhCool + _xlpm.kWhHeat, "Measure Not Specified.")
), "")</f>
        <v/>
      </c>
      <c r="BC26" s="1242" t="str">
        <f>IFERROR(IF(OR(C26="",N26="",V26="",AA26="",T26="",AE26="",AG26=""),"",INDEX(CLHVAC[End Use],MATCH(C26,CLHVAC[Measure Name],0))),"Err")</f>
        <v/>
      </c>
      <c r="BD26" s="1238" t="str">
        <f>IFERROR(IF(OR(C26="",N26="",V26="",AA26="",T26="",AE26="",AG26=""),"",INDEX(CLHVAC[Reporting Methodology],MATCH(C26,CLHVAC[Measure Name],0))),"Err")</f>
        <v/>
      </c>
      <c r="BE26" s="775" t="str">
        <f t="shared" si="2"/>
        <v/>
      </c>
      <c r="BF26" s="775" t="str">
        <f t="shared" ref="BF26" si="32">IF(C26&lt;&gt;"", _xlfn.LET(
_xlpm.Tons, V26, _xlpm.PCF, 0.913,
IF(OR(ISNUMBER(SEARCH("DX", C26)), ISNUMBER(SEARCH("Air-Cooled Chiller", C26)), ISNUMBER(SEARCH("VRF", C26))),
IFERROR(_xlpm.Tons * (12/R26 - 12/T26) * _xlpm.PCF, 0),
IF(ISNUMBER(SEARCH("Water", C26)),
IFERROR(_xlpm.Tons * (R26-T26) * _xlpm.PCF, 0),
IF(ISNUMBER(SEARCH("ASHP", C26)),
IFERROR(_xlpm.Tons * (12/CA26 - 12/CB26) * _xlpm.PCF, 0),
IF(OR(ISNUMBER(SEARCH("PTAC", C26)), ISNUMBER(SEARCH("PTHP", C26))),
IFERROR(_xlpm.Tons * (12/L26 - 12/N26) * _xlpm.PCF, 0),
"Measure Not Specified."))))), "")</f>
        <v/>
      </c>
      <c r="BG26" s="775"/>
      <c r="BH26" s="1240"/>
      <c r="BI26" s="1240"/>
      <c r="BJ26" s="777" t="str">
        <f>IFERROR(INDEX(CLHVAC[Measure Life (Years)],MATCH(C26,CLHVAC[Measure Name],0)),"")</f>
        <v/>
      </c>
      <c r="BK26" s="767" t="str">
        <f>IFERROR(IF(OR(C26="",N26="",T26="",V26="",AA26="",AE26="",AG26=""),"",
ROUND(((1+ELOSS)*((BE26*INDEX(ELECCB[NPV AEC $/kWh],MATCH(BJ26,ELECCB[Year Number],1)))+(BF26*INDEX(ELECCB[NPV ACC $/kW],MATCH(BJ26,ELECCB[Year Number],1))))),2)),0)</f>
        <v/>
      </c>
      <c r="BL26" s="767" t="str">
        <f t="shared" ref="BL26" si="33">IF(OR(C26="",N26="",V26="",AA26="",T26="",AE26="",AG26=""),"",ROUND(AE26+AG26,2))</f>
        <v/>
      </c>
      <c r="BM26" s="765"/>
      <c r="BN26" s="763" t="str">
        <f t="shared" si="4"/>
        <v/>
      </c>
      <c r="BO26" s="763" t="str">
        <f>IFERROR(IF(BM26 &lt;&gt; "", BM26, BL26) / M02S04F06 / AO26, "")</f>
        <v/>
      </c>
      <c r="BP26" s="769"/>
      <c r="BQ26" s="767" t="str">
        <f t="shared" ref="BQ26" si="34">IFERROR(IF(AI26="per ton", ROUND(V26*AM26, 2),
IF(AND(ISNUMBER(SEARCH("Air-Cooled Chiller",C26)),AI26="$/ton/IPLV"), ROUND((12/L26-12/N26)*V26*AM26, 2),
ROUND(ABS(N26-L26)*V26*AM26, 2))), "")</f>
        <v/>
      </c>
      <c r="BR26" s="767"/>
      <c r="BS26" s="765"/>
      <c r="BT26" s="765"/>
      <c r="BU26" s="1238" t="str">
        <f t="shared" ref="BU26" si="35">IFERROR(IF(BP26="",IF(AND(AO26&gt;0, AR26 &lt; BQ26), "100% Total Cost", ""), ""), "")</f>
        <v/>
      </c>
      <c r="BV26" s="767"/>
      <c r="BW26" s="1238" t="str">
        <f>IFERROR(IF(OR(C26="",N26="",V26="",AA26="",T26="",AE26="",AG26=""),"",IF(BY26&lt;&gt;"", SPILLOVERNUMBER, INDEX(CLHVAC[Measure Number],MATCH(C26,CLHVAC[Measure Name],0)))),"Err")</f>
        <v/>
      </c>
      <c r="BX26" s="757" t="str" cm="1">
        <f t="array" ref="BX26">IFERROR(INDEX(_xlfn.SWITCH(Program_Banner,"Business Energy Savings",CLHVAC[Primary Key WBE],"Small Business / Non-Profit",CLHVAC[Primary Key HTRB],0),MATCH(BW26,CLHVAC[Measure Number],0)),"")</f>
        <v/>
      </c>
      <c r="BY26" s="1253" t="str">
        <f>IFERROR(
IF(OR(C26="",N26="",T26="",V26="",AA26="",AE26="",AG26=""),
"",
IF(BP26&gt;0,"",IF(OR(AND(ISNUMBER(SEARCH("kW/ton", J26)),OR(L26&lt;N26,R26&lt;T26)),AND(NOT(ISNUMBER(SEARCH("kW/ton", J26))),OR(L26&gt;N26,R26&gt;T26))),
"Must Improve Efficiency",
IFERROR(IF(EXPIRATION&lt;&gt;"",PROJSTATEXP,
IF(BP26&gt;0,"",
IF(OR(M02S04F06="",M02S04F06="Select Rate Code",M02S04F06=0),MEASURERATE,
IF(M02S04F22="", SPACECONDTYPE,
IF(PAYCUSE&lt;PAYBACKREQ,PROJECTSTATPAYBACK,
IF(BN26&lt;CBREQ,PROJECTSTATCB,"")))))),MEASURESUBMIT)))),"")</f>
        <v/>
      </c>
      <c r="BZ26" s="1247" t="str">
        <f>IFERROR(IF(INDEX(CLHVAC[Eff Unit 3],MATCH(C26,CLHVAC[Measure Name],0))="","",INDEX(CLHVAC[Eff Unit 3],MATCH(C26,CLHVAC[Measure Name],0))),"")</f>
        <v/>
      </c>
      <c r="CA26" s="1249" t="str">
        <f>IFERROR(IF(INDEX(CLHVAC[Base Efficiency 3],MATCH(C26,CLHVAC[Measure Name],0))="","",INDEX(CLHVAC[Base Efficiency 3],MATCH(C26,CLHVAC[Measure Name],0))),"")</f>
        <v/>
      </c>
      <c r="CB26" s="1251" t="str">
        <f t="shared" ref="CB26" si="36">IFERROR(IF(ISNUMBER(SEARCH("Air-Cooled Chiller",$C26)),12/N26,""),"")</f>
        <v/>
      </c>
      <c r="CC26" s="1252"/>
    </row>
    <row r="27" spans="1:81" ht="15.95" customHeight="1">
      <c r="B27" s="785"/>
      <c r="C27" s="793"/>
      <c r="D27" s="795"/>
      <c r="E27" s="795"/>
      <c r="F27" s="795"/>
      <c r="G27" s="795"/>
      <c r="H27" s="795"/>
      <c r="I27" s="795"/>
      <c r="J27" s="934"/>
      <c r="K27" s="935"/>
      <c r="L27" s="930"/>
      <c r="M27" s="931"/>
      <c r="N27" s="915"/>
      <c r="O27" s="916"/>
      <c r="P27" s="934"/>
      <c r="Q27" s="935"/>
      <c r="R27" s="930"/>
      <c r="S27" s="931"/>
      <c r="T27" s="952"/>
      <c r="U27" s="953"/>
      <c r="V27" s="926"/>
      <c r="W27" s="927"/>
      <c r="X27" s="793"/>
      <c r="Y27" s="795"/>
      <c r="Z27" s="794"/>
      <c r="AA27" s="904"/>
      <c r="AB27" s="905"/>
      <c r="AC27" s="905"/>
      <c r="AD27" s="906"/>
      <c r="AE27" s="809"/>
      <c r="AF27" s="810"/>
      <c r="AG27" s="810"/>
      <c r="AH27" s="812"/>
      <c r="AI27" s="921"/>
      <c r="AJ27" s="921"/>
      <c r="AK27" s="921"/>
      <c r="AL27" s="922"/>
      <c r="AM27" s="816"/>
      <c r="AN27" s="816"/>
      <c r="AO27" s="818"/>
      <c r="AP27" s="818"/>
      <c r="AQ27" s="818"/>
      <c r="AR27" s="841"/>
      <c r="AS27" s="841"/>
      <c r="AT27" s="841"/>
      <c r="AU27" s="841"/>
      <c r="AV27" s="17"/>
      <c r="AX27" s="1243"/>
      <c r="AY27" s="760"/>
      <c r="AZ27" s="760"/>
      <c r="BA27" s="920"/>
      <c r="BB27" s="920"/>
      <c r="BC27" s="1243"/>
      <c r="BD27" s="1239"/>
      <c r="BE27" s="776"/>
      <c r="BF27" s="776"/>
      <c r="BG27" s="776"/>
      <c r="BH27" s="1241"/>
      <c r="BI27" s="1241"/>
      <c r="BJ27" s="778"/>
      <c r="BK27" s="768"/>
      <c r="BL27" s="768"/>
      <c r="BM27" s="766"/>
      <c r="BN27" s="764"/>
      <c r="BO27" s="764"/>
      <c r="BP27" s="770"/>
      <c r="BQ27" s="768"/>
      <c r="BR27" s="768"/>
      <c r="BS27" s="766"/>
      <c r="BT27" s="766"/>
      <c r="BU27" s="1239"/>
      <c r="BV27" s="768"/>
      <c r="BW27" s="1239"/>
      <c r="BX27" s="758"/>
      <c r="BY27" s="1254"/>
      <c r="BZ27" s="1248"/>
      <c r="CA27" s="1250"/>
      <c r="CB27" s="913"/>
      <c r="CC27" s="909"/>
    </row>
    <row r="28" spans="1:81" ht="15.95" customHeight="1">
      <c r="B28" s="785">
        <v>6</v>
      </c>
      <c r="C28" s="825"/>
      <c r="D28" s="826"/>
      <c r="E28" s="826"/>
      <c r="F28" s="826"/>
      <c r="G28" s="826"/>
      <c r="H28" s="826"/>
      <c r="I28" s="826"/>
      <c r="J28" s="932" t="str">
        <f>IF(C28="","",INDEX(CLHVAC[Eff Unit 1],MATCH(C28,CLHVAC[Measure Name],0)))</f>
        <v/>
      </c>
      <c r="K28" s="933"/>
      <c r="L28" s="928" t="str">
        <f>IF(C28="","",INDEX(CLHVAC[Base Efficiency 1],MATCH(C28,CLHVAC[Measure Name],0)))</f>
        <v/>
      </c>
      <c r="M28" s="929"/>
      <c r="N28" s="915"/>
      <c r="O28" s="916"/>
      <c r="P28" s="932" t="str">
        <f>IF(C28="","",INDEX(CLHVAC[Eff Unit 2],MATCH(C28,CLHVAC[Measure Name],0)))</f>
        <v/>
      </c>
      <c r="Q28" s="933"/>
      <c r="R28" s="928" t="str">
        <f>IF(C28="","",INDEX(CLHVAC[Base Efficiency 2],MATCH(C28,CLHVAC[Measure Name],0)))</f>
        <v/>
      </c>
      <c r="S28" s="929"/>
      <c r="T28" s="950" t="str">
        <f>IF(AND(ISNUMBER(SEARCH("DX",C28)),ISNUMBER(SEARCH("&lt;65 kbtu",C28)),N28&lt;&gt;""),1.12*N28-0.02*N28^2,IF(AND(ISNUMBER(SEARCH("PTAC",C28)),N28&lt;&gt;""),1,""))</f>
        <v/>
      </c>
      <c r="U28" s="951"/>
      <c r="V28" s="926"/>
      <c r="W28" s="927"/>
      <c r="X28" s="825"/>
      <c r="Y28" s="826"/>
      <c r="Z28" s="827"/>
      <c r="AA28" s="904"/>
      <c r="AB28" s="905"/>
      <c r="AC28" s="905"/>
      <c r="AD28" s="906"/>
      <c r="AE28" s="807"/>
      <c r="AF28" s="808"/>
      <c r="AG28" s="808"/>
      <c r="AH28" s="811"/>
      <c r="AI28" s="948" t="str">
        <f>IF(C28="","",INDEX(CLHVAC[Current Unit],MATCH(C28,CLHVAC[Measure Name],0)))</f>
        <v/>
      </c>
      <c r="AJ28" s="948"/>
      <c r="AK28" s="948"/>
      <c r="AL28" s="949"/>
      <c r="AM28" s="814" t="str" cm="1">
        <f t="array" ref="AM28">IFERROR(IF(C28="","",INDEX(IF(AND(ACTIVEBONUS = TRUE,INDEX(CLHVAC[Bonus Incentive],MATCH(C28,CLHVAC[Measure Name],0))&lt;&gt; ""),CLHVAC[Bonus Incentive],_xlfn.SWITCH(Program_Banner,"Business Energy Savings",CLHVAC[BESP Incentive],"Small Business / Non-Profit",CLHVAC[SBNP Incentive],0)),MATCH(C28,CLHVAC[Measure Name],0))),"")</f>
        <v/>
      </c>
      <c r="AN28" s="814"/>
      <c r="AO28" s="817" t="str">
        <f t="shared" ref="AO28" si="37">IFERROR(IF(OR(C28="",N28="",T28="",V28="",AA28="",AE28="",AG28=""),"",IF(BE28&lt;=0, 0, BE28)),"")</f>
        <v/>
      </c>
      <c r="AP28" s="817"/>
      <c r="AQ28" s="817"/>
      <c r="AR28" s="840" t="str">
        <f>IFERROR(IF(OR(C28="",N28="",V28="",AA28="",T28="",AE28="",AG28=""),"",IF(BY28&lt;&gt;"",BY28,IF(BP28&gt;0,BP28,ROUND(IF(AO28&lt;=0,0,MIN(BL28,BQ28)), 2)))), "")</f>
        <v/>
      </c>
      <c r="AS28" s="840"/>
      <c r="AT28" s="840"/>
      <c r="AU28" s="840"/>
      <c r="AV28" s="17"/>
      <c r="AX28" s="1242" t="str">
        <f>IFERROR(IF(OR(C28="",N28="",V28="",AA28="",T28="",AE28="",AG28=""),"",INDEX(CLHVAC[Current Unit],MATCH(C28,CLHVAC[Measure Name],0))),"Err")</f>
        <v/>
      </c>
      <c r="AY28" s="759" t="str">
        <f t="shared" ref="AY28" si="38">IF(OR(L28="", N28="", V28=""), "", ABS(N28-L28)*V28)</f>
        <v/>
      </c>
      <c r="AZ28" s="759" t="str">
        <f t="shared" ref="AZ28" si="39">IF(OR(L28="", N28="", V28=""), "", ABS(N28-L28)*V28)</f>
        <v/>
      </c>
      <c r="BA28" s="919" t="str">
        <f>IF(C28&lt;&gt;"", _xlfn.LET(
_xlpm.Tons_Cool, V28, _xlpm.PLC_Base, L28, _xlpm.Tons_Heat, CC28, _xlpm.Other_Base, R28,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(12/_xlpm.PLC_Base)*_xlpm.EFLH_Cool,
IF(ISNUMBER(SEARCH("Water", C28)),
_xlpm.Tons_Cool * (_xlpm.PLC_Base) * _xlpm.EFLH_Cool,
" "
)),4),
_xlpm.kWhHeat,
IF(
_xlpm.ElecHeat=1,
ROUND(
IF(OR(ISNUMBER(SEARCH("DX", C28)),ISNUMBER(SEARCH("PTAC", C28)), ISNUMBER(SEARCH("Air-Cooled Chiller", C28)), ISNUMBER(SEARCH("Water", C28)),
ISNUMBER(SEARCH("VRF", C28))),
0,
IF(
OR(ISNUMBER(SEARCH("ASHP", C28)), ISNUMBER(SEARCH("PTHP", C28))),
_xlpm.Tons_Heat * (1/_xlpm.Other_Base) * _xlpm.EFLH_Heat,
" "
)),4),
0
),
IFERROR(_xlpm.kWhCool + _xlpm.kWhHeat, "Measure Not Specified.")
), "")</f>
        <v/>
      </c>
      <c r="BB28" s="919" t="str">
        <f>IF(C28&lt;&gt;"", _xlfn.LET(
_xlpm.Tons_Cool, V28,_xlpm.PLC_Eff, N28, _xlpm.Tons_Heat, CC28, _xlpm.Other_Eff, T28,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(12/_xlpm.PLC_Eff)*_xlpm.EFLH_Cool,
IF(ISNUMBER(SEARCH("Water", C28)),
_xlpm.Tons_Cool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(1/_xlpm.Other_Eff) * _xlpm.EFLH_Heat,
" "
)),4),
0
),
IFERROR(_xlpm.kWhCool + _xlpm.kWhHeat, "Measure Not Specified.")
), "")</f>
        <v/>
      </c>
      <c r="BC28" s="1242" t="str">
        <f>IFERROR(IF(OR(C28="",N28="",V28="",AA28="",T28="",AE28="",AG28=""),"",INDEX(CLHVAC[End Use],MATCH(C28,CLHVAC[Measure Name],0))),"Err")</f>
        <v/>
      </c>
      <c r="BD28" s="1238" t="str">
        <f>IFERROR(IF(OR(C28="",N28="",V28="",AA28="",T28="",AE28="",AG28=""),"",INDEX(CLHVAC[Reporting Methodology],MATCH(C28,CLHVAC[Measure Name],0))),"Err")</f>
        <v/>
      </c>
      <c r="BE28" s="775" t="str">
        <f t="shared" si="2"/>
        <v/>
      </c>
      <c r="BF28" s="775" t="str">
        <f t="shared" ref="BF28" si="40">IF(C28&lt;&gt;"", _xlfn.LET(
_xlpm.Tons, V28, _xlpm.PCF, 0.913,
IF(OR(ISNUMBER(SEARCH("DX", C28)), ISNUMBER(SEARCH("Air-Cooled Chiller", C28)), ISNUMBER(SEARCH("VRF", C28))),
IFERROR(_xlpm.Tons * (12/R28 - 12/T28) * _xlpm.PCF, 0),
IF(ISNUMBER(SEARCH("Water", C28)),
IFERROR(_xlpm.Tons * (R28-T28) * _xlpm.PCF, 0),
IF(ISNUMBER(SEARCH("ASHP", C28)),
IFERROR(_xlpm.Tons * (12/CA28 - 12/CB28) * _xlpm.PCF, 0),
IF(OR(ISNUMBER(SEARCH("PTAC", C28)), ISNUMBER(SEARCH("PTHP", C28))),
IFERROR(_xlpm.Tons * (12/L28 - 12/N28) * _xlpm.PCF, 0),
"Measure Not Specified."))))), "")</f>
        <v/>
      </c>
      <c r="BG28" s="775"/>
      <c r="BH28" s="1240"/>
      <c r="BI28" s="1240"/>
      <c r="BJ28" s="777" t="str">
        <f>IFERROR(INDEX(CLHVAC[Measure Life (Years)],MATCH(C28,CLHVAC[Measure Name],0)),"")</f>
        <v/>
      </c>
      <c r="BK28" s="767" t="str">
        <f>IFERROR(IF(OR(C28="",N28="",T28="",V28="",AA28="",AE28="",AG28=""),"",
ROUND(((1+ELOSS)*((BE28*INDEX(ELECCB[NPV AEC $/kWh],MATCH(BJ28,ELECCB[Year Number],1)))+(BF28*INDEX(ELECCB[NPV ACC $/kW],MATCH(BJ28,ELECCB[Year Number],1))))),2)),0)</f>
        <v/>
      </c>
      <c r="BL28" s="767" t="str">
        <f t="shared" ref="BL28" si="41">IF(OR(C28="",N28="",V28="",AA28="",T28="",AE28="",AG28=""),"",ROUND(AE28+AG28,2))</f>
        <v/>
      </c>
      <c r="BM28" s="765"/>
      <c r="BN28" s="763" t="str">
        <f t="shared" si="4"/>
        <v/>
      </c>
      <c r="BO28" s="763" t="str">
        <f>IFERROR(IF(BM28 &lt;&gt; "", BM28, BL28) / M02S04F06 / AO28, "")</f>
        <v/>
      </c>
      <c r="BP28" s="769"/>
      <c r="BQ28" s="767" t="str">
        <f t="shared" ref="BQ28" si="42">IFERROR(IF(AI28="per ton", ROUND(V28*AM28, 2),
IF(AND(ISNUMBER(SEARCH("Air-Cooled Chiller",C28)),AI28="$/ton/IPLV"), ROUND((12/L28-12/N28)*V28*AM28, 2),
ROUND(ABS(N28-L28)*V28*AM28, 2))), "")</f>
        <v/>
      </c>
      <c r="BR28" s="767"/>
      <c r="BS28" s="765"/>
      <c r="BT28" s="765"/>
      <c r="BU28" s="1238" t="str">
        <f t="shared" ref="BU28" si="43">IFERROR(IF(BP28="",IF(AND(AO28&gt;0, AR28 &lt; BQ28), "100% Total Cost", ""), ""), "")</f>
        <v/>
      </c>
      <c r="BV28" s="767"/>
      <c r="BW28" s="1238" t="str">
        <f>IFERROR(IF(OR(C28="",N28="",V28="",AA28="",T28="",AE28="",AG28=""),"",IF(BY28&lt;&gt;"", SPILLOVERNUMBER, INDEX(CLHVAC[Measure Number],MATCH(C28,CLHVAC[Measure Name],0)))),"Err")</f>
        <v/>
      </c>
      <c r="BX28" s="757" t="str" cm="1">
        <f t="array" ref="BX28">IFERROR(INDEX(_xlfn.SWITCH(Program_Banner,"Business Energy Savings",CLHVAC[Primary Key WBE],"Small Business / Non-Profit",CLHVAC[Primary Key HTRB],0),MATCH(BW28,CLHVAC[Measure Number],0)),"")</f>
        <v/>
      </c>
      <c r="BY28" s="1253" t="str">
        <f>IFERROR(
IF(OR(C28="",N28="",T28="",V28="",AA28="",AE28="",AG28=""),
"",
IF(BP28&gt;0,"",IF(OR(AND(ISNUMBER(SEARCH("kW/ton", J28)),OR(L28&lt;N28,R28&lt;T28)),AND(NOT(ISNUMBER(SEARCH("kW/ton", J28))),OR(L28&gt;N28,R28&gt;T28))),
"Must Improve Efficiency",
IFERROR(IF(EXPIRATION&lt;&gt;"",PROJSTATEXP,
IF(BP28&gt;0,"",
IF(OR(M02S04F06="",M02S04F06="Select Rate Code",M02S04F06=0),MEASURERATE,
IF(M02S04F22="", SPACECONDTYPE,
IF(PAYCUSE&lt;PAYBACKREQ,PROJECTSTATPAYBACK,
IF(BN28&lt;CBREQ,PROJECTSTATCB,"")))))),MEASURESUBMIT)))),"")</f>
        <v/>
      </c>
      <c r="BZ28" s="1247" t="str">
        <f>IFERROR(IF(INDEX(CLHVAC[Eff Unit 3],MATCH(C28,CLHVAC[Measure Name],0))="","",INDEX(CLHVAC[Eff Unit 3],MATCH(C28,CLHVAC[Measure Name],0))),"")</f>
        <v/>
      </c>
      <c r="CA28" s="1249" t="str">
        <f>IFERROR(IF(INDEX(CLHVAC[Base Efficiency 3],MATCH(C28,CLHVAC[Measure Name],0))="","",INDEX(CLHVAC[Base Efficiency 3],MATCH(C28,CLHVAC[Measure Name],0))),"")</f>
        <v/>
      </c>
      <c r="CB28" s="1251" t="str">
        <f t="shared" ref="CB28" si="44">IFERROR(IF(ISNUMBER(SEARCH("Air-Cooled Chiller",$C28)),12/N28,""),"")</f>
        <v/>
      </c>
      <c r="CC28" s="1252"/>
    </row>
    <row r="29" spans="1:81" ht="15.95" customHeight="1">
      <c r="B29" s="785"/>
      <c r="C29" s="793"/>
      <c r="D29" s="795"/>
      <c r="E29" s="795"/>
      <c r="F29" s="795"/>
      <c r="G29" s="795"/>
      <c r="H29" s="795"/>
      <c r="I29" s="795"/>
      <c r="J29" s="934"/>
      <c r="K29" s="935"/>
      <c r="L29" s="930"/>
      <c r="M29" s="931"/>
      <c r="N29" s="915"/>
      <c r="O29" s="916"/>
      <c r="P29" s="934"/>
      <c r="Q29" s="935"/>
      <c r="R29" s="930"/>
      <c r="S29" s="931"/>
      <c r="T29" s="952"/>
      <c r="U29" s="953"/>
      <c r="V29" s="926"/>
      <c r="W29" s="927"/>
      <c r="X29" s="793"/>
      <c r="Y29" s="795"/>
      <c r="Z29" s="794"/>
      <c r="AA29" s="904"/>
      <c r="AB29" s="905"/>
      <c r="AC29" s="905"/>
      <c r="AD29" s="906"/>
      <c r="AE29" s="809"/>
      <c r="AF29" s="810"/>
      <c r="AG29" s="810"/>
      <c r="AH29" s="812"/>
      <c r="AI29" s="921"/>
      <c r="AJ29" s="921"/>
      <c r="AK29" s="921"/>
      <c r="AL29" s="922"/>
      <c r="AM29" s="816"/>
      <c r="AN29" s="816"/>
      <c r="AO29" s="818"/>
      <c r="AP29" s="818"/>
      <c r="AQ29" s="818"/>
      <c r="AR29" s="841"/>
      <c r="AS29" s="841"/>
      <c r="AT29" s="841"/>
      <c r="AU29" s="841"/>
      <c r="AV29" s="17"/>
      <c r="AX29" s="1243"/>
      <c r="AY29" s="760"/>
      <c r="AZ29" s="760"/>
      <c r="BA29" s="920"/>
      <c r="BB29" s="920"/>
      <c r="BC29" s="1243"/>
      <c r="BD29" s="1239"/>
      <c r="BE29" s="776"/>
      <c r="BF29" s="776"/>
      <c r="BG29" s="776"/>
      <c r="BH29" s="1241"/>
      <c r="BI29" s="1241"/>
      <c r="BJ29" s="778"/>
      <c r="BK29" s="768"/>
      <c r="BL29" s="768"/>
      <c r="BM29" s="766"/>
      <c r="BN29" s="764"/>
      <c r="BO29" s="764"/>
      <c r="BP29" s="770"/>
      <c r="BQ29" s="768"/>
      <c r="BR29" s="768"/>
      <c r="BS29" s="766"/>
      <c r="BT29" s="766"/>
      <c r="BU29" s="1239"/>
      <c r="BV29" s="768"/>
      <c r="BW29" s="1239"/>
      <c r="BX29" s="758"/>
      <c r="BY29" s="1254"/>
      <c r="BZ29" s="1248"/>
      <c r="CA29" s="1250"/>
      <c r="CB29" s="913"/>
      <c r="CC29" s="909"/>
    </row>
    <row r="30" spans="1:81" ht="15.95" customHeight="1">
      <c r="B30" s="785">
        <v>7</v>
      </c>
      <c r="C30" s="825"/>
      <c r="D30" s="826"/>
      <c r="E30" s="826"/>
      <c r="F30" s="826"/>
      <c r="G30" s="826"/>
      <c r="H30" s="826"/>
      <c r="I30" s="826"/>
      <c r="J30" s="932" t="str">
        <f>IF(C30="","",INDEX(CLHVAC[Eff Unit 1],MATCH(C30,CLHVAC[Measure Name],0)))</f>
        <v/>
      </c>
      <c r="K30" s="933"/>
      <c r="L30" s="928" t="str">
        <f>IF(C30="","",INDEX(CLHVAC[Base Efficiency 1],MATCH(C30,CLHVAC[Measure Name],0)))</f>
        <v/>
      </c>
      <c r="M30" s="929"/>
      <c r="N30" s="915"/>
      <c r="O30" s="916"/>
      <c r="P30" s="932" t="str">
        <f>IF(C30="","",INDEX(CLHVAC[Eff Unit 2],MATCH(C30,CLHVAC[Measure Name],0)))</f>
        <v/>
      </c>
      <c r="Q30" s="933"/>
      <c r="R30" s="928" t="str">
        <f>IF(C30="","",INDEX(CLHVAC[Base Efficiency 2],MATCH(C30,CLHVAC[Measure Name],0)))</f>
        <v/>
      </c>
      <c r="S30" s="929"/>
      <c r="T30" s="917" t="str">
        <f>IF(AND(ISNUMBER(SEARCH("DX",C30)),ISNUMBER(SEARCH("&lt;65 kbtu",C30)),N30&lt;&gt;""),1.12*N30-0.02*N30^2,IF(AND(ISNUMBER(SEARCH("PTAC",C30)),N30&lt;&gt;""),1,""))</f>
        <v/>
      </c>
      <c r="U30" s="918"/>
      <c r="V30" s="926"/>
      <c r="W30" s="927"/>
      <c r="X30" s="825"/>
      <c r="Y30" s="826"/>
      <c r="Z30" s="827"/>
      <c r="AA30" s="904"/>
      <c r="AB30" s="905"/>
      <c r="AC30" s="905"/>
      <c r="AD30" s="906"/>
      <c r="AE30" s="809"/>
      <c r="AF30" s="810"/>
      <c r="AG30" s="810"/>
      <c r="AH30" s="812"/>
      <c r="AI30" s="948" t="str">
        <f>IF(C30="","",INDEX(CLHVAC[Current Unit],MATCH(C30,CLHVAC[Measure Name],0)))</f>
        <v/>
      </c>
      <c r="AJ30" s="948"/>
      <c r="AK30" s="948"/>
      <c r="AL30" s="949"/>
      <c r="AM30" s="814" t="str" cm="1">
        <f t="array" ref="AM30">IFERROR(IF(C30="","",INDEX(IF(AND(ACTIVEBONUS = TRUE,INDEX(CLHVAC[Bonus Incentive],MATCH(C30,CLHVAC[Measure Name],0))&lt;&gt; ""),CLHVAC[Bonus Incentive],_xlfn.SWITCH(Program_Banner,"Business Energy Savings",CLHVAC[BESP Incentive],"Small Business / Non-Profit",CLHVAC[SBNP Incentive],0)),MATCH(C30,CLHVAC[Measure Name],0))),"")</f>
        <v/>
      </c>
      <c r="AN30" s="814"/>
      <c r="AO30" s="817" t="str">
        <f t="shared" ref="AO30" si="45">IFERROR(IF(OR(C30="",N30="",T30="",V30="",AA30="",AE30="",AG30=""),"",IF(BE30&lt;=0, 0, BE30)),"")</f>
        <v/>
      </c>
      <c r="AP30" s="817"/>
      <c r="AQ30" s="817"/>
      <c r="AR30" s="840" t="str">
        <f>IFERROR(IF(OR(C30="",N30="",V30="",AA30="",T30="",AE30="",AG30=""),"",IF(BY30&lt;&gt;"",BY30,IF(BP30&gt;0,BP30,ROUND(IF(AO30&lt;=0,0,MIN(BL30,BQ30)), 2)))), "")</f>
        <v/>
      </c>
      <c r="AS30" s="840"/>
      <c r="AT30" s="840"/>
      <c r="AU30" s="840"/>
      <c r="AV30" s="17"/>
      <c r="AX30" s="1242" t="str">
        <f>IFERROR(IF(OR(C30="",N30="",V30="",AA30="",T30="",AE30="",AG30=""),"",INDEX(CLHVAC[Current Unit],MATCH(C30,CLHVAC[Measure Name],0))),"Err")</f>
        <v/>
      </c>
      <c r="AY30" s="759" t="str">
        <f t="shared" ref="AY30" si="46">IF(OR(L30="", N30="", V30=""), "", ABS(N30-L30)*V30)</f>
        <v/>
      </c>
      <c r="AZ30" s="759" t="str">
        <f t="shared" ref="AZ30" si="47">IF(OR(L30="", N30="", V30=""), "", ABS(N30-L30)*V30)</f>
        <v/>
      </c>
      <c r="BA30" s="919" t="str">
        <f>IF(C30&lt;&gt;"", _xlfn.LET(
_xlpm.Tons_Cool, V30, _xlpm.PLC_Base, L30, _xlpm.Tons_Heat, CC30, _xlpm.Other_Base, R30,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(12/_xlpm.PLC_Base)*_xlpm.EFLH_Cool,
IF(ISNUMBER(SEARCH("Water", C30)),
_xlpm.Tons_Cool * (_xlpm.PLC_Base) * _xlpm.EFLH_Cool,
" "
)),4),
_xlpm.kWhHeat,
IF(
_xlpm.ElecHeat=1,
ROUND(
IF(OR(ISNUMBER(SEARCH("DX", C30)),ISNUMBER(SEARCH("PTAC", C30)), ISNUMBER(SEARCH("Air-Cooled Chiller", C30)), ISNUMBER(SEARCH("Water", C30)),
ISNUMBER(SEARCH("VRF", C30))),
0,
IF(
OR(ISNUMBER(SEARCH("ASHP", C30)), ISNUMBER(SEARCH("PTHP", C30))),
_xlpm.Tons_Heat * (1/_xlpm.Other_Base) * _xlpm.EFLH_Heat,
" "
)),4),
0
),
IFERROR(_xlpm.kWhCool + _xlpm.kWhHeat, "Measure Not Specified.")
), "")</f>
        <v/>
      </c>
      <c r="BB30" s="919" t="str">
        <f>IF(C30&lt;&gt;"", _xlfn.LET(
_xlpm.Tons_Cool, V30,_xlpm.PLC_Eff, N30, _xlpm.Tons_Heat, CC30, _xlpm.Other_Eff, T30,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(12/_xlpm.PLC_Eff)*_xlpm.EFLH_Cool,
IF(ISNUMBER(SEARCH("Water", C30)),
_xlpm.Tons_Cool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(1/_xlpm.Other_Eff) * _xlpm.EFLH_Heat,
" "
)),4),
0
),
IFERROR(_xlpm.kWhCool + _xlpm.kWhHeat, "Measure Not Specified.")
), "")</f>
        <v/>
      </c>
      <c r="BC30" s="1242" t="str">
        <f>IFERROR(IF(OR(C30="",N30="",V30="",AA30="",T30="",AE30="",AG30=""),"",INDEX(CLHVAC[End Use],MATCH(C30,CLHVAC[Measure Name],0))),"Err")</f>
        <v/>
      </c>
      <c r="BD30" s="1238" t="str">
        <f>IFERROR(IF(OR(C30="",N30="",V30="",AA30="",T30="",AE30="",AG30=""),"",INDEX(CLHVAC[Reporting Methodology],MATCH(C30,CLHVAC[Measure Name],0))),"Err")</f>
        <v/>
      </c>
      <c r="BE30" s="775" t="str">
        <f t="shared" si="2"/>
        <v/>
      </c>
      <c r="BF30" s="775" t="str">
        <f t="shared" ref="BF30" si="48">IF(C30&lt;&gt;"", _xlfn.LET(
_xlpm.Tons, V30, _xlpm.PCF, 0.913,
IF(OR(ISNUMBER(SEARCH("DX", C30)), ISNUMBER(SEARCH("Air-Cooled Chiller", C30)), ISNUMBER(SEARCH("VRF", C30))),
IFERROR(_xlpm.Tons * (12/R30 - 12/T30) * _xlpm.PCF, 0),
IF(ISNUMBER(SEARCH("Water", C30)),
IFERROR(_xlpm.Tons * (R30-T30) * _xlpm.PCF, 0),
IF(ISNUMBER(SEARCH("ASHP", C30)),
IFERROR(_xlpm.Tons * (12/CA30 - 12/CB30) * _xlpm.PCF, 0),
IF(OR(ISNUMBER(SEARCH("PTAC", C30)), ISNUMBER(SEARCH("PTHP", C30))),
IFERROR(_xlpm.Tons * (12/L30 - 12/N30) * _xlpm.PCF, 0),
"Measure Not Specified."))))), "")</f>
        <v/>
      </c>
      <c r="BG30" s="775"/>
      <c r="BH30" s="1240"/>
      <c r="BI30" s="1240"/>
      <c r="BJ30" s="777" t="str">
        <f>IFERROR(INDEX(CLHVAC[Measure Life (Years)],MATCH(C30,CLHVAC[Measure Name],0)),"")</f>
        <v/>
      </c>
      <c r="BK30" s="767" t="str">
        <f>IFERROR(IF(OR(C30="",N30="",T30="",V30="",AA30="",AE30="",AG30=""),"",
ROUND(((1+ELOSS)*((BE30*INDEX(ELECCB[NPV AEC $/kWh],MATCH(BJ30,ELECCB[Year Number],1)))+(BF30*INDEX(ELECCB[NPV ACC $/kW],MATCH(BJ30,ELECCB[Year Number],1))))),2)),0)</f>
        <v/>
      </c>
      <c r="BL30" s="767" t="str">
        <f t="shared" ref="BL30" si="49">IF(OR(C30="",N30="",V30="",AA30="",T30="",AE30="",AG30=""),"",ROUND(AE30+AG30,2))</f>
        <v/>
      </c>
      <c r="BM30" s="765"/>
      <c r="BN30" s="763" t="str">
        <f t="shared" si="4"/>
        <v/>
      </c>
      <c r="BO30" s="763" t="str">
        <f>IFERROR(IF(BM30 &lt;&gt; "", BM30, BL30) / M02S04F06 / AO30, "")</f>
        <v/>
      </c>
      <c r="BP30" s="769"/>
      <c r="BQ30" s="767" t="str">
        <f t="shared" ref="BQ30" si="50">IFERROR(IF(AI30="per ton", ROUND(V30*AM30, 2),
IF(AND(ISNUMBER(SEARCH("Air-Cooled Chiller",C30)),AI30="$/ton/IPLV"), ROUND((12/L30-12/N30)*V30*AM30, 2),
ROUND(ABS(N30-L30)*V30*AM30, 2))), "")</f>
        <v/>
      </c>
      <c r="BR30" s="767"/>
      <c r="BS30" s="765"/>
      <c r="BT30" s="765"/>
      <c r="BU30" s="1238" t="str">
        <f t="shared" ref="BU30" si="51">IFERROR(IF(BP30="",IF(AND(AO30&gt;0, AR30 &lt; BQ30), "100% Total Cost", ""), ""), "")</f>
        <v/>
      </c>
      <c r="BV30" s="767"/>
      <c r="BW30" s="1238" t="str">
        <f>IFERROR(IF(OR(C30="",N30="",V30="",AA30="",T30="",AE30="",AG30=""),"",IF(BY30&lt;&gt;"", SPILLOVERNUMBER, INDEX(CLHVAC[Measure Number],MATCH(C30,CLHVAC[Measure Name],0)))),"Err")</f>
        <v/>
      </c>
      <c r="BX30" s="757" t="str" cm="1">
        <f t="array" ref="BX30">IFERROR(INDEX(_xlfn.SWITCH(Program_Banner,"Business Energy Savings",CLHVAC[Primary Key WBE],"Small Business / Non-Profit",CLHVAC[Primary Key HTRB],0),MATCH(BW30,CLHVAC[Measure Number],0)),"")</f>
        <v/>
      </c>
      <c r="BY30" s="1253" t="str">
        <f>IFERROR(
IF(OR(C30="",N30="",T30="",V30="",AA30="",AE30="",AG30=""),
"",
IF(BP30&gt;0,"",IF(OR(AND(ISNUMBER(SEARCH("kW/ton", J30)),OR(L30&lt;N30,R30&lt;T30)),AND(NOT(ISNUMBER(SEARCH("kW/ton", J30))),OR(L30&gt;N30,R30&gt;T30))),
"Must Improve Efficiency",
IFERROR(IF(EXPIRATION&lt;&gt;"",PROJSTATEXP,
IF(BP30&gt;0,"",
IF(OR(M02S04F06="",M02S04F06="Select Rate Code",M02S04F06=0),MEASURERATE,
IF(M02S04F22="", SPACECONDTYPE,
IF(PAYCUSE&lt;PAYBACKREQ,PROJECTSTATPAYBACK,
IF(BN30&lt;CBREQ,PROJECTSTATCB,"")))))),MEASURESUBMIT)))),"")</f>
        <v/>
      </c>
      <c r="BZ30" s="1247" t="str">
        <f>IFERROR(IF(INDEX(CLHVAC[Eff Unit 3],MATCH(C30,CLHVAC[Measure Name],0))="","",INDEX(CLHVAC[Eff Unit 3],MATCH(C30,CLHVAC[Measure Name],0))),"")</f>
        <v/>
      </c>
      <c r="CA30" s="1249" t="str">
        <f>IFERROR(IF(INDEX(CLHVAC[Base Efficiency 3],MATCH(C30,CLHVAC[Measure Name],0))="","",INDEX(CLHVAC[Base Efficiency 3],MATCH(C30,CLHVAC[Measure Name],0))),"")</f>
        <v/>
      </c>
      <c r="CB30" s="1251" t="str">
        <f t="shared" ref="CB30" si="52">IFERROR(IF(ISNUMBER(SEARCH("Air-Cooled Chiller",$C30)),12/N30,""),"")</f>
        <v/>
      </c>
      <c r="CC30" s="1252"/>
    </row>
    <row r="31" spans="1:81" ht="15.95" customHeight="1">
      <c r="B31" s="785"/>
      <c r="C31" s="793"/>
      <c r="D31" s="795"/>
      <c r="E31" s="795"/>
      <c r="F31" s="795"/>
      <c r="G31" s="795"/>
      <c r="H31" s="795"/>
      <c r="I31" s="795"/>
      <c r="J31" s="934"/>
      <c r="K31" s="935"/>
      <c r="L31" s="930"/>
      <c r="M31" s="931"/>
      <c r="N31" s="915"/>
      <c r="O31" s="916"/>
      <c r="P31" s="934"/>
      <c r="Q31" s="935"/>
      <c r="R31" s="930"/>
      <c r="S31" s="931"/>
      <c r="T31" s="917"/>
      <c r="U31" s="918"/>
      <c r="V31" s="926"/>
      <c r="W31" s="927"/>
      <c r="X31" s="793"/>
      <c r="Y31" s="795"/>
      <c r="Z31" s="794"/>
      <c r="AA31" s="904"/>
      <c r="AB31" s="905"/>
      <c r="AC31" s="905"/>
      <c r="AD31" s="906"/>
      <c r="AE31" s="809"/>
      <c r="AF31" s="810"/>
      <c r="AG31" s="810"/>
      <c r="AH31" s="812"/>
      <c r="AI31" s="921"/>
      <c r="AJ31" s="921"/>
      <c r="AK31" s="921"/>
      <c r="AL31" s="922"/>
      <c r="AM31" s="816"/>
      <c r="AN31" s="816"/>
      <c r="AO31" s="818"/>
      <c r="AP31" s="818"/>
      <c r="AQ31" s="818"/>
      <c r="AR31" s="841"/>
      <c r="AS31" s="841"/>
      <c r="AT31" s="841"/>
      <c r="AU31" s="841"/>
      <c r="AV31" s="17"/>
      <c r="AX31" s="1243"/>
      <c r="AY31" s="760"/>
      <c r="AZ31" s="760"/>
      <c r="BA31" s="920"/>
      <c r="BB31" s="920"/>
      <c r="BC31" s="1243"/>
      <c r="BD31" s="1239"/>
      <c r="BE31" s="776"/>
      <c r="BF31" s="776"/>
      <c r="BG31" s="776"/>
      <c r="BH31" s="1241"/>
      <c r="BI31" s="1241"/>
      <c r="BJ31" s="778"/>
      <c r="BK31" s="768"/>
      <c r="BL31" s="768"/>
      <c r="BM31" s="766"/>
      <c r="BN31" s="764"/>
      <c r="BO31" s="764"/>
      <c r="BP31" s="770"/>
      <c r="BQ31" s="768"/>
      <c r="BR31" s="768"/>
      <c r="BS31" s="766"/>
      <c r="BT31" s="766"/>
      <c r="BU31" s="1239"/>
      <c r="BV31" s="768"/>
      <c r="BW31" s="1239"/>
      <c r="BX31" s="758"/>
      <c r="BY31" s="1254"/>
      <c r="BZ31" s="1248"/>
      <c r="CA31" s="1250"/>
      <c r="CB31" s="913"/>
      <c r="CC31" s="909"/>
    </row>
    <row r="32" spans="1:81" ht="15.95" customHeight="1">
      <c r="B32" s="785">
        <v>8</v>
      </c>
      <c r="C32" s="825"/>
      <c r="D32" s="826"/>
      <c r="E32" s="826"/>
      <c r="F32" s="826"/>
      <c r="G32" s="826"/>
      <c r="H32" s="826"/>
      <c r="I32" s="826"/>
      <c r="J32" s="932" t="str">
        <f>IF(C32="","",INDEX(CLHVAC[Eff Unit 1],MATCH(C32,CLHVAC[Measure Name],0)))</f>
        <v/>
      </c>
      <c r="K32" s="933"/>
      <c r="L32" s="928" t="str">
        <f>IF(C32="","",INDEX(CLHVAC[Base Efficiency 1],MATCH(C32,CLHVAC[Measure Name],0)))</f>
        <v/>
      </c>
      <c r="M32" s="929"/>
      <c r="N32" s="915"/>
      <c r="O32" s="916"/>
      <c r="P32" s="932" t="str">
        <f>IF(C32="","",INDEX(CLHVAC[Eff Unit 2],MATCH(C32,CLHVAC[Measure Name],0)))</f>
        <v/>
      </c>
      <c r="Q32" s="933"/>
      <c r="R32" s="928" t="str">
        <f>IF(C32="","",INDEX(CLHVAC[Base Efficiency 2],MATCH(C32,CLHVAC[Measure Name],0)))</f>
        <v/>
      </c>
      <c r="S32" s="929"/>
      <c r="T32" s="917" t="str">
        <f>IF(AND(ISNUMBER(SEARCH("DX",C32)),ISNUMBER(SEARCH("&lt;65 kbtu",C32)),N32&lt;&gt;""),1.12*N32-0.02*N32^2,IF(AND(ISNUMBER(SEARCH("PTAC",C32)),N32&lt;&gt;""),1,""))</f>
        <v/>
      </c>
      <c r="U32" s="918"/>
      <c r="V32" s="926"/>
      <c r="W32" s="927"/>
      <c r="X32" s="825"/>
      <c r="Y32" s="826"/>
      <c r="Z32" s="827"/>
      <c r="AA32" s="904"/>
      <c r="AB32" s="905"/>
      <c r="AC32" s="905"/>
      <c r="AD32" s="906"/>
      <c r="AE32" s="809"/>
      <c r="AF32" s="810"/>
      <c r="AG32" s="810"/>
      <c r="AH32" s="812"/>
      <c r="AI32" s="948" t="str">
        <f>IF(C32="","",INDEX(CLHVAC[Current Unit],MATCH(C32,CLHVAC[Measure Name],0)))</f>
        <v/>
      </c>
      <c r="AJ32" s="948"/>
      <c r="AK32" s="948"/>
      <c r="AL32" s="949"/>
      <c r="AM32" s="814" t="str" cm="1">
        <f t="array" ref="AM32">IFERROR(IF(C32="","",INDEX(IF(AND(ACTIVEBONUS = TRUE,INDEX(CLHVAC[Bonus Incentive],MATCH(C32,CLHVAC[Measure Name],0))&lt;&gt; ""),CLHVAC[Bonus Incentive],_xlfn.SWITCH(Program_Banner,"Business Energy Savings",CLHVAC[BESP Incentive],"Small Business / Non-Profit",CLHVAC[SBNP Incentive],0)),MATCH(C32,CLHVAC[Measure Name],0))),"")</f>
        <v/>
      </c>
      <c r="AN32" s="814"/>
      <c r="AO32" s="817" t="str">
        <f t="shared" ref="AO32" si="53">IFERROR(IF(OR(C32="",N32="",T32="",V32="",AA32="",AE32="",AG32=""),"",IF(BE32&lt;=0, 0, BE32)),"")</f>
        <v/>
      </c>
      <c r="AP32" s="817"/>
      <c r="AQ32" s="817"/>
      <c r="AR32" s="840" t="str">
        <f>IFERROR(IF(OR(C32="",N32="",V32="",AA32="",T32="",AE32="",AG32=""),"",IF(BY32&lt;&gt;"",BY32,IF(BP32&gt;0,BP32,ROUND(IF(AO32&lt;=0,0,MIN(BL32,BQ32)), 2)))), "")</f>
        <v/>
      </c>
      <c r="AS32" s="840"/>
      <c r="AT32" s="840"/>
      <c r="AU32" s="840"/>
      <c r="AV32" s="17"/>
      <c r="AX32" s="1242" t="str">
        <f>IFERROR(IF(OR(C32="",N32="",V32="",AA32="",T32="",AE32="",AG32=""),"",INDEX(CLHVAC[Current Unit],MATCH(C32,CLHVAC[Measure Name],0))),"Err")</f>
        <v/>
      </c>
      <c r="AY32" s="759" t="str">
        <f t="shared" ref="AY32" si="54">IF(OR(L32="", N32="", V32=""), "", ABS(N32-L32)*V32)</f>
        <v/>
      </c>
      <c r="AZ32" s="759" t="str">
        <f t="shared" ref="AZ32" si="55">IF(OR(L32="", N32="", V32=""), "", ABS(N32-L32)*V32)</f>
        <v/>
      </c>
      <c r="BA32" s="919" t="str">
        <f>IF(C32&lt;&gt;"", _xlfn.LET(
_xlpm.Tons_Cool, V32, _xlpm.PLC_Base, L32, _xlpm.Tons_Heat, CC32, _xlpm.Other_Base, R32,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(12/_xlpm.PLC_Base)*_xlpm.EFLH_Cool,
IF(ISNUMBER(SEARCH("Water", C32)),
_xlpm.Tons_Cool * (_xlpm.PLC_Base) * _xlpm.EFLH_Cool,
" "
)),4),
_xlpm.kWhHeat,
IF(
_xlpm.ElecHeat=1,
ROUND(
IF(OR(ISNUMBER(SEARCH("DX", C32)),ISNUMBER(SEARCH("PTAC", C32)), ISNUMBER(SEARCH("Air-Cooled Chiller", C32)), ISNUMBER(SEARCH("Water", C32)),
ISNUMBER(SEARCH("VRF", C32))),
0,
IF(
OR(ISNUMBER(SEARCH("ASHP", C32)), ISNUMBER(SEARCH("PTHP", C32))),
_xlpm.Tons_Heat * (1/_xlpm.Other_Base) * _xlpm.EFLH_Heat,
" "
)),4),
0
),
IFERROR(_xlpm.kWhCool + _xlpm.kWhHeat, "Measure Not Specified.")
), "")</f>
        <v/>
      </c>
      <c r="BB32" s="919" t="str">
        <f>IF(C32&lt;&gt;"", _xlfn.LET(
_xlpm.Tons_Cool, V32,_xlpm.PLC_Eff, N32, _xlpm.Tons_Heat, CC32, _xlpm.Other_Eff, T32,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(12/_xlpm.PLC_Eff)*_xlpm.EFLH_Cool,
IF(ISNUMBER(SEARCH("Water", C32)),
_xlpm.Tons_Cool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(1/_xlpm.Other_Eff) * _xlpm.EFLH_Heat,
" "
)),4),
0
),
IFERROR(_xlpm.kWhCool + _xlpm.kWhHeat, "Measure Not Specified.")
), "")</f>
        <v/>
      </c>
      <c r="BC32" s="1242" t="str">
        <f>IFERROR(IF(OR(C32="",N32="",V32="",AA32="",T32="",AE32="",AG32=""),"",INDEX(CLHVAC[End Use],MATCH(C32,CLHVAC[Measure Name],0))),"Err")</f>
        <v/>
      </c>
      <c r="BD32" s="1238" t="str">
        <f>IFERROR(IF(OR(C32="",N32="",V32="",AA32="",T32="",AE32="",AG32=""),"",INDEX(CLHVAC[Reporting Methodology],MATCH(C32,CLHVAC[Measure Name],0))),"Err")</f>
        <v/>
      </c>
      <c r="BE32" s="775" t="str">
        <f t="shared" si="2"/>
        <v/>
      </c>
      <c r="BF32" s="775" t="str">
        <f t="shared" ref="BF32" si="56">IF(C32&lt;&gt;"", _xlfn.LET(
_xlpm.Tons, V32, _xlpm.PCF, 0.913,
IF(OR(ISNUMBER(SEARCH("DX", C32)), ISNUMBER(SEARCH("Air-Cooled Chiller", C32)), ISNUMBER(SEARCH("VRF", C32))),
IFERROR(_xlpm.Tons * (12/R32 - 12/T32) * _xlpm.PCF, 0),
IF(ISNUMBER(SEARCH("Water", C32)),
IFERROR(_xlpm.Tons * (R32-T32) * _xlpm.PCF, 0),
IF(ISNUMBER(SEARCH("ASHP", C32)),
IFERROR(_xlpm.Tons * (12/CA32 - 12/CB32) * _xlpm.PCF, 0),
IF(OR(ISNUMBER(SEARCH("PTAC", C32)), ISNUMBER(SEARCH("PTHP", C32))),
IFERROR(_xlpm.Tons * (12/L32 - 12/N32) * _xlpm.PCF, 0),
"Measure Not Specified."))))), "")</f>
        <v/>
      </c>
      <c r="BG32" s="775"/>
      <c r="BH32" s="1240"/>
      <c r="BI32" s="1240"/>
      <c r="BJ32" s="777" t="str">
        <f>IFERROR(INDEX(CLHVAC[Measure Life (Years)],MATCH(C32,CLHVAC[Measure Name],0)),"")</f>
        <v/>
      </c>
      <c r="BK32" s="767" t="str">
        <f>IFERROR(IF(OR(C32="",N32="",T32="",V32="",AA32="",AE32="",AG32=""),"",
ROUND(((1+ELOSS)*((BE32*INDEX(ELECCB[NPV AEC $/kWh],MATCH(BJ32,ELECCB[Year Number],1)))+(BF32*INDEX(ELECCB[NPV ACC $/kW],MATCH(BJ32,ELECCB[Year Number],1))))),2)),0)</f>
        <v/>
      </c>
      <c r="BL32" s="767" t="str">
        <f t="shared" ref="BL32" si="57">IF(OR(C32="",N32="",V32="",AA32="",T32="",AE32="",AG32=""),"",ROUND(AE32+AG32,2))</f>
        <v/>
      </c>
      <c r="BM32" s="765"/>
      <c r="BN32" s="763" t="str">
        <f t="shared" si="4"/>
        <v/>
      </c>
      <c r="BO32" s="763" t="str">
        <f>IFERROR(IF(BM32 &lt;&gt; "", BM32, BL32) / M02S04F06 / AO32, "")</f>
        <v/>
      </c>
      <c r="BP32" s="769"/>
      <c r="BQ32" s="767" t="str">
        <f t="shared" ref="BQ32" si="58">IFERROR(IF(AI32="per ton", ROUND(V32*AM32, 2),
IF(AND(ISNUMBER(SEARCH("Air-Cooled Chiller",C32)),AI32="$/ton/IPLV"), ROUND((12/L32-12/N32)*V32*AM32, 2),
ROUND(ABS(N32-L32)*V32*AM32, 2))), "")</f>
        <v/>
      </c>
      <c r="BR32" s="767"/>
      <c r="BS32" s="765"/>
      <c r="BT32" s="765"/>
      <c r="BU32" s="1238" t="str">
        <f t="shared" ref="BU32" si="59">IFERROR(IF(BP32="",IF(AND(AO32&gt;0, AR32 &lt; BQ32), "100% Total Cost", ""), ""), "")</f>
        <v/>
      </c>
      <c r="BV32" s="767"/>
      <c r="BW32" s="1238" t="str">
        <f>IFERROR(IF(OR(C32="",N32="",V32="",AA32="",T32="",AE32="",AG32=""),"",IF(BY32&lt;&gt;"", SPILLOVERNUMBER, INDEX(CLHVAC[Measure Number],MATCH(C32,CLHVAC[Measure Name],0)))),"Err")</f>
        <v/>
      </c>
      <c r="BX32" s="757" t="str" cm="1">
        <f t="array" ref="BX32">IFERROR(INDEX(_xlfn.SWITCH(Program_Banner,"Business Energy Savings",CLHVAC[Primary Key WBE],"Small Business / Non-Profit",CLHVAC[Primary Key HTRB],0),MATCH(BW32,CLHVAC[Measure Number],0)),"")</f>
        <v/>
      </c>
      <c r="BY32" s="1253" t="str">
        <f>IFERROR(
IF(OR(C32="",N32="",T32="",V32="",AA32="",AE32="",AG32=""),
"",
IF(BP32&gt;0,"",IF(OR(AND(ISNUMBER(SEARCH("kW/ton", J32)),OR(L32&lt;N32,R32&lt;T32)),AND(NOT(ISNUMBER(SEARCH("kW/ton", J32))),OR(L32&gt;N32,R32&gt;T32))),
"Must Improve Efficiency",
IFERROR(IF(EXPIRATION&lt;&gt;"",PROJSTATEXP,
IF(BP32&gt;0,"",
IF(OR(M02S04F06="",M02S04F06="Select Rate Code",M02S04F06=0),MEASURERATE,
IF(M02S04F22="", SPACECONDTYPE,
IF(PAYCUSE&lt;PAYBACKREQ,PROJECTSTATPAYBACK,
IF(BN32&lt;CBREQ,PROJECTSTATCB,"")))))),MEASURESUBMIT)))),"")</f>
        <v/>
      </c>
      <c r="BZ32" s="1247" t="str">
        <f>IFERROR(IF(INDEX(CLHVAC[Eff Unit 3],MATCH(C32,CLHVAC[Measure Name],0))="","",INDEX(CLHVAC[Eff Unit 3],MATCH(C32,CLHVAC[Measure Name],0))),"")</f>
        <v/>
      </c>
      <c r="CA32" s="1249" t="str">
        <f>IFERROR(IF(INDEX(CLHVAC[Base Efficiency 3],MATCH(C32,CLHVAC[Measure Name],0))="","",INDEX(CLHVAC[Base Efficiency 3],MATCH(C32,CLHVAC[Measure Name],0))),"")</f>
        <v/>
      </c>
      <c r="CB32" s="1251" t="str">
        <f t="shared" ref="CB32" si="60">IFERROR(IF(ISNUMBER(SEARCH("Air-Cooled Chiller",$C32)),12/N32,""),"")</f>
        <v/>
      </c>
      <c r="CC32" s="1252"/>
    </row>
    <row r="33" spans="2:81" ht="15.95" customHeight="1">
      <c r="B33" s="785"/>
      <c r="C33" s="793"/>
      <c r="D33" s="795"/>
      <c r="E33" s="795"/>
      <c r="F33" s="795"/>
      <c r="G33" s="795"/>
      <c r="H33" s="795"/>
      <c r="I33" s="795"/>
      <c r="J33" s="934"/>
      <c r="K33" s="935"/>
      <c r="L33" s="930"/>
      <c r="M33" s="931"/>
      <c r="N33" s="915"/>
      <c r="O33" s="916"/>
      <c r="P33" s="934"/>
      <c r="Q33" s="935"/>
      <c r="R33" s="930"/>
      <c r="S33" s="931"/>
      <c r="T33" s="917"/>
      <c r="U33" s="918"/>
      <c r="V33" s="926"/>
      <c r="W33" s="927"/>
      <c r="X33" s="793"/>
      <c r="Y33" s="795"/>
      <c r="Z33" s="794"/>
      <c r="AA33" s="904"/>
      <c r="AB33" s="905"/>
      <c r="AC33" s="905"/>
      <c r="AD33" s="906"/>
      <c r="AE33" s="809"/>
      <c r="AF33" s="810"/>
      <c r="AG33" s="810"/>
      <c r="AH33" s="812"/>
      <c r="AI33" s="921"/>
      <c r="AJ33" s="921"/>
      <c r="AK33" s="921"/>
      <c r="AL33" s="922"/>
      <c r="AM33" s="816"/>
      <c r="AN33" s="816"/>
      <c r="AO33" s="818"/>
      <c r="AP33" s="818"/>
      <c r="AQ33" s="818"/>
      <c r="AR33" s="841"/>
      <c r="AS33" s="841"/>
      <c r="AT33" s="841"/>
      <c r="AU33" s="841"/>
      <c r="AV33" s="17"/>
      <c r="AX33" s="1243"/>
      <c r="AY33" s="760"/>
      <c r="AZ33" s="760"/>
      <c r="BA33" s="920"/>
      <c r="BB33" s="920"/>
      <c r="BC33" s="1243"/>
      <c r="BD33" s="1239"/>
      <c r="BE33" s="776"/>
      <c r="BF33" s="776"/>
      <c r="BG33" s="776"/>
      <c r="BH33" s="1241"/>
      <c r="BI33" s="1241"/>
      <c r="BJ33" s="778"/>
      <c r="BK33" s="768"/>
      <c r="BL33" s="768"/>
      <c r="BM33" s="766"/>
      <c r="BN33" s="764"/>
      <c r="BO33" s="764"/>
      <c r="BP33" s="770"/>
      <c r="BQ33" s="768"/>
      <c r="BR33" s="768"/>
      <c r="BS33" s="766"/>
      <c r="BT33" s="766"/>
      <c r="BU33" s="1239"/>
      <c r="BV33" s="768"/>
      <c r="BW33" s="1239"/>
      <c r="BX33" s="758"/>
      <c r="BY33" s="1254"/>
      <c r="BZ33" s="1248"/>
      <c r="CA33" s="1250"/>
      <c r="CB33" s="913"/>
      <c r="CC33" s="909"/>
    </row>
    <row r="34" spans="2:81" ht="15.95" customHeight="1">
      <c r="B34" s="785">
        <v>9</v>
      </c>
      <c r="C34" s="825"/>
      <c r="D34" s="826"/>
      <c r="E34" s="826"/>
      <c r="F34" s="826"/>
      <c r="G34" s="826"/>
      <c r="H34" s="826"/>
      <c r="I34" s="826"/>
      <c r="J34" s="932" t="str">
        <f>IF(C34="","",INDEX(CLHVAC[Eff Unit 1],MATCH(C34,CLHVAC[Measure Name],0)))</f>
        <v/>
      </c>
      <c r="K34" s="933"/>
      <c r="L34" s="928" t="str">
        <f>IF(C34="","",INDEX(CLHVAC[Base Efficiency 1],MATCH(C34,CLHVAC[Measure Name],0)))</f>
        <v/>
      </c>
      <c r="M34" s="929"/>
      <c r="N34" s="915"/>
      <c r="O34" s="916"/>
      <c r="P34" s="932" t="str">
        <f>IF(C34="","",INDEX(CLHVAC[Eff Unit 2],MATCH(C34,CLHVAC[Measure Name],0)))</f>
        <v/>
      </c>
      <c r="Q34" s="933"/>
      <c r="R34" s="928" t="str">
        <f>IF(C34="","",INDEX(CLHVAC[Base Efficiency 2],MATCH(C34,CLHVAC[Measure Name],0)))</f>
        <v/>
      </c>
      <c r="S34" s="929"/>
      <c r="T34" s="917" t="str">
        <f>IF(AND(ISNUMBER(SEARCH("DX",C34)),ISNUMBER(SEARCH("&lt;65 kbtu",C34)),N34&lt;&gt;""),1.12*N34-0.02*N34^2,IF(AND(ISNUMBER(SEARCH("PTAC",C34)),N34&lt;&gt;""),1,""))</f>
        <v/>
      </c>
      <c r="U34" s="918"/>
      <c r="V34" s="926"/>
      <c r="W34" s="927"/>
      <c r="X34" s="825"/>
      <c r="Y34" s="826"/>
      <c r="Z34" s="827"/>
      <c r="AA34" s="904"/>
      <c r="AB34" s="905"/>
      <c r="AC34" s="905"/>
      <c r="AD34" s="906"/>
      <c r="AE34" s="809"/>
      <c r="AF34" s="810"/>
      <c r="AG34" s="810"/>
      <c r="AH34" s="812"/>
      <c r="AI34" s="948" t="str">
        <f>IF(C34="","",INDEX(CLHVAC[Current Unit],MATCH(C34,CLHVAC[Measure Name],0)))</f>
        <v/>
      </c>
      <c r="AJ34" s="948"/>
      <c r="AK34" s="948"/>
      <c r="AL34" s="949"/>
      <c r="AM34" s="814" t="str" cm="1">
        <f t="array" ref="AM34">IFERROR(IF(C34="","",INDEX(IF(AND(ACTIVEBONUS = TRUE,INDEX(CLHVAC[Bonus Incentive],MATCH(C34,CLHVAC[Measure Name],0))&lt;&gt; ""),CLHVAC[Bonus Incentive],_xlfn.SWITCH(Program_Banner,"Business Energy Savings",CLHVAC[BESP Incentive],"Small Business / Non-Profit",CLHVAC[SBNP Incentive],0)),MATCH(C34,CLHVAC[Measure Name],0))),"")</f>
        <v/>
      </c>
      <c r="AN34" s="814"/>
      <c r="AO34" s="817" t="str">
        <f t="shared" ref="AO34" si="61">IFERROR(IF(OR(C34="",N34="",T34="",V34="",AA34="",AE34="",AG34=""),"",IF(BE34&lt;=0, 0, BE34)),"")</f>
        <v/>
      </c>
      <c r="AP34" s="817"/>
      <c r="AQ34" s="817"/>
      <c r="AR34" s="840" t="str">
        <f>IFERROR(IF(OR(C34="",N34="",V34="",AA34="",T34="",AE34="",AG34=""),"",IF(BY34&lt;&gt;"",BY34,IF(BP34&gt;0,BP34,ROUND(IF(AO34&lt;=0,0,MIN(BL34,BQ34)), 2)))), "")</f>
        <v/>
      </c>
      <c r="AS34" s="840"/>
      <c r="AT34" s="840"/>
      <c r="AU34" s="840"/>
      <c r="AV34" s="17"/>
      <c r="AX34" s="1242" t="str">
        <f>IFERROR(IF(OR(C34="",N34="",V34="",AA34="",T34="",AE34="",AG34=""),"",INDEX(CLHVAC[Current Unit],MATCH(C34,CLHVAC[Measure Name],0))),"Err")</f>
        <v/>
      </c>
      <c r="AY34" s="759" t="str">
        <f t="shared" ref="AY34" si="62">IF(OR(L34="", N34="", V34=""), "", ABS(N34-L34)*V34)</f>
        <v/>
      </c>
      <c r="AZ34" s="759" t="str">
        <f t="shared" ref="AZ34" si="63">IF(OR(L34="", N34="", V34=""), "", ABS(N34-L34)*V34)</f>
        <v/>
      </c>
      <c r="BA34" s="919" t="str">
        <f>IF(C34&lt;&gt;"", _xlfn.LET(
_xlpm.Tons_Cool, V34, _xlpm.PLC_Base, L34, _xlpm.Tons_Heat, CC34, _xlpm.Other_Base, R34,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(12/_xlpm.PLC_Base)*_xlpm.EFLH_Cool,
IF(ISNUMBER(SEARCH("Water", C34)),
_xlpm.Tons_Cool * (_xlpm.PLC_Base) * _xlpm.EFLH_Cool,
" "
)),4),
_xlpm.kWhHeat,
IF(
_xlpm.ElecHeat=1,
ROUND(
IF(OR(ISNUMBER(SEARCH("DX", C34)),ISNUMBER(SEARCH("PTAC", C34)), ISNUMBER(SEARCH("Air-Cooled Chiller", C34)), ISNUMBER(SEARCH("Water", C34)),
ISNUMBER(SEARCH("VRF", C34))),
0,
IF(
OR(ISNUMBER(SEARCH("ASHP", C34)), ISNUMBER(SEARCH("PTHP", C34))),
_xlpm.Tons_Heat * (1/_xlpm.Other_Base) * _xlpm.EFLH_Heat,
" "
)),4),
0
),
IFERROR(_xlpm.kWhCool + _xlpm.kWhHeat, "Measure Not Specified.")
), "")</f>
        <v/>
      </c>
      <c r="BB34" s="919" t="str">
        <f>IF(C34&lt;&gt;"", _xlfn.LET(
_xlpm.Tons_Cool, V34,_xlpm.PLC_Eff, N34, _xlpm.Tons_Heat, CC34, _xlpm.Other_Eff, T34,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(12/_xlpm.PLC_Eff)*_xlpm.EFLH_Cool,
IF(ISNUMBER(SEARCH("Water", C34)),
_xlpm.Tons_Cool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(1/_xlpm.Other_Eff) * _xlpm.EFLH_Heat,
" "
)),4),
0
),
IFERROR(_xlpm.kWhCool + _xlpm.kWhHeat, "Measure Not Specified.")
), "")</f>
        <v/>
      </c>
      <c r="BC34" s="1242" t="str">
        <f>IFERROR(IF(OR(C34="",N34="",V34="",AA34="",T34="",AE34="",AG34=""),"",INDEX(CLHVAC[End Use],MATCH(C34,CLHVAC[Measure Name],0))),"Err")</f>
        <v/>
      </c>
      <c r="BD34" s="1238" t="str">
        <f>IFERROR(IF(OR(C34="",N34="",V34="",AA34="",T34="",AE34="",AG34=""),"",INDEX(CLHVAC[Reporting Methodology],MATCH(C34,CLHVAC[Measure Name],0))),"Err")</f>
        <v/>
      </c>
      <c r="BE34" s="775" t="str">
        <f t="shared" si="2"/>
        <v/>
      </c>
      <c r="BF34" s="775" t="str">
        <f t="shared" ref="BF34" si="64">IF(C34&lt;&gt;"", _xlfn.LET(
_xlpm.Tons, V34, _xlpm.PCF, 0.913,
IF(OR(ISNUMBER(SEARCH("DX", C34)), ISNUMBER(SEARCH("Air-Cooled Chiller", C34)), ISNUMBER(SEARCH("VRF", C34))),
IFERROR(_xlpm.Tons * (12/R34 - 12/T34) * _xlpm.PCF, 0),
IF(ISNUMBER(SEARCH("Water", C34)),
IFERROR(_xlpm.Tons * (R34-T34) * _xlpm.PCF, 0),
IF(ISNUMBER(SEARCH("ASHP", C34)),
IFERROR(_xlpm.Tons * (12/CA34 - 12/CB34) * _xlpm.PCF, 0),
IF(OR(ISNUMBER(SEARCH("PTAC", C34)), ISNUMBER(SEARCH("PTHP", C34))),
IFERROR(_xlpm.Tons * (12/L34 - 12/N34) * _xlpm.PCF, 0),
"Measure Not Specified."))))), "")</f>
        <v/>
      </c>
      <c r="BG34" s="775"/>
      <c r="BH34" s="1240"/>
      <c r="BI34" s="1240"/>
      <c r="BJ34" s="777" t="str">
        <f>IFERROR(INDEX(CLHVAC[Measure Life (Years)],MATCH(C34,CLHVAC[Measure Name],0)),"")</f>
        <v/>
      </c>
      <c r="BK34" s="767" t="str">
        <f>IFERROR(IF(OR(C34="",N34="",T34="",V34="",AA34="",AE34="",AG34=""),"",
ROUND(((1+ELOSS)*((BE34*INDEX(ELECCB[NPV AEC $/kWh],MATCH(BJ34,ELECCB[Year Number],1)))+(BF34*INDEX(ELECCB[NPV ACC $/kW],MATCH(BJ34,ELECCB[Year Number],1))))),2)),0)</f>
        <v/>
      </c>
      <c r="BL34" s="767" t="str">
        <f t="shared" ref="BL34" si="65">IF(OR(C34="",N34="",V34="",AA34="",T34="",AE34="",AG34=""),"",ROUND(AE34+AG34,2))</f>
        <v/>
      </c>
      <c r="BM34" s="765"/>
      <c r="BN34" s="763" t="str">
        <f t="shared" si="4"/>
        <v/>
      </c>
      <c r="BO34" s="763" t="str">
        <f>IFERROR(IF(BM34 &lt;&gt; "", BM34, BL34) / M02S04F06 / AO34, "")</f>
        <v/>
      </c>
      <c r="BP34" s="769"/>
      <c r="BQ34" s="767" t="str">
        <f t="shared" ref="BQ34" si="66">IFERROR(IF(AI34="per ton", ROUND(V34*AM34, 2),
IF(AND(ISNUMBER(SEARCH("Air-Cooled Chiller",C34)),AI34="$/ton/IPLV"), ROUND((12/L34-12/N34)*V34*AM34, 2),
ROUND(ABS(N34-L34)*V34*AM34, 2))), "")</f>
        <v/>
      </c>
      <c r="BR34" s="767"/>
      <c r="BS34" s="765"/>
      <c r="BT34" s="765"/>
      <c r="BU34" s="1238" t="str">
        <f t="shared" ref="BU34" si="67">IFERROR(IF(BP34="",IF(AND(AO34&gt;0, AR34 &lt; BQ34), "100% Total Cost", ""), ""), "")</f>
        <v/>
      </c>
      <c r="BV34" s="767"/>
      <c r="BW34" s="1238" t="str">
        <f>IFERROR(IF(OR(C34="",N34="",V34="",AA34="",T34="",AE34="",AG34=""),"",IF(BY34&lt;&gt;"", SPILLOVERNUMBER, INDEX(CLHVAC[Measure Number],MATCH(C34,CLHVAC[Measure Name],0)))),"Err")</f>
        <v/>
      </c>
      <c r="BX34" s="757" t="str" cm="1">
        <f t="array" ref="BX34">IFERROR(INDEX(_xlfn.SWITCH(Program_Banner,"Business Energy Savings",CLHVAC[Primary Key WBE],"Small Business / Non-Profit",CLHVAC[Primary Key HTRB],0),MATCH(BW34,CLHVAC[Measure Number],0)),"")</f>
        <v/>
      </c>
      <c r="BY34" s="1253" t="str">
        <f>IFERROR(
IF(OR(C34="",N34="",T34="",V34="",AA34="",AE34="",AG34=""),
"",
IF(BP34&gt;0,"",IF(OR(AND(ISNUMBER(SEARCH("kW/ton", J34)),OR(L34&lt;N34,R34&lt;T34)),AND(NOT(ISNUMBER(SEARCH("kW/ton", J34))),OR(L34&gt;N34,R34&gt;T34))),
"Must Improve Efficiency",
IFERROR(IF(EXPIRATION&lt;&gt;"",PROJSTATEXP,
IF(BP34&gt;0,"",
IF(OR(M02S04F06="",M02S04F06="Select Rate Code",M02S04F06=0),MEASURERATE,
IF(M02S04F22="", SPACECONDTYPE,
IF(PAYCUSE&lt;PAYBACKREQ,PROJECTSTATPAYBACK,
IF(BN34&lt;CBREQ,PROJECTSTATCB,"")))))),MEASURESUBMIT)))),"")</f>
        <v/>
      </c>
      <c r="BZ34" s="1247" t="str">
        <f>IFERROR(IF(INDEX(CLHVAC[Eff Unit 3],MATCH(C34,CLHVAC[Measure Name],0))="","",INDEX(CLHVAC[Eff Unit 3],MATCH(C34,CLHVAC[Measure Name],0))),"")</f>
        <v/>
      </c>
      <c r="CA34" s="1249" t="str">
        <f>IFERROR(IF(INDEX(CLHVAC[Base Efficiency 3],MATCH(C34,CLHVAC[Measure Name],0))="","",INDEX(CLHVAC[Base Efficiency 3],MATCH(C34,CLHVAC[Measure Name],0))),"")</f>
        <v/>
      </c>
      <c r="CB34" s="1251" t="str">
        <f t="shared" ref="CB34" si="68">IFERROR(IF(ISNUMBER(SEARCH("Air-Cooled Chiller",$C34)),12/N34,""),"")</f>
        <v/>
      </c>
      <c r="CC34" s="1252"/>
    </row>
    <row r="35" spans="2:81" ht="15.95" customHeight="1">
      <c r="B35" s="785"/>
      <c r="C35" s="793"/>
      <c r="D35" s="795"/>
      <c r="E35" s="795"/>
      <c r="F35" s="795"/>
      <c r="G35" s="795"/>
      <c r="H35" s="795"/>
      <c r="I35" s="795"/>
      <c r="J35" s="934"/>
      <c r="K35" s="935"/>
      <c r="L35" s="930"/>
      <c r="M35" s="931"/>
      <c r="N35" s="915"/>
      <c r="O35" s="916"/>
      <c r="P35" s="934"/>
      <c r="Q35" s="935"/>
      <c r="R35" s="930"/>
      <c r="S35" s="931"/>
      <c r="T35" s="917"/>
      <c r="U35" s="918"/>
      <c r="V35" s="926"/>
      <c r="W35" s="927"/>
      <c r="X35" s="793"/>
      <c r="Y35" s="795"/>
      <c r="Z35" s="794"/>
      <c r="AA35" s="904"/>
      <c r="AB35" s="905"/>
      <c r="AC35" s="905"/>
      <c r="AD35" s="906"/>
      <c r="AE35" s="809"/>
      <c r="AF35" s="810"/>
      <c r="AG35" s="810"/>
      <c r="AH35" s="812"/>
      <c r="AI35" s="921"/>
      <c r="AJ35" s="921"/>
      <c r="AK35" s="921"/>
      <c r="AL35" s="922"/>
      <c r="AM35" s="816"/>
      <c r="AN35" s="816"/>
      <c r="AO35" s="818"/>
      <c r="AP35" s="818"/>
      <c r="AQ35" s="818"/>
      <c r="AR35" s="841"/>
      <c r="AS35" s="841"/>
      <c r="AT35" s="841"/>
      <c r="AU35" s="841"/>
      <c r="AV35" s="17"/>
      <c r="AX35" s="1243"/>
      <c r="AY35" s="760"/>
      <c r="AZ35" s="760"/>
      <c r="BA35" s="920"/>
      <c r="BB35" s="920"/>
      <c r="BC35" s="1243"/>
      <c r="BD35" s="1239"/>
      <c r="BE35" s="776"/>
      <c r="BF35" s="776"/>
      <c r="BG35" s="776"/>
      <c r="BH35" s="1241"/>
      <c r="BI35" s="1241"/>
      <c r="BJ35" s="778"/>
      <c r="BK35" s="768"/>
      <c r="BL35" s="768"/>
      <c r="BM35" s="766"/>
      <c r="BN35" s="764"/>
      <c r="BO35" s="764"/>
      <c r="BP35" s="770"/>
      <c r="BQ35" s="768"/>
      <c r="BR35" s="768"/>
      <c r="BS35" s="766"/>
      <c r="BT35" s="766"/>
      <c r="BU35" s="1239"/>
      <c r="BV35" s="768"/>
      <c r="BW35" s="1239"/>
      <c r="BX35" s="758"/>
      <c r="BY35" s="1254"/>
      <c r="BZ35" s="1248"/>
      <c r="CA35" s="1250"/>
      <c r="CB35" s="913"/>
      <c r="CC35" s="909"/>
    </row>
    <row r="36" spans="2:81" ht="15.95" customHeight="1">
      <c r="B36" s="785">
        <v>10</v>
      </c>
      <c r="C36" s="825"/>
      <c r="D36" s="826"/>
      <c r="E36" s="826"/>
      <c r="F36" s="826"/>
      <c r="G36" s="826"/>
      <c r="H36" s="826"/>
      <c r="I36" s="826"/>
      <c r="J36" s="932" t="str">
        <f>IF(C36="","",INDEX(CLHVAC[Eff Unit 1],MATCH(C36,CLHVAC[Measure Name],0)))</f>
        <v/>
      </c>
      <c r="K36" s="933"/>
      <c r="L36" s="928" t="str">
        <f>IF(C36="","",INDEX(CLHVAC[Base Efficiency 1],MATCH(C36,CLHVAC[Measure Name],0)))</f>
        <v/>
      </c>
      <c r="M36" s="929"/>
      <c r="N36" s="915"/>
      <c r="O36" s="916"/>
      <c r="P36" s="932" t="str">
        <f>IF(C36="","",INDEX(CLHVAC[Eff Unit 2],MATCH(C36,CLHVAC[Measure Name],0)))</f>
        <v/>
      </c>
      <c r="Q36" s="933"/>
      <c r="R36" s="928" t="str">
        <f>IF(C36="","",INDEX(CLHVAC[Base Efficiency 2],MATCH(C36,CLHVAC[Measure Name],0)))</f>
        <v/>
      </c>
      <c r="S36" s="929"/>
      <c r="T36" s="917" t="str">
        <f>IF(AND(ISNUMBER(SEARCH("DX",C36)),ISNUMBER(SEARCH("&lt;65 kbtu",C36)),N36&lt;&gt;""),1.12*N36-0.02*N36^2,IF(AND(ISNUMBER(SEARCH("PTAC",C36)),N36&lt;&gt;""),1,""))</f>
        <v/>
      </c>
      <c r="U36" s="918"/>
      <c r="V36" s="926"/>
      <c r="W36" s="927"/>
      <c r="X36" s="825"/>
      <c r="Y36" s="826"/>
      <c r="Z36" s="827"/>
      <c r="AA36" s="904"/>
      <c r="AB36" s="905"/>
      <c r="AC36" s="905"/>
      <c r="AD36" s="906"/>
      <c r="AE36" s="809"/>
      <c r="AF36" s="810"/>
      <c r="AG36" s="810"/>
      <c r="AH36" s="812"/>
      <c r="AI36" s="948" t="str">
        <f>IF(C36="","",INDEX(CLHVAC[Current Unit],MATCH(C36,CLHVAC[Measure Name],0)))</f>
        <v/>
      </c>
      <c r="AJ36" s="948"/>
      <c r="AK36" s="948"/>
      <c r="AL36" s="949"/>
      <c r="AM36" s="814" t="str" cm="1">
        <f t="array" ref="AM36">IFERROR(IF(C36="","",INDEX(IF(AND(ACTIVEBONUS = TRUE,INDEX(CLHVAC[Bonus Incentive],MATCH(C36,CLHVAC[Measure Name],0))&lt;&gt; ""),CLHVAC[Bonus Incentive],_xlfn.SWITCH(Program_Banner,"Business Energy Savings",CLHVAC[BESP Incentive],"Small Business / Non-Profit",CLHVAC[SBNP Incentive],0)),MATCH(C36,CLHVAC[Measure Name],0))),"")</f>
        <v/>
      </c>
      <c r="AN36" s="814"/>
      <c r="AO36" s="817" t="str">
        <f t="shared" ref="AO36" si="69">IFERROR(IF(OR(C36="",N36="",T36="",V36="",AA36="",AE36="",AG36=""),"",IF(BE36&lt;=0, 0, BE36)),"")</f>
        <v/>
      </c>
      <c r="AP36" s="817"/>
      <c r="AQ36" s="817"/>
      <c r="AR36" s="840" t="str">
        <f>IFERROR(IF(OR(C36="",N36="",V36="",AA36="",T36="",AE36="",AG36=""),"",IF(BY36&lt;&gt;"",BY36,IF(BP36&gt;0,BP36,ROUND(IF(AO36&lt;=0,0,MIN(BL36,BQ36)), 2)))), "")</f>
        <v/>
      </c>
      <c r="AS36" s="840"/>
      <c r="AT36" s="840"/>
      <c r="AU36" s="840"/>
      <c r="AV36" s="17"/>
      <c r="AX36" s="1242" t="str">
        <f>IFERROR(IF(OR(C36="",N36="",V36="",AA36="",T36="",AE36="",AG36=""),"",INDEX(CLHVAC[Current Unit],MATCH(C36,CLHVAC[Measure Name],0))),"Err")</f>
        <v/>
      </c>
      <c r="AY36" s="759" t="str">
        <f t="shared" ref="AY36" si="70">IF(OR(L36="", N36="", V36=""), "", ABS(N36-L36)*V36)</f>
        <v/>
      </c>
      <c r="AZ36" s="759" t="str">
        <f t="shared" ref="AZ36" si="71">IF(OR(L36="", N36="", V36=""), "", ABS(N36-L36)*V36)</f>
        <v/>
      </c>
      <c r="BA36" s="919" t="str">
        <f>IF(C36&lt;&gt;"", _xlfn.LET(
_xlpm.Tons_Cool, V36, _xlpm.PLC_Base, L36, _xlpm.Tons_Heat, CC36, _xlpm.Other_Base, R36,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(12/_xlpm.PLC_Base)*_xlpm.EFLH_Cool,
IF(ISNUMBER(SEARCH("Water", C36)),
_xlpm.Tons_Cool * (_xlpm.PLC_Base) * _xlpm.EFLH_Cool,
" "
)),4),
_xlpm.kWhHeat,
IF(
_xlpm.ElecHeat=1,
ROUND(
IF(OR(ISNUMBER(SEARCH("DX", C36)),ISNUMBER(SEARCH("PTAC", C36)), ISNUMBER(SEARCH("Air-Cooled Chiller", C36)), ISNUMBER(SEARCH("Water", C36)),
ISNUMBER(SEARCH("VRF", C36))),
0,
IF(
OR(ISNUMBER(SEARCH("ASHP", C36)), ISNUMBER(SEARCH("PTHP", C36))),
_xlpm.Tons_Heat * (1/_xlpm.Other_Base) * _xlpm.EFLH_Heat,
" "
)),4),
0
),
IFERROR(_xlpm.kWhCool + _xlpm.kWhHeat, "Measure Not Specified.")
), "")</f>
        <v/>
      </c>
      <c r="BB36" s="919" t="str">
        <f>IF(C36&lt;&gt;"", _xlfn.LET(
_xlpm.Tons_Cool, V36,_xlpm.PLC_Eff, N36, _xlpm.Tons_Heat, CC36, _xlpm.Other_Eff, T36,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(12/_xlpm.PLC_Eff)*_xlpm.EFLH_Cool,
IF(ISNUMBER(SEARCH("Water", C36)),
_xlpm.Tons_Cool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(1/_xlpm.Other_Eff) * _xlpm.EFLH_Heat,
" "
)),4),
0
),
IFERROR(_xlpm.kWhCool + _xlpm.kWhHeat, "Measure Not Specified.")
), "")</f>
        <v/>
      </c>
      <c r="BC36" s="1242" t="str">
        <f>IFERROR(IF(OR(C36="",N36="",V36="",AA36="",T36="",AE36="",AG36=""),"",INDEX(CLHVAC[End Use],MATCH(C36,CLHVAC[Measure Name],0))),"Err")</f>
        <v/>
      </c>
      <c r="BD36" s="1238" t="str">
        <f>IFERROR(IF(OR(C36="",N36="",V36="",AA36="",T36="",AE36="",AG36=""),"",INDEX(CLHVAC[Reporting Methodology],MATCH(C36,CLHVAC[Measure Name],0))),"Err")</f>
        <v/>
      </c>
      <c r="BE36" s="775" t="str">
        <f t="shared" si="2"/>
        <v/>
      </c>
      <c r="BF36" s="775" t="str">
        <f t="shared" ref="BF36" si="72">IF(C36&lt;&gt;"", _xlfn.LET(
_xlpm.Tons, V36, _xlpm.PCF, 0.913,
IF(OR(ISNUMBER(SEARCH("DX", C36)), ISNUMBER(SEARCH("Air-Cooled Chiller", C36)), ISNUMBER(SEARCH("VRF", C36))),
IFERROR(_xlpm.Tons * (12/R36 - 12/T36) * _xlpm.PCF, 0),
IF(ISNUMBER(SEARCH("Water", C36)),
IFERROR(_xlpm.Tons * (R36-T36) * _xlpm.PCF, 0),
IF(ISNUMBER(SEARCH("ASHP", C36)),
IFERROR(_xlpm.Tons * (12/CA36 - 12/CB36) * _xlpm.PCF, 0),
IF(OR(ISNUMBER(SEARCH("PTAC", C36)), ISNUMBER(SEARCH("PTHP", C36))),
IFERROR(_xlpm.Tons * (12/L36 - 12/N36) * _xlpm.PCF, 0),
"Measure Not Specified."))))), "")</f>
        <v/>
      </c>
      <c r="BG36" s="775"/>
      <c r="BH36" s="1240"/>
      <c r="BI36" s="1240"/>
      <c r="BJ36" s="777" t="str">
        <f>IFERROR(INDEX(CLHVAC[Measure Life (Years)],MATCH(C36,CLHVAC[Measure Name],0)),"")</f>
        <v/>
      </c>
      <c r="BK36" s="767" t="str">
        <f>IFERROR(IF(OR(C36="",N36="",T36="",V36="",AA36="",AE36="",AG36=""),"",
ROUND(((1+ELOSS)*((BE36*INDEX(ELECCB[NPV AEC $/kWh],MATCH(BJ36,ELECCB[Year Number],1)))+(BF36*INDEX(ELECCB[NPV ACC $/kW],MATCH(BJ36,ELECCB[Year Number],1))))),2)),0)</f>
        <v/>
      </c>
      <c r="BL36" s="767" t="str">
        <f t="shared" ref="BL36" si="73">IF(OR(C36="",N36="",V36="",AA36="",T36="",AE36="",AG36=""),"",ROUND(AE36+AG36,2))</f>
        <v/>
      </c>
      <c r="BM36" s="765"/>
      <c r="BN36" s="763" t="str">
        <f t="shared" si="4"/>
        <v/>
      </c>
      <c r="BO36" s="763" t="str">
        <f>IFERROR(IF(BM36 &lt;&gt; "", BM36, BL36) / M02S04F06 / AO36, "")</f>
        <v/>
      </c>
      <c r="BP36" s="769"/>
      <c r="BQ36" s="767" t="str">
        <f t="shared" ref="BQ36" si="74">IFERROR(IF(AI36="per ton", ROUND(V36*AM36, 2),
IF(AND(ISNUMBER(SEARCH("Air-Cooled Chiller",C36)),AI36="$/ton/IPLV"), ROUND((12/L36-12/N36)*V36*AM36, 2),
ROUND(ABS(N36-L36)*V36*AM36, 2))), "")</f>
        <v/>
      </c>
      <c r="BR36" s="767"/>
      <c r="BS36" s="765"/>
      <c r="BT36" s="765"/>
      <c r="BU36" s="1238" t="str">
        <f t="shared" ref="BU36" si="75">IFERROR(IF(BP36="",IF(AND(AO36&gt;0, AR36 &lt; BQ36), "100% Total Cost", ""), ""), "")</f>
        <v/>
      </c>
      <c r="BV36" s="767"/>
      <c r="BW36" s="1238" t="str">
        <f>IFERROR(IF(OR(C36="",N36="",V36="",AA36="",T36="",AE36="",AG36=""),"",IF(BY36&lt;&gt;"", SPILLOVERNUMBER, INDEX(CLHVAC[Measure Number],MATCH(C36,CLHVAC[Measure Name],0)))),"Err")</f>
        <v/>
      </c>
      <c r="BX36" s="757" t="str" cm="1">
        <f t="array" ref="BX36">IFERROR(INDEX(_xlfn.SWITCH(Program_Banner,"Business Energy Savings",CLHVAC[Primary Key WBE],"Small Business / Non-Profit",CLHVAC[Primary Key HTRB],0),MATCH(BW36,CLHVAC[Measure Number],0)),"")</f>
        <v/>
      </c>
      <c r="BY36" s="1253" t="str">
        <f>IFERROR(
IF(OR(C36="",N36="",T36="",V36="",AA36="",AE36="",AG36=""),
"",
IF(BP36&gt;0,"",IF(OR(AND(ISNUMBER(SEARCH("kW/ton", J36)),OR(L36&lt;N36,R36&lt;T36)),AND(NOT(ISNUMBER(SEARCH("kW/ton", J36))),OR(L36&gt;N36,R36&gt;T36))),
"Must Improve Efficiency",
IFERROR(IF(EXPIRATION&lt;&gt;"",PROJSTATEXP,
IF(BP36&gt;0,"",
IF(OR(M02S04F06="",M02S04F06="Select Rate Code",M02S04F06=0),MEASURERATE,
IF(M02S04F22="", SPACECONDTYPE,
IF(PAYCUSE&lt;PAYBACKREQ,PROJECTSTATPAYBACK,
IF(BN36&lt;CBREQ,PROJECTSTATCB,"")))))),MEASURESUBMIT)))),"")</f>
        <v/>
      </c>
      <c r="BZ36" s="1247" t="str">
        <f>IFERROR(IF(INDEX(CLHVAC[Eff Unit 3],MATCH(C36,CLHVAC[Measure Name],0))="","",INDEX(CLHVAC[Eff Unit 3],MATCH(C36,CLHVAC[Measure Name],0))),"")</f>
        <v/>
      </c>
      <c r="CA36" s="1249" t="str">
        <f>IFERROR(IF(INDEX(CLHVAC[Base Efficiency 3],MATCH(C36,CLHVAC[Measure Name],0))="","",INDEX(CLHVAC[Base Efficiency 3],MATCH(C36,CLHVAC[Measure Name],0))),"")</f>
        <v/>
      </c>
      <c r="CB36" s="1251" t="str">
        <f t="shared" ref="CB36" si="76">IFERROR(IF(ISNUMBER(SEARCH("Air-Cooled Chiller",$C36)),12/N36,""),"")</f>
        <v/>
      </c>
      <c r="CC36" s="1252"/>
    </row>
    <row r="37" spans="2:81" ht="15.95" customHeight="1">
      <c r="B37" s="785"/>
      <c r="C37" s="793"/>
      <c r="D37" s="795"/>
      <c r="E37" s="795"/>
      <c r="F37" s="795"/>
      <c r="G37" s="795"/>
      <c r="H37" s="795"/>
      <c r="I37" s="795"/>
      <c r="J37" s="934"/>
      <c r="K37" s="935"/>
      <c r="L37" s="930"/>
      <c r="M37" s="931"/>
      <c r="N37" s="915"/>
      <c r="O37" s="916"/>
      <c r="P37" s="934"/>
      <c r="Q37" s="935"/>
      <c r="R37" s="930"/>
      <c r="S37" s="931"/>
      <c r="T37" s="917"/>
      <c r="U37" s="918"/>
      <c r="V37" s="926"/>
      <c r="W37" s="927"/>
      <c r="X37" s="793"/>
      <c r="Y37" s="795"/>
      <c r="Z37" s="794"/>
      <c r="AA37" s="904"/>
      <c r="AB37" s="905"/>
      <c r="AC37" s="905"/>
      <c r="AD37" s="906"/>
      <c r="AE37" s="809"/>
      <c r="AF37" s="810"/>
      <c r="AG37" s="810"/>
      <c r="AH37" s="812"/>
      <c r="AI37" s="921"/>
      <c r="AJ37" s="921"/>
      <c r="AK37" s="921"/>
      <c r="AL37" s="922"/>
      <c r="AM37" s="816"/>
      <c r="AN37" s="816"/>
      <c r="AO37" s="818"/>
      <c r="AP37" s="818"/>
      <c r="AQ37" s="818"/>
      <c r="AR37" s="841"/>
      <c r="AS37" s="841"/>
      <c r="AT37" s="841"/>
      <c r="AU37" s="841"/>
      <c r="AV37" s="17"/>
      <c r="AX37" s="1243"/>
      <c r="AY37" s="760"/>
      <c r="AZ37" s="760"/>
      <c r="BA37" s="920"/>
      <c r="BB37" s="920"/>
      <c r="BC37" s="1243"/>
      <c r="BD37" s="1239"/>
      <c r="BE37" s="776"/>
      <c r="BF37" s="776"/>
      <c r="BG37" s="776"/>
      <c r="BH37" s="1241"/>
      <c r="BI37" s="1241"/>
      <c r="BJ37" s="778"/>
      <c r="BK37" s="768"/>
      <c r="BL37" s="768"/>
      <c r="BM37" s="766"/>
      <c r="BN37" s="764"/>
      <c r="BO37" s="764"/>
      <c r="BP37" s="770"/>
      <c r="BQ37" s="768"/>
      <c r="BR37" s="768"/>
      <c r="BS37" s="766"/>
      <c r="BT37" s="766"/>
      <c r="BU37" s="1239"/>
      <c r="BV37" s="768"/>
      <c r="BW37" s="1239"/>
      <c r="BX37" s="758"/>
      <c r="BY37" s="1254"/>
      <c r="BZ37" s="1248"/>
      <c r="CA37" s="1250"/>
      <c r="CB37" s="913"/>
      <c r="CC37" s="909"/>
    </row>
    <row r="38" spans="2:81" ht="15.95" customHeight="1">
      <c r="B38" s="785">
        <v>11</v>
      </c>
      <c r="C38" s="825"/>
      <c r="D38" s="826"/>
      <c r="E38" s="826"/>
      <c r="F38" s="826"/>
      <c r="G38" s="826"/>
      <c r="H38" s="826"/>
      <c r="I38" s="826"/>
      <c r="J38" s="932" t="str">
        <f>IF(C38="","",INDEX(CLHVAC[Eff Unit 1],MATCH(C38,CLHVAC[Measure Name],0)))</f>
        <v/>
      </c>
      <c r="K38" s="933"/>
      <c r="L38" s="928" t="str">
        <f>IF(C38="","",INDEX(CLHVAC[Base Efficiency 1],MATCH(C38,CLHVAC[Measure Name],0)))</f>
        <v/>
      </c>
      <c r="M38" s="929"/>
      <c r="N38" s="915"/>
      <c r="O38" s="916"/>
      <c r="P38" s="932" t="str">
        <f>IF(C38="","",INDEX(CLHVAC[Eff Unit 2],MATCH(C38,CLHVAC[Measure Name],0)))</f>
        <v/>
      </c>
      <c r="Q38" s="933"/>
      <c r="R38" s="928" t="str">
        <f>IF(C38="","",INDEX(CLHVAC[Base Efficiency 2],MATCH(C38,CLHVAC[Measure Name],0)))</f>
        <v/>
      </c>
      <c r="S38" s="929"/>
      <c r="T38" s="917" t="str">
        <f>IF(AND(ISNUMBER(SEARCH("DX",C38)),ISNUMBER(SEARCH("&lt;65 kbtu",C38)),N38&lt;&gt;""),1.12*N38-0.02*N38^2,IF(AND(ISNUMBER(SEARCH("PTAC",C38)),N38&lt;&gt;""),1,""))</f>
        <v/>
      </c>
      <c r="U38" s="918"/>
      <c r="V38" s="926"/>
      <c r="W38" s="927"/>
      <c r="X38" s="825"/>
      <c r="Y38" s="826"/>
      <c r="Z38" s="827"/>
      <c r="AA38" s="904"/>
      <c r="AB38" s="905"/>
      <c r="AC38" s="905"/>
      <c r="AD38" s="906"/>
      <c r="AE38" s="809"/>
      <c r="AF38" s="810"/>
      <c r="AG38" s="810"/>
      <c r="AH38" s="812"/>
      <c r="AI38" s="948" t="str">
        <f>IF(C38="","",INDEX(CLHVAC[Current Unit],MATCH(C38,CLHVAC[Measure Name],0)))</f>
        <v/>
      </c>
      <c r="AJ38" s="948"/>
      <c r="AK38" s="948"/>
      <c r="AL38" s="949"/>
      <c r="AM38" s="814" t="str" cm="1">
        <f t="array" ref="AM38">IFERROR(IF(C38="","",INDEX(IF(AND(ACTIVEBONUS = TRUE,INDEX(CLHVAC[Bonus Incentive],MATCH(C38,CLHVAC[Measure Name],0))&lt;&gt; ""),CLHVAC[Bonus Incentive],_xlfn.SWITCH(Program_Banner,"Business Energy Savings",CLHVAC[BESP Incentive],"Small Business / Non-Profit",CLHVAC[SBNP Incentive],0)),MATCH(C38,CLHVAC[Measure Name],0))),"")</f>
        <v/>
      </c>
      <c r="AN38" s="814"/>
      <c r="AO38" s="817" t="str">
        <f t="shared" ref="AO38" si="77">IFERROR(IF(OR(C38="",N38="",T38="",V38="",AA38="",AE38="",AG38=""),"",IF(BE38&lt;=0, 0, BE38)),"")</f>
        <v/>
      </c>
      <c r="AP38" s="817"/>
      <c r="AQ38" s="817"/>
      <c r="AR38" s="840" t="str">
        <f>IFERROR(IF(OR(C38="",N38="",V38="",AA38="",T38="",AE38="",AG38=""),"",IF(BY38&lt;&gt;"",BY38,IF(BP38&gt;0,BP38,ROUND(IF(AO38&lt;=0,0,MIN(BL38,BQ38)), 2)))), "")</f>
        <v/>
      </c>
      <c r="AS38" s="840"/>
      <c r="AT38" s="840"/>
      <c r="AU38" s="840"/>
      <c r="AV38" s="17"/>
      <c r="AX38" s="1242" t="str">
        <f>IFERROR(IF(OR(C38="",N38="",V38="",AA38="",T38="",AE38="",AG38=""),"",INDEX(CLHVAC[Current Unit],MATCH(C38,CLHVAC[Measure Name],0))),"Err")</f>
        <v/>
      </c>
      <c r="AY38" s="759" t="str">
        <f t="shared" ref="AY38" si="78">IF(OR(L38="", N38="", V38=""), "", ABS(N38-L38)*V38)</f>
        <v/>
      </c>
      <c r="AZ38" s="759" t="str">
        <f t="shared" ref="AZ38" si="79">IF(OR(L38="", N38="", V38=""), "", ABS(N38-L38)*V38)</f>
        <v/>
      </c>
      <c r="BA38" s="919" t="str">
        <f>IF(C38&lt;&gt;"", _xlfn.LET(
_xlpm.Tons_Cool, V38, _xlpm.PLC_Base, L38, _xlpm.Tons_Heat, CC38, _xlpm.Other_Base, R38,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(12/_xlpm.PLC_Base)*_xlpm.EFLH_Cool,
IF(ISNUMBER(SEARCH("Water", C38)),
_xlpm.Tons_Cool * (_xlpm.PLC_Base) * _xlpm.EFLH_Cool,
" "
)),4),
_xlpm.kWhHeat,
IF(
_xlpm.ElecHeat=1,
ROUND(
IF(OR(ISNUMBER(SEARCH("DX", C38)),ISNUMBER(SEARCH("PTAC", C38)), ISNUMBER(SEARCH("Air-Cooled Chiller", C38)), ISNUMBER(SEARCH("Water", C38)),
ISNUMBER(SEARCH("VRF", C38))),
0,
IF(
OR(ISNUMBER(SEARCH("ASHP", C38)), ISNUMBER(SEARCH("PTHP", C38))),
_xlpm.Tons_Heat * (1/_xlpm.Other_Base) * _xlpm.EFLH_Heat,
" "
)),4),
0
),
IFERROR(_xlpm.kWhCool + _xlpm.kWhHeat, "Measure Not Specified.")
), "")</f>
        <v/>
      </c>
      <c r="BB38" s="919" t="str">
        <f>IF(C38&lt;&gt;"", _xlfn.LET(
_xlpm.Tons_Cool, V38,_xlpm.PLC_Eff, N38, _xlpm.Tons_Heat, CC38, _xlpm.Other_Eff, T38,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(12/_xlpm.PLC_Eff)*_xlpm.EFLH_Cool,
IF(ISNUMBER(SEARCH("Water", C38)),
_xlpm.Tons_Cool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(1/_xlpm.Other_Eff) * _xlpm.EFLH_Heat,
" "
)),4),
0
),
IFERROR(_xlpm.kWhCool + _xlpm.kWhHeat, "Measure Not Specified.")
), "")</f>
        <v/>
      </c>
      <c r="BC38" s="1242" t="str">
        <f>IFERROR(IF(OR(C38="",N38="",V38="",AA38="",T38="",AE38="",AG38=""),"",INDEX(CLHVAC[End Use],MATCH(C38,CLHVAC[Measure Name],0))),"Err")</f>
        <v/>
      </c>
      <c r="BD38" s="1238" t="str">
        <f>IFERROR(IF(OR(C38="",N38="",V38="",AA38="",T38="",AE38="",AG38=""),"",INDEX(CLHVAC[Reporting Methodology],MATCH(C38,CLHVAC[Measure Name],0))),"Err")</f>
        <v/>
      </c>
      <c r="BE38" s="775" t="str">
        <f t="shared" si="2"/>
        <v/>
      </c>
      <c r="BF38" s="775" t="str">
        <f t="shared" ref="BF38" si="80">IF(C38&lt;&gt;"", _xlfn.LET(
_xlpm.Tons, V38, _xlpm.PCF, 0.913,
IF(OR(ISNUMBER(SEARCH("DX", C38)), ISNUMBER(SEARCH("Air-Cooled Chiller", C38)), ISNUMBER(SEARCH("VRF", C38))),
IFERROR(_xlpm.Tons * (12/R38 - 12/T38) * _xlpm.PCF, 0),
IF(ISNUMBER(SEARCH("Water", C38)),
IFERROR(_xlpm.Tons * (R38-T38) * _xlpm.PCF, 0),
IF(ISNUMBER(SEARCH("ASHP", C38)),
IFERROR(_xlpm.Tons * (12/CA38 - 12/CB38) * _xlpm.PCF, 0),
IF(OR(ISNUMBER(SEARCH("PTAC", C38)), ISNUMBER(SEARCH("PTHP", C38))),
IFERROR(_xlpm.Tons * (12/L38 - 12/N38) * _xlpm.PCF, 0),
"Measure Not Specified."))))), "")</f>
        <v/>
      </c>
      <c r="BG38" s="775"/>
      <c r="BH38" s="1240"/>
      <c r="BI38" s="1240"/>
      <c r="BJ38" s="777" t="str">
        <f>IFERROR(INDEX(CLHVAC[Measure Life (Years)],MATCH(C38,CLHVAC[Measure Name],0)),"")</f>
        <v/>
      </c>
      <c r="BK38" s="767" t="str">
        <f>IFERROR(IF(OR(C38="",N38="",T38="",V38="",AA38="",AE38="",AG38=""),"",
ROUND(((1+ELOSS)*((BE38*INDEX(ELECCB[NPV AEC $/kWh],MATCH(BJ38,ELECCB[Year Number],1)))+(BF38*INDEX(ELECCB[NPV ACC $/kW],MATCH(BJ38,ELECCB[Year Number],1))))),2)),0)</f>
        <v/>
      </c>
      <c r="BL38" s="767" t="str">
        <f t="shared" ref="BL38" si="81">IF(OR(C38="",N38="",V38="",AA38="",T38="",AE38="",AG38=""),"",ROUND(AE38+AG38,2))</f>
        <v/>
      </c>
      <c r="BM38" s="765"/>
      <c r="BN38" s="763" t="str">
        <f t="shared" si="4"/>
        <v/>
      </c>
      <c r="BO38" s="763" t="str">
        <f>IFERROR(IF(BM38 &lt;&gt; "", BM38, BL38) / M02S04F06 / AO38, "")</f>
        <v/>
      </c>
      <c r="BP38" s="769"/>
      <c r="BQ38" s="767" t="str">
        <f t="shared" ref="BQ38" si="82">IFERROR(IF(AI38="per ton", ROUND(V38*AM38, 2),
IF(AND(ISNUMBER(SEARCH("Air-Cooled Chiller",C38)),AI38="$/ton/IPLV"), ROUND((12/L38-12/N38)*V38*AM38, 2),
ROUND(ABS(N38-L38)*V38*AM38, 2))), "")</f>
        <v/>
      </c>
      <c r="BR38" s="767"/>
      <c r="BS38" s="765"/>
      <c r="BT38" s="765"/>
      <c r="BU38" s="1238" t="str">
        <f t="shared" ref="BU38" si="83">IFERROR(IF(BP38="",IF(AND(AO38&gt;0, AR38 &lt; BQ38), "100% Total Cost", ""), ""), "")</f>
        <v/>
      </c>
      <c r="BV38" s="767"/>
      <c r="BW38" s="1238" t="str">
        <f>IFERROR(IF(OR(C38="",N38="",V38="",AA38="",T38="",AE38="",AG38=""),"",IF(BY38&lt;&gt;"", SPILLOVERNUMBER, INDEX(CLHVAC[Measure Number],MATCH(C38,CLHVAC[Measure Name],0)))),"Err")</f>
        <v/>
      </c>
      <c r="BX38" s="757" t="str" cm="1">
        <f t="array" ref="BX38">IFERROR(INDEX(_xlfn.SWITCH(Program_Banner,"Business Energy Savings",CLHVAC[Primary Key WBE],"Small Business / Non-Profit",CLHVAC[Primary Key HTRB],0),MATCH(BW38,CLHVAC[Measure Number],0)),"")</f>
        <v/>
      </c>
      <c r="BY38" s="1253" t="str">
        <f>IFERROR(
IF(OR(C38="",N38="",T38="",V38="",AA38="",AE38="",AG38=""),
"",
IF(BP38&gt;0,"",IF(OR(AND(ISNUMBER(SEARCH("kW/ton", J38)),OR(L38&lt;N38,R38&lt;T38)),AND(NOT(ISNUMBER(SEARCH("kW/ton", J38))),OR(L38&gt;N38,R38&gt;T38))),
"Must Improve Efficiency",
IFERROR(IF(EXPIRATION&lt;&gt;"",PROJSTATEXP,
IF(BP38&gt;0,"",
IF(OR(M02S04F06="",M02S04F06="Select Rate Code",M02S04F06=0),MEASURERATE,
IF(M02S04F22="", SPACECONDTYPE,
IF(PAYCUSE&lt;PAYBACKREQ,PROJECTSTATPAYBACK,
IF(BN38&lt;CBREQ,PROJECTSTATCB,"")))))),MEASURESUBMIT)))),"")</f>
        <v/>
      </c>
      <c r="BZ38" s="1247" t="str">
        <f>IFERROR(IF(INDEX(CLHVAC[Eff Unit 3],MATCH(C38,CLHVAC[Measure Name],0))="","",INDEX(CLHVAC[Eff Unit 3],MATCH(C38,CLHVAC[Measure Name],0))),"")</f>
        <v/>
      </c>
      <c r="CA38" s="1249" t="str">
        <f>IFERROR(IF(INDEX(CLHVAC[Base Efficiency 3],MATCH(C38,CLHVAC[Measure Name],0))="","",INDEX(CLHVAC[Base Efficiency 3],MATCH(C38,CLHVAC[Measure Name],0))),"")</f>
        <v/>
      </c>
      <c r="CB38" s="1251" t="str">
        <f t="shared" ref="CB38" si="84">IFERROR(IF(ISNUMBER(SEARCH("Air-Cooled Chiller",$C38)),12/N38,""),"")</f>
        <v/>
      </c>
      <c r="CC38" s="1252"/>
    </row>
    <row r="39" spans="2:81" ht="15.95" customHeight="1">
      <c r="B39" s="785"/>
      <c r="C39" s="793"/>
      <c r="D39" s="795"/>
      <c r="E39" s="795"/>
      <c r="F39" s="795"/>
      <c r="G39" s="795"/>
      <c r="H39" s="795"/>
      <c r="I39" s="795"/>
      <c r="J39" s="934"/>
      <c r="K39" s="935"/>
      <c r="L39" s="930"/>
      <c r="M39" s="931"/>
      <c r="N39" s="915"/>
      <c r="O39" s="916"/>
      <c r="P39" s="934"/>
      <c r="Q39" s="935"/>
      <c r="R39" s="930"/>
      <c r="S39" s="931"/>
      <c r="T39" s="917"/>
      <c r="U39" s="918"/>
      <c r="V39" s="926"/>
      <c r="W39" s="927"/>
      <c r="X39" s="793"/>
      <c r="Y39" s="795"/>
      <c r="Z39" s="794"/>
      <c r="AA39" s="904"/>
      <c r="AB39" s="905"/>
      <c r="AC39" s="905"/>
      <c r="AD39" s="906"/>
      <c r="AE39" s="809"/>
      <c r="AF39" s="810"/>
      <c r="AG39" s="810"/>
      <c r="AH39" s="812"/>
      <c r="AI39" s="921"/>
      <c r="AJ39" s="921"/>
      <c r="AK39" s="921"/>
      <c r="AL39" s="922"/>
      <c r="AM39" s="816"/>
      <c r="AN39" s="816"/>
      <c r="AO39" s="818"/>
      <c r="AP39" s="818"/>
      <c r="AQ39" s="818"/>
      <c r="AR39" s="841"/>
      <c r="AS39" s="841"/>
      <c r="AT39" s="841"/>
      <c r="AU39" s="841"/>
      <c r="AV39" s="17"/>
      <c r="AX39" s="1243"/>
      <c r="AY39" s="760"/>
      <c r="AZ39" s="760"/>
      <c r="BA39" s="920"/>
      <c r="BB39" s="920"/>
      <c r="BC39" s="1243"/>
      <c r="BD39" s="1239"/>
      <c r="BE39" s="776"/>
      <c r="BF39" s="776"/>
      <c r="BG39" s="776"/>
      <c r="BH39" s="1241"/>
      <c r="BI39" s="1241"/>
      <c r="BJ39" s="778"/>
      <c r="BK39" s="768"/>
      <c r="BL39" s="768"/>
      <c r="BM39" s="766"/>
      <c r="BN39" s="764"/>
      <c r="BO39" s="764"/>
      <c r="BP39" s="770"/>
      <c r="BQ39" s="768"/>
      <c r="BR39" s="768"/>
      <c r="BS39" s="766"/>
      <c r="BT39" s="766"/>
      <c r="BU39" s="1239"/>
      <c r="BV39" s="768"/>
      <c r="BW39" s="1239"/>
      <c r="BX39" s="758"/>
      <c r="BY39" s="1254"/>
      <c r="BZ39" s="1248"/>
      <c r="CA39" s="1250"/>
      <c r="CB39" s="913"/>
      <c r="CC39" s="909"/>
    </row>
    <row r="40" spans="2:81" ht="15.95" customHeight="1">
      <c r="B40" s="785">
        <v>12</v>
      </c>
      <c r="C40" s="825"/>
      <c r="D40" s="826"/>
      <c r="E40" s="826"/>
      <c r="F40" s="826"/>
      <c r="G40" s="826"/>
      <c r="H40" s="826"/>
      <c r="I40" s="826"/>
      <c r="J40" s="932" t="str">
        <f>IF(C40="","",INDEX(CLHVAC[Eff Unit 1],MATCH(C40,CLHVAC[Measure Name],0)))</f>
        <v/>
      </c>
      <c r="K40" s="933"/>
      <c r="L40" s="928" t="str">
        <f>IF(C40="","",INDEX(CLHVAC[Base Efficiency 1],MATCH(C40,CLHVAC[Measure Name],0)))</f>
        <v/>
      </c>
      <c r="M40" s="929"/>
      <c r="N40" s="915"/>
      <c r="O40" s="916"/>
      <c r="P40" s="932" t="str">
        <f>IF(C40="","",INDEX(CLHVAC[Eff Unit 2],MATCH(C40,CLHVAC[Measure Name],0)))</f>
        <v/>
      </c>
      <c r="Q40" s="933"/>
      <c r="R40" s="928" t="str">
        <f>IF(C40="","",INDEX(CLHVAC[Base Efficiency 2],MATCH(C40,CLHVAC[Measure Name],0)))</f>
        <v/>
      </c>
      <c r="S40" s="929"/>
      <c r="T40" s="917" t="str">
        <f>IF(AND(ISNUMBER(SEARCH("DX",C40)),ISNUMBER(SEARCH("&lt;65 kbtu",C40)),N40&lt;&gt;""),1.12*N40-0.02*N40^2,IF(AND(ISNUMBER(SEARCH("PTAC",C40)),N40&lt;&gt;""),1,""))</f>
        <v/>
      </c>
      <c r="U40" s="918"/>
      <c r="V40" s="926"/>
      <c r="W40" s="927"/>
      <c r="X40" s="825"/>
      <c r="Y40" s="826"/>
      <c r="Z40" s="827"/>
      <c r="AA40" s="904"/>
      <c r="AB40" s="905"/>
      <c r="AC40" s="905"/>
      <c r="AD40" s="906"/>
      <c r="AE40" s="809"/>
      <c r="AF40" s="810"/>
      <c r="AG40" s="810"/>
      <c r="AH40" s="812"/>
      <c r="AI40" s="948" t="str">
        <f>IF(C40="","",INDEX(CLHVAC[Current Unit],MATCH(C40,CLHVAC[Measure Name],0)))</f>
        <v/>
      </c>
      <c r="AJ40" s="948"/>
      <c r="AK40" s="948"/>
      <c r="AL40" s="949"/>
      <c r="AM40" s="814" t="str" cm="1">
        <f t="array" ref="AM40">IFERROR(IF(C40="","",INDEX(IF(AND(ACTIVEBONUS = TRUE,INDEX(CLHVAC[Bonus Incentive],MATCH(C40,CLHVAC[Measure Name],0))&lt;&gt; ""),CLHVAC[Bonus Incentive],_xlfn.SWITCH(Program_Banner,"Business Energy Savings",CLHVAC[BESP Incentive],"Small Business / Non-Profit",CLHVAC[SBNP Incentive],0)),MATCH(C40,CLHVAC[Measure Name],0))),"")</f>
        <v/>
      </c>
      <c r="AN40" s="814"/>
      <c r="AO40" s="817" t="str">
        <f t="shared" ref="AO40" si="85">IFERROR(IF(OR(C40="",N40="",T40="",V40="",AA40="",AE40="",AG40=""),"",IF(BE40&lt;=0, 0, BE40)),"")</f>
        <v/>
      </c>
      <c r="AP40" s="817"/>
      <c r="AQ40" s="817"/>
      <c r="AR40" s="840" t="str">
        <f>IFERROR(IF(OR(C40="",N40="",V40="",AA40="",T40="",AE40="",AG40=""),"",IF(BY40&lt;&gt;"",BY40,IF(BP40&gt;0,BP40,ROUND(IF(AO40&lt;=0,0,MIN(BL40,BQ40)), 2)))), "")</f>
        <v/>
      </c>
      <c r="AS40" s="840"/>
      <c r="AT40" s="840"/>
      <c r="AU40" s="840"/>
      <c r="AV40" s="17"/>
      <c r="AX40" s="1242" t="str">
        <f>IFERROR(IF(OR(C40="",N40="",V40="",AA40="",T40="",AE40="",AG40=""),"",INDEX(CLHVAC[Current Unit],MATCH(C40,CLHVAC[Measure Name],0))),"Err")</f>
        <v/>
      </c>
      <c r="AY40" s="759" t="str">
        <f t="shared" ref="AY40" si="86">IF(OR(L40="", N40="", V40=""), "", ABS(N40-L40)*V40)</f>
        <v/>
      </c>
      <c r="AZ40" s="759" t="str">
        <f t="shared" ref="AZ40" si="87">IF(OR(L40="", N40="", V40=""), "", ABS(N40-L40)*V40)</f>
        <v/>
      </c>
      <c r="BA40" s="919" t="str">
        <f>IF(C40&lt;&gt;"", _xlfn.LET(
_xlpm.Tons_Cool, V40, _xlpm.PLC_Base, L40, _xlpm.Tons_Heat, CC40, _xlpm.Other_Base, R40,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(12/_xlpm.PLC_Base)*_xlpm.EFLH_Cool,
IF(ISNUMBER(SEARCH("Water", C40)),
_xlpm.Tons_Cool * (_xlpm.PLC_Base) * _xlpm.EFLH_Cool,
" "
)),4),
_xlpm.kWhHeat,
IF(
_xlpm.ElecHeat=1,
ROUND(
IF(OR(ISNUMBER(SEARCH("DX", C40)),ISNUMBER(SEARCH("PTAC", C40)), ISNUMBER(SEARCH("Air-Cooled Chiller", C40)), ISNUMBER(SEARCH("Water", C40)),
ISNUMBER(SEARCH("VRF", C40))),
0,
IF(
OR(ISNUMBER(SEARCH("ASHP", C40)), ISNUMBER(SEARCH("PTHP", C40))),
_xlpm.Tons_Heat * (1/_xlpm.Other_Base) * _xlpm.EFLH_Heat,
" "
)),4),
0
),
IFERROR(_xlpm.kWhCool + _xlpm.kWhHeat, "Measure Not Specified.")
), "")</f>
        <v/>
      </c>
      <c r="BB40" s="919" t="str">
        <f>IF(C40&lt;&gt;"", _xlfn.LET(
_xlpm.Tons_Cool, V40,_xlpm.PLC_Eff, N40, _xlpm.Tons_Heat, CC40, _xlpm.Other_Eff, T40,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(12/_xlpm.PLC_Eff)*_xlpm.EFLH_Cool,
IF(ISNUMBER(SEARCH("Water", C40)),
_xlpm.Tons_Cool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(1/_xlpm.Other_Eff) * _xlpm.EFLH_Heat,
" "
)),4),
0
),
IFERROR(_xlpm.kWhCool + _xlpm.kWhHeat, "Measure Not Specified.")
), "")</f>
        <v/>
      </c>
      <c r="BC40" s="1242" t="str">
        <f>IFERROR(IF(OR(C40="",N40="",V40="",AA40="",T40="",AE40="",AG40=""),"",INDEX(CLHVAC[End Use],MATCH(C40,CLHVAC[Measure Name],0))),"Err")</f>
        <v/>
      </c>
      <c r="BD40" s="1238" t="str">
        <f>IFERROR(IF(OR(C40="",N40="",V40="",AA40="",T40="",AE40="",AG40=""),"",INDEX(CLHVAC[Reporting Methodology],MATCH(C40,CLHVAC[Measure Name],0))),"Err")</f>
        <v/>
      </c>
      <c r="BE40" s="775" t="str">
        <f t="shared" si="2"/>
        <v/>
      </c>
      <c r="BF40" s="775" t="str">
        <f t="shared" ref="BF40" si="88">IF(C40&lt;&gt;"", _xlfn.LET(
_xlpm.Tons, V40, _xlpm.PCF, 0.913,
IF(OR(ISNUMBER(SEARCH("DX", C40)), ISNUMBER(SEARCH("Air-Cooled Chiller", C40)), ISNUMBER(SEARCH("VRF", C40))),
IFERROR(_xlpm.Tons * (12/R40 - 12/T40) * _xlpm.PCF, 0),
IF(ISNUMBER(SEARCH("Water", C40)),
IFERROR(_xlpm.Tons * (R40-T40) * _xlpm.PCF, 0),
IF(ISNUMBER(SEARCH("ASHP", C40)),
IFERROR(_xlpm.Tons * (12/CA40 - 12/CB40) * _xlpm.PCF, 0),
IF(OR(ISNUMBER(SEARCH("PTAC", C40)), ISNUMBER(SEARCH("PTHP", C40))),
IFERROR(_xlpm.Tons * (12/L40 - 12/N40) * _xlpm.PCF, 0),
"Measure Not Specified."))))), "")</f>
        <v/>
      </c>
      <c r="BG40" s="775"/>
      <c r="BH40" s="1240"/>
      <c r="BI40" s="1240"/>
      <c r="BJ40" s="777" t="str">
        <f>IFERROR(INDEX(CLHVAC[Measure Life (Years)],MATCH(C40,CLHVAC[Measure Name],0)),"")</f>
        <v/>
      </c>
      <c r="BK40" s="767" t="str">
        <f>IFERROR(IF(OR(C40="",N40="",T40="",V40="",AA40="",AE40="",AG40=""),"",
ROUND(((1+ELOSS)*((BE40*INDEX(ELECCB[NPV AEC $/kWh],MATCH(BJ40,ELECCB[Year Number],1)))+(BF40*INDEX(ELECCB[NPV ACC $/kW],MATCH(BJ40,ELECCB[Year Number],1))))),2)),0)</f>
        <v/>
      </c>
      <c r="BL40" s="767" t="str">
        <f t="shared" ref="BL40" si="89">IF(OR(C40="",N40="",V40="",AA40="",T40="",AE40="",AG40=""),"",ROUND(AE40+AG40,2))</f>
        <v/>
      </c>
      <c r="BM40" s="765"/>
      <c r="BN40" s="763" t="str">
        <f t="shared" si="4"/>
        <v/>
      </c>
      <c r="BO40" s="763" t="str">
        <f>IFERROR(IF(BM40 &lt;&gt; "", BM40, BL40) / M02S04F06 / AO40, "")</f>
        <v/>
      </c>
      <c r="BP40" s="769"/>
      <c r="BQ40" s="767" t="str">
        <f t="shared" ref="BQ40" si="90">IFERROR(IF(AI40="per ton", ROUND(V40*AM40, 2),
IF(AND(ISNUMBER(SEARCH("Air-Cooled Chiller",C40)),AI40="$/ton/IPLV"), ROUND((12/L40-12/N40)*V40*AM40, 2),
ROUND(ABS(N40-L40)*V40*AM40, 2))), "")</f>
        <v/>
      </c>
      <c r="BR40" s="767"/>
      <c r="BS40" s="765"/>
      <c r="BT40" s="765"/>
      <c r="BU40" s="1238" t="str">
        <f t="shared" ref="BU40" si="91">IFERROR(IF(BP40="",IF(AND(AO40&gt;0, AR40 &lt; BQ40), "100% Total Cost", ""), ""), "")</f>
        <v/>
      </c>
      <c r="BV40" s="767"/>
      <c r="BW40" s="1238" t="str">
        <f>IFERROR(IF(OR(C40="",N40="",V40="",AA40="",T40="",AE40="",AG40=""),"",IF(BY40&lt;&gt;"", SPILLOVERNUMBER, INDEX(CLHVAC[Measure Number],MATCH(C40,CLHVAC[Measure Name],0)))),"Err")</f>
        <v/>
      </c>
      <c r="BX40" s="757" t="str" cm="1">
        <f t="array" ref="BX40">IFERROR(INDEX(_xlfn.SWITCH(Program_Banner,"Business Energy Savings",CLHVAC[Primary Key WBE],"Small Business / Non-Profit",CLHVAC[Primary Key HTRB],0),MATCH(BW40,CLHVAC[Measure Number],0)),"")</f>
        <v/>
      </c>
      <c r="BY40" s="1253" t="str">
        <f>IFERROR(
IF(OR(C40="",N40="",T40="",V40="",AA40="",AE40="",AG40=""),
"",
IF(BP40&gt;0,"",IF(OR(AND(ISNUMBER(SEARCH("kW/ton", J40)),OR(L40&lt;N40,R40&lt;T40)),AND(NOT(ISNUMBER(SEARCH("kW/ton", J40))),OR(L40&gt;N40,R40&gt;T40))),
"Must Improve Efficiency",
IFERROR(IF(EXPIRATION&lt;&gt;"",PROJSTATEXP,
IF(BP40&gt;0,"",
IF(OR(M02S04F06="",M02S04F06="Select Rate Code",M02S04F06=0),MEASURERATE,
IF(M02S04F22="", SPACECONDTYPE,
IF(PAYCUSE&lt;PAYBACKREQ,PROJECTSTATPAYBACK,
IF(BN40&lt;CBREQ,PROJECTSTATCB,"")))))),MEASURESUBMIT)))),"")</f>
        <v/>
      </c>
      <c r="BZ40" s="1247" t="str">
        <f>IFERROR(IF(INDEX(CLHVAC[Eff Unit 3],MATCH(C40,CLHVAC[Measure Name],0))="","",INDEX(CLHVAC[Eff Unit 3],MATCH(C40,CLHVAC[Measure Name],0))),"")</f>
        <v/>
      </c>
      <c r="CA40" s="1249" t="str">
        <f>IFERROR(IF(INDEX(CLHVAC[Base Efficiency 3],MATCH(C40,CLHVAC[Measure Name],0))="","",INDEX(CLHVAC[Base Efficiency 3],MATCH(C40,CLHVAC[Measure Name],0))),"")</f>
        <v/>
      </c>
      <c r="CB40" s="1251" t="str">
        <f t="shared" ref="CB40" si="92">IFERROR(IF(ISNUMBER(SEARCH("Air-Cooled Chiller",$C40)),12/N40,""),"")</f>
        <v/>
      </c>
      <c r="CC40" s="1252"/>
    </row>
    <row r="41" spans="2:81" ht="15.95" customHeight="1">
      <c r="B41" s="785"/>
      <c r="C41" s="793"/>
      <c r="D41" s="795"/>
      <c r="E41" s="795"/>
      <c r="F41" s="795"/>
      <c r="G41" s="795"/>
      <c r="H41" s="795"/>
      <c r="I41" s="795"/>
      <c r="J41" s="934"/>
      <c r="K41" s="935"/>
      <c r="L41" s="930"/>
      <c r="M41" s="931"/>
      <c r="N41" s="915"/>
      <c r="O41" s="916"/>
      <c r="P41" s="934"/>
      <c r="Q41" s="935"/>
      <c r="R41" s="930"/>
      <c r="S41" s="931"/>
      <c r="T41" s="917"/>
      <c r="U41" s="918"/>
      <c r="V41" s="926"/>
      <c r="W41" s="927"/>
      <c r="X41" s="793"/>
      <c r="Y41" s="795"/>
      <c r="Z41" s="794"/>
      <c r="AA41" s="904"/>
      <c r="AB41" s="905"/>
      <c r="AC41" s="905"/>
      <c r="AD41" s="906"/>
      <c r="AE41" s="809"/>
      <c r="AF41" s="810"/>
      <c r="AG41" s="810"/>
      <c r="AH41" s="812"/>
      <c r="AI41" s="921"/>
      <c r="AJ41" s="921"/>
      <c r="AK41" s="921"/>
      <c r="AL41" s="922"/>
      <c r="AM41" s="816"/>
      <c r="AN41" s="816"/>
      <c r="AO41" s="818"/>
      <c r="AP41" s="818"/>
      <c r="AQ41" s="818"/>
      <c r="AR41" s="841"/>
      <c r="AS41" s="841"/>
      <c r="AT41" s="841"/>
      <c r="AU41" s="841"/>
      <c r="AV41" s="17"/>
      <c r="AX41" s="1243"/>
      <c r="AY41" s="760"/>
      <c r="AZ41" s="760"/>
      <c r="BA41" s="920"/>
      <c r="BB41" s="920"/>
      <c r="BC41" s="1243"/>
      <c r="BD41" s="1239"/>
      <c r="BE41" s="776"/>
      <c r="BF41" s="776"/>
      <c r="BG41" s="776"/>
      <c r="BH41" s="1241"/>
      <c r="BI41" s="1241"/>
      <c r="BJ41" s="778"/>
      <c r="BK41" s="768"/>
      <c r="BL41" s="768"/>
      <c r="BM41" s="766"/>
      <c r="BN41" s="764"/>
      <c r="BO41" s="764"/>
      <c r="BP41" s="770"/>
      <c r="BQ41" s="768"/>
      <c r="BR41" s="768"/>
      <c r="BS41" s="766"/>
      <c r="BT41" s="766"/>
      <c r="BU41" s="1239"/>
      <c r="BV41" s="768"/>
      <c r="BW41" s="1239"/>
      <c r="BX41" s="758"/>
      <c r="BY41" s="1254"/>
      <c r="BZ41" s="1248"/>
      <c r="CA41" s="1250"/>
      <c r="CB41" s="913"/>
      <c r="CC41" s="909"/>
    </row>
    <row r="42" spans="2:81" ht="15.95" customHeight="1">
      <c r="B42" s="785">
        <v>13</v>
      </c>
      <c r="C42" s="825"/>
      <c r="D42" s="826"/>
      <c r="E42" s="826"/>
      <c r="F42" s="826"/>
      <c r="G42" s="826"/>
      <c r="H42" s="826"/>
      <c r="I42" s="826"/>
      <c r="J42" s="932" t="str">
        <f>IF(C42="","",INDEX(CLHVAC[Eff Unit 1],MATCH(C42,CLHVAC[Measure Name],0)))</f>
        <v/>
      </c>
      <c r="K42" s="933"/>
      <c r="L42" s="928" t="str">
        <f>IF(C42="","",INDEX(CLHVAC[Base Efficiency 1],MATCH(C42,CLHVAC[Measure Name],0)))</f>
        <v/>
      </c>
      <c r="M42" s="929"/>
      <c r="N42" s="915"/>
      <c r="O42" s="916"/>
      <c r="P42" s="932" t="str">
        <f>IF(C42="","",INDEX(CLHVAC[Eff Unit 2],MATCH(C42,CLHVAC[Measure Name],0)))</f>
        <v/>
      </c>
      <c r="Q42" s="933"/>
      <c r="R42" s="928" t="str">
        <f>IF(C42="","",INDEX(CLHVAC[Base Efficiency 2],MATCH(C42,CLHVAC[Measure Name],0)))</f>
        <v/>
      </c>
      <c r="S42" s="929"/>
      <c r="T42" s="917" t="str">
        <f>IF(AND(ISNUMBER(SEARCH("DX",C42)),ISNUMBER(SEARCH("&lt;65 kbtu",C42)),N42&lt;&gt;""),1.12*N42-0.02*N42^2,IF(AND(ISNUMBER(SEARCH("PTAC",C42)),N42&lt;&gt;""),1,""))</f>
        <v/>
      </c>
      <c r="U42" s="918"/>
      <c r="V42" s="926"/>
      <c r="W42" s="927"/>
      <c r="X42" s="825"/>
      <c r="Y42" s="826"/>
      <c r="Z42" s="827"/>
      <c r="AA42" s="904"/>
      <c r="AB42" s="905"/>
      <c r="AC42" s="905"/>
      <c r="AD42" s="906"/>
      <c r="AE42" s="809"/>
      <c r="AF42" s="810"/>
      <c r="AG42" s="810"/>
      <c r="AH42" s="812"/>
      <c r="AI42" s="948" t="str">
        <f>IF(C42="","",INDEX(CLHVAC[Current Unit],MATCH(C42,CLHVAC[Measure Name],0)))</f>
        <v/>
      </c>
      <c r="AJ42" s="948"/>
      <c r="AK42" s="948"/>
      <c r="AL42" s="949"/>
      <c r="AM42" s="814" t="str" cm="1">
        <f t="array" ref="AM42">IFERROR(IF(C42="","",INDEX(IF(AND(ACTIVEBONUS = TRUE,INDEX(CLHVAC[Bonus Incentive],MATCH(C42,CLHVAC[Measure Name],0))&lt;&gt; ""),CLHVAC[Bonus Incentive],_xlfn.SWITCH(Program_Banner,"Business Energy Savings",CLHVAC[BESP Incentive],"Small Business / Non-Profit",CLHVAC[SBNP Incentive],0)),MATCH(C42,CLHVAC[Measure Name],0))),"")</f>
        <v/>
      </c>
      <c r="AN42" s="814"/>
      <c r="AO42" s="817" t="str">
        <f t="shared" ref="AO42" si="93">IFERROR(IF(OR(C42="",N42="",T42="",V42="",AA42="",AE42="",AG42=""),"",IF(BE42&lt;=0, 0, BE42)),"")</f>
        <v/>
      </c>
      <c r="AP42" s="817"/>
      <c r="AQ42" s="817"/>
      <c r="AR42" s="840" t="str">
        <f>IFERROR(IF(OR(C42="",N42="",V42="",AA42="",T42="",AE42="",AG42=""),"",IF(BY42&lt;&gt;"",BY42,IF(BP42&gt;0,BP42,ROUND(IF(AO42&lt;=0,0,MIN(BL42,BQ42)), 2)))), "")</f>
        <v/>
      </c>
      <c r="AS42" s="840"/>
      <c r="AT42" s="840"/>
      <c r="AU42" s="840"/>
      <c r="AV42" s="17"/>
      <c r="AX42" s="1242" t="str">
        <f>IFERROR(IF(OR(C42="",N42="",V42="",AA42="",T42="",AE42="",AG42=""),"",INDEX(CLHVAC[Current Unit],MATCH(C42,CLHVAC[Measure Name],0))),"Err")</f>
        <v/>
      </c>
      <c r="AY42" s="759" t="str">
        <f t="shared" ref="AY42" si="94">IF(OR(L42="", N42="", V42=""), "", ABS(N42-L42)*V42)</f>
        <v/>
      </c>
      <c r="AZ42" s="759" t="str">
        <f t="shared" ref="AZ42" si="95">IF(OR(L42="", N42="", V42=""), "", ABS(N42-L42)*V42)</f>
        <v/>
      </c>
      <c r="BA42" s="919" t="str">
        <f>IF(C42&lt;&gt;"", _xlfn.LET(
_xlpm.Tons_Cool, V42, _xlpm.PLC_Base, L42, _xlpm.Tons_Heat, CC42, _xlpm.Other_Base, R42,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(12/_xlpm.PLC_Base)*_xlpm.EFLH_Cool,
IF(ISNUMBER(SEARCH("Water", C42)),
_xlpm.Tons_Cool * (_xlpm.PLC_Base) * _xlpm.EFLH_Cool,
" "
)),4),
_xlpm.kWhHeat,
IF(
_xlpm.ElecHeat=1,
ROUND(
IF(OR(ISNUMBER(SEARCH("DX", C42)),ISNUMBER(SEARCH("PTAC", C42)), ISNUMBER(SEARCH("Air-Cooled Chiller", C42)), ISNUMBER(SEARCH("Water", C42)),
ISNUMBER(SEARCH("VRF", C42))),
0,
IF(
OR(ISNUMBER(SEARCH("ASHP", C42)), ISNUMBER(SEARCH("PTHP", C42))),
_xlpm.Tons_Heat * (1/_xlpm.Other_Base) * _xlpm.EFLH_Heat,
" "
)),4),
0
),
IFERROR(_xlpm.kWhCool + _xlpm.kWhHeat, "Measure Not Specified.")
), "")</f>
        <v/>
      </c>
      <c r="BB42" s="919" t="str">
        <f>IF(C42&lt;&gt;"", _xlfn.LET(
_xlpm.Tons_Cool, V42,_xlpm.PLC_Eff, N42, _xlpm.Tons_Heat, CC42, _xlpm.Other_Eff, T42,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(12/_xlpm.PLC_Eff)*_xlpm.EFLH_Cool,
IF(ISNUMBER(SEARCH("Water", C42)),
_xlpm.Tons_Cool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(1/_xlpm.Other_Eff) * _xlpm.EFLH_Heat,
" "
)),4),
0
),
IFERROR(_xlpm.kWhCool + _xlpm.kWhHeat, "Measure Not Specified.")
), "")</f>
        <v/>
      </c>
      <c r="BC42" s="1242" t="str">
        <f>IFERROR(IF(OR(C42="",N42="",V42="",AA42="",T42="",AE42="",AG42=""),"",INDEX(CLHVAC[End Use],MATCH(C42,CLHVAC[Measure Name],0))),"Err")</f>
        <v/>
      </c>
      <c r="BD42" s="1238" t="str">
        <f>IFERROR(IF(OR(C42="",N42="",V42="",AA42="",T42="",AE42="",AG42=""),"",INDEX(CLHVAC[Reporting Methodology],MATCH(C42,CLHVAC[Measure Name],0))),"Err")</f>
        <v/>
      </c>
      <c r="BE42" s="775" t="str">
        <f t="shared" si="2"/>
        <v/>
      </c>
      <c r="BF42" s="775" t="str">
        <f t="shared" ref="BF42" si="96">IF(C42&lt;&gt;"", _xlfn.LET(
_xlpm.Tons, V42, _xlpm.PCF, 0.913,
IF(OR(ISNUMBER(SEARCH("DX", C42)), ISNUMBER(SEARCH("Air-Cooled Chiller", C42)), ISNUMBER(SEARCH("VRF", C42))),
IFERROR(_xlpm.Tons * (12/R42 - 12/T42) * _xlpm.PCF, 0),
IF(ISNUMBER(SEARCH("Water", C42)),
IFERROR(_xlpm.Tons * (R42-T42) * _xlpm.PCF, 0),
IF(ISNUMBER(SEARCH("ASHP", C42)),
IFERROR(_xlpm.Tons * (12/CA42 - 12/CB42) * _xlpm.PCF, 0),
IF(OR(ISNUMBER(SEARCH("PTAC", C42)), ISNUMBER(SEARCH("PTHP", C42))),
IFERROR(_xlpm.Tons * (12/L42 - 12/N42) * _xlpm.PCF, 0),
"Measure Not Specified."))))), "")</f>
        <v/>
      </c>
      <c r="BG42" s="775"/>
      <c r="BH42" s="1240"/>
      <c r="BI42" s="1240"/>
      <c r="BJ42" s="777" t="str">
        <f>IFERROR(INDEX(CLHVAC[Measure Life (Years)],MATCH(C42,CLHVAC[Measure Name],0)),"")</f>
        <v/>
      </c>
      <c r="BK42" s="767" t="str">
        <f>IFERROR(IF(OR(C42="",N42="",T42="",V42="",AA42="",AE42="",AG42=""),"",
ROUND(((1+ELOSS)*((BE42*INDEX(ELECCB[NPV AEC $/kWh],MATCH(BJ42,ELECCB[Year Number],1)))+(BF42*INDEX(ELECCB[NPV ACC $/kW],MATCH(BJ42,ELECCB[Year Number],1))))),2)),0)</f>
        <v/>
      </c>
      <c r="BL42" s="767" t="str">
        <f t="shared" ref="BL42" si="97">IF(OR(C42="",N42="",V42="",AA42="",T42="",AE42="",AG42=""),"",ROUND(AE42+AG42,2))</f>
        <v/>
      </c>
      <c r="BM42" s="765"/>
      <c r="BN42" s="763" t="str">
        <f t="shared" si="4"/>
        <v/>
      </c>
      <c r="BO42" s="763" t="str">
        <f>IFERROR(IF(BM42 &lt;&gt; "", BM42, BL42) / M02S04F06 / AO42, "")</f>
        <v/>
      </c>
      <c r="BP42" s="769"/>
      <c r="BQ42" s="767" t="str">
        <f t="shared" ref="BQ42" si="98">IFERROR(IF(AI42="per ton", ROUND(V42*AM42, 2),
IF(AND(ISNUMBER(SEARCH("Air-Cooled Chiller",C42)),AI42="$/ton/IPLV"), ROUND((12/L42-12/N42)*V42*AM42, 2),
ROUND(ABS(N42-L42)*V42*AM42, 2))), "")</f>
        <v/>
      </c>
      <c r="BR42" s="767"/>
      <c r="BS42" s="765"/>
      <c r="BT42" s="765"/>
      <c r="BU42" s="1238" t="str">
        <f t="shared" ref="BU42" si="99">IFERROR(IF(BP42="",IF(AND(AO42&gt;0, AR42 &lt; BQ42), "100% Total Cost", ""), ""), "")</f>
        <v/>
      </c>
      <c r="BV42" s="767"/>
      <c r="BW42" s="1238" t="str">
        <f>IFERROR(IF(OR(C42="",N42="",V42="",AA42="",T42="",AE42="",AG42=""),"",IF(BY42&lt;&gt;"", SPILLOVERNUMBER, INDEX(CLHVAC[Measure Number],MATCH(C42,CLHVAC[Measure Name],0)))),"Err")</f>
        <v/>
      </c>
      <c r="BX42" s="757" t="str" cm="1">
        <f t="array" ref="BX42">IFERROR(INDEX(_xlfn.SWITCH(Program_Banner,"Business Energy Savings",CLHVAC[Primary Key WBE],"Small Business / Non-Profit",CLHVAC[Primary Key HTRB],0),MATCH(BW42,CLHVAC[Measure Number],0)),"")</f>
        <v/>
      </c>
      <c r="BY42" s="1253" t="str">
        <f>IFERROR(
IF(OR(C42="",N42="",T42="",V42="",AA42="",AE42="",AG42=""),
"",
IF(BP42&gt;0,"",IF(OR(AND(ISNUMBER(SEARCH("kW/ton", J42)),OR(L42&lt;N42,R42&lt;T42)),AND(NOT(ISNUMBER(SEARCH("kW/ton", J42))),OR(L42&gt;N42,R42&gt;T42))),
"Must Improve Efficiency",
IFERROR(IF(EXPIRATION&lt;&gt;"",PROJSTATEXP,
IF(BP42&gt;0,"",
IF(OR(M02S04F06="",M02S04F06="Select Rate Code",M02S04F06=0),MEASURERATE,
IF(M02S04F22="", SPACECONDTYPE,
IF(PAYCUSE&lt;PAYBACKREQ,PROJECTSTATPAYBACK,
IF(BN42&lt;CBREQ,PROJECTSTATCB,"")))))),MEASURESUBMIT)))),"")</f>
        <v/>
      </c>
      <c r="BZ42" s="1247" t="str">
        <f>IFERROR(IF(INDEX(CLHVAC[Eff Unit 3],MATCH(C42,CLHVAC[Measure Name],0))="","",INDEX(CLHVAC[Eff Unit 3],MATCH(C42,CLHVAC[Measure Name],0))),"")</f>
        <v/>
      </c>
      <c r="CA42" s="1249" t="str">
        <f>IFERROR(IF(INDEX(CLHVAC[Base Efficiency 3],MATCH(C42,CLHVAC[Measure Name],0))="","",INDEX(CLHVAC[Base Efficiency 3],MATCH(C42,CLHVAC[Measure Name],0))),"")</f>
        <v/>
      </c>
      <c r="CB42" s="1251" t="str">
        <f t="shared" ref="CB42" si="100">IFERROR(IF(ISNUMBER(SEARCH("Air-Cooled Chiller",$C42)),12/N42,""),"")</f>
        <v/>
      </c>
      <c r="CC42" s="1252"/>
    </row>
    <row r="43" spans="2:81" ht="15.95" customHeight="1">
      <c r="B43" s="785"/>
      <c r="C43" s="793"/>
      <c r="D43" s="795"/>
      <c r="E43" s="795"/>
      <c r="F43" s="795"/>
      <c r="G43" s="795"/>
      <c r="H43" s="795"/>
      <c r="I43" s="795"/>
      <c r="J43" s="934"/>
      <c r="K43" s="935"/>
      <c r="L43" s="930"/>
      <c r="M43" s="931"/>
      <c r="N43" s="915"/>
      <c r="O43" s="916"/>
      <c r="P43" s="934"/>
      <c r="Q43" s="935"/>
      <c r="R43" s="930"/>
      <c r="S43" s="931"/>
      <c r="T43" s="917"/>
      <c r="U43" s="918"/>
      <c r="V43" s="926"/>
      <c r="W43" s="927"/>
      <c r="X43" s="793"/>
      <c r="Y43" s="795"/>
      <c r="Z43" s="794"/>
      <c r="AA43" s="904"/>
      <c r="AB43" s="905"/>
      <c r="AC43" s="905"/>
      <c r="AD43" s="906"/>
      <c r="AE43" s="809"/>
      <c r="AF43" s="810"/>
      <c r="AG43" s="810"/>
      <c r="AH43" s="812"/>
      <c r="AI43" s="921"/>
      <c r="AJ43" s="921"/>
      <c r="AK43" s="921"/>
      <c r="AL43" s="922"/>
      <c r="AM43" s="816"/>
      <c r="AN43" s="816"/>
      <c r="AO43" s="818"/>
      <c r="AP43" s="818"/>
      <c r="AQ43" s="818"/>
      <c r="AR43" s="841"/>
      <c r="AS43" s="841"/>
      <c r="AT43" s="841"/>
      <c r="AU43" s="841"/>
      <c r="AV43" s="17"/>
      <c r="AX43" s="1243"/>
      <c r="AY43" s="760"/>
      <c r="AZ43" s="760"/>
      <c r="BA43" s="920"/>
      <c r="BB43" s="920"/>
      <c r="BC43" s="1243"/>
      <c r="BD43" s="1239"/>
      <c r="BE43" s="776"/>
      <c r="BF43" s="776"/>
      <c r="BG43" s="776"/>
      <c r="BH43" s="1241"/>
      <c r="BI43" s="1241"/>
      <c r="BJ43" s="778"/>
      <c r="BK43" s="768"/>
      <c r="BL43" s="768"/>
      <c r="BM43" s="766"/>
      <c r="BN43" s="764"/>
      <c r="BO43" s="764"/>
      <c r="BP43" s="770"/>
      <c r="BQ43" s="768"/>
      <c r="BR43" s="768"/>
      <c r="BS43" s="766"/>
      <c r="BT43" s="766"/>
      <c r="BU43" s="1239"/>
      <c r="BV43" s="768"/>
      <c r="BW43" s="1239"/>
      <c r="BX43" s="758"/>
      <c r="BY43" s="1254"/>
      <c r="BZ43" s="1248"/>
      <c r="CA43" s="1250"/>
      <c r="CB43" s="913"/>
      <c r="CC43" s="909"/>
    </row>
    <row r="44" spans="2:81" ht="15.95" customHeight="1">
      <c r="B44" s="785">
        <v>14</v>
      </c>
      <c r="C44" s="825"/>
      <c r="D44" s="826"/>
      <c r="E44" s="826"/>
      <c r="F44" s="826"/>
      <c r="G44" s="826"/>
      <c r="H44" s="826"/>
      <c r="I44" s="826"/>
      <c r="J44" s="932" t="str">
        <f>IF(C44="","",INDEX(CLHVAC[Eff Unit 1],MATCH(C44,CLHVAC[Measure Name],0)))</f>
        <v/>
      </c>
      <c r="K44" s="933"/>
      <c r="L44" s="928" t="str">
        <f>IF(C44="","",INDEX(CLHVAC[Base Efficiency 1],MATCH(C44,CLHVAC[Measure Name],0)))</f>
        <v/>
      </c>
      <c r="M44" s="929"/>
      <c r="N44" s="915"/>
      <c r="O44" s="916"/>
      <c r="P44" s="932" t="str">
        <f>IF(C44="","",INDEX(CLHVAC[Eff Unit 2],MATCH(C44,CLHVAC[Measure Name],0)))</f>
        <v/>
      </c>
      <c r="Q44" s="933"/>
      <c r="R44" s="928" t="str">
        <f>IF(C44="","",INDEX(CLHVAC[Base Efficiency 2],MATCH(C44,CLHVAC[Measure Name],0)))</f>
        <v/>
      </c>
      <c r="S44" s="929"/>
      <c r="T44" s="917" t="str">
        <f>IF(AND(ISNUMBER(SEARCH("DX",C44)),ISNUMBER(SEARCH("&lt;65 kbtu",C44)),N44&lt;&gt;""),1.12*N44-0.02*N44^2,IF(AND(ISNUMBER(SEARCH("PTAC",C44)),N44&lt;&gt;""),1,""))</f>
        <v/>
      </c>
      <c r="U44" s="918"/>
      <c r="V44" s="926"/>
      <c r="W44" s="927"/>
      <c r="X44" s="825"/>
      <c r="Y44" s="826"/>
      <c r="Z44" s="827"/>
      <c r="AA44" s="904"/>
      <c r="AB44" s="905"/>
      <c r="AC44" s="905"/>
      <c r="AD44" s="906"/>
      <c r="AE44" s="809"/>
      <c r="AF44" s="810"/>
      <c r="AG44" s="810"/>
      <c r="AH44" s="812"/>
      <c r="AI44" s="948" t="str">
        <f>IF(C44="","",INDEX(CLHVAC[Current Unit],MATCH(C44,CLHVAC[Measure Name],0)))</f>
        <v/>
      </c>
      <c r="AJ44" s="948"/>
      <c r="AK44" s="948"/>
      <c r="AL44" s="949"/>
      <c r="AM44" s="814" t="str" cm="1">
        <f t="array" ref="AM44">IFERROR(IF(C44="","",INDEX(IF(AND(ACTIVEBONUS = TRUE,INDEX(CLHVAC[Bonus Incentive],MATCH(C44,CLHVAC[Measure Name],0))&lt;&gt; ""),CLHVAC[Bonus Incentive],_xlfn.SWITCH(Program_Banner,"Business Energy Savings",CLHVAC[BESP Incentive],"Small Business / Non-Profit",CLHVAC[SBNP Incentive],0)),MATCH(C44,CLHVAC[Measure Name],0))),"")</f>
        <v/>
      </c>
      <c r="AN44" s="814"/>
      <c r="AO44" s="817" t="str">
        <f t="shared" ref="AO44" si="101">IFERROR(IF(OR(C44="",N44="",T44="",V44="",AA44="",AE44="",AG44=""),"",IF(BE44&lt;=0, 0, BE44)),"")</f>
        <v/>
      </c>
      <c r="AP44" s="817"/>
      <c r="AQ44" s="817"/>
      <c r="AR44" s="840" t="str">
        <f>IFERROR(IF(OR(C44="",N44="",V44="",AA44="",T44="",AE44="",AG44=""),"",IF(BY44&lt;&gt;"",BY44,IF(BP44&gt;0,BP44,ROUND(IF(AO44&lt;=0,0,MIN(BL44,BQ44)), 2)))), "")</f>
        <v/>
      </c>
      <c r="AS44" s="840"/>
      <c r="AT44" s="840"/>
      <c r="AU44" s="840"/>
      <c r="AV44" s="17"/>
      <c r="AX44" s="1242" t="str">
        <f>IFERROR(IF(OR(C44="",N44="",V44="",AA44="",T44="",AE44="",AG44=""),"",INDEX(CLHVAC[Current Unit],MATCH(C44,CLHVAC[Measure Name],0))),"Err")</f>
        <v/>
      </c>
      <c r="AY44" s="759" t="str">
        <f t="shared" ref="AY44" si="102">IF(OR(L44="", N44="", V44=""), "", ABS(N44-L44)*V44)</f>
        <v/>
      </c>
      <c r="AZ44" s="759" t="str">
        <f t="shared" ref="AZ44" si="103">IF(OR(L44="", N44="", V44=""), "", ABS(N44-L44)*V44)</f>
        <v/>
      </c>
      <c r="BA44" s="919" t="str">
        <f>IF(C44&lt;&gt;"", _xlfn.LET(
_xlpm.Tons_Cool, V44, _xlpm.PLC_Base, L44, _xlpm.Tons_Heat, CC44, _xlpm.Other_Base, R44,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(12/_xlpm.PLC_Base)*_xlpm.EFLH_Cool,
IF(ISNUMBER(SEARCH("Water", C44)),
_xlpm.Tons_Cool * (_xlpm.PLC_Base) * _xlpm.EFLH_Cool,
" "
)),4),
_xlpm.kWhHeat,
IF(
_xlpm.ElecHeat=1,
ROUND(
IF(OR(ISNUMBER(SEARCH("DX", C44)),ISNUMBER(SEARCH("PTAC", C44)), ISNUMBER(SEARCH("Air-Cooled Chiller", C44)), ISNUMBER(SEARCH("Water", C44)),
ISNUMBER(SEARCH("VRF", C44))),
0,
IF(
OR(ISNUMBER(SEARCH("ASHP", C44)), ISNUMBER(SEARCH("PTHP", C44))),
_xlpm.Tons_Heat * (1/_xlpm.Other_Base) * _xlpm.EFLH_Heat,
" "
)),4),
0
),
IFERROR(_xlpm.kWhCool + _xlpm.kWhHeat, "Measure Not Specified.")
), "")</f>
        <v/>
      </c>
      <c r="BB44" s="919" t="str">
        <f>IF(C44&lt;&gt;"", _xlfn.LET(
_xlpm.Tons_Cool, V44,_xlpm.PLC_Eff, N44, _xlpm.Tons_Heat, CC44, _xlpm.Other_Eff, T44,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(12/_xlpm.PLC_Eff)*_xlpm.EFLH_Cool,
IF(ISNUMBER(SEARCH("Water", C44)),
_xlpm.Tons_Cool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(1/_xlpm.Other_Eff) * _xlpm.EFLH_Heat,
" "
)),4),
0
),
IFERROR(_xlpm.kWhCool + _xlpm.kWhHeat, "Measure Not Specified.")
), "")</f>
        <v/>
      </c>
      <c r="BC44" s="1242" t="str">
        <f>IFERROR(IF(OR(C44="",N44="",V44="",AA44="",T44="",AE44="",AG44=""),"",INDEX(CLHVAC[End Use],MATCH(C44,CLHVAC[Measure Name],0))),"Err")</f>
        <v/>
      </c>
      <c r="BD44" s="1238" t="str">
        <f>IFERROR(IF(OR(C44="",N44="",V44="",AA44="",T44="",AE44="",AG44=""),"",INDEX(CLHVAC[Reporting Methodology],MATCH(C44,CLHVAC[Measure Name],0))),"Err")</f>
        <v/>
      </c>
      <c r="BE44" s="775" t="str">
        <f t="shared" si="2"/>
        <v/>
      </c>
      <c r="BF44" s="775" t="str">
        <f t="shared" ref="BF44" si="104">IF(C44&lt;&gt;"", _xlfn.LET(
_xlpm.Tons, V44, _xlpm.PCF, 0.913,
IF(OR(ISNUMBER(SEARCH("DX", C44)), ISNUMBER(SEARCH("Air-Cooled Chiller", C44)), ISNUMBER(SEARCH("VRF", C44))),
IFERROR(_xlpm.Tons * (12/R44 - 12/T44) * _xlpm.PCF, 0),
IF(ISNUMBER(SEARCH("Water", C44)),
IFERROR(_xlpm.Tons * (R44-T44) * _xlpm.PCF, 0),
IF(ISNUMBER(SEARCH("ASHP", C44)),
IFERROR(_xlpm.Tons * (12/CA44 - 12/CB44) * _xlpm.PCF, 0),
IF(OR(ISNUMBER(SEARCH("PTAC", C44)), ISNUMBER(SEARCH("PTHP", C44))),
IFERROR(_xlpm.Tons * (12/L44 - 12/N44) * _xlpm.PCF, 0),
"Measure Not Specified."))))), "")</f>
        <v/>
      </c>
      <c r="BG44" s="775"/>
      <c r="BH44" s="1240"/>
      <c r="BI44" s="1240"/>
      <c r="BJ44" s="777" t="str">
        <f>IFERROR(INDEX(CLHVAC[Measure Life (Years)],MATCH(C44,CLHVAC[Measure Name],0)),"")</f>
        <v/>
      </c>
      <c r="BK44" s="767" t="str">
        <f>IFERROR(IF(OR(C44="",N44="",T44="",V44="",AA44="",AE44="",AG44=""),"",
ROUND(((1+ELOSS)*((BE44*INDEX(ELECCB[NPV AEC $/kWh],MATCH(BJ44,ELECCB[Year Number],1)))+(BF44*INDEX(ELECCB[NPV ACC $/kW],MATCH(BJ44,ELECCB[Year Number],1))))),2)),0)</f>
        <v/>
      </c>
      <c r="BL44" s="767" t="str">
        <f t="shared" ref="BL44" si="105">IF(OR(C44="",N44="",V44="",AA44="",T44="",AE44="",AG44=""),"",ROUND(AE44+AG44,2))</f>
        <v/>
      </c>
      <c r="BM44" s="765"/>
      <c r="BN44" s="763" t="str">
        <f t="shared" si="4"/>
        <v/>
      </c>
      <c r="BO44" s="763" t="str">
        <f>IFERROR(IF(BM44 &lt;&gt; "", BM44, BL44) / M02S04F06 / AO44, "")</f>
        <v/>
      </c>
      <c r="BP44" s="769"/>
      <c r="BQ44" s="767" t="str">
        <f t="shared" ref="BQ44" si="106">IFERROR(IF(AI44="per ton", ROUND(V44*AM44, 2),
IF(AND(ISNUMBER(SEARCH("Air-Cooled Chiller",C44)),AI44="$/ton/IPLV"), ROUND((12/L44-12/N44)*V44*AM44, 2),
ROUND(ABS(N44-L44)*V44*AM44, 2))), "")</f>
        <v/>
      </c>
      <c r="BR44" s="767"/>
      <c r="BS44" s="765"/>
      <c r="BT44" s="765"/>
      <c r="BU44" s="1238" t="str">
        <f t="shared" ref="BU44" si="107">IFERROR(IF(BP44="",IF(AND(AO44&gt;0, AR44 &lt; BQ44), "100% Total Cost", ""), ""), "")</f>
        <v/>
      </c>
      <c r="BV44" s="767"/>
      <c r="BW44" s="1238" t="str">
        <f>IFERROR(IF(OR(C44="",N44="",V44="",AA44="",T44="",AE44="",AG44=""),"",IF(BY44&lt;&gt;"", SPILLOVERNUMBER, INDEX(CLHVAC[Measure Number],MATCH(C44,CLHVAC[Measure Name],0)))),"Err")</f>
        <v/>
      </c>
      <c r="BX44" s="757" t="str" cm="1">
        <f t="array" ref="BX44">IFERROR(INDEX(_xlfn.SWITCH(Program_Banner,"Business Energy Savings",CLHVAC[Primary Key WBE],"Small Business / Non-Profit",CLHVAC[Primary Key HTRB],0),MATCH(BW44,CLHVAC[Measure Number],0)),"")</f>
        <v/>
      </c>
      <c r="BY44" s="1253" t="str">
        <f>IFERROR(
IF(OR(C44="",N44="",T44="",V44="",AA44="",AE44="",AG44=""),
"",
IF(BP44&gt;0,"",IF(OR(AND(ISNUMBER(SEARCH("kW/ton", J44)),OR(L44&lt;N44,R44&lt;T44)),AND(NOT(ISNUMBER(SEARCH("kW/ton", J44))),OR(L44&gt;N44,R44&gt;T44))),
"Must Improve Efficiency",
IFERROR(IF(EXPIRATION&lt;&gt;"",PROJSTATEXP,
IF(BP44&gt;0,"",
IF(OR(M02S04F06="",M02S04F06="Select Rate Code",M02S04F06=0),MEASURERATE,
IF(M02S04F22="", SPACECONDTYPE,
IF(PAYCUSE&lt;PAYBACKREQ,PROJECTSTATPAYBACK,
IF(BN44&lt;CBREQ,PROJECTSTATCB,"")))))),MEASURESUBMIT)))),"")</f>
        <v/>
      </c>
      <c r="BZ44" s="1247" t="str">
        <f>IFERROR(IF(INDEX(CLHVAC[Eff Unit 3],MATCH(C44,CLHVAC[Measure Name],0))="","",INDEX(CLHVAC[Eff Unit 3],MATCH(C44,CLHVAC[Measure Name],0))),"")</f>
        <v/>
      </c>
      <c r="CA44" s="1249" t="str">
        <f>IFERROR(IF(INDEX(CLHVAC[Base Efficiency 3],MATCH(C44,CLHVAC[Measure Name],0))="","",INDEX(CLHVAC[Base Efficiency 3],MATCH(C44,CLHVAC[Measure Name],0))),"")</f>
        <v/>
      </c>
      <c r="CB44" s="1251" t="str">
        <f t="shared" ref="CB44" si="108">IFERROR(IF(ISNUMBER(SEARCH("Air-Cooled Chiller",$C44)),12/N44,""),"")</f>
        <v/>
      </c>
      <c r="CC44" s="1252"/>
    </row>
    <row r="45" spans="2:81" ht="15.95" customHeight="1">
      <c r="B45" s="785"/>
      <c r="C45" s="793"/>
      <c r="D45" s="795"/>
      <c r="E45" s="795"/>
      <c r="F45" s="795"/>
      <c r="G45" s="795"/>
      <c r="H45" s="795"/>
      <c r="I45" s="795"/>
      <c r="J45" s="934"/>
      <c r="K45" s="935"/>
      <c r="L45" s="930"/>
      <c r="M45" s="931"/>
      <c r="N45" s="915"/>
      <c r="O45" s="916"/>
      <c r="P45" s="934"/>
      <c r="Q45" s="935"/>
      <c r="R45" s="930"/>
      <c r="S45" s="931"/>
      <c r="T45" s="917"/>
      <c r="U45" s="918"/>
      <c r="V45" s="926"/>
      <c r="W45" s="927"/>
      <c r="X45" s="793"/>
      <c r="Y45" s="795"/>
      <c r="Z45" s="794"/>
      <c r="AA45" s="904"/>
      <c r="AB45" s="905"/>
      <c r="AC45" s="905"/>
      <c r="AD45" s="906"/>
      <c r="AE45" s="809"/>
      <c r="AF45" s="810"/>
      <c r="AG45" s="810"/>
      <c r="AH45" s="812"/>
      <c r="AI45" s="921"/>
      <c r="AJ45" s="921"/>
      <c r="AK45" s="921"/>
      <c r="AL45" s="922"/>
      <c r="AM45" s="816"/>
      <c r="AN45" s="816"/>
      <c r="AO45" s="818"/>
      <c r="AP45" s="818"/>
      <c r="AQ45" s="818"/>
      <c r="AR45" s="841"/>
      <c r="AS45" s="841"/>
      <c r="AT45" s="841"/>
      <c r="AU45" s="841"/>
      <c r="AV45" s="17"/>
      <c r="AX45" s="1243"/>
      <c r="AY45" s="760"/>
      <c r="AZ45" s="760"/>
      <c r="BA45" s="920"/>
      <c r="BB45" s="920"/>
      <c r="BC45" s="1243"/>
      <c r="BD45" s="1239"/>
      <c r="BE45" s="776"/>
      <c r="BF45" s="776"/>
      <c r="BG45" s="776"/>
      <c r="BH45" s="1241"/>
      <c r="BI45" s="1241"/>
      <c r="BJ45" s="778"/>
      <c r="BK45" s="768"/>
      <c r="BL45" s="768"/>
      <c r="BM45" s="766"/>
      <c r="BN45" s="764"/>
      <c r="BO45" s="764"/>
      <c r="BP45" s="770"/>
      <c r="BQ45" s="768"/>
      <c r="BR45" s="768"/>
      <c r="BS45" s="766"/>
      <c r="BT45" s="766"/>
      <c r="BU45" s="1239"/>
      <c r="BV45" s="768"/>
      <c r="BW45" s="1239"/>
      <c r="BX45" s="758"/>
      <c r="BY45" s="1254"/>
      <c r="BZ45" s="1248"/>
      <c r="CA45" s="1250"/>
      <c r="CB45" s="913"/>
      <c r="CC45" s="909"/>
    </row>
    <row r="46" spans="2:81" ht="15.95" customHeight="1">
      <c r="B46" s="785">
        <v>15</v>
      </c>
      <c r="C46" s="825"/>
      <c r="D46" s="826"/>
      <c r="E46" s="826"/>
      <c r="F46" s="826"/>
      <c r="G46" s="826"/>
      <c r="H46" s="826"/>
      <c r="I46" s="826"/>
      <c r="J46" s="932" t="str">
        <f>IF(C46="","",INDEX(CLHVAC[Eff Unit 1],MATCH(C46,CLHVAC[Measure Name],0)))</f>
        <v/>
      </c>
      <c r="K46" s="933"/>
      <c r="L46" s="928" t="str">
        <f>IF(C46="","",INDEX(CLHVAC[Base Efficiency 1],MATCH(C46,CLHVAC[Measure Name],0)))</f>
        <v/>
      </c>
      <c r="M46" s="929"/>
      <c r="N46" s="915"/>
      <c r="O46" s="916"/>
      <c r="P46" s="932" t="str">
        <f>IF(C46="","",INDEX(CLHVAC[Eff Unit 2],MATCH(C46,CLHVAC[Measure Name],0)))</f>
        <v/>
      </c>
      <c r="Q46" s="933"/>
      <c r="R46" s="928" t="str">
        <f>IF(C46="","",INDEX(CLHVAC[Base Efficiency 2],MATCH(C46,CLHVAC[Measure Name],0)))</f>
        <v/>
      </c>
      <c r="S46" s="929"/>
      <c r="T46" s="917" t="str">
        <f>IF(AND(ISNUMBER(SEARCH("DX",C46)),ISNUMBER(SEARCH("&lt;65 kbtu",C46)),N46&lt;&gt;""),1.12*N46-0.02*N46^2,IF(AND(ISNUMBER(SEARCH("PTAC",C46)),N46&lt;&gt;""),1,""))</f>
        <v/>
      </c>
      <c r="U46" s="918"/>
      <c r="V46" s="926"/>
      <c r="W46" s="927"/>
      <c r="X46" s="825"/>
      <c r="Y46" s="826"/>
      <c r="Z46" s="827"/>
      <c r="AA46" s="904"/>
      <c r="AB46" s="905"/>
      <c r="AC46" s="905"/>
      <c r="AD46" s="906"/>
      <c r="AE46" s="809"/>
      <c r="AF46" s="810"/>
      <c r="AG46" s="810"/>
      <c r="AH46" s="812"/>
      <c r="AI46" s="948" t="str">
        <f>IF(C46="","",INDEX(CLHVAC[Current Unit],MATCH(C46,CLHVAC[Measure Name],0)))</f>
        <v/>
      </c>
      <c r="AJ46" s="948"/>
      <c r="AK46" s="948"/>
      <c r="AL46" s="949"/>
      <c r="AM46" s="814" t="str" cm="1">
        <f t="array" ref="AM46">IFERROR(IF(C46="","",INDEX(IF(AND(ACTIVEBONUS = TRUE,INDEX(CLHVAC[Bonus Incentive],MATCH(C46,CLHVAC[Measure Name],0))&lt;&gt; ""),CLHVAC[Bonus Incentive],_xlfn.SWITCH(Program_Banner,"Business Energy Savings",CLHVAC[BESP Incentive],"Small Business / Non-Profit",CLHVAC[SBNP Incentive],0)),MATCH(C46,CLHVAC[Measure Name],0))),"")</f>
        <v/>
      </c>
      <c r="AN46" s="814"/>
      <c r="AO46" s="817" t="str">
        <f t="shared" ref="AO46" si="109">IFERROR(IF(OR(C46="",N46="",T46="",V46="",AA46="",AE46="",AG46=""),"",IF(BE46&lt;=0, 0, BE46)),"")</f>
        <v/>
      </c>
      <c r="AP46" s="817"/>
      <c r="AQ46" s="817"/>
      <c r="AR46" s="840" t="str">
        <f>IFERROR(IF(OR(C46="",N46="",V46="",AA46="",T46="",AE46="",AG46=""),"",IF(BY46&lt;&gt;"",BY46,IF(BP46&gt;0,BP46,ROUND(IF(AO46&lt;=0,0,MIN(BL46,BQ46)), 2)))), "")</f>
        <v/>
      </c>
      <c r="AS46" s="840"/>
      <c r="AT46" s="840"/>
      <c r="AU46" s="840"/>
      <c r="AV46" s="17"/>
      <c r="AX46" s="1242" t="str">
        <f>IFERROR(IF(OR(C46="",N46="",V46="",AA46="",T46="",AE46="",AG46=""),"",INDEX(CLHVAC[Current Unit],MATCH(C46,CLHVAC[Measure Name],0))),"Err")</f>
        <v/>
      </c>
      <c r="AY46" s="759" t="str">
        <f t="shared" ref="AY46" si="110">IF(OR(L46="", N46="", V46=""), "", ABS(N46-L46)*V46)</f>
        <v/>
      </c>
      <c r="AZ46" s="759" t="str">
        <f t="shared" ref="AZ46" si="111">IF(OR(L46="", N46="", V46=""), "", ABS(N46-L46)*V46)</f>
        <v/>
      </c>
      <c r="BA46" s="919" t="str">
        <f>IF(C46&lt;&gt;"", _xlfn.LET(
_xlpm.Tons_Cool, V46, _xlpm.PLC_Base, L46, _xlpm.Tons_Heat, CC46, _xlpm.Other_Base, R46,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(12/_xlpm.PLC_Base)*_xlpm.EFLH_Cool,
IF(ISNUMBER(SEARCH("Water", C46)),
_xlpm.Tons_Cool * (_xlpm.PLC_Base) * _xlpm.EFLH_Cool,
" "
)),4),
_xlpm.kWhHeat,
IF(
_xlpm.ElecHeat=1,
ROUND(
IF(OR(ISNUMBER(SEARCH("DX", C46)),ISNUMBER(SEARCH("PTAC", C46)), ISNUMBER(SEARCH("Air-Cooled Chiller", C46)), ISNUMBER(SEARCH("Water", C46)),
ISNUMBER(SEARCH("VRF", C46))),
0,
IF(
OR(ISNUMBER(SEARCH("ASHP", C46)), ISNUMBER(SEARCH("PTHP", C46))),
_xlpm.Tons_Heat * (1/_xlpm.Other_Base) * _xlpm.EFLH_Heat,
" "
)),4),
0
),
IFERROR(_xlpm.kWhCool + _xlpm.kWhHeat, "Measure Not Specified.")
), "")</f>
        <v/>
      </c>
      <c r="BB46" s="919" t="str">
        <f>IF(C46&lt;&gt;"", _xlfn.LET(
_xlpm.Tons_Cool, V46,_xlpm.PLC_Eff, N46, _xlpm.Tons_Heat, CC46, _xlpm.Other_Eff, T46,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(12/_xlpm.PLC_Eff)*_xlpm.EFLH_Cool,
IF(ISNUMBER(SEARCH("Water", C46)),
_xlpm.Tons_Cool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(1/_xlpm.Other_Eff) * _xlpm.EFLH_Heat,
" "
)),4),
0
),
IFERROR(_xlpm.kWhCool + _xlpm.kWhHeat, "Measure Not Specified.")
), "")</f>
        <v/>
      </c>
      <c r="BC46" s="1242" t="str">
        <f>IFERROR(IF(OR(C46="",N46="",V46="",AA46="",T46="",AE46="",AG46=""),"",INDEX(CLHVAC[End Use],MATCH(C46,CLHVAC[Measure Name],0))),"Err")</f>
        <v/>
      </c>
      <c r="BD46" s="1238" t="str">
        <f>IFERROR(IF(OR(C46="",N46="",V46="",AA46="",T46="",AE46="",AG46=""),"",INDEX(CLHVAC[Reporting Methodology],MATCH(C46,CLHVAC[Measure Name],0))),"Err")</f>
        <v/>
      </c>
      <c r="BE46" s="775" t="str">
        <f t="shared" si="2"/>
        <v/>
      </c>
      <c r="BF46" s="775" t="str">
        <f t="shared" ref="BF46" si="112">IF(C46&lt;&gt;"", _xlfn.LET(
_xlpm.Tons, V46, _xlpm.PCF, 0.913,
IF(OR(ISNUMBER(SEARCH("DX", C46)), ISNUMBER(SEARCH("Air-Cooled Chiller", C46)), ISNUMBER(SEARCH("VRF", C46))),
IFERROR(_xlpm.Tons * (12/R46 - 12/T46) * _xlpm.PCF, 0),
IF(ISNUMBER(SEARCH("Water", C46)),
IFERROR(_xlpm.Tons * (R46-T46) * _xlpm.PCF, 0),
IF(ISNUMBER(SEARCH("ASHP", C46)),
IFERROR(_xlpm.Tons * (12/CA46 - 12/CB46) * _xlpm.PCF, 0),
IF(OR(ISNUMBER(SEARCH("PTAC", C46)), ISNUMBER(SEARCH("PTHP", C46))),
IFERROR(_xlpm.Tons * (12/L46 - 12/N46) * _xlpm.PCF, 0),
"Measure Not Specified."))))), "")</f>
        <v/>
      </c>
      <c r="BG46" s="775"/>
      <c r="BH46" s="1240"/>
      <c r="BI46" s="1240"/>
      <c r="BJ46" s="777" t="str">
        <f>IFERROR(INDEX(CLHVAC[Measure Life (Years)],MATCH(C46,CLHVAC[Measure Name],0)),"")</f>
        <v/>
      </c>
      <c r="BK46" s="767" t="str">
        <f>IFERROR(IF(OR(C46="",N46="",T46="",V46="",AA46="",AE46="",AG46=""),"",
ROUND(((1+ELOSS)*((BE46*INDEX(ELECCB[NPV AEC $/kWh],MATCH(BJ46,ELECCB[Year Number],1)))+(BF46*INDEX(ELECCB[NPV ACC $/kW],MATCH(BJ46,ELECCB[Year Number],1))))),2)),0)</f>
        <v/>
      </c>
      <c r="BL46" s="767" t="str">
        <f t="shared" ref="BL46" si="113">IF(OR(C46="",N46="",V46="",AA46="",T46="",AE46="",AG46=""),"",ROUND(AE46+AG46,2))</f>
        <v/>
      </c>
      <c r="BM46" s="765"/>
      <c r="BN46" s="763" t="str">
        <f t="shared" si="4"/>
        <v/>
      </c>
      <c r="BO46" s="763" t="str">
        <f>IFERROR(IF(BM46 &lt;&gt; "", BM46, BL46) / M02S04F06 / AO46, "")</f>
        <v/>
      </c>
      <c r="BP46" s="769"/>
      <c r="BQ46" s="767" t="str">
        <f t="shared" ref="BQ46" si="114">IFERROR(IF(AI46="per ton", ROUND(V46*AM46, 2),
IF(AND(ISNUMBER(SEARCH("Air-Cooled Chiller",C46)),AI46="$/ton/IPLV"), ROUND((12/L46-12/N46)*V46*AM46, 2),
ROUND(ABS(N46-L46)*V46*AM46, 2))), "")</f>
        <v/>
      </c>
      <c r="BR46" s="767"/>
      <c r="BS46" s="765"/>
      <c r="BT46" s="765"/>
      <c r="BU46" s="1238" t="str">
        <f t="shared" ref="BU46" si="115">IFERROR(IF(BP46="",IF(AND(AO46&gt;0, AR46 &lt; BQ46), "100% Total Cost", ""), ""), "")</f>
        <v/>
      </c>
      <c r="BV46" s="767"/>
      <c r="BW46" s="1238" t="str">
        <f>IFERROR(IF(OR(C46="",N46="",V46="",AA46="",T46="",AE46="",AG46=""),"",IF(BY46&lt;&gt;"", SPILLOVERNUMBER, INDEX(CLHVAC[Measure Number],MATCH(C46,CLHVAC[Measure Name],0)))),"Err")</f>
        <v/>
      </c>
      <c r="BX46" s="757" t="str" cm="1">
        <f t="array" ref="BX46">IFERROR(INDEX(_xlfn.SWITCH(Program_Banner,"Business Energy Savings",CLHVAC[Primary Key WBE],"Small Business / Non-Profit",CLHVAC[Primary Key HTRB],0),MATCH(BW46,CLHVAC[Measure Number],0)),"")</f>
        <v/>
      </c>
      <c r="BY46" s="1253" t="str">
        <f>IFERROR(
IF(OR(C46="",N46="",T46="",V46="",AA46="",AE46="",AG46=""),
"",
IF(BP46&gt;0,"",IF(OR(AND(ISNUMBER(SEARCH("kW/ton", J46)),OR(L46&lt;N46,R46&lt;T46)),AND(NOT(ISNUMBER(SEARCH("kW/ton", J46))),OR(L46&gt;N46,R46&gt;T46))),
"Must Improve Efficiency",
IFERROR(IF(EXPIRATION&lt;&gt;"",PROJSTATEXP,
IF(BP46&gt;0,"",
IF(OR(M02S04F06="",M02S04F06="Select Rate Code",M02S04F06=0),MEASURERATE,
IF(M02S04F22="", SPACECONDTYPE,
IF(PAYCUSE&lt;PAYBACKREQ,PROJECTSTATPAYBACK,
IF(BN46&lt;CBREQ,PROJECTSTATCB,"")))))),MEASURESUBMIT)))),"")</f>
        <v/>
      </c>
      <c r="BZ46" s="1247" t="str">
        <f>IFERROR(IF(INDEX(CLHVAC[Eff Unit 3],MATCH(C46,CLHVAC[Measure Name],0))="","",INDEX(CLHVAC[Eff Unit 3],MATCH(C46,CLHVAC[Measure Name],0))),"")</f>
        <v/>
      </c>
      <c r="CA46" s="1249" t="str">
        <f>IFERROR(IF(INDEX(CLHVAC[Base Efficiency 3],MATCH(C46,CLHVAC[Measure Name],0))="","",INDEX(CLHVAC[Base Efficiency 3],MATCH(C46,CLHVAC[Measure Name],0))),"")</f>
        <v/>
      </c>
      <c r="CB46" s="1251" t="str">
        <f t="shared" ref="CB46" si="116">IFERROR(IF(ISNUMBER(SEARCH("Air-Cooled Chiller",$C46)),12/N46,""),"")</f>
        <v/>
      </c>
      <c r="CC46" s="1252"/>
    </row>
    <row r="47" spans="2:81" ht="15.95" customHeight="1">
      <c r="B47" s="785"/>
      <c r="C47" s="793"/>
      <c r="D47" s="795"/>
      <c r="E47" s="795"/>
      <c r="F47" s="795"/>
      <c r="G47" s="795"/>
      <c r="H47" s="795"/>
      <c r="I47" s="795"/>
      <c r="J47" s="934"/>
      <c r="K47" s="935"/>
      <c r="L47" s="930"/>
      <c r="M47" s="931"/>
      <c r="N47" s="915"/>
      <c r="O47" s="916"/>
      <c r="P47" s="934"/>
      <c r="Q47" s="935"/>
      <c r="R47" s="930"/>
      <c r="S47" s="931"/>
      <c r="T47" s="917"/>
      <c r="U47" s="918"/>
      <c r="V47" s="926"/>
      <c r="W47" s="927"/>
      <c r="X47" s="793"/>
      <c r="Y47" s="795"/>
      <c r="Z47" s="794"/>
      <c r="AA47" s="904"/>
      <c r="AB47" s="905"/>
      <c r="AC47" s="905"/>
      <c r="AD47" s="906"/>
      <c r="AE47" s="809"/>
      <c r="AF47" s="810"/>
      <c r="AG47" s="810"/>
      <c r="AH47" s="812"/>
      <c r="AI47" s="921"/>
      <c r="AJ47" s="921"/>
      <c r="AK47" s="921"/>
      <c r="AL47" s="922"/>
      <c r="AM47" s="816"/>
      <c r="AN47" s="816"/>
      <c r="AO47" s="818"/>
      <c r="AP47" s="818"/>
      <c r="AQ47" s="818"/>
      <c r="AR47" s="841"/>
      <c r="AS47" s="841"/>
      <c r="AT47" s="841"/>
      <c r="AU47" s="841"/>
      <c r="AV47" s="17"/>
      <c r="AX47" s="1243"/>
      <c r="AY47" s="760"/>
      <c r="AZ47" s="760"/>
      <c r="BA47" s="920"/>
      <c r="BB47" s="920"/>
      <c r="BC47" s="1243"/>
      <c r="BD47" s="1239"/>
      <c r="BE47" s="776"/>
      <c r="BF47" s="776"/>
      <c r="BG47" s="776"/>
      <c r="BH47" s="1241"/>
      <c r="BI47" s="1241"/>
      <c r="BJ47" s="778"/>
      <c r="BK47" s="768"/>
      <c r="BL47" s="768"/>
      <c r="BM47" s="766"/>
      <c r="BN47" s="764"/>
      <c r="BO47" s="764"/>
      <c r="BP47" s="770"/>
      <c r="BQ47" s="768"/>
      <c r="BR47" s="768"/>
      <c r="BS47" s="766"/>
      <c r="BT47" s="766"/>
      <c r="BU47" s="1239"/>
      <c r="BV47" s="768"/>
      <c r="BW47" s="1239"/>
      <c r="BX47" s="758"/>
      <c r="BY47" s="1254"/>
      <c r="BZ47" s="1248"/>
      <c r="CA47" s="1250"/>
      <c r="CB47" s="913"/>
      <c r="CC47" s="909"/>
    </row>
    <row r="48" spans="2:81" ht="15.95" customHeight="1">
      <c r="B48" s="785">
        <v>16</v>
      </c>
      <c r="C48" s="825"/>
      <c r="D48" s="826"/>
      <c r="E48" s="826"/>
      <c r="F48" s="826"/>
      <c r="G48" s="826"/>
      <c r="H48" s="826"/>
      <c r="I48" s="826"/>
      <c r="J48" s="932" t="str">
        <f>IF(C48="","",INDEX(CLHVAC[Eff Unit 1],MATCH(C48,CLHVAC[Measure Name],0)))</f>
        <v/>
      </c>
      <c r="K48" s="933"/>
      <c r="L48" s="928" t="str">
        <f>IF(C48="","",INDEX(CLHVAC[Base Efficiency 1],MATCH(C48,CLHVAC[Measure Name],0)))</f>
        <v/>
      </c>
      <c r="M48" s="929"/>
      <c r="N48" s="915"/>
      <c r="O48" s="916"/>
      <c r="P48" s="932" t="str">
        <f>IF(C48="","",INDEX(CLHVAC[Eff Unit 2],MATCH(C48,CLHVAC[Measure Name],0)))</f>
        <v/>
      </c>
      <c r="Q48" s="933"/>
      <c r="R48" s="928" t="str">
        <f>IF(C48="","",INDEX(CLHVAC[Base Efficiency 2],MATCH(C48,CLHVAC[Measure Name],0)))</f>
        <v/>
      </c>
      <c r="S48" s="929"/>
      <c r="T48" s="917" t="str">
        <f>IF(AND(ISNUMBER(SEARCH("DX",C48)),ISNUMBER(SEARCH("&lt;65 kbtu",C48)),N48&lt;&gt;""),1.12*N48-0.02*N48^2,IF(AND(ISNUMBER(SEARCH("PTAC",C48)),N48&lt;&gt;""),1,""))</f>
        <v/>
      </c>
      <c r="U48" s="918"/>
      <c r="V48" s="926"/>
      <c r="W48" s="927"/>
      <c r="X48" s="825"/>
      <c r="Y48" s="826"/>
      <c r="Z48" s="827"/>
      <c r="AA48" s="904"/>
      <c r="AB48" s="905"/>
      <c r="AC48" s="905"/>
      <c r="AD48" s="906"/>
      <c r="AE48" s="809"/>
      <c r="AF48" s="810"/>
      <c r="AG48" s="810"/>
      <c r="AH48" s="812"/>
      <c r="AI48" s="948" t="str">
        <f>IF(C48="","",INDEX(CLHVAC[Current Unit],MATCH(C48,CLHVAC[Measure Name],0)))</f>
        <v/>
      </c>
      <c r="AJ48" s="948"/>
      <c r="AK48" s="948"/>
      <c r="AL48" s="949"/>
      <c r="AM48" s="814" t="str" cm="1">
        <f t="array" ref="AM48">IFERROR(IF(C48="","",INDEX(IF(AND(ACTIVEBONUS = TRUE,INDEX(CLHVAC[Bonus Incentive],MATCH(C48,CLHVAC[Measure Name],0))&lt;&gt; ""),CLHVAC[Bonus Incentive],_xlfn.SWITCH(Program_Banner,"Business Energy Savings",CLHVAC[BESP Incentive],"Small Business / Non-Profit",CLHVAC[SBNP Incentive],0)),MATCH(C48,CLHVAC[Measure Name],0))),"")</f>
        <v/>
      </c>
      <c r="AN48" s="814"/>
      <c r="AO48" s="817" t="str">
        <f t="shared" ref="AO48" si="117">IFERROR(IF(OR(C48="",N48="",T48="",V48="",AA48="",AE48="",AG48=""),"",IF(BE48&lt;=0, 0, BE48)),"")</f>
        <v/>
      </c>
      <c r="AP48" s="817"/>
      <c r="AQ48" s="817"/>
      <c r="AR48" s="840" t="str">
        <f>IFERROR(IF(OR(C48="",N48="",V48="",AA48="",T48="",AE48="",AG48=""),"",IF(BY48&lt;&gt;"",BY48,IF(BP48&gt;0,BP48,ROUND(IF(AO48&lt;=0,0,MIN(BL48,BQ48)), 2)))), "")</f>
        <v/>
      </c>
      <c r="AS48" s="840"/>
      <c r="AT48" s="840"/>
      <c r="AU48" s="840"/>
      <c r="AV48" s="17"/>
      <c r="AX48" s="1242" t="str">
        <f>IFERROR(IF(OR(C48="",N48="",V48="",AA48="",T48="",AE48="",AG48=""),"",INDEX(CLHVAC[Current Unit],MATCH(C48,CLHVAC[Measure Name],0))),"Err")</f>
        <v/>
      </c>
      <c r="AY48" s="759" t="str">
        <f t="shared" ref="AY48" si="118">IF(OR(L48="", N48="", V48=""), "", ABS(N48-L48)*V48)</f>
        <v/>
      </c>
      <c r="AZ48" s="759" t="str">
        <f t="shared" ref="AZ48" si="119">IF(OR(L48="", N48="", V48=""), "", ABS(N48-L48)*V48)</f>
        <v/>
      </c>
      <c r="BA48" s="919" t="str">
        <f>IF(C48&lt;&gt;"", _xlfn.LET(
_xlpm.Tons_Cool, V48, _xlpm.PLC_Base, L48, _xlpm.Tons_Heat, CC48, _xlpm.Other_Base, R48,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(12/_xlpm.PLC_Base)*_xlpm.EFLH_Cool,
IF(ISNUMBER(SEARCH("Water", C48)),
_xlpm.Tons_Cool * (_xlpm.PLC_Base) * _xlpm.EFLH_Cool,
" "
)),4),
_xlpm.kWhHeat,
IF(
_xlpm.ElecHeat=1,
ROUND(
IF(OR(ISNUMBER(SEARCH("DX", C48)),ISNUMBER(SEARCH("PTAC", C48)), ISNUMBER(SEARCH("Air-Cooled Chiller", C48)), ISNUMBER(SEARCH("Water", C48)),
ISNUMBER(SEARCH("VRF", C48))),
0,
IF(
OR(ISNUMBER(SEARCH("ASHP", C48)), ISNUMBER(SEARCH("PTHP", C48))),
_xlpm.Tons_Heat * (1/_xlpm.Other_Base) * _xlpm.EFLH_Heat,
" "
)),4),
0
),
IFERROR(_xlpm.kWhCool + _xlpm.kWhHeat, "Measure Not Specified.")
), "")</f>
        <v/>
      </c>
      <c r="BB48" s="919" t="str">
        <f>IF(C48&lt;&gt;"", _xlfn.LET(
_xlpm.Tons_Cool, V48,_xlpm.PLC_Eff, N48, _xlpm.Tons_Heat, CC48, _xlpm.Other_Eff, T48,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(12/_xlpm.PLC_Eff)*_xlpm.EFLH_Cool,
IF(ISNUMBER(SEARCH("Water", C48)),
_xlpm.Tons_Cool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(1/_xlpm.Other_Eff) * _xlpm.EFLH_Heat,
" "
)),4),
0
),
IFERROR(_xlpm.kWhCool + _xlpm.kWhHeat, "Measure Not Specified.")
), "")</f>
        <v/>
      </c>
      <c r="BC48" s="1242" t="str">
        <f>IFERROR(IF(OR(C48="",N48="",V48="",AA48="",T48="",AE48="",AG48=""),"",INDEX(CLHVAC[End Use],MATCH(C48,CLHVAC[Measure Name],0))),"Err")</f>
        <v/>
      </c>
      <c r="BD48" s="1238" t="str">
        <f>IFERROR(IF(OR(C48="",N48="",V48="",AA48="",T48="",AE48="",AG48=""),"",INDEX(CLHVAC[Reporting Methodology],MATCH(C48,CLHVAC[Measure Name],0))),"Err")</f>
        <v/>
      </c>
      <c r="BE48" s="775" t="str">
        <f t="shared" si="2"/>
        <v/>
      </c>
      <c r="BF48" s="775" t="str">
        <f t="shared" ref="BF48" si="120">IF(C48&lt;&gt;"", _xlfn.LET(
_xlpm.Tons, V48, _xlpm.PCF, 0.913,
IF(OR(ISNUMBER(SEARCH("DX", C48)), ISNUMBER(SEARCH("Air-Cooled Chiller", C48)), ISNUMBER(SEARCH("VRF", C48))),
IFERROR(_xlpm.Tons * (12/R48 - 12/T48) * _xlpm.PCF, 0),
IF(ISNUMBER(SEARCH("Water", C48)),
IFERROR(_xlpm.Tons * (R48-T48) * _xlpm.PCF, 0),
IF(ISNUMBER(SEARCH("ASHP", C48)),
IFERROR(_xlpm.Tons * (12/CA48 - 12/CB48) * _xlpm.PCF, 0),
IF(OR(ISNUMBER(SEARCH("PTAC", C48)), ISNUMBER(SEARCH("PTHP", C48))),
IFERROR(_xlpm.Tons * (12/L48 - 12/N48) * _xlpm.PCF, 0),
"Measure Not Specified."))))), "")</f>
        <v/>
      </c>
      <c r="BG48" s="775"/>
      <c r="BH48" s="1240"/>
      <c r="BI48" s="1240"/>
      <c r="BJ48" s="777" t="str">
        <f>IFERROR(INDEX(CLHVAC[Measure Life (Years)],MATCH(C48,CLHVAC[Measure Name],0)),"")</f>
        <v/>
      </c>
      <c r="BK48" s="767" t="str">
        <f>IFERROR(IF(OR(C48="",N48="",T48="",V48="",AA48="",AE48="",AG48=""),"",
ROUND(((1+ELOSS)*((BE48*INDEX(ELECCB[NPV AEC $/kWh],MATCH(BJ48,ELECCB[Year Number],1)))+(BF48*INDEX(ELECCB[NPV ACC $/kW],MATCH(BJ48,ELECCB[Year Number],1))))),2)),0)</f>
        <v/>
      </c>
      <c r="BL48" s="767" t="str">
        <f t="shared" ref="BL48" si="121">IF(OR(C48="",N48="",V48="",AA48="",T48="",AE48="",AG48=""),"",ROUND(AE48+AG48,2))</f>
        <v/>
      </c>
      <c r="BM48" s="765"/>
      <c r="BN48" s="763" t="str">
        <f t="shared" si="4"/>
        <v/>
      </c>
      <c r="BO48" s="763" t="str">
        <f>IFERROR(IF(BM48 &lt;&gt; "", BM48, BL48) / M02S04F06 / AO48, "")</f>
        <v/>
      </c>
      <c r="BP48" s="769"/>
      <c r="BQ48" s="767" t="str">
        <f t="shared" ref="BQ48" si="122">IFERROR(IF(AI48="per ton", ROUND(V48*AM48, 2),
IF(AND(ISNUMBER(SEARCH("Air-Cooled Chiller",C48)),AI48="$/ton/IPLV"), ROUND((12/L48-12/N48)*V48*AM48, 2),
ROUND(ABS(N48-L48)*V48*AM48, 2))), "")</f>
        <v/>
      </c>
      <c r="BR48" s="767"/>
      <c r="BS48" s="765"/>
      <c r="BT48" s="765"/>
      <c r="BU48" s="1238" t="str">
        <f t="shared" ref="BU48" si="123">IFERROR(IF(BP48="",IF(AND(AO48&gt;0, AR48 &lt; BQ48), "100% Total Cost", ""), ""), "")</f>
        <v/>
      </c>
      <c r="BV48" s="767"/>
      <c r="BW48" s="1238" t="str">
        <f>IFERROR(IF(OR(C48="",N48="",V48="",AA48="",T48="",AE48="",AG48=""),"",IF(BY48&lt;&gt;"", SPILLOVERNUMBER, INDEX(CLHVAC[Measure Number],MATCH(C48,CLHVAC[Measure Name],0)))),"Err")</f>
        <v/>
      </c>
      <c r="BX48" s="757" t="str" cm="1">
        <f t="array" ref="BX48">IFERROR(INDEX(_xlfn.SWITCH(Program_Banner,"Business Energy Savings",CLHVAC[Primary Key WBE],"Small Business / Non-Profit",CLHVAC[Primary Key HTRB],0),MATCH(BW48,CLHVAC[Measure Number],0)),"")</f>
        <v/>
      </c>
      <c r="BY48" s="1253" t="str">
        <f>IFERROR(
IF(OR(C48="",N48="",T48="",V48="",AA48="",AE48="",AG48=""),
"",
IF(BP48&gt;0,"",IF(OR(AND(ISNUMBER(SEARCH("kW/ton", J48)),OR(L48&lt;N48,R48&lt;T48)),AND(NOT(ISNUMBER(SEARCH("kW/ton", J48))),OR(L48&gt;N48,R48&gt;T48))),
"Must Improve Efficiency",
IFERROR(IF(EXPIRATION&lt;&gt;"",PROJSTATEXP,
IF(BP48&gt;0,"",
IF(OR(M02S04F06="",M02S04F06="Select Rate Code",M02S04F06=0),MEASURERATE,
IF(M02S04F22="", SPACECONDTYPE,
IF(PAYCUSE&lt;PAYBACKREQ,PROJECTSTATPAYBACK,
IF(BN48&lt;CBREQ,PROJECTSTATCB,"")))))),MEASURESUBMIT)))),"")</f>
        <v/>
      </c>
      <c r="BZ48" s="1247" t="str">
        <f>IFERROR(IF(INDEX(CLHVAC[Eff Unit 3],MATCH(C48,CLHVAC[Measure Name],0))="","",INDEX(CLHVAC[Eff Unit 3],MATCH(C48,CLHVAC[Measure Name],0))),"")</f>
        <v/>
      </c>
      <c r="CA48" s="1249" t="str">
        <f>IFERROR(IF(INDEX(CLHVAC[Base Efficiency 3],MATCH(C48,CLHVAC[Measure Name],0))="","",INDEX(CLHVAC[Base Efficiency 3],MATCH(C48,CLHVAC[Measure Name],0))),"")</f>
        <v/>
      </c>
      <c r="CB48" s="1251" t="str">
        <f t="shared" ref="CB48" si="124">IFERROR(IF(ISNUMBER(SEARCH("Air-Cooled Chiller",$C48)),12/N48,""),"")</f>
        <v/>
      </c>
      <c r="CC48" s="1252"/>
    </row>
    <row r="49" spans="2:81" ht="15.95" customHeight="1">
      <c r="B49" s="785"/>
      <c r="C49" s="793"/>
      <c r="D49" s="795"/>
      <c r="E49" s="795"/>
      <c r="F49" s="795"/>
      <c r="G49" s="795"/>
      <c r="H49" s="795"/>
      <c r="I49" s="795"/>
      <c r="J49" s="934"/>
      <c r="K49" s="935"/>
      <c r="L49" s="930"/>
      <c r="M49" s="931"/>
      <c r="N49" s="915"/>
      <c r="O49" s="916"/>
      <c r="P49" s="934"/>
      <c r="Q49" s="935"/>
      <c r="R49" s="930"/>
      <c r="S49" s="931"/>
      <c r="T49" s="917"/>
      <c r="U49" s="918"/>
      <c r="V49" s="926"/>
      <c r="W49" s="927"/>
      <c r="X49" s="793"/>
      <c r="Y49" s="795"/>
      <c r="Z49" s="794"/>
      <c r="AA49" s="904"/>
      <c r="AB49" s="905"/>
      <c r="AC49" s="905"/>
      <c r="AD49" s="906"/>
      <c r="AE49" s="809"/>
      <c r="AF49" s="810"/>
      <c r="AG49" s="810"/>
      <c r="AH49" s="812"/>
      <c r="AI49" s="921"/>
      <c r="AJ49" s="921"/>
      <c r="AK49" s="921"/>
      <c r="AL49" s="922"/>
      <c r="AM49" s="816"/>
      <c r="AN49" s="816"/>
      <c r="AO49" s="818"/>
      <c r="AP49" s="818"/>
      <c r="AQ49" s="818"/>
      <c r="AR49" s="841"/>
      <c r="AS49" s="841"/>
      <c r="AT49" s="841"/>
      <c r="AU49" s="841"/>
      <c r="AV49" s="17"/>
      <c r="AX49" s="1243"/>
      <c r="AY49" s="760"/>
      <c r="AZ49" s="760"/>
      <c r="BA49" s="920"/>
      <c r="BB49" s="920"/>
      <c r="BC49" s="1243"/>
      <c r="BD49" s="1239"/>
      <c r="BE49" s="776"/>
      <c r="BF49" s="776"/>
      <c r="BG49" s="776"/>
      <c r="BH49" s="1241"/>
      <c r="BI49" s="1241"/>
      <c r="BJ49" s="778"/>
      <c r="BK49" s="768"/>
      <c r="BL49" s="768"/>
      <c r="BM49" s="766"/>
      <c r="BN49" s="764"/>
      <c r="BO49" s="764"/>
      <c r="BP49" s="770"/>
      <c r="BQ49" s="768"/>
      <c r="BR49" s="768"/>
      <c r="BS49" s="766"/>
      <c r="BT49" s="766"/>
      <c r="BU49" s="1239"/>
      <c r="BV49" s="768"/>
      <c r="BW49" s="1239"/>
      <c r="BX49" s="758"/>
      <c r="BY49" s="1254"/>
      <c r="BZ49" s="1248"/>
      <c r="CA49" s="1250"/>
      <c r="CB49" s="913"/>
      <c r="CC49" s="909"/>
    </row>
    <row r="50" spans="2:81" ht="15.95" customHeight="1">
      <c r="B50" s="785">
        <v>17</v>
      </c>
      <c r="C50" s="825"/>
      <c r="D50" s="826"/>
      <c r="E50" s="826"/>
      <c r="F50" s="826"/>
      <c r="G50" s="826"/>
      <c r="H50" s="826"/>
      <c r="I50" s="826"/>
      <c r="J50" s="932" t="str">
        <f>IF(C50="","",INDEX(CLHVAC[Eff Unit 1],MATCH(C50,CLHVAC[Measure Name],0)))</f>
        <v/>
      </c>
      <c r="K50" s="933"/>
      <c r="L50" s="928" t="str">
        <f>IF(C50="","",INDEX(CLHVAC[Base Efficiency 1],MATCH(C50,CLHVAC[Measure Name],0)))</f>
        <v/>
      </c>
      <c r="M50" s="929"/>
      <c r="N50" s="915"/>
      <c r="O50" s="916"/>
      <c r="P50" s="932" t="str">
        <f>IF(C50="","",INDEX(CLHVAC[Eff Unit 2],MATCH(C50,CLHVAC[Measure Name],0)))</f>
        <v/>
      </c>
      <c r="Q50" s="933"/>
      <c r="R50" s="928" t="str">
        <f>IF(C50="","",INDEX(CLHVAC[Base Efficiency 2],MATCH(C50,CLHVAC[Measure Name],0)))</f>
        <v/>
      </c>
      <c r="S50" s="929"/>
      <c r="T50" s="917" t="str">
        <f>IF(AND(ISNUMBER(SEARCH("DX",C50)),ISNUMBER(SEARCH("&lt;65 kbtu",C50)),N50&lt;&gt;""),1.12*N50-0.02*N50^2,IF(AND(ISNUMBER(SEARCH("PTAC",C50)),N50&lt;&gt;""),1,""))</f>
        <v/>
      </c>
      <c r="U50" s="918"/>
      <c r="V50" s="926"/>
      <c r="W50" s="927"/>
      <c r="X50" s="825"/>
      <c r="Y50" s="826"/>
      <c r="Z50" s="827"/>
      <c r="AA50" s="904"/>
      <c r="AB50" s="905"/>
      <c r="AC50" s="905"/>
      <c r="AD50" s="906"/>
      <c r="AE50" s="809"/>
      <c r="AF50" s="810"/>
      <c r="AG50" s="810"/>
      <c r="AH50" s="812"/>
      <c r="AI50" s="948" t="str">
        <f>IF(C50="","",INDEX(CLHVAC[Current Unit],MATCH(C50,CLHVAC[Measure Name],0)))</f>
        <v/>
      </c>
      <c r="AJ50" s="948"/>
      <c r="AK50" s="948"/>
      <c r="AL50" s="949"/>
      <c r="AM50" s="814" t="str" cm="1">
        <f t="array" ref="AM50">IFERROR(IF(C50="","",INDEX(IF(AND(ACTIVEBONUS = TRUE,INDEX(CLHVAC[Bonus Incentive],MATCH(C50,CLHVAC[Measure Name],0))&lt;&gt; ""),CLHVAC[Bonus Incentive],_xlfn.SWITCH(Program_Banner,"Business Energy Savings",CLHVAC[BESP Incentive],"Small Business / Non-Profit",CLHVAC[SBNP Incentive],0)),MATCH(C50,CLHVAC[Measure Name],0))),"")</f>
        <v/>
      </c>
      <c r="AN50" s="814"/>
      <c r="AO50" s="817" t="str">
        <f t="shared" ref="AO50" si="125">IFERROR(IF(OR(C50="",N50="",T50="",V50="",AA50="",AE50="",AG50=""),"",IF(BE50&lt;=0, 0, BE50)),"")</f>
        <v/>
      </c>
      <c r="AP50" s="817"/>
      <c r="AQ50" s="817"/>
      <c r="AR50" s="840" t="str">
        <f>IFERROR(IF(OR(C50="",N50="",V50="",AA50="",T50="",AE50="",AG50=""),"",IF(BY50&lt;&gt;"",BY50,IF(BP50&gt;0,BP50,ROUND(IF(AO50&lt;=0,0,MIN(BL50,BQ50)), 2)))), "")</f>
        <v/>
      </c>
      <c r="AS50" s="840"/>
      <c r="AT50" s="840"/>
      <c r="AU50" s="840"/>
      <c r="AV50" s="17"/>
      <c r="AX50" s="1242" t="str">
        <f>IFERROR(IF(OR(C50="",N50="",V50="",AA50="",T50="",AE50="",AG50=""),"",INDEX(CLHVAC[Current Unit],MATCH(C50,CLHVAC[Measure Name],0))),"Err")</f>
        <v/>
      </c>
      <c r="AY50" s="759" t="str">
        <f t="shared" ref="AY50" si="126">IF(OR(L50="", N50="", V50=""), "", ABS(N50-L50)*V50)</f>
        <v/>
      </c>
      <c r="AZ50" s="759" t="str">
        <f t="shared" ref="AZ50" si="127">IF(OR(L50="", N50="", V50=""), "", ABS(N50-L50)*V50)</f>
        <v/>
      </c>
      <c r="BA50" s="919" t="str">
        <f>IF(C50&lt;&gt;"", _xlfn.LET(
_xlpm.Tons_Cool, V50, _xlpm.PLC_Base, L50, _xlpm.Tons_Heat, CC50, _xlpm.Other_Base, R50,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(12/_xlpm.PLC_Base)*_xlpm.EFLH_Cool,
IF(ISNUMBER(SEARCH("Water", C50)),
_xlpm.Tons_Cool * (_xlpm.PLC_Base) * _xlpm.EFLH_Cool,
" "
)),4),
_xlpm.kWhHeat,
IF(
_xlpm.ElecHeat=1,
ROUND(
IF(OR(ISNUMBER(SEARCH("DX", C50)),ISNUMBER(SEARCH("PTAC", C50)), ISNUMBER(SEARCH("Air-Cooled Chiller", C50)), ISNUMBER(SEARCH("Water", C50)),
ISNUMBER(SEARCH("VRF", C50))),
0,
IF(
OR(ISNUMBER(SEARCH("ASHP", C50)), ISNUMBER(SEARCH("PTHP", C50))),
_xlpm.Tons_Heat * (1/_xlpm.Other_Base) * _xlpm.EFLH_Heat,
" "
)),4),
0
),
IFERROR(_xlpm.kWhCool + _xlpm.kWhHeat, "Measure Not Specified.")
), "")</f>
        <v/>
      </c>
      <c r="BB50" s="919" t="str">
        <f>IF(C50&lt;&gt;"", _xlfn.LET(
_xlpm.Tons_Cool, V50,_xlpm.PLC_Eff, N50, _xlpm.Tons_Heat, CC50, _xlpm.Other_Eff, T50,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(12/_xlpm.PLC_Eff)*_xlpm.EFLH_Cool,
IF(ISNUMBER(SEARCH("Water", C50)),
_xlpm.Tons_Cool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(1/_xlpm.Other_Eff) * _xlpm.EFLH_Heat,
" "
)),4),
0
),
IFERROR(_xlpm.kWhCool + _xlpm.kWhHeat, "Measure Not Specified.")
), "")</f>
        <v/>
      </c>
      <c r="BC50" s="1242" t="str">
        <f>IFERROR(IF(OR(C50="",N50="",V50="",AA50="",T50="",AE50="",AG50=""),"",INDEX(CLHVAC[End Use],MATCH(C50,CLHVAC[Measure Name],0))),"Err")</f>
        <v/>
      </c>
      <c r="BD50" s="1238" t="str">
        <f>IFERROR(IF(OR(C50="",N50="",V50="",AA50="",T50="",AE50="",AG50=""),"",INDEX(CLHVAC[Reporting Methodology],MATCH(C50,CLHVAC[Measure Name],0))),"Err")</f>
        <v/>
      </c>
      <c r="BE50" s="775" t="str">
        <f t="shared" si="2"/>
        <v/>
      </c>
      <c r="BF50" s="775" t="str">
        <f t="shared" ref="BF50" si="128">IF(C50&lt;&gt;"", _xlfn.LET(
_xlpm.Tons, V50, _xlpm.PCF, 0.913,
IF(OR(ISNUMBER(SEARCH("DX", C50)), ISNUMBER(SEARCH("Air-Cooled Chiller", C50)), ISNUMBER(SEARCH("VRF", C50))),
IFERROR(_xlpm.Tons * (12/R50 - 12/T50) * _xlpm.PCF, 0),
IF(ISNUMBER(SEARCH("Water", C50)),
IFERROR(_xlpm.Tons * (R50-T50) * _xlpm.PCF, 0),
IF(ISNUMBER(SEARCH("ASHP", C50)),
IFERROR(_xlpm.Tons * (12/CA50 - 12/CB50) * _xlpm.PCF, 0),
IF(OR(ISNUMBER(SEARCH("PTAC", C50)), ISNUMBER(SEARCH("PTHP", C50))),
IFERROR(_xlpm.Tons * (12/L50 - 12/N50) * _xlpm.PCF, 0),
"Measure Not Specified."))))), "")</f>
        <v/>
      </c>
      <c r="BG50" s="775"/>
      <c r="BH50" s="1240"/>
      <c r="BI50" s="1240"/>
      <c r="BJ50" s="777" t="str">
        <f>IFERROR(INDEX(CLHVAC[Measure Life (Years)],MATCH(C50,CLHVAC[Measure Name],0)),"")</f>
        <v/>
      </c>
      <c r="BK50" s="767" t="str">
        <f>IFERROR(IF(OR(C50="",N50="",T50="",V50="",AA50="",AE50="",AG50=""),"",
ROUND(((1+ELOSS)*((BE50*INDEX(ELECCB[NPV AEC $/kWh],MATCH(BJ50,ELECCB[Year Number],1)))+(BF50*INDEX(ELECCB[NPV ACC $/kW],MATCH(BJ50,ELECCB[Year Number],1))))),2)),0)</f>
        <v/>
      </c>
      <c r="BL50" s="767" t="str">
        <f t="shared" ref="BL50" si="129">IF(OR(C50="",N50="",V50="",AA50="",T50="",AE50="",AG50=""),"",ROUND(AE50+AG50,2))</f>
        <v/>
      </c>
      <c r="BM50" s="765"/>
      <c r="BN50" s="763" t="str">
        <f t="shared" si="4"/>
        <v/>
      </c>
      <c r="BO50" s="763" t="str">
        <f>IFERROR(IF(BM50 &lt;&gt; "", BM50, BL50) / M02S04F06 / AO50, "")</f>
        <v/>
      </c>
      <c r="BP50" s="769"/>
      <c r="BQ50" s="767" t="str">
        <f t="shared" ref="BQ50" si="130">IFERROR(IF(AI50="per ton", ROUND(V50*AM50, 2),
IF(AND(ISNUMBER(SEARCH("Air-Cooled Chiller",C50)),AI50="$/ton/IPLV"), ROUND((12/L50-12/N50)*V50*AM50, 2),
ROUND(ABS(N50-L50)*V50*AM50, 2))), "")</f>
        <v/>
      </c>
      <c r="BR50" s="767"/>
      <c r="BS50" s="765"/>
      <c r="BT50" s="765"/>
      <c r="BU50" s="1238" t="str">
        <f t="shared" ref="BU50" si="131">IFERROR(IF(BP50="",IF(AND(AO50&gt;0, AR50 &lt; BQ50), "100% Total Cost", ""), ""), "")</f>
        <v/>
      </c>
      <c r="BV50" s="767"/>
      <c r="BW50" s="1238" t="str">
        <f>IFERROR(IF(OR(C50="",N50="",V50="",AA50="",T50="",AE50="",AG50=""),"",IF(BY50&lt;&gt;"", SPILLOVERNUMBER, INDEX(CLHVAC[Measure Number],MATCH(C50,CLHVAC[Measure Name],0)))),"Err")</f>
        <v/>
      </c>
      <c r="BX50" s="757" t="str" cm="1">
        <f t="array" ref="BX50">IFERROR(INDEX(_xlfn.SWITCH(Program_Banner,"Business Energy Savings",CLHVAC[Primary Key WBE],"Small Business / Non-Profit",CLHVAC[Primary Key HTRB],0),MATCH(BW50,CLHVAC[Measure Number],0)),"")</f>
        <v/>
      </c>
      <c r="BY50" s="1253" t="str">
        <f>IFERROR(
IF(OR(C50="",N50="",T50="",V50="",AA50="",AE50="",AG50=""),
"",
IF(BP50&gt;0,"",IF(OR(AND(ISNUMBER(SEARCH("kW/ton", J50)),OR(L50&lt;N50,R50&lt;T50)),AND(NOT(ISNUMBER(SEARCH("kW/ton", J50))),OR(L50&gt;N50,R50&gt;T50))),
"Must Improve Efficiency",
IFERROR(IF(EXPIRATION&lt;&gt;"",PROJSTATEXP,
IF(BP50&gt;0,"",
IF(OR(M02S04F06="",M02S04F06="Select Rate Code",M02S04F06=0),MEASURERATE,
IF(M02S04F22="", SPACECONDTYPE,
IF(PAYCUSE&lt;PAYBACKREQ,PROJECTSTATPAYBACK,
IF(BN50&lt;CBREQ,PROJECTSTATCB,"")))))),MEASURESUBMIT)))),"")</f>
        <v/>
      </c>
      <c r="BZ50" s="1247" t="str">
        <f>IFERROR(IF(INDEX(CLHVAC[Eff Unit 3],MATCH(C50,CLHVAC[Measure Name],0))="","",INDEX(CLHVAC[Eff Unit 3],MATCH(C50,CLHVAC[Measure Name],0))),"")</f>
        <v/>
      </c>
      <c r="CA50" s="1249" t="str">
        <f>IFERROR(IF(INDEX(CLHVAC[Base Efficiency 3],MATCH(C50,CLHVAC[Measure Name],0))="","",INDEX(CLHVAC[Base Efficiency 3],MATCH(C50,CLHVAC[Measure Name],0))),"")</f>
        <v/>
      </c>
      <c r="CB50" s="1251" t="str">
        <f t="shared" ref="CB50" si="132">IFERROR(IF(ISNUMBER(SEARCH("Air-Cooled Chiller",$C50)),12/N50,""),"")</f>
        <v/>
      </c>
      <c r="CC50" s="1252"/>
    </row>
    <row r="51" spans="2:81" ht="15.95" customHeight="1">
      <c r="B51" s="785"/>
      <c r="C51" s="793"/>
      <c r="D51" s="795"/>
      <c r="E51" s="795"/>
      <c r="F51" s="795"/>
      <c r="G51" s="795"/>
      <c r="H51" s="795"/>
      <c r="I51" s="795"/>
      <c r="J51" s="934"/>
      <c r="K51" s="935"/>
      <c r="L51" s="930"/>
      <c r="M51" s="931"/>
      <c r="N51" s="915"/>
      <c r="O51" s="916"/>
      <c r="P51" s="934"/>
      <c r="Q51" s="935"/>
      <c r="R51" s="930"/>
      <c r="S51" s="931"/>
      <c r="T51" s="917"/>
      <c r="U51" s="918"/>
      <c r="V51" s="926"/>
      <c r="W51" s="927"/>
      <c r="X51" s="793"/>
      <c r="Y51" s="795"/>
      <c r="Z51" s="794"/>
      <c r="AA51" s="904"/>
      <c r="AB51" s="905"/>
      <c r="AC51" s="905"/>
      <c r="AD51" s="906"/>
      <c r="AE51" s="809"/>
      <c r="AF51" s="810"/>
      <c r="AG51" s="810"/>
      <c r="AH51" s="812"/>
      <c r="AI51" s="921"/>
      <c r="AJ51" s="921"/>
      <c r="AK51" s="921"/>
      <c r="AL51" s="922"/>
      <c r="AM51" s="816"/>
      <c r="AN51" s="816"/>
      <c r="AO51" s="818"/>
      <c r="AP51" s="818"/>
      <c r="AQ51" s="818"/>
      <c r="AR51" s="841"/>
      <c r="AS51" s="841"/>
      <c r="AT51" s="841"/>
      <c r="AU51" s="841"/>
      <c r="AV51" s="17"/>
      <c r="AX51" s="1243"/>
      <c r="AY51" s="760"/>
      <c r="AZ51" s="760"/>
      <c r="BA51" s="920"/>
      <c r="BB51" s="920"/>
      <c r="BC51" s="1243"/>
      <c r="BD51" s="1239"/>
      <c r="BE51" s="776"/>
      <c r="BF51" s="776"/>
      <c r="BG51" s="776"/>
      <c r="BH51" s="1241"/>
      <c r="BI51" s="1241"/>
      <c r="BJ51" s="778"/>
      <c r="BK51" s="768"/>
      <c r="BL51" s="768"/>
      <c r="BM51" s="766"/>
      <c r="BN51" s="764"/>
      <c r="BO51" s="764"/>
      <c r="BP51" s="770"/>
      <c r="BQ51" s="768"/>
      <c r="BR51" s="768"/>
      <c r="BS51" s="766"/>
      <c r="BT51" s="766"/>
      <c r="BU51" s="1239"/>
      <c r="BV51" s="768"/>
      <c r="BW51" s="1239"/>
      <c r="BX51" s="758"/>
      <c r="BY51" s="1254"/>
      <c r="BZ51" s="1248"/>
      <c r="CA51" s="1250"/>
      <c r="CB51" s="913"/>
      <c r="CC51" s="909"/>
    </row>
    <row r="52" spans="2:81" ht="15.95" customHeight="1">
      <c r="B52" s="785">
        <v>18</v>
      </c>
      <c r="C52" s="825"/>
      <c r="D52" s="826"/>
      <c r="E52" s="826"/>
      <c r="F52" s="826"/>
      <c r="G52" s="826"/>
      <c r="H52" s="826"/>
      <c r="I52" s="826"/>
      <c r="J52" s="932" t="str">
        <f>IF(C52="","",INDEX(CLHVAC[Eff Unit 1],MATCH(C52,CLHVAC[Measure Name],0)))</f>
        <v/>
      </c>
      <c r="K52" s="933"/>
      <c r="L52" s="928" t="str">
        <f>IF(C52="","",INDEX(CLHVAC[Base Efficiency 1],MATCH(C52,CLHVAC[Measure Name],0)))</f>
        <v/>
      </c>
      <c r="M52" s="929"/>
      <c r="N52" s="915"/>
      <c r="O52" s="916"/>
      <c r="P52" s="932" t="str">
        <f>IF(C52="","",INDEX(CLHVAC[Eff Unit 2],MATCH(C52,CLHVAC[Measure Name],0)))</f>
        <v/>
      </c>
      <c r="Q52" s="933"/>
      <c r="R52" s="928" t="str">
        <f>IF(C52="","",INDEX(CLHVAC[Base Efficiency 2],MATCH(C52,CLHVAC[Measure Name],0)))</f>
        <v/>
      </c>
      <c r="S52" s="929"/>
      <c r="T52" s="917" t="str">
        <f>IF(AND(ISNUMBER(SEARCH("DX",C52)),ISNUMBER(SEARCH("&lt;65 kbtu",C52)),N52&lt;&gt;""),1.12*N52-0.02*N52^2,IF(AND(ISNUMBER(SEARCH("PTAC",C52)),N52&lt;&gt;""),1,""))</f>
        <v/>
      </c>
      <c r="U52" s="918"/>
      <c r="V52" s="926"/>
      <c r="W52" s="927"/>
      <c r="X52" s="825"/>
      <c r="Y52" s="826"/>
      <c r="Z52" s="827"/>
      <c r="AA52" s="904"/>
      <c r="AB52" s="905"/>
      <c r="AC52" s="905"/>
      <c r="AD52" s="906"/>
      <c r="AE52" s="809"/>
      <c r="AF52" s="810"/>
      <c r="AG52" s="810"/>
      <c r="AH52" s="812"/>
      <c r="AI52" s="948" t="str">
        <f>IF(C52="","",INDEX(CLHVAC[Current Unit],MATCH(C52,CLHVAC[Measure Name],0)))</f>
        <v/>
      </c>
      <c r="AJ52" s="948"/>
      <c r="AK52" s="948"/>
      <c r="AL52" s="949"/>
      <c r="AM52" s="814" t="str" cm="1">
        <f t="array" ref="AM52">IFERROR(IF(C52="","",INDEX(IF(AND(ACTIVEBONUS = TRUE,INDEX(CLHVAC[Bonus Incentive],MATCH(C52,CLHVAC[Measure Name],0))&lt;&gt; ""),CLHVAC[Bonus Incentive],_xlfn.SWITCH(Program_Banner,"Business Energy Savings",CLHVAC[BESP Incentive],"Small Business / Non-Profit",CLHVAC[SBNP Incentive],0)),MATCH(C52,CLHVAC[Measure Name],0))),"")</f>
        <v/>
      </c>
      <c r="AN52" s="814"/>
      <c r="AO52" s="817" t="str">
        <f t="shared" ref="AO52" si="133">IFERROR(IF(OR(C52="",N52="",T52="",V52="",AA52="",AE52="",AG52=""),"",IF(BE52&lt;=0, 0, BE52)),"")</f>
        <v/>
      </c>
      <c r="AP52" s="817"/>
      <c r="AQ52" s="817"/>
      <c r="AR52" s="840" t="str">
        <f>IFERROR(IF(OR(C52="",N52="",V52="",AA52="",T52="",AE52="",AG52=""),"",IF(BY52&lt;&gt;"",BY52,IF(BP52&gt;0,BP52,ROUND(IF(AO52&lt;=0,0,MIN(BL52,BQ52)), 2)))), "")</f>
        <v/>
      </c>
      <c r="AS52" s="840"/>
      <c r="AT52" s="840"/>
      <c r="AU52" s="840"/>
      <c r="AV52" s="17"/>
      <c r="AX52" s="1242" t="str">
        <f>IFERROR(IF(OR(C52="",N52="",V52="",AA52="",T52="",AE52="",AG52=""),"",INDEX(CLHVAC[Current Unit],MATCH(C52,CLHVAC[Measure Name],0))),"Err")</f>
        <v/>
      </c>
      <c r="AY52" s="759" t="str">
        <f t="shared" ref="AY52" si="134">IF(OR(L52="", N52="", V52=""), "", ABS(N52-L52)*V52)</f>
        <v/>
      </c>
      <c r="AZ52" s="759" t="str">
        <f t="shared" ref="AZ52" si="135">IF(OR(L52="", N52="", V52=""), "", ABS(N52-L52)*V52)</f>
        <v/>
      </c>
      <c r="BA52" s="919" t="str">
        <f>IF(C52&lt;&gt;"", _xlfn.LET(
_xlpm.Tons_Cool, V52, _xlpm.PLC_Base, L52, _xlpm.Tons_Heat, CC52, _xlpm.Other_Base, R52,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(12/_xlpm.PLC_Base)*_xlpm.EFLH_Cool,
IF(ISNUMBER(SEARCH("Water", C52)),
_xlpm.Tons_Cool * (_xlpm.PLC_Base) * _xlpm.EFLH_Cool,
" "
)),4),
_xlpm.kWhHeat,
IF(
_xlpm.ElecHeat=1,
ROUND(
IF(OR(ISNUMBER(SEARCH("DX", C52)),ISNUMBER(SEARCH("PTAC", C52)), ISNUMBER(SEARCH("Air-Cooled Chiller", C52)), ISNUMBER(SEARCH("Water", C52)),
ISNUMBER(SEARCH("VRF", C52))),
0,
IF(
OR(ISNUMBER(SEARCH("ASHP", C52)), ISNUMBER(SEARCH("PTHP", C52))),
_xlpm.Tons_Heat * (1/_xlpm.Other_Base) * _xlpm.EFLH_Heat,
" "
)),4),
0
),
IFERROR(_xlpm.kWhCool + _xlpm.kWhHeat, "Measure Not Specified.")
), "")</f>
        <v/>
      </c>
      <c r="BB52" s="919" t="str">
        <f>IF(C52&lt;&gt;"", _xlfn.LET(
_xlpm.Tons_Cool, V52,_xlpm.PLC_Eff, N52, _xlpm.Tons_Heat, CC52, _xlpm.Other_Eff, T52,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(12/_xlpm.PLC_Eff)*_xlpm.EFLH_Cool,
IF(ISNUMBER(SEARCH("Water", C52)),
_xlpm.Tons_Cool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(1/_xlpm.Other_Eff) * _xlpm.EFLH_Heat,
" "
)),4),
0
),
IFERROR(_xlpm.kWhCool + _xlpm.kWhHeat, "Measure Not Specified.")
), "")</f>
        <v/>
      </c>
      <c r="BC52" s="1242" t="str">
        <f>IFERROR(IF(OR(C52="",N52="",V52="",AA52="",T52="",AE52="",AG52=""),"",INDEX(CLHVAC[End Use],MATCH(C52,CLHVAC[Measure Name],0))),"Err")</f>
        <v/>
      </c>
      <c r="BD52" s="1238" t="str">
        <f>IFERROR(IF(OR(C52="",N52="",V52="",AA52="",T52="",AE52="",AG52=""),"",INDEX(CLHVAC[Reporting Methodology],MATCH(C52,CLHVAC[Measure Name],0))),"Err")</f>
        <v/>
      </c>
      <c r="BE52" s="775" t="str">
        <f t="shared" si="2"/>
        <v/>
      </c>
      <c r="BF52" s="775" t="str">
        <f t="shared" ref="BF52" si="136">IF(C52&lt;&gt;"", _xlfn.LET(
_xlpm.Tons, V52, _xlpm.PCF, 0.913,
IF(OR(ISNUMBER(SEARCH("DX", C52)), ISNUMBER(SEARCH("Air-Cooled Chiller", C52)), ISNUMBER(SEARCH("VRF", C52))),
IFERROR(_xlpm.Tons * (12/R52 - 12/T52) * _xlpm.PCF, 0),
IF(ISNUMBER(SEARCH("Water", C52)),
IFERROR(_xlpm.Tons * (R52-T52) * _xlpm.PCF, 0),
IF(ISNUMBER(SEARCH("ASHP", C52)),
IFERROR(_xlpm.Tons * (12/CA52 - 12/CB52) * _xlpm.PCF, 0),
IF(OR(ISNUMBER(SEARCH("PTAC", C52)), ISNUMBER(SEARCH("PTHP", C52))),
IFERROR(_xlpm.Tons * (12/L52 - 12/N52) * _xlpm.PCF, 0),
"Measure Not Specified."))))), "")</f>
        <v/>
      </c>
      <c r="BG52" s="775"/>
      <c r="BH52" s="1240"/>
      <c r="BI52" s="1240"/>
      <c r="BJ52" s="777" t="str">
        <f>IFERROR(INDEX(CLHVAC[Measure Life (Years)],MATCH(C52,CLHVAC[Measure Name],0)),"")</f>
        <v/>
      </c>
      <c r="BK52" s="767" t="str">
        <f>IFERROR(IF(OR(C52="",N52="",T52="",V52="",AA52="",AE52="",AG52=""),"",
ROUND(((1+ELOSS)*((BE52*INDEX(ELECCB[NPV AEC $/kWh],MATCH(BJ52,ELECCB[Year Number],1)))+(BF52*INDEX(ELECCB[NPV ACC $/kW],MATCH(BJ52,ELECCB[Year Number],1))))),2)),0)</f>
        <v/>
      </c>
      <c r="BL52" s="767" t="str">
        <f t="shared" ref="BL52" si="137">IF(OR(C52="",N52="",V52="",AA52="",T52="",AE52="",AG52=""),"",ROUND(AE52+AG52,2))</f>
        <v/>
      </c>
      <c r="BM52" s="765"/>
      <c r="BN52" s="763" t="str">
        <f t="shared" si="4"/>
        <v/>
      </c>
      <c r="BO52" s="763" t="str">
        <f>IFERROR(IF(BM52 &lt;&gt; "", BM52, BL52) / M02S04F06 / AO52, "")</f>
        <v/>
      </c>
      <c r="BP52" s="769"/>
      <c r="BQ52" s="767" t="str">
        <f t="shared" ref="BQ52" si="138">IFERROR(IF(AI52="per ton", ROUND(V52*AM52, 2),
IF(AND(ISNUMBER(SEARCH("Air-Cooled Chiller",C52)),AI52="$/ton/IPLV"), ROUND((12/L52-12/N52)*V52*AM52, 2),
ROUND(ABS(N52-L52)*V52*AM52, 2))), "")</f>
        <v/>
      </c>
      <c r="BR52" s="767"/>
      <c r="BS52" s="765"/>
      <c r="BT52" s="765"/>
      <c r="BU52" s="1238" t="str">
        <f t="shared" ref="BU52" si="139">IFERROR(IF(BP52="",IF(AND(AO52&gt;0, AR52 &lt; BQ52), "100% Total Cost", ""), ""), "")</f>
        <v/>
      </c>
      <c r="BV52" s="767"/>
      <c r="BW52" s="1238" t="str">
        <f>IFERROR(IF(OR(C52="",N52="",V52="",AA52="",T52="",AE52="",AG52=""),"",IF(BY52&lt;&gt;"", SPILLOVERNUMBER, INDEX(CLHVAC[Measure Number],MATCH(C52,CLHVAC[Measure Name],0)))),"Err")</f>
        <v/>
      </c>
      <c r="BX52" s="757" t="str" cm="1">
        <f t="array" ref="BX52">IFERROR(INDEX(_xlfn.SWITCH(Program_Banner,"Business Energy Savings",CLHVAC[Primary Key WBE],"Small Business / Non-Profit",CLHVAC[Primary Key HTRB],0),MATCH(BW52,CLHVAC[Measure Number],0)),"")</f>
        <v/>
      </c>
      <c r="BY52" s="1253" t="str">
        <f>IFERROR(
IF(OR(C52="",N52="",T52="",V52="",AA52="",AE52="",AG52=""),
"",
IF(BP52&gt;0,"",IF(OR(AND(ISNUMBER(SEARCH("kW/ton", J52)),OR(L52&lt;N52,R52&lt;T52)),AND(NOT(ISNUMBER(SEARCH("kW/ton", J52))),OR(L52&gt;N52,R52&gt;T52))),
"Must Improve Efficiency",
IFERROR(IF(EXPIRATION&lt;&gt;"",PROJSTATEXP,
IF(BP52&gt;0,"",
IF(OR(M02S04F06="",M02S04F06="Select Rate Code",M02S04F06=0),MEASURERATE,
IF(M02S04F22="", SPACECONDTYPE,
IF(PAYCUSE&lt;PAYBACKREQ,PROJECTSTATPAYBACK,
IF(BN52&lt;CBREQ,PROJECTSTATCB,"")))))),MEASURESUBMIT)))),"")</f>
        <v/>
      </c>
      <c r="BZ52" s="1247" t="str">
        <f>IFERROR(IF(INDEX(CLHVAC[Eff Unit 3],MATCH(C52,CLHVAC[Measure Name],0))="","",INDEX(CLHVAC[Eff Unit 3],MATCH(C52,CLHVAC[Measure Name],0))),"")</f>
        <v/>
      </c>
      <c r="CA52" s="1249" t="str">
        <f>IFERROR(IF(INDEX(CLHVAC[Base Efficiency 3],MATCH(C52,CLHVAC[Measure Name],0))="","",INDEX(CLHVAC[Base Efficiency 3],MATCH(C52,CLHVAC[Measure Name],0))),"")</f>
        <v/>
      </c>
      <c r="CB52" s="1251" t="str">
        <f t="shared" ref="CB52" si="140">IFERROR(IF(ISNUMBER(SEARCH("Air-Cooled Chiller",$C52)),12/N52,""),"")</f>
        <v/>
      </c>
      <c r="CC52" s="1252"/>
    </row>
    <row r="53" spans="2:81" ht="15.95" customHeight="1">
      <c r="B53" s="785"/>
      <c r="C53" s="793"/>
      <c r="D53" s="795"/>
      <c r="E53" s="795"/>
      <c r="F53" s="795"/>
      <c r="G53" s="795"/>
      <c r="H53" s="795"/>
      <c r="I53" s="795"/>
      <c r="J53" s="934"/>
      <c r="K53" s="935"/>
      <c r="L53" s="930"/>
      <c r="M53" s="931"/>
      <c r="N53" s="915"/>
      <c r="O53" s="916"/>
      <c r="P53" s="934"/>
      <c r="Q53" s="935"/>
      <c r="R53" s="930"/>
      <c r="S53" s="931"/>
      <c r="T53" s="917"/>
      <c r="U53" s="918"/>
      <c r="V53" s="926"/>
      <c r="W53" s="927"/>
      <c r="X53" s="793"/>
      <c r="Y53" s="795"/>
      <c r="Z53" s="794"/>
      <c r="AA53" s="904"/>
      <c r="AB53" s="905"/>
      <c r="AC53" s="905"/>
      <c r="AD53" s="906"/>
      <c r="AE53" s="809"/>
      <c r="AF53" s="810"/>
      <c r="AG53" s="810"/>
      <c r="AH53" s="812"/>
      <c r="AI53" s="921"/>
      <c r="AJ53" s="921"/>
      <c r="AK53" s="921"/>
      <c r="AL53" s="922"/>
      <c r="AM53" s="816"/>
      <c r="AN53" s="816"/>
      <c r="AO53" s="818"/>
      <c r="AP53" s="818"/>
      <c r="AQ53" s="818"/>
      <c r="AR53" s="841"/>
      <c r="AS53" s="841"/>
      <c r="AT53" s="841"/>
      <c r="AU53" s="841"/>
      <c r="AV53" s="17"/>
      <c r="AX53" s="1243"/>
      <c r="AY53" s="760"/>
      <c r="AZ53" s="760"/>
      <c r="BA53" s="920"/>
      <c r="BB53" s="920"/>
      <c r="BC53" s="1243"/>
      <c r="BD53" s="1239"/>
      <c r="BE53" s="776"/>
      <c r="BF53" s="776"/>
      <c r="BG53" s="776"/>
      <c r="BH53" s="1241"/>
      <c r="BI53" s="1241"/>
      <c r="BJ53" s="778"/>
      <c r="BK53" s="768"/>
      <c r="BL53" s="768"/>
      <c r="BM53" s="766"/>
      <c r="BN53" s="764"/>
      <c r="BO53" s="764"/>
      <c r="BP53" s="770"/>
      <c r="BQ53" s="768"/>
      <c r="BR53" s="768"/>
      <c r="BS53" s="766"/>
      <c r="BT53" s="766"/>
      <c r="BU53" s="1239"/>
      <c r="BV53" s="768"/>
      <c r="BW53" s="1239"/>
      <c r="BX53" s="758"/>
      <c r="BY53" s="1254"/>
      <c r="BZ53" s="1248"/>
      <c r="CA53" s="1250"/>
      <c r="CB53" s="913"/>
      <c r="CC53" s="909"/>
    </row>
    <row r="54" spans="2:81" ht="15.95" customHeight="1">
      <c r="B54" s="785">
        <v>19</v>
      </c>
      <c r="C54" s="825"/>
      <c r="D54" s="826"/>
      <c r="E54" s="826"/>
      <c r="F54" s="826"/>
      <c r="G54" s="826"/>
      <c r="H54" s="826"/>
      <c r="I54" s="826"/>
      <c r="J54" s="932" t="str">
        <f>IF(C54="","",INDEX(CLHVAC[Eff Unit 1],MATCH(C54,CLHVAC[Measure Name],0)))</f>
        <v/>
      </c>
      <c r="K54" s="933"/>
      <c r="L54" s="928" t="str">
        <f>IF(C54="","",INDEX(CLHVAC[Base Efficiency 1],MATCH(C54,CLHVAC[Measure Name],0)))</f>
        <v/>
      </c>
      <c r="M54" s="929"/>
      <c r="N54" s="915"/>
      <c r="O54" s="916"/>
      <c r="P54" s="932" t="str">
        <f>IF(C54="","",INDEX(CLHVAC[Eff Unit 2],MATCH(C54,CLHVAC[Measure Name],0)))</f>
        <v/>
      </c>
      <c r="Q54" s="933"/>
      <c r="R54" s="928" t="str">
        <f>IF(C54="","",INDEX(CLHVAC[Base Efficiency 2],MATCH(C54,CLHVAC[Measure Name],0)))</f>
        <v/>
      </c>
      <c r="S54" s="929"/>
      <c r="T54" s="917" t="str">
        <f>IF(AND(ISNUMBER(SEARCH("DX",C54)),ISNUMBER(SEARCH("&lt;65 kbtu",C54)),N54&lt;&gt;""),1.12*N54-0.02*N54^2,IF(AND(ISNUMBER(SEARCH("PTAC",C54)),N54&lt;&gt;""),1,""))</f>
        <v/>
      </c>
      <c r="U54" s="918"/>
      <c r="V54" s="926"/>
      <c r="W54" s="927"/>
      <c r="X54" s="825"/>
      <c r="Y54" s="826"/>
      <c r="Z54" s="827"/>
      <c r="AA54" s="904"/>
      <c r="AB54" s="905"/>
      <c r="AC54" s="905"/>
      <c r="AD54" s="906"/>
      <c r="AE54" s="809"/>
      <c r="AF54" s="810"/>
      <c r="AG54" s="810"/>
      <c r="AH54" s="812"/>
      <c r="AI54" s="948" t="str">
        <f>IF(C54="","",INDEX(CLHVAC[Current Unit],MATCH(C54,CLHVAC[Measure Name],0)))</f>
        <v/>
      </c>
      <c r="AJ54" s="948"/>
      <c r="AK54" s="948"/>
      <c r="AL54" s="949"/>
      <c r="AM54" s="814" t="str" cm="1">
        <f t="array" ref="AM54">IFERROR(IF(C54="","",INDEX(IF(AND(ACTIVEBONUS = TRUE,INDEX(CLHVAC[Bonus Incentive],MATCH(C54,CLHVAC[Measure Name],0))&lt;&gt; ""),CLHVAC[Bonus Incentive],_xlfn.SWITCH(Program_Banner,"Business Energy Savings",CLHVAC[BESP Incentive],"Small Business / Non-Profit",CLHVAC[SBNP Incentive],0)),MATCH(C54,CLHVAC[Measure Name],0))),"")</f>
        <v/>
      </c>
      <c r="AN54" s="814"/>
      <c r="AO54" s="817" t="str">
        <f t="shared" ref="AO54" si="141">IFERROR(IF(OR(C54="",N54="",T54="",V54="",AA54="",AE54="",AG54=""),"",IF(BE54&lt;=0, 0, BE54)),"")</f>
        <v/>
      </c>
      <c r="AP54" s="817"/>
      <c r="AQ54" s="817"/>
      <c r="AR54" s="840" t="str">
        <f>IFERROR(IF(OR(C54="",N54="",V54="",AA54="",T54="",AE54="",AG54=""),"",IF(BY54&lt;&gt;"",BY54,IF(BP54&gt;0,BP54,ROUND(IF(AO54&lt;=0,0,MIN(BL54,BQ54)), 2)))), "")</f>
        <v/>
      </c>
      <c r="AS54" s="840"/>
      <c r="AT54" s="840"/>
      <c r="AU54" s="840"/>
      <c r="AV54" s="17"/>
      <c r="AX54" s="1242" t="str">
        <f>IFERROR(IF(OR(C54="",N54="",V54="",AA54="",T54="",AE54="",AG54=""),"",INDEX(CLHVAC[Current Unit],MATCH(C54,CLHVAC[Measure Name],0))),"Err")</f>
        <v/>
      </c>
      <c r="AY54" s="759" t="str">
        <f t="shared" ref="AY54" si="142">IF(OR(L54="", N54="", V54=""), "", ABS(N54-L54)*V54)</f>
        <v/>
      </c>
      <c r="AZ54" s="759" t="str">
        <f t="shared" ref="AZ54" si="143">IF(OR(L54="", N54="", V54=""), "", ABS(N54-L54)*V54)</f>
        <v/>
      </c>
      <c r="BA54" s="919" t="str">
        <f>IF(C54&lt;&gt;"", _xlfn.LET(
_xlpm.Tons_Cool, V54, _xlpm.PLC_Base, L54, _xlpm.Tons_Heat, CC54, _xlpm.Other_Base, R54,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(12/_xlpm.PLC_Base)*_xlpm.EFLH_Cool,
IF(ISNUMBER(SEARCH("Water", C54)),
_xlpm.Tons_Cool * (_xlpm.PLC_Base) * _xlpm.EFLH_Cool,
" "
)),4),
_xlpm.kWhHeat,
IF(
_xlpm.ElecHeat=1,
ROUND(
IF(OR(ISNUMBER(SEARCH("DX", C54)),ISNUMBER(SEARCH("PTAC", C54)), ISNUMBER(SEARCH("Air-Cooled Chiller", C54)), ISNUMBER(SEARCH("Water", C54)),
ISNUMBER(SEARCH("VRF", C54))),
0,
IF(
OR(ISNUMBER(SEARCH("ASHP", C54)), ISNUMBER(SEARCH("PTHP", C54))),
_xlpm.Tons_Heat * (1/_xlpm.Other_Base) * _xlpm.EFLH_Heat,
" "
)),4),
0
),
IFERROR(_xlpm.kWhCool + _xlpm.kWhHeat, "Measure Not Specified.")
), "")</f>
        <v/>
      </c>
      <c r="BB54" s="919" t="str">
        <f>IF(C54&lt;&gt;"", _xlfn.LET(
_xlpm.Tons_Cool, V54,_xlpm.PLC_Eff, N54, _xlpm.Tons_Heat, CC54, _xlpm.Other_Eff, T54,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(12/_xlpm.PLC_Eff)*_xlpm.EFLH_Cool,
IF(ISNUMBER(SEARCH("Water", C54)),
_xlpm.Tons_Cool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(1/_xlpm.Other_Eff) * _xlpm.EFLH_Heat,
" "
)),4),
0
),
IFERROR(_xlpm.kWhCool + _xlpm.kWhHeat, "Measure Not Specified.")
), "")</f>
        <v/>
      </c>
      <c r="BC54" s="1242" t="str">
        <f>IFERROR(IF(OR(C54="",N54="",V54="",AA54="",T54="",AE54="",AG54=""),"",INDEX(CLHVAC[End Use],MATCH(C54,CLHVAC[Measure Name],0))),"Err")</f>
        <v/>
      </c>
      <c r="BD54" s="1238" t="str">
        <f>IFERROR(IF(OR(C54="",N54="",V54="",AA54="",T54="",AE54="",AG54=""),"",INDEX(CLHVAC[Reporting Methodology],MATCH(C54,CLHVAC[Measure Name],0))),"Err")</f>
        <v/>
      </c>
      <c r="BE54" s="775" t="str">
        <f t="shared" si="2"/>
        <v/>
      </c>
      <c r="BF54" s="775" t="str">
        <f t="shared" ref="BF54" si="144">IF(C54&lt;&gt;"", _xlfn.LET(
_xlpm.Tons, V54, _xlpm.PCF, 0.913,
IF(OR(ISNUMBER(SEARCH("DX", C54)), ISNUMBER(SEARCH("Air-Cooled Chiller", C54)), ISNUMBER(SEARCH("VRF", C54))),
IFERROR(_xlpm.Tons * (12/R54 - 12/T54) * _xlpm.PCF, 0),
IF(ISNUMBER(SEARCH("Water", C54)),
IFERROR(_xlpm.Tons * (R54-T54) * _xlpm.PCF, 0),
IF(ISNUMBER(SEARCH("ASHP", C54)),
IFERROR(_xlpm.Tons * (12/CA54 - 12/CB54) * _xlpm.PCF, 0),
IF(OR(ISNUMBER(SEARCH("PTAC", C54)), ISNUMBER(SEARCH("PTHP", C54))),
IFERROR(_xlpm.Tons * (12/L54 - 12/N54) * _xlpm.PCF, 0),
"Measure Not Specified."))))), "")</f>
        <v/>
      </c>
      <c r="BG54" s="775"/>
      <c r="BH54" s="1240"/>
      <c r="BI54" s="1240"/>
      <c r="BJ54" s="777" t="str">
        <f>IFERROR(INDEX(CLHVAC[Measure Life (Years)],MATCH(C54,CLHVAC[Measure Name],0)),"")</f>
        <v/>
      </c>
      <c r="BK54" s="767" t="str">
        <f>IFERROR(IF(OR(C54="",N54="",T54="",V54="",AA54="",AE54="",AG54=""),"",
ROUND(((1+ELOSS)*((BE54*INDEX(ELECCB[NPV AEC $/kWh],MATCH(BJ54,ELECCB[Year Number],1)))+(BF54*INDEX(ELECCB[NPV ACC $/kW],MATCH(BJ54,ELECCB[Year Number],1))))),2)),0)</f>
        <v/>
      </c>
      <c r="BL54" s="767" t="str">
        <f t="shared" ref="BL54" si="145">IF(OR(C54="",N54="",V54="",AA54="",T54="",AE54="",AG54=""),"",ROUND(AE54+AG54,2))</f>
        <v/>
      </c>
      <c r="BM54" s="765"/>
      <c r="BN54" s="763" t="str">
        <f t="shared" si="4"/>
        <v/>
      </c>
      <c r="BO54" s="763" t="str">
        <f>IFERROR(IF(BM54 &lt;&gt; "", BM54, BL54) / M02S04F06 / AO54, "")</f>
        <v/>
      </c>
      <c r="BP54" s="769"/>
      <c r="BQ54" s="767" t="str">
        <f t="shared" ref="BQ54" si="146">IFERROR(IF(AI54="per ton", ROUND(V54*AM54, 2),
IF(AND(ISNUMBER(SEARCH("Air-Cooled Chiller",C54)),AI54="$/ton/IPLV"), ROUND((12/L54-12/N54)*V54*AM54, 2),
ROUND(ABS(N54-L54)*V54*AM54, 2))), "")</f>
        <v/>
      </c>
      <c r="BR54" s="767"/>
      <c r="BS54" s="765"/>
      <c r="BT54" s="765"/>
      <c r="BU54" s="1238" t="str">
        <f t="shared" ref="BU54" si="147">IFERROR(IF(BP54="",IF(AND(AO54&gt;0, AR54 &lt; BQ54), "100% Total Cost", ""), ""), "")</f>
        <v/>
      </c>
      <c r="BV54" s="767"/>
      <c r="BW54" s="1238" t="str">
        <f>IFERROR(IF(OR(C54="",N54="",V54="",AA54="",T54="",AE54="",AG54=""),"",IF(BY54&lt;&gt;"", SPILLOVERNUMBER, INDEX(CLHVAC[Measure Number],MATCH(C54,CLHVAC[Measure Name],0)))),"Err")</f>
        <v/>
      </c>
      <c r="BX54" s="757" t="str" cm="1">
        <f t="array" ref="BX54">IFERROR(INDEX(_xlfn.SWITCH(Program_Banner,"Business Energy Savings",CLHVAC[Primary Key WBE],"Small Business / Non-Profit",CLHVAC[Primary Key HTRB],0),MATCH(BW54,CLHVAC[Measure Number],0)),"")</f>
        <v/>
      </c>
      <c r="BY54" s="1253" t="str">
        <f>IFERROR(
IF(OR(C54="",N54="",T54="",V54="",AA54="",AE54="",AG54=""),
"",
IF(BP54&gt;0,"",IF(OR(AND(ISNUMBER(SEARCH("kW/ton", J54)),OR(L54&lt;N54,R54&lt;T54)),AND(NOT(ISNUMBER(SEARCH("kW/ton", J54))),OR(L54&gt;N54,R54&gt;T54))),
"Must Improve Efficiency",
IFERROR(IF(EXPIRATION&lt;&gt;"",PROJSTATEXP,
IF(BP54&gt;0,"",
IF(OR(M02S04F06="",M02S04F06="Select Rate Code",M02S04F06=0),MEASURERATE,
IF(M02S04F22="", SPACECONDTYPE,
IF(PAYCUSE&lt;PAYBACKREQ,PROJECTSTATPAYBACK,
IF(BN54&lt;CBREQ,PROJECTSTATCB,"")))))),MEASURESUBMIT)))),"")</f>
        <v/>
      </c>
      <c r="BZ54" s="1247" t="str">
        <f>IFERROR(IF(INDEX(CLHVAC[Eff Unit 3],MATCH(C54,CLHVAC[Measure Name],0))="","",INDEX(CLHVAC[Eff Unit 3],MATCH(C54,CLHVAC[Measure Name],0))),"")</f>
        <v/>
      </c>
      <c r="CA54" s="1249" t="str">
        <f>IFERROR(IF(INDEX(CLHVAC[Base Efficiency 3],MATCH(C54,CLHVAC[Measure Name],0))="","",INDEX(CLHVAC[Base Efficiency 3],MATCH(C54,CLHVAC[Measure Name],0))),"")</f>
        <v/>
      </c>
      <c r="CB54" s="1251" t="str">
        <f t="shared" ref="CB54" si="148">IFERROR(IF(ISNUMBER(SEARCH("Air-Cooled Chiller",$C54)),12/N54,""),"")</f>
        <v/>
      </c>
      <c r="CC54" s="1252"/>
    </row>
    <row r="55" spans="2:81" ht="15.95" customHeight="1">
      <c r="B55" s="785"/>
      <c r="C55" s="793"/>
      <c r="D55" s="795"/>
      <c r="E55" s="795"/>
      <c r="F55" s="795"/>
      <c r="G55" s="795"/>
      <c r="H55" s="795"/>
      <c r="I55" s="795"/>
      <c r="J55" s="934"/>
      <c r="K55" s="935"/>
      <c r="L55" s="930"/>
      <c r="M55" s="931"/>
      <c r="N55" s="915"/>
      <c r="O55" s="916"/>
      <c r="P55" s="934"/>
      <c r="Q55" s="935"/>
      <c r="R55" s="930"/>
      <c r="S55" s="931"/>
      <c r="T55" s="917"/>
      <c r="U55" s="918"/>
      <c r="V55" s="926"/>
      <c r="W55" s="927"/>
      <c r="X55" s="793"/>
      <c r="Y55" s="795"/>
      <c r="Z55" s="794"/>
      <c r="AA55" s="904"/>
      <c r="AB55" s="905"/>
      <c r="AC55" s="905"/>
      <c r="AD55" s="906"/>
      <c r="AE55" s="809"/>
      <c r="AF55" s="810"/>
      <c r="AG55" s="810"/>
      <c r="AH55" s="812"/>
      <c r="AI55" s="921"/>
      <c r="AJ55" s="921"/>
      <c r="AK55" s="921"/>
      <c r="AL55" s="922"/>
      <c r="AM55" s="816"/>
      <c r="AN55" s="816"/>
      <c r="AO55" s="818"/>
      <c r="AP55" s="818"/>
      <c r="AQ55" s="818"/>
      <c r="AR55" s="841"/>
      <c r="AS55" s="841"/>
      <c r="AT55" s="841"/>
      <c r="AU55" s="841"/>
      <c r="AV55" s="17"/>
      <c r="AX55" s="1243"/>
      <c r="AY55" s="760"/>
      <c r="AZ55" s="760"/>
      <c r="BA55" s="920"/>
      <c r="BB55" s="920"/>
      <c r="BC55" s="1243"/>
      <c r="BD55" s="1239"/>
      <c r="BE55" s="776"/>
      <c r="BF55" s="776"/>
      <c r="BG55" s="776"/>
      <c r="BH55" s="1241"/>
      <c r="BI55" s="1241"/>
      <c r="BJ55" s="778"/>
      <c r="BK55" s="768"/>
      <c r="BL55" s="768"/>
      <c r="BM55" s="766"/>
      <c r="BN55" s="764"/>
      <c r="BO55" s="764"/>
      <c r="BP55" s="770"/>
      <c r="BQ55" s="768"/>
      <c r="BR55" s="768"/>
      <c r="BS55" s="766"/>
      <c r="BT55" s="766"/>
      <c r="BU55" s="1239"/>
      <c r="BV55" s="768"/>
      <c r="BW55" s="1239"/>
      <c r="BX55" s="758"/>
      <c r="BY55" s="1254"/>
      <c r="BZ55" s="1248"/>
      <c r="CA55" s="1250"/>
      <c r="CB55" s="913"/>
      <c r="CC55" s="909"/>
    </row>
    <row r="56" spans="2:81" ht="15.95" customHeight="1">
      <c r="B56" s="785">
        <v>20</v>
      </c>
      <c r="C56" s="825"/>
      <c r="D56" s="826"/>
      <c r="E56" s="826"/>
      <c r="F56" s="826"/>
      <c r="G56" s="826"/>
      <c r="H56" s="826"/>
      <c r="I56" s="826"/>
      <c r="J56" s="932" t="str">
        <f>IF(C56="","",INDEX(CLHVAC[Eff Unit 1],MATCH(C56,CLHVAC[Measure Name],0)))</f>
        <v/>
      </c>
      <c r="K56" s="933"/>
      <c r="L56" s="928" t="str">
        <f>IF(C56="","",INDEX(CLHVAC[Base Efficiency 1],MATCH(C56,CLHVAC[Measure Name],0)))</f>
        <v/>
      </c>
      <c r="M56" s="929"/>
      <c r="N56" s="915"/>
      <c r="O56" s="916"/>
      <c r="P56" s="932" t="str">
        <f>IF(C56="","",INDEX(CLHVAC[Eff Unit 2],MATCH(C56,CLHVAC[Measure Name],0)))</f>
        <v/>
      </c>
      <c r="Q56" s="933"/>
      <c r="R56" s="928" t="str">
        <f>IF(C56="","",INDEX(CLHVAC[Base Efficiency 2],MATCH(C56,CLHVAC[Measure Name],0)))</f>
        <v/>
      </c>
      <c r="S56" s="929"/>
      <c r="T56" s="917" t="str">
        <f>IF(AND(ISNUMBER(SEARCH("DX",C56)),ISNUMBER(SEARCH("&lt;65 kbtu",C56)),N56&lt;&gt;""),1.12*N56-0.02*N56^2,IF(AND(ISNUMBER(SEARCH("PTAC",C56)),N56&lt;&gt;""),1,""))</f>
        <v/>
      </c>
      <c r="U56" s="918"/>
      <c r="V56" s="926"/>
      <c r="W56" s="927"/>
      <c r="X56" s="825"/>
      <c r="Y56" s="826"/>
      <c r="Z56" s="827"/>
      <c r="AA56" s="904"/>
      <c r="AB56" s="905"/>
      <c r="AC56" s="905"/>
      <c r="AD56" s="906"/>
      <c r="AE56" s="809"/>
      <c r="AF56" s="810"/>
      <c r="AG56" s="810"/>
      <c r="AH56" s="812"/>
      <c r="AI56" s="948" t="str">
        <f>IF(C56="","",INDEX(CLHVAC[Current Unit],MATCH(C56,CLHVAC[Measure Name],0)))</f>
        <v/>
      </c>
      <c r="AJ56" s="948"/>
      <c r="AK56" s="948"/>
      <c r="AL56" s="949"/>
      <c r="AM56" s="814" t="str" cm="1">
        <f t="array" ref="AM56">IFERROR(IF(C56="","",INDEX(IF(AND(ACTIVEBONUS = TRUE,INDEX(CLHVAC[Bonus Incentive],MATCH(C56,CLHVAC[Measure Name],0))&lt;&gt; ""),CLHVAC[Bonus Incentive],_xlfn.SWITCH(Program_Banner,"Business Energy Savings",CLHVAC[BESP Incentive],"Small Business / Non-Profit",CLHVAC[SBNP Incentive],0)),MATCH(C56,CLHVAC[Measure Name],0))),"")</f>
        <v/>
      </c>
      <c r="AN56" s="814"/>
      <c r="AO56" s="817" t="str">
        <f t="shared" ref="AO56" si="149">IFERROR(IF(OR(C56="",N56="",T56="",V56="",AA56="",AE56="",AG56=""),"",IF(BE56&lt;=0, 0, BE56)),"")</f>
        <v/>
      </c>
      <c r="AP56" s="817"/>
      <c r="AQ56" s="817"/>
      <c r="AR56" s="840" t="str">
        <f>IFERROR(IF(OR(C56="",N56="",V56="",AA56="",T56="",AE56="",AG56=""),"",IF(BY56&lt;&gt;"",BY56,IF(BP56&gt;0,BP56,ROUND(IF(AO56&lt;=0,0,MIN(BL56,BQ56)), 2)))), "")</f>
        <v/>
      </c>
      <c r="AS56" s="840"/>
      <c r="AT56" s="840"/>
      <c r="AU56" s="840"/>
      <c r="AV56" s="17"/>
      <c r="AX56" s="1242" t="str">
        <f>IFERROR(IF(OR(C56="",N56="",V56="",AA56="",T56="",AE56="",AG56=""),"",INDEX(CLHVAC[Current Unit],MATCH(C56,CLHVAC[Measure Name],0))),"Err")</f>
        <v/>
      </c>
      <c r="AY56" s="759" t="str">
        <f t="shared" ref="AY56" si="150">IF(OR(L56="", N56="", V56=""), "", ABS(N56-L56)*V56)</f>
        <v/>
      </c>
      <c r="AZ56" s="759" t="str">
        <f t="shared" ref="AZ56" si="151">IF(OR(L56="", N56="", V56=""), "", ABS(N56-L56)*V56)</f>
        <v/>
      </c>
      <c r="BA56" s="919" t="str">
        <f>IF(C56&lt;&gt;"", _xlfn.LET(
_xlpm.Tons_Cool, V56, _xlpm.PLC_Base, L56, _xlpm.Tons_Heat, CC56, _xlpm.Other_Base, R56,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(12/_xlpm.PLC_Base)*_xlpm.EFLH_Cool,
IF(ISNUMBER(SEARCH("Water", C56)),
_xlpm.Tons_Cool * (_xlpm.PLC_Base) * _xlpm.EFLH_Cool,
" "
)),4),
_xlpm.kWhHeat,
IF(
_xlpm.ElecHeat=1,
ROUND(
IF(OR(ISNUMBER(SEARCH("DX", C56)),ISNUMBER(SEARCH("PTAC", C56)), ISNUMBER(SEARCH("Air-Cooled Chiller", C56)), ISNUMBER(SEARCH("Water", C56)),
ISNUMBER(SEARCH("VRF", C56))),
0,
IF(
OR(ISNUMBER(SEARCH("ASHP", C56)), ISNUMBER(SEARCH("PTHP", C56))),
_xlpm.Tons_Heat * (1/_xlpm.Other_Base) * _xlpm.EFLH_Heat,
" "
)),4),
0
),
IFERROR(_xlpm.kWhCool + _xlpm.kWhHeat, "Measure Not Specified.")
), "")</f>
        <v/>
      </c>
      <c r="BB56" s="919" t="str">
        <f>IF(C56&lt;&gt;"", _xlfn.LET(
_xlpm.Tons_Cool, V56,_xlpm.PLC_Eff, N56, _xlpm.Tons_Heat, CC56, _xlpm.Other_Eff, T56,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(12/_xlpm.PLC_Eff)*_xlpm.EFLH_Cool,
IF(ISNUMBER(SEARCH("Water", C56)),
_xlpm.Tons_Cool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(1/_xlpm.Other_Eff) * _xlpm.EFLH_Heat,
" "
)),4),
0
),
IFERROR(_xlpm.kWhCool + _xlpm.kWhHeat, "Measure Not Specified.")
), "")</f>
        <v/>
      </c>
      <c r="BC56" s="1242" t="str">
        <f>IFERROR(IF(OR(C56="",N56="",V56="",AA56="",T56="",AE56="",AG56=""),"",INDEX(CLHVAC[End Use],MATCH(C56,CLHVAC[Measure Name],0))),"Err")</f>
        <v/>
      </c>
      <c r="BD56" s="1238" t="str">
        <f>IFERROR(IF(OR(C56="",N56="",V56="",AA56="",T56="",AE56="",AG56=""),"",INDEX(CLHVAC[Reporting Methodology],MATCH(C56,CLHVAC[Measure Name],0))),"Err")</f>
        <v/>
      </c>
      <c r="BE56" s="775" t="str">
        <f t="shared" si="2"/>
        <v/>
      </c>
      <c r="BF56" s="775" t="str">
        <f t="shared" ref="BF56" si="152">IF(C56&lt;&gt;"", _xlfn.LET(
_xlpm.Tons, V56, _xlpm.PCF, 0.913,
IF(OR(ISNUMBER(SEARCH("DX", C56)), ISNUMBER(SEARCH("Air-Cooled Chiller", C56)), ISNUMBER(SEARCH("VRF", C56))),
IFERROR(_xlpm.Tons * (12/R56 - 12/T56) * _xlpm.PCF, 0),
IF(ISNUMBER(SEARCH("Water", C56)),
IFERROR(_xlpm.Tons * (R56-T56) * _xlpm.PCF, 0),
IF(ISNUMBER(SEARCH("ASHP", C56)),
IFERROR(_xlpm.Tons * (12/CA56 - 12/CB56) * _xlpm.PCF, 0),
IF(OR(ISNUMBER(SEARCH("PTAC", C56)), ISNUMBER(SEARCH("PTHP", C56))),
IFERROR(_xlpm.Tons * (12/L56 - 12/N56) * _xlpm.PCF, 0),
"Measure Not Specified."))))), "")</f>
        <v/>
      </c>
      <c r="BG56" s="775"/>
      <c r="BH56" s="1240"/>
      <c r="BI56" s="1240"/>
      <c r="BJ56" s="777" t="str">
        <f>IFERROR(INDEX(CLHVAC[Measure Life (Years)],MATCH(C56,CLHVAC[Measure Name],0)),"")</f>
        <v/>
      </c>
      <c r="BK56" s="767" t="str">
        <f>IFERROR(IF(OR(C56="",N56="",T56="",V56="",AA56="",AE56="",AG56=""),"",
ROUND(((1+ELOSS)*((BE56*INDEX(ELECCB[NPV AEC $/kWh],MATCH(BJ56,ELECCB[Year Number],1)))+(BF56*INDEX(ELECCB[NPV ACC $/kW],MATCH(BJ56,ELECCB[Year Number],1))))),2)),0)</f>
        <v/>
      </c>
      <c r="BL56" s="767" t="str">
        <f t="shared" ref="BL56" si="153">IF(OR(C56="",N56="",V56="",AA56="",T56="",AE56="",AG56=""),"",ROUND(AE56+AG56,2))</f>
        <v/>
      </c>
      <c r="BM56" s="765"/>
      <c r="BN56" s="763" t="str">
        <f t="shared" si="4"/>
        <v/>
      </c>
      <c r="BO56" s="763" t="str">
        <f>IFERROR(IF(BM56 &lt;&gt; "", BM56, BL56) / M02S04F06 / AO56, "")</f>
        <v/>
      </c>
      <c r="BP56" s="769"/>
      <c r="BQ56" s="767" t="str">
        <f t="shared" ref="BQ56" si="154">IFERROR(IF(AI56="per ton", ROUND(V56*AM56, 2),
IF(AND(ISNUMBER(SEARCH("Air-Cooled Chiller",C56)),AI56="$/ton/IPLV"), ROUND((12/L56-12/N56)*V56*AM56, 2),
ROUND(ABS(N56-L56)*V56*AM56, 2))), "")</f>
        <v/>
      </c>
      <c r="BR56" s="767"/>
      <c r="BS56" s="765"/>
      <c r="BT56" s="765"/>
      <c r="BU56" s="1238" t="str">
        <f t="shared" ref="BU56" si="155">IFERROR(IF(BP56="",IF(AND(AO56&gt;0, AR56 &lt; BQ56), "100% Total Cost", ""), ""), "")</f>
        <v/>
      </c>
      <c r="BV56" s="767"/>
      <c r="BW56" s="1238" t="str">
        <f>IFERROR(IF(OR(C56="",N56="",V56="",AA56="",T56="",AE56="",AG56=""),"",IF(BY56&lt;&gt;"", SPILLOVERNUMBER, INDEX(CLHVAC[Measure Number],MATCH(C56,CLHVAC[Measure Name],0)))),"Err")</f>
        <v/>
      </c>
      <c r="BX56" s="757" t="str" cm="1">
        <f t="array" ref="BX56">IFERROR(INDEX(_xlfn.SWITCH(Program_Banner,"Business Energy Savings",CLHVAC[Primary Key WBE],"Small Business / Non-Profit",CLHVAC[Primary Key HTRB],0),MATCH(BW56,CLHVAC[Measure Number],0)),"")</f>
        <v/>
      </c>
      <c r="BY56" s="1253" t="str">
        <f>IFERROR(
IF(OR(C56="",N56="",T56="",V56="",AA56="",AE56="",AG56=""),
"",
IF(BP56&gt;0,"",IF(OR(AND(ISNUMBER(SEARCH("kW/ton", J56)),OR(L56&lt;N56,R56&lt;T56)),AND(NOT(ISNUMBER(SEARCH("kW/ton", J56))),OR(L56&gt;N56,R56&gt;T56))),
"Must Improve Efficiency",
IFERROR(IF(EXPIRATION&lt;&gt;"",PROJSTATEXP,
IF(BP56&gt;0,"",
IF(OR(M02S04F06="",M02S04F06="Select Rate Code",M02S04F06=0),MEASURERATE,
IF(M02S04F22="", SPACECONDTYPE,
IF(PAYCUSE&lt;PAYBACKREQ,PROJECTSTATPAYBACK,
IF(BN56&lt;CBREQ,PROJECTSTATCB,"")))))),MEASURESUBMIT)))),"")</f>
        <v/>
      </c>
      <c r="BZ56" s="1247" t="str">
        <f>IFERROR(IF(INDEX(CLHVAC[Eff Unit 3],MATCH(C56,CLHVAC[Measure Name],0))="","",INDEX(CLHVAC[Eff Unit 3],MATCH(C56,CLHVAC[Measure Name],0))),"")</f>
        <v/>
      </c>
      <c r="CA56" s="1249" t="str">
        <f>IFERROR(IF(INDEX(CLHVAC[Base Efficiency 3],MATCH(C56,CLHVAC[Measure Name],0))="","",INDEX(CLHVAC[Base Efficiency 3],MATCH(C56,CLHVAC[Measure Name],0))),"")</f>
        <v/>
      </c>
      <c r="CB56" s="1251" t="str">
        <f t="shared" ref="CB56" si="156">IFERROR(IF(ISNUMBER(SEARCH("Air-Cooled Chiller",$C56)),12/N56,""),"")</f>
        <v/>
      </c>
      <c r="CC56" s="1252"/>
    </row>
    <row r="57" spans="2:81" ht="15.95" customHeight="1">
      <c r="B57" s="785"/>
      <c r="C57" s="793"/>
      <c r="D57" s="795"/>
      <c r="E57" s="795"/>
      <c r="F57" s="795"/>
      <c r="G57" s="795"/>
      <c r="H57" s="795"/>
      <c r="I57" s="795"/>
      <c r="J57" s="934"/>
      <c r="K57" s="935"/>
      <c r="L57" s="930"/>
      <c r="M57" s="931"/>
      <c r="N57" s="915"/>
      <c r="O57" s="916"/>
      <c r="P57" s="934"/>
      <c r="Q57" s="935"/>
      <c r="R57" s="930"/>
      <c r="S57" s="931"/>
      <c r="T57" s="917"/>
      <c r="U57" s="918"/>
      <c r="V57" s="926"/>
      <c r="W57" s="927"/>
      <c r="X57" s="793"/>
      <c r="Y57" s="795"/>
      <c r="Z57" s="794"/>
      <c r="AA57" s="904"/>
      <c r="AB57" s="905"/>
      <c r="AC57" s="905"/>
      <c r="AD57" s="906"/>
      <c r="AE57" s="809"/>
      <c r="AF57" s="810"/>
      <c r="AG57" s="810"/>
      <c r="AH57" s="812"/>
      <c r="AI57" s="921"/>
      <c r="AJ57" s="921"/>
      <c r="AK57" s="921"/>
      <c r="AL57" s="922"/>
      <c r="AM57" s="816"/>
      <c r="AN57" s="816"/>
      <c r="AO57" s="818"/>
      <c r="AP57" s="818"/>
      <c r="AQ57" s="818"/>
      <c r="AR57" s="841"/>
      <c r="AS57" s="841"/>
      <c r="AT57" s="841"/>
      <c r="AU57" s="841"/>
      <c r="AV57" s="17"/>
      <c r="AX57" s="1243"/>
      <c r="AY57" s="760"/>
      <c r="AZ57" s="760"/>
      <c r="BA57" s="920"/>
      <c r="BB57" s="920"/>
      <c r="BC57" s="1243"/>
      <c r="BD57" s="1239"/>
      <c r="BE57" s="776"/>
      <c r="BF57" s="776"/>
      <c r="BG57" s="776"/>
      <c r="BH57" s="1241"/>
      <c r="BI57" s="1241"/>
      <c r="BJ57" s="778"/>
      <c r="BK57" s="768"/>
      <c r="BL57" s="768"/>
      <c r="BM57" s="766"/>
      <c r="BN57" s="764"/>
      <c r="BO57" s="764"/>
      <c r="BP57" s="770"/>
      <c r="BQ57" s="768"/>
      <c r="BR57" s="768"/>
      <c r="BS57" s="766"/>
      <c r="BT57" s="766"/>
      <c r="BU57" s="1239"/>
      <c r="BV57" s="768"/>
      <c r="BW57" s="1239"/>
      <c r="BX57" s="758"/>
      <c r="BY57" s="1254"/>
      <c r="BZ57" s="1248"/>
      <c r="CA57" s="1250"/>
      <c r="CB57" s="913"/>
      <c r="CC57" s="909"/>
    </row>
    <row r="58" spans="2:81" ht="15.95" customHeight="1">
      <c r="B58" s="785">
        <v>21</v>
      </c>
      <c r="C58" s="825"/>
      <c r="D58" s="826"/>
      <c r="E58" s="826"/>
      <c r="F58" s="826"/>
      <c r="G58" s="826"/>
      <c r="H58" s="826"/>
      <c r="I58" s="826"/>
      <c r="J58" s="932" t="str">
        <f>IF(C58="","",INDEX(CLHVAC[Eff Unit 1],MATCH(C58,CLHVAC[Measure Name],0)))</f>
        <v/>
      </c>
      <c r="K58" s="933"/>
      <c r="L58" s="928" t="str">
        <f>IF(C58="","",INDEX(CLHVAC[Base Efficiency 1],MATCH(C58,CLHVAC[Measure Name],0)))</f>
        <v/>
      </c>
      <c r="M58" s="929"/>
      <c r="N58" s="915"/>
      <c r="O58" s="916"/>
      <c r="P58" s="932" t="str">
        <f>IF(C58="","",INDEX(CLHVAC[Eff Unit 2],MATCH(C58,CLHVAC[Measure Name],0)))</f>
        <v/>
      </c>
      <c r="Q58" s="933"/>
      <c r="R58" s="928" t="str">
        <f>IF(C58="","",INDEX(CLHVAC[Base Efficiency 2],MATCH(C58,CLHVAC[Measure Name],0)))</f>
        <v/>
      </c>
      <c r="S58" s="929"/>
      <c r="T58" s="917" t="str">
        <f>IF(AND(ISNUMBER(SEARCH("DX",C58)),ISNUMBER(SEARCH("&lt;65 kbtu",C58)),N58&lt;&gt;""),1.12*N58-0.02*N58^2,IF(AND(ISNUMBER(SEARCH("PTAC",C58)),N58&lt;&gt;""),1,""))</f>
        <v/>
      </c>
      <c r="U58" s="918"/>
      <c r="V58" s="926"/>
      <c r="W58" s="927"/>
      <c r="X58" s="825"/>
      <c r="Y58" s="826"/>
      <c r="Z58" s="827"/>
      <c r="AA58" s="904"/>
      <c r="AB58" s="905"/>
      <c r="AC58" s="905"/>
      <c r="AD58" s="906"/>
      <c r="AE58" s="809"/>
      <c r="AF58" s="810"/>
      <c r="AG58" s="810"/>
      <c r="AH58" s="812"/>
      <c r="AI58" s="948" t="str">
        <f>IF(C58="","",INDEX(CLHVAC[Current Unit],MATCH(C58,CLHVAC[Measure Name],0)))</f>
        <v/>
      </c>
      <c r="AJ58" s="948"/>
      <c r="AK58" s="948"/>
      <c r="AL58" s="949"/>
      <c r="AM58" s="814" t="str" cm="1">
        <f t="array" ref="AM58">IFERROR(IF(C58="","",INDEX(IF(AND(ACTIVEBONUS = TRUE,INDEX(CLHVAC[Bonus Incentive],MATCH(C58,CLHVAC[Measure Name],0))&lt;&gt; ""),CLHVAC[Bonus Incentive],_xlfn.SWITCH(Program_Banner,"Business Energy Savings",CLHVAC[BESP Incentive],"Small Business / Non-Profit",CLHVAC[SBNP Incentive],0)),MATCH(C58,CLHVAC[Measure Name],0))),"")</f>
        <v/>
      </c>
      <c r="AN58" s="814"/>
      <c r="AO58" s="817" t="str">
        <f t="shared" ref="AO58" si="157">IFERROR(IF(OR(C58="",N58="",T58="",V58="",AA58="",AE58="",AG58=""),"",IF(BE58&lt;=0, 0, BE58)),"")</f>
        <v/>
      </c>
      <c r="AP58" s="817"/>
      <c r="AQ58" s="817"/>
      <c r="AR58" s="840" t="str">
        <f>IFERROR(IF(OR(C58="",N58="",V58="",AA58="",T58="",AE58="",AG58=""),"",IF(BY58&lt;&gt;"",BY58,IF(BP58&gt;0,BP58,ROUND(IF(AO58&lt;=0,0,MIN(BL58,BQ58)), 2)))), "")</f>
        <v/>
      </c>
      <c r="AS58" s="840"/>
      <c r="AT58" s="840"/>
      <c r="AU58" s="840"/>
      <c r="AV58" s="17"/>
      <c r="AX58" s="1242" t="str">
        <f>IFERROR(IF(OR(C58="",N58="",V58="",AA58="",T58="",AE58="",AG58=""),"",INDEX(CLHVAC[Current Unit],MATCH(C58,CLHVAC[Measure Name],0))),"Err")</f>
        <v/>
      </c>
      <c r="AY58" s="759" t="str">
        <f t="shared" ref="AY58" si="158">IF(OR(L58="", N58="", V58=""), "", ABS(N58-L58)*V58)</f>
        <v/>
      </c>
      <c r="AZ58" s="759" t="str">
        <f t="shared" ref="AZ58" si="159">IF(OR(L58="", N58="", V58=""), "", ABS(N58-L58)*V58)</f>
        <v/>
      </c>
      <c r="BA58" s="919" t="str">
        <f>IF(C58&lt;&gt;"", _xlfn.LET(
_xlpm.Tons_Cool, V58, _xlpm.PLC_Base, L58, _xlpm.Tons_Heat, CC58, _xlpm.Other_Base, R58,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(12/_xlpm.PLC_Base)*_xlpm.EFLH_Cool,
IF(ISNUMBER(SEARCH("Water", C58)),
_xlpm.Tons_Cool * (_xlpm.PLC_Base) * _xlpm.EFLH_Cool,
" "
)),4),
_xlpm.kWhHeat,
IF(
_xlpm.ElecHeat=1,
ROUND(
IF(OR(ISNUMBER(SEARCH("DX", C58)),ISNUMBER(SEARCH("PTAC", C58)), ISNUMBER(SEARCH("Air-Cooled Chiller", C58)), ISNUMBER(SEARCH("Water", C58)),
ISNUMBER(SEARCH("VRF", C58))),
0,
IF(
OR(ISNUMBER(SEARCH("ASHP", C58)), ISNUMBER(SEARCH("PTHP", C58))),
_xlpm.Tons_Heat * (1/_xlpm.Other_Base) * _xlpm.EFLH_Heat,
" "
)),4),
0
),
IFERROR(_xlpm.kWhCool + _xlpm.kWhHeat, "Measure Not Specified.")
), "")</f>
        <v/>
      </c>
      <c r="BB58" s="919" t="str">
        <f>IF(C58&lt;&gt;"", _xlfn.LET(
_xlpm.Tons_Cool, V58,_xlpm.PLC_Eff, N58, _xlpm.Tons_Heat, CC58, _xlpm.Other_Eff, T58,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(12/_xlpm.PLC_Eff)*_xlpm.EFLH_Cool,
IF(ISNUMBER(SEARCH("Water", C58)),
_xlpm.Tons_Cool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(1/_xlpm.Other_Eff) * _xlpm.EFLH_Heat,
" "
)),4),
0
),
IFERROR(_xlpm.kWhCool + _xlpm.kWhHeat, "Measure Not Specified.")
), "")</f>
        <v/>
      </c>
      <c r="BC58" s="1242" t="str">
        <f>IFERROR(IF(OR(C58="",N58="",V58="",AA58="",T58="",AE58="",AG58=""),"",INDEX(CLHVAC[End Use],MATCH(C58,CLHVAC[Measure Name],0))),"Err")</f>
        <v/>
      </c>
      <c r="BD58" s="1238" t="str">
        <f>IFERROR(IF(OR(C58="",N58="",V58="",AA58="",T58="",AE58="",AG58=""),"",INDEX(CLHVAC[Reporting Methodology],MATCH(C58,CLHVAC[Measure Name],0))),"Err")</f>
        <v/>
      </c>
      <c r="BE58" s="775" t="str">
        <f t="shared" si="2"/>
        <v/>
      </c>
      <c r="BF58" s="775" t="str">
        <f t="shared" ref="BF58" si="160">IF(C58&lt;&gt;"", _xlfn.LET(
_xlpm.Tons, V58, _xlpm.PCF, 0.913,
IF(OR(ISNUMBER(SEARCH("DX", C58)), ISNUMBER(SEARCH("Air-Cooled Chiller", C58)), ISNUMBER(SEARCH("VRF", C58))),
IFERROR(_xlpm.Tons * (12/R58 - 12/T58) * _xlpm.PCF, 0),
IF(ISNUMBER(SEARCH("Water", C58)),
IFERROR(_xlpm.Tons * (R58-T58) * _xlpm.PCF, 0),
IF(ISNUMBER(SEARCH("ASHP", C58)),
IFERROR(_xlpm.Tons * (12/CA58 - 12/CB58) * _xlpm.PCF, 0),
IF(OR(ISNUMBER(SEARCH("PTAC", C58)), ISNUMBER(SEARCH("PTHP", C58))),
IFERROR(_xlpm.Tons * (12/L58 - 12/N58) * _xlpm.PCF, 0),
"Measure Not Specified."))))), "")</f>
        <v/>
      </c>
      <c r="BG58" s="775"/>
      <c r="BH58" s="1240"/>
      <c r="BI58" s="1240"/>
      <c r="BJ58" s="777" t="str">
        <f>IFERROR(INDEX(CLHVAC[Measure Life (Years)],MATCH(C58,CLHVAC[Measure Name],0)),"")</f>
        <v/>
      </c>
      <c r="BK58" s="767" t="str">
        <f>IFERROR(IF(OR(C58="",N58="",T58="",V58="",AA58="",AE58="",AG58=""),"",
ROUND(((1+ELOSS)*((BE58*INDEX(ELECCB[NPV AEC $/kWh],MATCH(BJ58,ELECCB[Year Number],1)))+(BF58*INDEX(ELECCB[NPV ACC $/kW],MATCH(BJ58,ELECCB[Year Number],1))))),2)),0)</f>
        <v/>
      </c>
      <c r="BL58" s="767" t="str">
        <f t="shared" ref="BL58" si="161">IF(OR(C58="",N58="",V58="",AA58="",T58="",AE58="",AG58=""),"",ROUND(AE58+AG58,2))</f>
        <v/>
      </c>
      <c r="BM58" s="765"/>
      <c r="BN58" s="763" t="str">
        <f t="shared" si="4"/>
        <v/>
      </c>
      <c r="BO58" s="763" t="str">
        <f>IFERROR(IF(BM58 &lt;&gt; "", BM58, BL58) / M02S04F06 / AO58, "")</f>
        <v/>
      </c>
      <c r="BP58" s="769"/>
      <c r="BQ58" s="767" t="str">
        <f t="shared" ref="BQ58" si="162">IFERROR(IF(AI58="per ton", ROUND(V58*AM58, 2),
IF(AND(ISNUMBER(SEARCH("Air-Cooled Chiller",C58)),AI58="$/ton/IPLV"), ROUND((12/L58-12/N58)*V58*AM58, 2),
ROUND(ABS(N58-L58)*V58*AM58, 2))), "")</f>
        <v/>
      </c>
      <c r="BR58" s="767"/>
      <c r="BS58" s="765"/>
      <c r="BT58" s="765"/>
      <c r="BU58" s="1238" t="str">
        <f t="shared" ref="BU58" si="163">IFERROR(IF(BP58="",IF(AND(AO58&gt;0, AR58 &lt; BQ58), "100% Total Cost", ""), ""), "")</f>
        <v/>
      </c>
      <c r="BV58" s="767"/>
      <c r="BW58" s="1238" t="str">
        <f>IFERROR(IF(OR(C58="",N58="",V58="",AA58="",T58="",AE58="",AG58=""),"",IF(BY58&lt;&gt;"", SPILLOVERNUMBER, INDEX(CLHVAC[Measure Number],MATCH(C58,CLHVAC[Measure Name],0)))),"Err")</f>
        <v/>
      </c>
      <c r="BX58" s="757" t="str" cm="1">
        <f t="array" ref="BX58">IFERROR(INDEX(_xlfn.SWITCH(Program_Banner,"Business Energy Savings",CLHVAC[Primary Key WBE],"Small Business / Non-Profit",CLHVAC[Primary Key HTRB],0),MATCH(BW58,CLHVAC[Measure Number],0)),"")</f>
        <v/>
      </c>
      <c r="BY58" s="1253" t="str">
        <f>IFERROR(
IF(OR(C58="",N58="",T58="",V58="",AA58="",AE58="",AG58=""),
"",
IF(BP58&gt;0,"",IF(OR(AND(ISNUMBER(SEARCH("kW/ton", J58)),OR(L58&lt;N58,R58&lt;T58)),AND(NOT(ISNUMBER(SEARCH("kW/ton", J58))),OR(L58&gt;N58,R58&gt;T58))),
"Must Improve Efficiency",
IFERROR(IF(EXPIRATION&lt;&gt;"",PROJSTATEXP,
IF(BP58&gt;0,"",
IF(OR(M02S04F06="",M02S04F06="Select Rate Code",M02S04F06=0),MEASURERATE,
IF(M02S04F22="", SPACECONDTYPE,
IF(PAYCUSE&lt;PAYBACKREQ,PROJECTSTATPAYBACK,
IF(BN58&lt;CBREQ,PROJECTSTATCB,"")))))),MEASURESUBMIT)))),"")</f>
        <v/>
      </c>
      <c r="BZ58" s="1247" t="str">
        <f>IFERROR(IF(INDEX(CLHVAC[Eff Unit 3],MATCH(C58,CLHVAC[Measure Name],0))="","",INDEX(CLHVAC[Eff Unit 3],MATCH(C58,CLHVAC[Measure Name],0))),"")</f>
        <v/>
      </c>
      <c r="CA58" s="1249" t="str">
        <f>IFERROR(IF(INDEX(CLHVAC[Base Efficiency 3],MATCH(C58,CLHVAC[Measure Name],0))="","",INDEX(CLHVAC[Base Efficiency 3],MATCH(C58,CLHVAC[Measure Name],0))),"")</f>
        <v/>
      </c>
      <c r="CB58" s="1251" t="str">
        <f t="shared" ref="CB58" si="164">IFERROR(IF(ISNUMBER(SEARCH("Air-Cooled Chiller",$C58)),12/N58,""),"")</f>
        <v/>
      </c>
      <c r="CC58" s="1252"/>
    </row>
    <row r="59" spans="2:81" ht="15.95" customHeight="1">
      <c r="B59" s="785"/>
      <c r="C59" s="793"/>
      <c r="D59" s="795"/>
      <c r="E59" s="795"/>
      <c r="F59" s="795"/>
      <c r="G59" s="795"/>
      <c r="H59" s="795"/>
      <c r="I59" s="795"/>
      <c r="J59" s="934"/>
      <c r="K59" s="935"/>
      <c r="L59" s="930"/>
      <c r="M59" s="931"/>
      <c r="N59" s="915"/>
      <c r="O59" s="916"/>
      <c r="P59" s="934"/>
      <c r="Q59" s="935"/>
      <c r="R59" s="930"/>
      <c r="S59" s="931"/>
      <c r="T59" s="917"/>
      <c r="U59" s="918"/>
      <c r="V59" s="926"/>
      <c r="W59" s="927"/>
      <c r="X59" s="793"/>
      <c r="Y59" s="795"/>
      <c r="Z59" s="794"/>
      <c r="AA59" s="904"/>
      <c r="AB59" s="905"/>
      <c r="AC59" s="905"/>
      <c r="AD59" s="906"/>
      <c r="AE59" s="809"/>
      <c r="AF59" s="810"/>
      <c r="AG59" s="810"/>
      <c r="AH59" s="812"/>
      <c r="AI59" s="921"/>
      <c r="AJ59" s="921"/>
      <c r="AK59" s="921"/>
      <c r="AL59" s="922"/>
      <c r="AM59" s="816"/>
      <c r="AN59" s="816"/>
      <c r="AO59" s="818"/>
      <c r="AP59" s="818"/>
      <c r="AQ59" s="818"/>
      <c r="AR59" s="841"/>
      <c r="AS59" s="841"/>
      <c r="AT59" s="841"/>
      <c r="AU59" s="841"/>
      <c r="AV59" s="17"/>
      <c r="AX59" s="1243"/>
      <c r="AY59" s="760"/>
      <c r="AZ59" s="760"/>
      <c r="BA59" s="920"/>
      <c r="BB59" s="920"/>
      <c r="BC59" s="1243"/>
      <c r="BD59" s="1239"/>
      <c r="BE59" s="776"/>
      <c r="BF59" s="776"/>
      <c r="BG59" s="776"/>
      <c r="BH59" s="1241"/>
      <c r="BI59" s="1241"/>
      <c r="BJ59" s="778"/>
      <c r="BK59" s="768"/>
      <c r="BL59" s="768"/>
      <c r="BM59" s="766"/>
      <c r="BN59" s="764"/>
      <c r="BO59" s="764"/>
      <c r="BP59" s="770"/>
      <c r="BQ59" s="768"/>
      <c r="BR59" s="768"/>
      <c r="BS59" s="766"/>
      <c r="BT59" s="766"/>
      <c r="BU59" s="1239"/>
      <c r="BV59" s="768"/>
      <c r="BW59" s="1239"/>
      <c r="BX59" s="758"/>
      <c r="BY59" s="1254"/>
      <c r="BZ59" s="1248"/>
      <c r="CA59" s="1250"/>
      <c r="CB59" s="913"/>
      <c r="CC59" s="909"/>
    </row>
    <row r="60" spans="2:81" ht="15.95" customHeight="1">
      <c r="B60" s="785">
        <v>22</v>
      </c>
      <c r="C60" s="825"/>
      <c r="D60" s="826"/>
      <c r="E60" s="826"/>
      <c r="F60" s="826"/>
      <c r="G60" s="826"/>
      <c r="H60" s="826"/>
      <c r="I60" s="826"/>
      <c r="J60" s="932" t="str">
        <f>IF(C60="","",INDEX(CLHVAC[Eff Unit 1],MATCH(C60,CLHVAC[Measure Name],0)))</f>
        <v/>
      </c>
      <c r="K60" s="933"/>
      <c r="L60" s="928" t="str">
        <f>IF(C60="","",INDEX(CLHVAC[Base Efficiency 1],MATCH(C60,CLHVAC[Measure Name],0)))</f>
        <v/>
      </c>
      <c r="M60" s="929"/>
      <c r="N60" s="915"/>
      <c r="O60" s="916"/>
      <c r="P60" s="932" t="str">
        <f>IF(C60="","",INDEX(CLHVAC[Eff Unit 2],MATCH(C60,CLHVAC[Measure Name],0)))</f>
        <v/>
      </c>
      <c r="Q60" s="933"/>
      <c r="R60" s="928" t="str">
        <f>IF(C60="","",INDEX(CLHVAC[Base Efficiency 2],MATCH(C60,CLHVAC[Measure Name],0)))</f>
        <v/>
      </c>
      <c r="S60" s="929"/>
      <c r="T60" s="917" t="str">
        <f>IF(AND(ISNUMBER(SEARCH("DX",C60)),ISNUMBER(SEARCH("&lt;65 kbtu",C60)),N60&lt;&gt;""),1.12*N60-0.02*N60^2,IF(AND(ISNUMBER(SEARCH("PTAC",C60)),N60&lt;&gt;""),1,""))</f>
        <v/>
      </c>
      <c r="U60" s="918"/>
      <c r="V60" s="926"/>
      <c r="W60" s="927"/>
      <c r="X60" s="825"/>
      <c r="Y60" s="826"/>
      <c r="Z60" s="827"/>
      <c r="AA60" s="904"/>
      <c r="AB60" s="905"/>
      <c r="AC60" s="905"/>
      <c r="AD60" s="906"/>
      <c r="AE60" s="809"/>
      <c r="AF60" s="810"/>
      <c r="AG60" s="810"/>
      <c r="AH60" s="812"/>
      <c r="AI60" s="948" t="str">
        <f>IF(C60="","",INDEX(CLHVAC[Current Unit],MATCH(C60,CLHVAC[Measure Name],0)))</f>
        <v/>
      </c>
      <c r="AJ60" s="948"/>
      <c r="AK60" s="948"/>
      <c r="AL60" s="949"/>
      <c r="AM60" s="814" t="str" cm="1">
        <f t="array" ref="AM60">IFERROR(IF(C60="","",INDEX(IF(AND(ACTIVEBONUS = TRUE,INDEX(CLHVAC[Bonus Incentive],MATCH(C60,CLHVAC[Measure Name],0))&lt;&gt; ""),CLHVAC[Bonus Incentive],_xlfn.SWITCH(Program_Banner,"Business Energy Savings",CLHVAC[BESP Incentive],"Small Business / Non-Profit",CLHVAC[SBNP Incentive],0)),MATCH(C60,CLHVAC[Measure Name],0))),"")</f>
        <v/>
      </c>
      <c r="AN60" s="814"/>
      <c r="AO60" s="817" t="str">
        <f t="shared" ref="AO60" si="165">IFERROR(IF(OR(C60="",N60="",T60="",V60="",AA60="",AE60="",AG60=""),"",IF(BE60&lt;=0, 0, BE60)),"")</f>
        <v/>
      </c>
      <c r="AP60" s="817"/>
      <c r="AQ60" s="817"/>
      <c r="AR60" s="840" t="str">
        <f>IFERROR(IF(OR(C60="",N60="",V60="",AA60="",T60="",AE60="",AG60=""),"",IF(BY60&lt;&gt;"",BY60,IF(BP60&gt;0,BP60,ROUND(IF(AO60&lt;=0,0,MIN(BL60,BQ60)), 2)))), "")</f>
        <v/>
      </c>
      <c r="AS60" s="840"/>
      <c r="AT60" s="840"/>
      <c r="AU60" s="840"/>
      <c r="AV60" s="17"/>
      <c r="AX60" s="1242" t="str">
        <f>IFERROR(IF(OR(C60="",N60="",V60="",AA60="",T60="",AE60="",AG60=""),"",INDEX(CLHVAC[Current Unit],MATCH(C60,CLHVAC[Measure Name],0))),"Err")</f>
        <v/>
      </c>
      <c r="AY60" s="759" t="str">
        <f t="shared" ref="AY60" si="166">IF(OR(L60="", N60="", V60=""), "", ABS(N60-L60)*V60)</f>
        <v/>
      </c>
      <c r="AZ60" s="759" t="str">
        <f t="shared" ref="AZ60" si="167">IF(OR(L60="", N60="", V60=""), "", ABS(N60-L60)*V60)</f>
        <v/>
      </c>
      <c r="BA60" s="919" t="str">
        <f>IF(C60&lt;&gt;"", _xlfn.LET(
_xlpm.Tons_Cool, V60, _xlpm.PLC_Base, L60, _xlpm.Tons_Heat, CC60, _xlpm.Other_Base, R60,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(12/_xlpm.PLC_Base)*_xlpm.EFLH_Cool,
IF(ISNUMBER(SEARCH("Water", C60)),
_xlpm.Tons_Cool * (_xlpm.PLC_Base) * _xlpm.EFLH_Cool,
" "
)),4),
_xlpm.kWhHeat,
IF(
_xlpm.ElecHeat=1,
ROUND(
IF(OR(ISNUMBER(SEARCH("DX", C60)),ISNUMBER(SEARCH("PTAC", C60)), ISNUMBER(SEARCH("Air-Cooled Chiller", C60)), ISNUMBER(SEARCH("Water", C60)),
ISNUMBER(SEARCH("VRF", C60))),
0,
IF(
OR(ISNUMBER(SEARCH("ASHP", C60)), ISNUMBER(SEARCH("PTHP", C60))),
_xlpm.Tons_Heat * (1/_xlpm.Other_Base) * _xlpm.EFLH_Heat,
" "
)),4),
0
),
IFERROR(_xlpm.kWhCool + _xlpm.kWhHeat, "Measure Not Specified.")
), "")</f>
        <v/>
      </c>
      <c r="BB60" s="919" t="str">
        <f>IF(C60&lt;&gt;"", _xlfn.LET(
_xlpm.Tons_Cool, V60,_xlpm.PLC_Eff, N60, _xlpm.Tons_Heat, CC60, _xlpm.Other_Eff, T60,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(12/_xlpm.PLC_Eff)*_xlpm.EFLH_Cool,
IF(ISNUMBER(SEARCH("Water", C60)),
_xlpm.Tons_Cool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(1/_xlpm.Other_Eff) * _xlpm.EFLH_Heat,
" "
)),4),
0
),
IFERROR(_xlpm.kWhCool + _xlpm.kWhHeat, "Measure Not Specified.")
), "")</f>
        <v/>
      </c>
      <c r="BC60" s="1242" t="str">
        <f>IFERROR(IF(OR(C60="",N60="",V60="",AA60="",T60="",AE60="",AG60=""),"",INDEX(CLHVAC[End Use],MATCH(C60,CLHVAC[Measure Name],0))),"Err")</f>
        <v/>
      </c>
      <c r="BD60" s="1238" t="str">
        <f>IFERROR(IF(OR(C60="",N60="",V60="",AA60="",T60="",AE60="",AG60=""),"",INDEX(CLHVAC[Reporting Methodology],MATCH(C60,CLHVAC[Measure Name],0))),"Err")</f>
        <v/>
      </c>
      <c r="BE60" s="775" t="str">
        <f t="shared" si="2"/>
        <v/>
      </c>
      <c r="BF60" s="775" t="str">
        <f t="shared" ref="BF60" si="168">IF(C60&lt;&gt;"", _xlfn.LET(
_xlpm.Tons, V60, _xlpm.PCF, 0.913,
IF(OR(ISNUMBER(SEARCH("DX", C60)), ISNUMBER(SEARCH("Air-Cooled Chiller", C60)), ISNUMBER(SEARCH("VRF", C60))),
IFERROR(_xlpm.Tons * (12/R60 - 12/T60) * _xlpm.PCF, 0),
IF(ISNUMBER(SEARCH("Water", C60)),
IFERROR(_xlpm.Tons * (R60-T60) * _xlpm.PCF, 0),
IF(ISNUMBER(SEARCH("ASHP", C60)),
IFERROR(_xlpm.Tons * (12/CA60 - 12/CB60) * _xlpm.PCF, 0),
IF(OR(ISNUMBER(SEARCH("PTAC", C60)), ISNUMBER(SEARCH("PTHP", C60))),
IFERROR(_xlpm.Tons * (12/L60 - 12/N60) * _xlpm.PCF, 0),
"Measure Not Specified."))))), "")</f>
        <v/>
      </c>
      <c r="BG60" s="775"/>
      <c r="BH60" s="1240"/>
      <c r="BI60" s="1240"/>
      <c r="BJ60" s="777" t="str">
        <f>IFERROR(INDEX(CLHVAC[Measure Life (Years)],MATCH(C60,CLHVAC[Measure Name],0)),"")</f>
        <v/>
      </c>
      <c r="BK60" s="767" t="str">
        <f>IFERROR(IF(OR(C60="",N60="",T60="",V60="",AA60="",AE60="",AG60=""),"",
ROUND(((1+ELOSS)*((BE60*INDEX(ELECCB[NPV AEC $/kWh],MATCH(BJ60,ELECCB[Year Number],1)))+(BF60*INDEX(ELECCB[NPV ACC $/kW],MATCH(BJ60,ELECCB[Year Number],1))))),2)),0)</f>
        <v/>
      </c>
      <c r="BL60" s="767" t="str">
        <f t="shared" ref="BL60" si="169">IF(OR(C60="",N60="",V60="",AA60="",T60="",AE60="",AG60=""),"",ROUND(AE60+AG60,2))</f>
        <v/>
      </c>
      <c r="BM60" s="765"/>
      <c r="BN60" s="763" t="str">
        <f t="shared" si="4"/>
        <v/>
      </c>
      <c r="BO60" s="763" t="str">
        <f>IFERROR(IF(BM60 &lt;&gt; "", BM60, BL60) / M02S04F06 / AO60, "")</f>
        <v/>
      </c>
      <c r="BP60" s="769"/>
      <c r="BQ60" s="767" t="str">
        <f t="shared" ref="BQ60" si="170">IFERROR(IF(AI60="per ton", ROUND(V60*AM60, 2),
IF(AND(ISNUMBER(SEARCH("Air-Cooled Chiller",C60)),AI60="$/ton/IPLV"), ROUND((12/L60-12/N60)*V60*AM60, 2),
ROUND(ABS(N60-L60)*V60*AM60, 2))), "")</f>
        <v/>
      </c>
      <c r="BR60" s="767"/>
      <c r="BS60" s="765"/>
      <c r="BT60" s="765"/>
      <c r="BU60" s="1238" t="str">
        <f t="shared" ref="BU60" si="171">IFERROR(IF(BP60="",IF(AND(AO60&gt;0, AR60 &lt; BQ60), "100% Total Cost", ""), ""), "")</f>
        <v/>
      </c>
      <c r="BV60" s="767"/>
      <c r="BW60" s="1238" t="str">
        <f>IFERROR(IF(OR(C60="",N60="",V60="",AA60="",T60="",AE60="",AG60=""),"",IF(BY60&lt;&gt;"", SPILLOVERNUMBER, INDEX(CLHVAC[Measure Number],MATCH(C60,CLHVAC[Measure Name],0)))),"Err")</f>
        <v/>
      </c>
      <c r="BX60" s="757" t="str" cm="1">
        <f t="array" ref="BX60">IFERROR(INDEX(_xlfn.SWITCH(Program_Banner,"Business Energy Savings",CLHVAC[Primary Key WBE],"Small Business / Non-Profit",CLHVAC[Primary Key HTRB],0),MATCH(BW60,CLHVAC[Measure Number],0)),"")</f>
        <v/>
      </c>
      <c r="BY60" s="1253" t="str">
        <f>IFERROR(
IF(OR(C60="",N60="",T60="",V60="",AA60="",AE60="",AG60=""),
"",
IF(BP60&gt;0,"",IF(OR(AND(ISNUMBER(SEARCH("kW/ton", J60)),OR(L60&lt;N60,R60&lt;T60)),AND(NOT(ISNUMBER(SEARCH("kW/ton", J60))),OR(L60&gt;N60,R60&gt;T60))),
"Must Improve Efficiency",
IFERROR(IF(EXPIRATION&lt;&gt;"",PROJSTATEXP,
IF(BP60&gt;0,"",
IF(OR(M02S04F06="",M02S04F06="Select Rate Code",M02S04F06=0),MEASURERATE,
IF(M02S04F22="", SPACECONDTYPE,
IF(PAYCUSE&lt;PAYBACKREQ,PROJECTSTATPAYBACK,
IF(BN60&lt;CBREQ,PROJECTSTATCB,"")))))),MEASURESUBMIT)))),"")</f>
        <v/>
      </c>
      <c r="BZ60" s="1247" t="str">
        <f>IFERROR(IF(INDEX(CLHVAC[Eff Unit 3],MATCH(C60,CLHVAC[Measure Name],0))="","",INDEX(CLHVAC[Eff Unit 3],MATCH(C60,CLHVAC[Measure Name],0))),"")</f>
        <v/>
      </c>
      <c r="CA60" s="1249" t="str">
        <f>IFERROR(IF(INDEX(CLHVAC[Base Efficiency 3],MATCH(C60,CLHVAC[Measure Name],0))="","",INDEX(CLHVAC[Base Efficiency 3],MATCH(C60,CLHVAC[Measure Name],0))),"")</f>
        <v/>
      </c>
      <c r="CB60" s="1251" t="str">
        <f t="shared" ref="CB60" si="172">IFERROR(IF(ISNUMBER(SEARCH("Air-Cooled Chiller",$C60)),12/N60,""),"")</f>
        <v/>
      </c>
      <c r="CC60" s="1252"/>
    </row>
    <row r="61" spans="2:81" ht="15.95" customHeight="1">
      <c r="B61" s="785"/>
      <c r="C61" s="793"/>
      <c r="D61" s="795"/>
      <c r="E61" s="795"/>
      <c r="F61" s="795"/>
      <c r="G61" s="795"/>
      <c r="H61" s="795"/>
      <c r="I61" s="795"/>
      <c r="J61" s="934"/>
      <c r="K61" s="935"/>
      <c r="L61" s="930"/>
      <c r="M61" s="931"/>
      <c r="N61" s="915"/>
      <c r="O61" s="916"/>
      <c r="P61" s="934"/>
      <c r="Q61" s="935"/>
      <c r="R61" s="930"/>
      <c r="S61" s="931"/>
      <c r="T61" s="917"/>
      <c r="U61" s="918"/>
      <c r="V61" s="926"/>
      <c r="W61" s="927"/>
      <c r="X61" s="793"/>
      <c r="Y61" s="795"/>
      <c r="Z61" s="794"/>
      <c r="AA61" s="904"/>
      <c r="AB61" s="905"/>
      <c r="AC61" s="905"/>
      <c r="AD61" s="906"/>
      <c r="AE61" s="809"/>
      <c r="AF61" s="810"/>
      <c r="AG61" s="810"/>
      <c r="AH61" s="812"/>
      <c r="AI61" s="921"/>
      <c r="AJ61" s="921"/>
      <c r="AK61" s="921"/>
      <c r="AL61" s="922"/>
      <c r="AM61" s="816"/>
      <c r="AN61" s="816"/>
      <c r="AO61" s="818"/>
      <c r="AP61" s="818"/>
      <c r="AQ61" s="818"/>
      <c r="AR61" s="841"/>
      <c r="AS61" s="841"/>
      <c r="AT61" s="841"/>
      <c r="AU61" s="841"/>
      <c r="AV61" s="17"/>
      <c r="AX61" s="1243"/>
      <c r="AY61" s="760"/>
      <c r="AZ61" s="760"/>
      <c r="BA61" s="920"/>
      <c r="BB61" s="920"/>
      <c r="BC61" s="1243"/>
      <c r="BD61" s="1239"/>
      <c r="BE61" s="776"/>
      <c r="BF61" s="776"/>
      <c r="BG61" s="776"/>
      <c r="BH61" s="1241"/>
      <c r="BI61" s="1241"/>
      <c r="BJ61" s="778"/>
      <c r="BK61" s="768"/>
      <c r="BL61" s="768"/>
      <c r="BM61" s="766"/>
      <c r="BN61" s="764"/>
      <c r="BO61" s="764"/>
      <c r="BP61" s="770"/>
      <c r="BQ61" s="768"/>
      <c r="BR61" s="768"/>
      <c r="BS61" s="766"/>
      <c r="BT61" s="766"/>
      <c r="BU61" s="1239"/>
      <c r="BV61" s="768"/>
      <c r="BW61" s="1239"/>
      <c r="BX61" s="758"/>
      <c r="BY61" s="1254"/>
      <c r="BZ61" s="1248"/>
      <c r="CA61" s="1250"/>
      <c r="CB61" s="913"/>
      <c r="CC61" s="909"/>
    </row>
    <row r="62" spans="2:81" ht="15.95" customHeight="1">
      <c r="B62" s="785">
        <v>23</v>
      </c>
      <c r="C62" s="825"/>
      <c r="D62" s="826"/>
      <c r="E62" s="826"/>
      <c r="F62" s="826"/>
      <c r="G62" s="826"/>
      <c r="H62" s="826"/>
      <c r="I62" s="826"/>
      <c r="J62" s="932" t="str">
        <f>IF(C62="","",INDEX(CLHVAC[Eff Unit 1],MATCH(C62,CLHVAC[Measure Name],0)))</f>
        <v/>
      </c>
      <c r="K62" s="933"/>
      <c r="L62" s="928" t="str">
        <f>IF(C62="","",INDEX(CLHVAC[Base Efficiency 1],MATCH(C62,CLHVAC[Measure Name],0)))</f>
        <v/>
      </c>
      <c r="M62" s="929"/>
      <c r="N62" s="915"/>
      <c r="O62" s="916"/>
      <c r="P62" s="932" t="str">
        <f>IF(C62="","",INDEX(CLHVAC[Eff Unit 2],MATCH(C62,CLHVAC[Measure Name],0)))</f>
        <v/>
      </c>
      <c r="Q62" s="933"/>
      <c r="R62" s="928" t="str">
        <f>IF(C62="","",INDEX(CLHVAC[Base Efficiency 2],MATCH(C62,CLHVAC[Measure Name],0)))</f>
        <v/>
      </c>
      <c r="S62" s="929"/>
      <c r="T62" s="917" t="str">
        <f>IF(AND(ISNUMBER(SEARCH("DX",C62)),ISNUMBER(SEARCH("&lt;65 kbtu",C62)),N62&lt;&gt;""),1.12*N62-0.02*N62^2,IF(AND(ISNUMBER(SEARCH("PTAC",C62)),N62&lt;&gt;""),1,""))</f>
        <v/>
      </c>
      <c r="U62" s="918"/>
      <c r="V62" s="926"/>
      <c r="W62" s="927"/>
      <c r="X62" s="825"/>
      <c r="Y62" s="826"/>
      <c r="Z62" s="827"/>
      <c r="AA62" s="904"/>
      <c r="AB62" s="905"/>
      <c r="AC62" s="905"/>
      <c r="AD62" s="906"/>
      <c r="AE62" s="809"/>
      <c r="AF62" s="810"/>
      <c r="AG62" s="810"/>
      <c r="AH62" s="812"/>
      <c r="AI62" s="948" t="str">
        <f>IF(C62="","",INDEX(CLHVAC[Current Unit],MATCH(C62,CLHVAC[Measure Name],0)))</f>
        <v/>
      </c>
      <c r="AJ62" s="948"/>
      <c r="AK62" s="948"/>
      <c r="AL62" s="949"/>
      <c r="AM62" s="814" t="str" cm="1">
        <f t="array" ref="AM62">IFERROR(IF(C62="","",INDEX(IF(AND(ACTIVEBONUS = TRUE,INDEX(CLHVAC[Bonus Incentive],MATCH(C62,CLHVAC[Measure Name],0))&lt;&gt; ""),CLHVAC[Bonus Incentive],_xlfn.SWITCH(Program_Banner,"Business Energy Savings",CLHVAC[BESP Incentive],"Small Business / Non-Profit",CLHVAC[SBNP Incentive],0)),MATCH(C62,CLHVAC[Measure Name],0))),"")</f>
        <v/>
      </c>
      <c r="AN62" s="814"/>
      <c r="AO62" s="817" t="str">
        <f t="shared" ref="AO62" si="173">IFERROR(IF(OR(C62="",N62="",T62="",V62="",AA62="",AE62="",AG62=""),"",IF(BE62&lt;=0, 0, BE62)),"")</f>
        <v/>
      </c>
      <c r="AP62" s="817"/>
      <c r="AQ62" s="817"/>
      <c r="AR62" s="840" t="str">
        <f>IFERROR(IF(OR(C62="",N62="",V62="",AA62="",T62="",AE62="",AG62=""),"",IF(BY62&lt;&gt;"",BY62,IF(BP62&gt;0,BP62,ROUND(IF(AO62&lt;=0,0,MIN(BL62,BQ62)), 2)))), "")</f>
        <v/>
      </c>
      <c r="AS62" s="840"/>
      <c r="AT62" s="840"/>
      <c r="AU62" s="840"/>
      <c r="AV62" s="17"/>
      <c r="AX62" s="1242" t="str">
        <f>IFERROR(IF(OR(C62="",N62="",V62="",AA62="",T62="",AE62="",AG62=""),"",INDEX(CLHVAC[Current Unit],MATCH(C62,CLHVAC[Measure Name],0))),"Err")</f>
        <v/>
      </c>
      <c r="AY62" s="759" t="str">
        <f t="shared" ref="AY62" si="174">IF(OR(L62="", N62="", V62=""), "", ABS(N62-L62)*V62)</f>
        <v/>
      </c>
      <c r="AZ62" s="759" t="str">
        <f t="shared" ref="AZ62" si="175">IF(OR(L62="", N62="", V62=""), "", ABS(N62-L62)*V62)</f>
        <v/>
      </c>
      <c r="BA62" s="919" t="str">
        <f>IF(C62&lt;&gt;"", _xlfn.LET(
_xlpm.Tons_Cool, V62, _xlpm.PLC_Base, L62, _xlpm.Tons_Heat, CC62, _xlpm.Other_Base, R62,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(12/_xlpm.PLC_Base)*_xlpm.EFLH_Cool,
IF(ISNUMBER(SEARCH("Water", C62)),
_xlpm.Tons_Cool * (_xlpm.PLC_Base) * _xlpm.EFLH_Cool,
" "
)),4),
_xlpm.kWhHeat,
IF(
_xlpm.ElecHeat=1,
ROUND(
IF(OR(ISNUMBER(SEARCH("DX", C62)),ISNUMBER(SEARCH("PTAC", C62)), ISNUMBER(SEARCH("Air-Cooled Chiller", C62)), ISNUMBER(SEARCH("Water", C62)),
ISNUMBER(SEARCH("VRF", C62))),
0,
IF(
OR(ISNUMBER(SEARCH("ASHP", C62)), ISNUMBER(SEARCH("PTHP", C62))),
_xlpm.Tons_Heat * (1/_xlpm.Other_Base) * _xlpm.EFLH_Heat,
" "
)),4),
0
),
IFERROR(_xlpm.kWhCool + _xlpm.kWhHeat, "Measure Not Specified.")
), "")</f>
        <v/>
      </c>
      <c r="BB62" s="919" t="str">
        <f>IF(C62&lt;&gt;"", _xlfn.LET(
_xlpm.Tons_Cool, V62,_xlpm.PLC_Eff, N62, _xlpm.Tons_Heat, CC62, _xlpm.Other_Eff, T62,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(12/_xlpm.PLC_Eff)*_xlpm.EFLH_Cool,
IF(ISNUMBER(SEARCH("Water", C62)),
_xlpm.Tons_Cool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(1/_xlpm.Other_Eff) * _xlpm.EFLH_Heat,
" "
)),4),
0
),
IFERROR(_xlpm.kWhCool + _xlpm.kWhHeat, "Measure Not Specified.")
), "")</f>
        <v/>
      </c>
      <c r="BC62" s="1242" t="str">
        <f>IFERROR(IF(OR(C62="",N62="",V62="",AA62="",T62="",AE62="",AG62=""),"",INDEX(CLHVAC[End Use],MATCH(C62,CLHVAC[Measure Name],0))),"Err")</f>
        <v/>
      </c>
      <c r="BD62" s="1238" t="str">
        <f>IFERROR(IF(OR(C62="",N62="",V62="",AA62="",T62="",AE62="",AG62=""),"",INDEX(CLHVAC[Reporting Methodology],MATCH(C62,CLHVAC[Measure Name],0))),"Err")</f>
        <v/>
      </c>
      <c r="BE62" s="775" t="str">
        <f t="shared" si="2"/>
        <v/>
      </c>
      <c r="BF62" s="775" t="str">
        <f t="shared" ref="BF62" si="176">IF(C62&lt;&gt;"", _xlfn.LET(
_xlpm.Tons, V62, _xlpm.PCF, 0.913,
IF(OR(ISNUMBER(SEARCH("DX", C62)), ISNUMBER(SEARCH("Air-Cooled Chiller", C62)), ISNUMBER(SEARCH("VRF", C62))),
IFERROR(_xlpm.Tons * (12/R62 - 12/T62) * _xlpm.PCF, 0),
IF(ISNUMBER(SEARCH("Water", C62)),
IFERROR(_xlpm.Tons * (R62-T62) * _xlpm.PCF, 0),
IF(ISNUMBER(SEARCH("ASHP", C62)),
IFERROR(_xlpm.Tons * (12/CA62 - 12/CB62) * _xlpm.PCF, 0),
IF(OR(ISNUMBER(SEARCH("PTAC", C62)), ISNUMBER(SEARCH("PTHP", C62))),
IFERROR(_xlpm.Tons * (12/L62 - 12/N62) * _xlpm.PCF, 0),
"Measure Not Specified."))))), "")</f>
        <v/>
      </c>
      <c r="BG62" s="775"/>
      <c r="BH62" s="1240"/>
      <c r="BI62" s="1240"/>
      <c r="BJ62" s="777" t="str">
        <f>IFERROR(INDEX(CLHVAC[Measure Life (Years)],MATCH(C62,CLHVAC[Measure Name],0)),"")</f>
        <v/>
      </c>
      <c r="BK62" s="767" t="str">
        <f>IFERROR(IF(OR(C62="",N62="",T62="",V62="",AA62="",AE62="",AG62=""),"",
ROUND(((1+ELOSS)*((BE62*INDEX(ELECCB[NPV AEC $/kWh],MATCH(BJ62,ELECCB[Year Number],1)))+(BF62*INDEX(ELECCB[NPV ACC $/kW],MATCH(BJ62,ELECCB[Year Number],1))))),2)),0)</f>
        <v/>
      </c>
      <c r="BL62" s="767" t="str">
        <f t="shared" ref="BL62" si="177">IF(OR(C62="",N62="",V62="",AA62="",T62="",AE62="",AG62=""),"",ROUND(AE62+AG62,2))</f>
        <v/>
      </c>
      <c r="BM62" s="765"/>
      <c r="BN62" s="763" t="str">
        <f t="shared" si="4"/>
        <v/>
      </c>
      <c r="BO62" s="763" t="str">
        <f>IFERROR(IF(BM62 &lt;&gt; "", BM62, BL62) / M02S04F06 / AO62, "")</f>
        <v/>
      </c>
      <c r="BP62" s="769"/>
      <c r="BQ62" s="767" t="str">
        <f t="shared" ref="BQ62" si="178">IFERROR(IF(AI62="per ton", ROUND(V62*AM62, 2),
IF(AND(ISNUMBER(SEARCH("Air-Cooled Chiller",C62)),AI62="$/ton/IPLV"), ROUND((12/L62-12/N62)*V62*AM62, 2),
ROUND(ABS(N62-L62)*V62*AM62, 2))), "")</f>
        <v/>
      </c>
      <c r="BR62" s="767"/>
      <c r="BS62" s="765"/>
      <c r="BT62" s="765"/>
      <c r="BU62" s="1238" t="str">
        <f t="shared" ref="BU62" si="179">IFERROR(IF(BP62="",IF(AND(AO62&gt;0, AR62 &lt; BQ62), "100% Total Cost", ""), ""), "")</f>
        <v/>
      </c>
      <c r="BV62" s="767"/>
      <c r="BW62" s="1238" t="str">
        <f>IFERROR(IF(OR(C62="",N62="",V62="",AA62="",T62="",AE62="",AG62=""),"",IF(BY62&lt;&gt;"", SPILLOVERNUMBER, INDEX(CLHVAC[Measure Number],MATCH(C62,CLHVAC[Measure Name],0)))),"Err")</f>
        <v/>
      </c>
      <c r="BX62" s="757" t="str" cm="1">
        <f t="array" ref="BX62">IFERROR(INDEX(_xlfn.SWITCH(Program_Banner,"Business Energy Savings",CLHVAC[Primary Key WBE],"Small Business / Non-Profit",CLHVAC[Primary Key HTRB],0),MATCH(BW62,CLHVAC[Measure Number],0)),"")</f>
        <v/>
      </c>
      <c r="BY62" s="1253" t="str">
        <f>IFERROR(
IF(OR(C62="",N62="",T62="",V62="",AA62="",AE62="",AG62=""),
"",
IF(BP62&gt;0,"",IF(OR(AND(ISNUMBER(SEARCH("kW/ton", J62)),OR(L62&lt;N62,R62&lt;T62)),AND(NOT(ISNUMBER(SEARCH("kW/ton", J62))),OR(L62&gt;N62,R62&gt;T62))),
"Must Improve Efficiency",
IFERROR(IF(EXPIRATION&lt;&gt;"",PROJSTATEXP,
IF(BP62&gt;0,"",
IF(OR(M02S04F06="",M02S04F06="Select Rate Code",M02S04F06=0),MEASURERATE,
IF(M02S04F22="", SPACECONDTYPE,
IF(PAYCUSE&lt;PAYBACKREQ,PROJECTSTATPAYBACK,
IF(BN62&lt;CBREQ,PROJECTSTATCB,"")))))),MEASURESUBMIT)))),"")</f>
        <v/>
      </c>
      <c r="BZ62" s="1247" t="str">
        <f>IFERROR(IF(INDEX(CLHVAC[Eff Unit 3],MATCH(C62,CLHVAC[Measure Name],0))="","",INDEX(CLHVAC[Eff Unit 3],MATCH(C62,CLHVAC[Measure Name],0))),"")</f>
        <v/>
      </c>
      <c r="CA62" s="1249" t="str">
        <f>IFERROR(IF(INDEX(CLHVAC[Base Efficiency 3],MATCH(C62,CLHVAC[Measure Name],0))="","",INDEX(CLHVAC[Base Efficiency 3],MATCH(C62,CLHVAC[Measure Name],0))),"")</f>
        <v/>
      </c>
      <c r="CB62" s="1251" t="str">
        <f t="shared" ref="CB62" si="180">IFERROR(IF(ISNUMBER(SEARCH("Air-Cooled Chiller",$C62)),12/N62,""),"")</f>
        <v/>
      </c>
      <c r="CC62" s="1252"/>
    </row>
    <row r="63" spans="2:81" ht="15.95" customHeight="1">
      <c r="B63" s="785"/>
      <c r="C63" s="793"/>
      <c r="D63" s="795"/>
      <c r="E63" s="795"/>
      <c r="F63" s="795"/>
      <c r="G63" s="795"/>
      <c r="H63" s="795"/>
      <c r="I63" s="795"/>
      <c r="J63" s="934"/>
      <c r="K63" s="935"/>
      <c r="L63" s="930"/>
      <c r="M63" s="931"/>
      <c r="N63" s="915"/>
      <c r="O63" s="916"/>
      <c r="P63" s="934"/>
      <c r="Q63" s="935"/>
      <c r="R63" s="930"/>
      <c r="S63" s="931"/>
      <c r="T63" s="917"/>
      <c r="U63" s="918"/>
      <c r="V63" s="926"/>
      <c r="W63" s="927"/>
      <c r="X63" s="793"/>
      <c r="Y63" s="795"/>
      <c r="Z63" s="794"/>
      <c r="AA63" s="904"/>
      <c r="AB63" s="905"/>
      <c r="AC63" s="905"/>
      <c r="AD63" s="906"/>
      <c r="AE63" s="809"/>
      <c r="AF63" s="810"/>
      <c r="AG63" s="810"/>
      <c r="AH63" s="812"/>
      <c r="AI63" s="921"/>
      <c r="AJ63" s="921"/>
      <c r="AK63" s="921"/>
      <c r="AL63" s="922"/>
      <c r="AM63" s="816"/>
      <c r="AN63" s="816"/>
      <c r="AO63" s="818"/>
      <c r="AP63" s="818"/>
      <c r="AQ63" s="818"/>
      <c r="AR63" s="841"/>
      <c r="AS63" s="841"/>
      <c r="AT63" s="841"/>
      <c r="AU63" s="841"/>
      <c r="AV63" s="17"/>
      <c r="AX63" s="1243"/>
      <c r="AY63" s="760"/>
      <c r="AZ63" s="760"/>
      <c r="BA63" s="920"/>
      <c r="BB63" s="920"/>
      <c r="BC63" s="1243"/>
      <c r="BD63" s="1239"/>
      <c r="BE63" s="776"/>
      <c r="BF63" s="776"/>
      <c r="BG63" s="776"/>
      <c r="BH63" s="1241"/>
      <c r="BI63" s="1241"/>
      <c r="BJ63" s="778"/>
      <c r="BK63" s="768"/>
      <c r="BL63" s="768"/>
      <c r="BM63" s="766"/>
      <c r="BN63" s="764"/>
      <c r="BO63" s="764"/>
      <c r="BP63" s="770"/>
      <c r="BQ63" s="768"/>
      <c r="BR63" s="768"/>
      <c r="BS63" s="766"/>
      <c r="BT63" s="766"/>
      <c r="BU63" s="1239"/>
      <c r="BV63" s="768"/>
      <c r="BW63" s="1239"/>
      <c r="BX63" s="758"/>
      <c r="BY63" s="1254"/>
      <c r="BZ63" s="1248"/>
      <c r="CA63" s="1250"/>
      <c r="CB63" s="913"/>
      <c r="CC63" s="909"/>
    </row>
    <row r="64" spans="2:81" ht="15.95" customHeight="1">
      <c r="B64" s="785">
        <v>24</v>
      </c>
      <c r="C64" s="825"/>
      <c r="D64" s="826"/>
      <c r="E64" s="826"/>
      <c r="F64" s="826"/>
      <c r="G64" s="826"/>
      <c r="H64" s="826"/>
      <c r="I64" s="826"/>
      <c r="J64" s="932" t="str">
        <f>IF(C64="","",INDEX(CLHVAC[Eff Unit 1],MATCH(C64,CLHVAC[Measure Name],0)))</f>
        <v/>
      </c>
      <c r="K64" s="933"/>
      <c r="L64" s="928" t="str">
        <f>IF(C64="","",INDEX(CLHVAC[Base Efficiency 1],MATCH(C64,CLHVAC[Measure Name],0)))</f>
        <v/>
      </c>
      <c r="M64" s="929"/>
      <c r="N64" s="915"/>
      <c r="O64" s="916"/>
      <c r="P64" s="932" t="str">
        <f>IF(C64="","",INDEX(CLHVAC[Eff Unit 2],MATCH(C64,CLHVAC[Measure Name],0)))</f>
        <v/>
      </c>
      <c r="Q64" s="933"/>
      <c r="R64" s="928" t="str">
        <f>IF(C64="","",INDEX(CLHVAC[Base Efficiency 2],MATCH(C64,CLHVAC[Measure Name],0)))</f>
        <v/>
      </c>
      <c r="S64" s="929"/>
      <c r="T64" s="917" t="str">
        <f>IF(AND(ISNUMBER(SEARCH("DX",C64)),ISNUMBER(SEARCH("&lt;65 kbtu",C64)),N64&lt;&gt;""),1.12*N64-0.02*N64^2,IF(AND(ISNUMBER(SEARCH("PTAC",C64)),N64&lt;&gt;""),1,""))</f>
        <v/>
      </c>
      <c r="U64" s="918"/>
      <c r="V64" s="926"/>
      <c r="W64" s="927"/>
      <c r="X64" s="825"/>
      <c r="Y64" s="826"/>
      <c r="Z64" s="827"/>
      <c r="AA64" s="904"/>
      <c r="AB64" s="905"/>
      <c r="AC64" s="905"/>
      <c r="AD64" s="906"/>
      <c r="AE64" s="809"/>
      <c r="AF64" s="810"/>
      <c r="AG64" s="810"/>
      <c r="AH64" s="812"/>
      <c r="AI64" s="948" t="str">
        <f>IF(C64="","",INDEX(CLHVAC[Current Unit],MATCH(C64,CLHVAC[Measure Name],0)))</f>
        <v/>
      </c>
      <c r="AJ64" s="948"/>
      <c r="AK64" s="948"/>
      <c r="AL64" s="949"/>
      <c r="AM64" s="814" t="str" cm="1">
        <f t="array" ref="AM64">IFERROR(IF(C64="","",INDEX(IF(AND(ACTIVEBONUS = TRUE,INDEX(CLHVAC[Bonus Incentive],MATCH(C64,CLHVAC[Measure Name],0))&lt;&gt; ""),CLHVAC[Bonus Incentive],_xlfn.SWITCH(Program_Banner,"Business Energy Savings",CLHVAC[BESP Incentive],"Small Business / Non-Profit",CLHVAC[SBNP Incentive],0)),MATCH(C64,CLHVAC[Measure Name],0))),"")</f>
        <v/>
      </c>
      <c r="AN64" s="814"/>
      <c r="AO64" s="817" t="str">
        <f t="shared" ref="AO64" si="181">IFERROR(IF(OR(C64="",N64="",T64="",V64="",AA64="",AE64="",AG64=""),"",IF(BE64&lt;=0, 0, BE64)),"")</f>
        <v/>
      </c>
      <c r="AP64" s="817"/>
      <c r="AQ64" s="817"/>
      <c r="AR64" s="840" t="str">
        <f>IFERROR(IF(OR(C64="",N64="",V64="",AA64="",T64="",AE64="",AG64=""),"",IF(BY64&lt;&gt;"",BY64,IF(BP64&gt;0,BP64,ROUND(IF(AO64&lt;=0,0,MIN(BL64,BQ64)), 2)))), "")</f>
        <v/>
      </c>
      <c r="AS64" s="840"/>
      <c r="AT64" s="840"/>
      <c r="AU64" s="840"/>
      <c r="AV64" s="17"/>
      <c r="AX64" s="1242" t="str">
        <f>IFERROR(IF(OR(C64="",N64="",V64="",AA64="",T64="",AE64="",AG64=""),"",INDEX(CLHVAC[Current Unit],MATCH(C64,CLHVAC[Measure Name],0))),"Err")</f>
        <v/>
      </c>
      <c r="AY64" s="759" t="str">
        <f t="shared" ref="AY64" si="182">IF(OR(L64="", N64="", V64=""), "", ABS(N64-L64)*V64)</f>
        <v/>
      </c>
      <c r="AZ64" s="759" t="str">
        <f t="shared" ref="AZ64" si="183">IF(OR(L64="", N64="", V64=""), "", ABS(N64-L64)*V64)</f>
        <v/>
      </c>
      <c r="BA64" s="919" t="str">
        <f>IF(C64&lt;&gt;"", _xlfn.LET(
_xlpm.Tons_Cool, V64, _xlpm.PLC_Base, L64, _xlpm.Tons_Heat, CC64, _xlpm.Other_Base, R64,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(12/_xlpm.PLC_Base)*_xlpm.EFLH_Cool,
IF(ISNUMBER(SEARCH("Water", C64)),
_xlpm.Tons_Cool * (_xlpm.PLC_Base) * _xlpm.EFLH_Cool,
" "
)),4),
_xlpm.kWhHeat,
IF(
_xlpm.ElecHeat=1,
ROUND(
IF(OR(ISNUMBER(SEARCH("DX", C64)),ISNUMBER(SEARCH("PTAC", C64)), ISNUMBER(SEARCH("Air-Cooled Chiller", C64)), ISNUMBER(SEARCH("Water", C64)),
ISNUMBER(SEARCH("VRF", C64))),
0,
IF(
OR(ISNUMBER(SEARCH("ASHP", C64)), ISNUMBER(SEARCH("PTHP", C64))),
_xlpm.Tons_Heat * (1/_xlpm.Other_Base) * _xlpm.EFLH_Heat,
" "
)),4),
0
),
IFERROR(_xlpm.kWhCool + _xlpm.kWhHeat, "Measure Not Specified.")
), "")</f>
        <v/>
      </c>
      <c r="BB64" s="919" t="str">
        <f>IF(C64&lt;&gt;"", _xlfn.LET(
_xlpm.Tons_Cool, V64,_xlpm.PLC_Eff, N64, _xlpm.Tons_Heat, CC64, _xlpm.Other_Eff, T64,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(12/_xlpm.PLC_Eff)*_xlpm.EFLH_Cool,
IF(ISNUMBER(SEARCH("Water", C64)),
_xlpm.Tons_Cool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(1/_xlpm.Other_Eff) * _xlpm.EFLH_Heat,
" "
)),4),
0
),
IFERROR(_xlpm.kWhCool + _xlpm.kWhHeat, "Measure Not Specified.")
), "")</f>
        <v/>
      </c>
      <c r="BC64" s="1242" t="str">
        <f>IFERROR(IF(OR(C64="",N64="",V64="",AA64="",T64="",AE64="",AG64=""),"",INDEX(CLHVAC[End Use],MATCH(C64,CLHVAC[Measure Name],0))),"Err")</f>
        <v/>
      </c>
      <c r="BD64" s="1238" t="str">
        <f>IFERROR(IF(OR(C64="",N64="",V64="",AA64="",T64="",AE64="",AG64=""),"",INDEX(CLHVAC[Reporting Methodology],MATCH(C64,CLHVAC[Measure Name],0))),"Err")</f>
        <v/>
      </c>
      <c r="BE64" s="775" t="str">
        <f t="shared" si="2"/>
        <v/>
      </c>
      <c r="BF64" s="775" t="str">
        <f t="shared" ref="BF64" si="184">IF(C64&lt;&gt;"", _xlfn.LET(
_xlpm.Tons, V64, _xlpm.PCF, 0.913,
IF(OR(ISNUMBER(SEARCH("DX", C64)), ISNUMBER(SEARCH("Air-Cooled Chiller", C64)), ISNUMBER(SEARCH("VRF", C64))),
IFERROR(_xlpm.Tons * (12/R64 - 12/T64) * _xlpm.PCF, 0),
IF(ISNUMBER(SEARCH("Water", C64)),
IFERROR(_xlpm.Tons * (R64-T64) * _xlpm.PCF, 0),
IF(ISNUMBER(SEARCH("ASHP", C64)),
IFERROR(_xlpm.Tons * (12/CA64 - 12/CB64) * _xlpm.PCF, 0),
IF(OR(ISNUMBER(SEARCH("PTAC", C64)), ISNUMBER(SEARCH("PTHP", C64))),
IFERROR(_xlpm.Tons * (12/L64 - 12/N64) * _xlpm.PCF, 0),
"Measure Not Specified."))))), "")</f>
        <v/>
      </c>
      <c r="BG64" s="775"/>
      <c r="BH64" s="1240"/>
      <c r="BI64" s="1240"/>
      <c r="BJ64" s="777" t="str">
        <f>IFERROR(INDEX(CLHVAC[Measure Life (Years)],MATCH(C64,CLHVAC[Measure Name],0)),"")</f>
        <v/>
      </c>
      <c r="BK64" s="767" t="str">
        <f>IFERROR(IF(OR(C64="",N64="",T64="",V64="",AA64="",AE64="",AG64=""),"",
ROUND(((1+ELOSS)*((BE64*INDEX(ELECCB[NPV AEC $/kWh],MATCH(BJ64,ELECCB[Year Number],1)))+(BF64*INDEX(ELECCB[NPV ACC $/kW],MATCH(BJ64,ELECCB[Year Number],1))))),2)),0)</f>
        <v/>
      </c>
      <c r="BL64" s="767" t="str">
        <f t="shared" ref="BL64" si="185">IF(OR(C64="",N64="",V64="",AA64="",T64="",AE64="",AG64=""),"",ROUND(AE64+AG64,2))</f>
        <v/>
      </c>
      <c r="BM64" s="765"/>
      <c r="BN64" s="763" t="str">
        <f t="shared" si="4"/>
        <v/>
      </c>
      <c r="BO64" s="763" t="str">
        <f>IFERROR(IF(BM64 &lt;&gt; "", BM64, BL64) / M02S04F06 / AO64, "")</f>
        <v/>
      </c>
      <c r="BP64" s="769"/>
      <c r="BQ64" s="767" t="str">
        <f t="shared" ref="BQ64" si="186">IFERROR(IF(AI64="per ton", ROUND(V64*AM64, 2),
IF(AND(ISNUMBER(SEARCH("Air-Cooled Chiller",C64)),AI64="$/ton/IPLV"), ROUND((12/L64-12/N64)*V64*AM64, 2),
ROUND(ABS(N64-L64)*V64*AM64, 2))), "")</f>
        <v/>
      </c>
      <c r="BR64" s="767"/>
      <c r="BS64" s="765"/>
      <c r="BT64" s="765"/>
      <c r="BU64" s="1238" t="str">
        <f t="shared" ref="BU64" si="187">IFERROR(IF(BP64="",IF(AND(AO64&gt;0, AR64 &lt; BQ64), "100% Total Cost", ""), ""), "")</f>
        <v/>
      </c>
      <c r="BV64" s="767"/>
      <c r="BW64" s="1238" t="str">
        <f>IFERROR(IF(OR(C64="",N64="",V64="",AA64="",T64="",AE64="",AG64=""),"",IF(BY64&lt;&gt;"", SPILLOVERNUMBER, INDEX(CLHVAC[Measure Number],MATCH(C64,CLHVAC[Measure Name],0)))),"Err")</f>
        <v/>
      </c>
      <c r="BX64" s="757" t="str" cm="1">
        <f t="array" ref="BX64">IFERROR(INDEX(_xlfn.SWITCH(Program_Banner,"Business Energy Savings",CLHVAC[Primary Key WBE],"Small Business / Non-Profit",CLHVAC[Primary Key HTRB],0),MATCH(BW64,CLHVAC[Measure Number],0)),"")</f>
        <v/>
      </c>
      <c r="BY64" s="1253" t="str">
        <f>IFERROR(
IF(OR(C64="",N64="",T64="",V64="",AA64="",AE64="",AG64=""),
"",
IF(BP64&gt;0,"",IF(OR(AND(ISNUMBER(SEARCH("kW/ton", J64)),OR(L64&lt;N64,R64&lt;T64)),AND(NOT(ISNUMBER(SEARCH("kW/ton", J64))),OR(L64&gt;N64,R64&gt;T64))),
"Must Improve Efficiency",
IFERROR(IF(EXPIRATION&lt;&gt;"",PROJSTATEXP,
IF(BP64&gt;0,"",
IF(OR(M02S04F06="",M02S04F06="Select Rate Code",M02S04F06=0),MEASURERATE,
IF(M02S04F22="", SPACECONDTYPE,
IF(PAYCUSE&lt;PAYBACKREQ,PROJECTSTATPAYBACK,
IF(BN64&lt;CBREQ,PROJECTSTATCB,"")))))),MEASURESUBMIT)))),"")</f>
        <v/>
      </c>
      <c r="BZ64" s="1247" t="str">
        <f>IFERROR(IF(INDEX(CLHVAC[Eff Unit 3],MATCH(C64,CLHVAC[Measure Name],0))="","",INDEX(CLHVAC[Eff Unit 3],MATCH(C64,CLHVAC[Measure Name],0))),"")</f>
        <v/>
      </c>
      <c r="CA64" s="1249" t="str">
        <f>IFERROR(IF(INDEX(CLHVAC[Base Efficiency 3],MATCH(C64,CLHVAC[Measure Name],0))="","",INDEX(CLHVAC[Base Efficiency 3],MATCH(C64,CLHVAC[Measure Name],0))),"")</f>
        <v/>
      </c>
      <c r="CB64" s="1251" t="str">
        <f t="shared" ref="CB64" si="188">IFERROR(IF(ISNUMBER(SEARCH("Air-Cooled Chiller",$C64)),12/N64,""),"")</f>
        <v/>
      </c>
      <c r="CC64" s="1252"/>
    </row>
    <row r="65" spans="2:81" ht="15.95" customHeight="1">
      <c r="B65" s="785"/>
      <c r="C65" s="793"/>
      <c r="D65" s="795"/>
      <c r="E65" s="795"/>
      <c r="F65" s="795"/>
      <c r="G65" s="795"/>
      <c r="H65" s="795"/>
      <c r="I65" s="795"/>
      <c r="J65" s="934"/>
      <c r="K65" s="935"/>
      <c r="L65" s="930"/>
      <c r="M65" s="931"/>
      <c r="N65" s="915"/>
      <c r="O65" s="916"/>
      <c r="P65" s="934"/>
      <c r="Q65" s="935"/>
      <c r="R65" s="930"/>
      <c r="S65" s="931"/>
      <c r="T65" s="917"/>
      <c r="U65" s="918"/>
      <c r="V65" s="926"/>
      <c r="W65" s="927"/>
      <c r="X65" s="793"/>
      <c r="Y65" s="795"/>
      <c r="Z65" s="794"/>
      <c r="AA65" s="904"/>
      <c r="AB65" s="905"/>
      <c r="AC65" s="905"/>
      <c r="AD65" s="906"/>
      <c r="AE65" s="809"/>
      <c r="AF65" s="810"/>
      <c r="AG65" s="810"/>
      <c r="AH65" s="812"/>
      <c r="AI65" s="921"/>
      <c r="AJ65" s="921"/>
      <c r="AK65" s="921"/>
      <c r="AL65" s="922"/>
      <c r="AM65" s="816"/>
      <c r="AN65" s="816"/>
      <c r="AO65" s="818"/>
      <c r="AP65" s="818"/>
      <c r="AQ65" s="818"/>
      <c r="AR65" s="841"/>
      <c r="AS65" s="841"/>
      <c r="AT65" s="841"/>
      <c r="AU65" s="841"/>
      <c r="AV65" s="17"/>
      <c r="AX65" s="1243"/>
      <c r="AY65" s="760"/>
      <c r="AZ65" s="760"/>
      <c r="BA65" s="920"/>
      <c r="BB65" s="920"/>
      <c r="BC65" s="1243"/>
      <c r="BD65" s="1239"/>
      <c r="BE65" s="776"/>
      <c r="BF65" s="776"/>
      <c r="BG65" s="776"/>
      <c r="BH65" s="1241"/>
      <c r="BI65" s="1241"/>
      <c r="BJ65" s="778"/>
      <c r="BK65" s="768"/>
      <c r="BL65" s="768"/>
      <c r="BM65" s="766"/>
      <c r="BN65" s="764"/>
      <c r="BO65" s="764"/>
      <c r="BP65" s="770"/>
      <c r="BQ65" s="768"/>
      <c r="BR65" s="768"/>
      <c r="BS65" s="766"/>
      <c r="BT65" s="766"/>
      <c r="BU65" s="1239"/>
      <c r="BV65" s="768"/>
      <c r="BW65" s="1239"/>
      <c r="BX65" s="758"/>
      <c r="BY65" s="1254"/>
      <c r="BZ65" s="1248"/>
      <c r="CA65" s="1250"/>
      <c r="CB65" s="913"/>
      <c r="CC65" s="909"/>
    </row>
    <row r="66" spans="2:81" ht="15.95" customHeight="1">
      <c r="B66" s="785">
        <v>25</v>
      </c>
      <c r="C66" s="825"/>
      <c r="D66" s="826"/>
      <c r="E66" s="826"/>
      <c r="F66" s="826"/>
      <c r="G66" s="826"/>
      <c r="H66" s="826"/>
      <c r="I66" s="826"/>
      <c r="J66" s="932" t="str">
        <f>IF(C66="","",INDEX(CLHVAC[Eff Unit 1],MATCH(C66,CLHVAC[Measure Name],0)))</f>
        <v/>
      </c>
      <c r="K66" s="933"/>
      <c r="L66" s="928" t="str">
        <f>IF(C66="","",INDEX(CLHVAC[Base Efficiency 1],MATCH(C66,CLHVAC[Measure Name],0)))</f>
        <v/>
      </c>
      <c r="M66" s="929"/>
      <c r="N66" s="915"/>
      <c r="O66" s="916"/>
      <c r="P66" s="932" t="str">
        <f>IF(C66="","",INDEX(CLHVAC[Eff Unit 2],MATCH(C66,CLHVAC[Measure Name],0)))</f>
        <v/>
      </c>
      <c r="Q66" s="933"/>
      <c r="R66" s="928" t="str">
        <f>IF(C66="","",INDEX(CLHVAC[Base Efficiency 2],MATCH(C66,CLHVAC[Measure Name],0)))</f>
        <v/>
      </c>
      <c r="S66" s="929"/>
      <c r="T66" s="917" t="str">
        <f>IF(AND(ISNUMBER(SEARCH("DX",C66)),ISNUMBER(SEARCH("&lt;65 kbtu",C66)),N66&lt;&gt;""),1.12*N66-0.02*N66^2,IF(AND(ISNUMBER(SEARCH("PTAC",C66)),N66&lt;&gt;""),1,""))</f>
        <v/>
      </c>
      <c r="U66" s="918"/>
      <c r="V66" s="926"/>
      <c r="W66" s="927"/>
      <c r="X66" s="825"/>
      <c r="Y66" s="826"/>
      <c r="Z66" s="827"/>
      <c r="AA66" s="904"/>
      <c r="AB66" s="905"/>
      <c r="AC66" s="905"/>
      <c r="AD66" s="906"/>
      <c r="AE66" s="809"/>
      <c r="AF66" s="810"/>
      <c r="AG66" s="810"/>
      <c r="AH66" s="812"/>
      <c r="AI66" s="948" t="str">
        <f>IF(C66="","",INDEX(CLHVAC[Current Unit],MATCH(C66,CLHVAC[Measure Name],0)))</f>
        <v/>
      </c>
      <c r="AJ66" s="948"/>
      <c r="AK66" s="948"/>
      <c r="AL66" s="949"/>
      <c r="AM66" s="814" t="str" cm="1">
        <f t="array" ref="AM66">IFERROR(IF(C66="","",INDEX(IF(AND(ACTIVEBONUS = TRUE,INDEX(CLHVAC[Bonus Incentive],MATCH(C66,CLHVAC[Measure Name],0))&lt;&gt; ""),CLHVAC[Bonus Incentive],_xlfn.SWITCH(Program_Banner,"Business Energy Savings",CLHVAC[BESP Incentive],"Small Business / Non-Profit",CLHVAC[SBNP Incentive],0)),MATCH(C66,CLHVAC[Measure Name],0))),"")</f>
        <v/>
      </c>
      <c r="AN66" s="814"/>
      <c r="AO66" s="817" t="str">
        <f t="shared" ref="AO66" si="189">IFERROR(IF(OR(C66="",N66="",T66="",V66="",AA66="",AE66="",AG66=""),"",IF(BE66&lt;=0, 0, BE66)),"")</f>
        <v/>
      </c>
      <c r="AP66" s="817"/>
      <c r="AQ66" s="817"/>
      <c r="AR66" s="840" t="str">
        <f>IFERROR(IF(OR(C66="",N66="",V66="",AA66="",T66="",AE66="",AG66=""),"",IF(BY66&lt;&gt;"",BY66,IF(BP66&gt;0,BP66,ROUND(IF(AO66&lt;=0,0,MIN(BL66,BQ66)), 2)))), "")</f>
        <v/>
      </c>
      <c r="AS66" s="840"/>
      <c r="AT66" s="840"/>
      <c r="AU66" s="840"/>
      <c r="AV66" s="17"/>
      <c r="AX66" s="1242" t="str">
        <f>IFERROR(IF(OR(C66="",N66="",V66="",AA66="",T66="",AE66="",AG66=""),"",INDEX(CLHVAC[Current Unit],MATCH(C66,CLHVAC[Measure Name],0))),"Err")</f>
        <v/>
      </c>
      <c r="AY66" s="759" t="str">
        <f t="shared" ref="AY66" si="190">IF(OR(L66="", N66="", V66=""), "", ABS(N66-L66)*V66)</f>
        <v/>
      </c>
      <c r="AZ66" s="759" t="str">
        <f t="shared" ref="AZ66" si="191">IF(OR(L66="", N66="", V66=""), "", ABS(N66-L66)*V66)</f>
        <v/>
      </c>
      <c r="BA66" s="919" t="str">
        <f>IF(C66&lt;&gt;"", _xlfn.LET(
_xlpm.Tons_Cool, V66, _xlpm.PLC_Base, L66, _xlpm.Tons_Heat, CC66, _xlpm.Other_Base, R66,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(12/_xlpm.PLC_Base)*_xlpm.EFLH_Cool,
IF(ISNUMBER(SEARCH("Water", C66)),
_xlpm.Tons_Cool * (_xlpm.PLC_Base) * _xlpm.EFLH_Cool,
" "
)),4),
_xlpm.kWhHeat,
IF(
_xlpm.ElecHeat=1,
ROUND(
IF(OR(ISNUMBER(SEARCH("DX", C66)),ISNUMBER(SEARCH("PTAC", C66)), ISNUMBER(SEARCH("Air-Cooled Chiller", C66)), ISNUMBER(SEARCH("Water", C66)),
ISNUMBER(SEARCH("VRF", C66))),
0,
IF(
OR(ISNUMBER(SEARCH("ASHP", C66)), ISNUMBER(SEARCH("PTHP", C66))),
_xlpm.Tons_Heat * (1/_xlpm.Other_Base) * _xlpm.EFLH_Heat,
" "
)),4),
0
),
IFERROR(_xlpm.kWhCool + _xlpm.kWhHeat, "Measure Not Specified.")
), "")</f>
        <v/>
      </c>
      <c r="BB66" s="919" t="str">
        <f>IF(C66&lt;&gt;"", _xlfn.LET(
_xlpm.Tons_Cool, V66,_xlpm.PLC_Eff, N66, _xlpm.Tons_Heat, CC66, _xlpm.Other_Eff, T66,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(12/_xlpm.PLC_Eff)*_xlpm.EFLH_Cool,
IF(ISNUMBER(SEARCH("Water", C66)),
_xlpm.Tons_Cool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(1/_xlpm.Other_Eff) * _xlpm.EFLH_Heat,
" "
)),4),
0
),
IFERROR(_xlpm.kWhCool + _xlpm.kWhHeat, "Measure Not Specified.")
), "")</f>
        <v/>
      </c>
      <c r="BC66" s="1242" t="str">
        <f>IFERROR(IF(OR(C66="",N66="",V66="",AA66="",T66="",AE66="",AG66=""),"",INDEX(CLHVAC[End Use],MATCH(C66,CLHVAC[Measure Name],0))),"Err")</f>
        <v/>
      </c>
      <c r="BD66" s="1238" t="str">
        <f>IFERROR(IF(OR(C66="",N66="",V66="",AA66="",T66="",AE66="",AG66=""),"",INDEX(CLHVAC[Reporting Methodology],MATCH(C66,CLHVAC[Measure Name],0))),"Err")</f>
        <v/>
      </c>
      <c r="BE66" s="775" t="str">
        <f t="shared" si="2"/>
        <v/>
      </c>
      <c r="BF66" s="775" t="str">
        <f t="shared" ref="BF66" si="192">IF(C66&lt;&gt;"", _xlfn.LET(
_xlpm.Tons, V66, _xlpm.PCF, 0.913,
IF(OR(ISNUMBER(SEARCH("DX", C66)), ISNUMBER(SEARCH("Air-Cooled Chiller", C66)), ISNUMBER(SEARCH("VRF", C66))),
IFERROR(_xlpm.Tons * (12/R66 - 12/T66) * _xlpm.PCF, 0),
IF(ISNUMBER(SEARCH("Water", C66)),
IFERROR(_xlpm.Tons * (R66-T66) * _xlpm.PCF, 0),
IF(ISNUMBER(SEARCH("ASHP", C66)),
IFERROR(_xlpm.Tons * (12/CA66 - 12/CB66) * _xlpm.PCF, 0),
IF(OR(ISNUMBER(SEARCH("PTAC", C66)), ISNUMBER(SEARCH("PTHP", C66))),
IFERROR(_xlpm.Tons * (12/L66 - 12/N66) * _xlpm.PCF, 0),
"Measure Not Specified."))))), "")</f>
        <v/>
      </c>
      <c r="BG66" s="775"/>
      <c r="BH66" s="1240"/>
      <c r="BI66" s="1240"/>
      <c r="BJ66" s="777" t="str">
        <f>IFERROR(INDEX(CLHVAC[Measure Life (Years)],MATCH(C66,CLHVAC[Measure Name],0)),"")</f>
        <v/>
      </c>
      <c r="BK66" s="767" t="str">
        <f>IFERROR(IF(OR(C66="",N66="",T66="",V66="",AA66="",AE66="",AG66=""),"",
ROUND(((1+ELOSS)*((BE66*INDEX(ELECCB[NPV AEC $/kWh],MATCH(BJ66,ELECCB[Year Number],1)))+(BF66*INDEX(ELECCB[NPV ACC $/kW],MATCH(BJ66,ELECCB[Year Number],1))))),2)),0)</f>
        <v/>
      </c>
      <c r="BL66" s="767" t="str">
        <f t="shared" ref="BL66" si="193">IF(OR(C66="",N66="",V66="",AA66="",T66="",AE66="",AG66=""),"",ROUND(AE66+AG66,2))</f>
        <v/>
      </c>
      <c r="BM66" s="765"/>
      <c r="BN66" s="763" t="str">
        <f t="shared" si="4"/>
        <v/>
      </c>
      <c r="BO66" s="763" t="str">
        <f>IFERROR(IF(BM66 &lt;&gt; "", BM66, BL66) / M02S04F06 / AO66, "")</f>
        <v/>
      </c>
      <c r="BP66" s="769"/>
      <c r="BQ66" s="767" t="str">
        <f t="shared" ref="BQ66" si="194">IFERROR(IF(AI66="per ton", ROUND(V66*AM66, 2),
IF(AND(ISNUMBER(SEARCH("Air-Cooled Chiller",C66)),AI66="$/ton/IPLV"), ROUND((12/L66-12/N66)*V66*AM66, 2),
ROUND(ABS(N66-L66)*V66*AM66, 2))), "")</f>
        <v/>
      </c>
      <c r="BR66" s="767"/>
      <c r="BS66" s="765"/>
      <c r="BT66" s="765"/>
      <c r="BU66" s="1238" t="str">
        <f t="shared" ref="BU66" si="195">IFERROR(IF(BP66="",IF(AND(AO66&gt;0, AR66 &lt; BQ66), "100% Total Cost", ""), ""), "")</f>
        <v/>
      </c>
      <c r="BV66" s="767"/>
      <c r="BW66" s="1238" t="str">
        <f>IFERROR(IF(OR(C66="",N66="",V66="",AA66="",T66="",AE66="",AG66=""),"",IF(BY66&lt;&gt;"", SPILLOVERNUMBER, INDEX(CLHVAC[Measure Number],MATCH(C66,CLHVAC[Measure Name],0)))),"Err")</f>
        <v/>
      </c>
      <c r="BX66" s="757" t="str" cm="1">
        <f t="array" ref="BX66">IFERROR(INDEX(_xlfn.SWITCH(Program_Banner,"Business Energy Savings",CLHVAC[Primary Key WBE],"Small Business / Non-Profit",CLHVAC[Primary Key HTRB],0),MATCH(BW66,CLHVAC[Measure Number],0)),"")</f>
        <v/>
      </c>
      <c r="BY66" s="1253" t="str">
        <f>IFERROR(
IF(OR(C66="",N66="",T66="",V66="",AA66="",AE66="",AG66=""),
"",
IF(BP66&gt;0,"",IF(OR(AND(ISNUMBER(SEARCH("kW/ton", J66)),OR(L66&lt;N66,R66&lt;T66)),AND(NOT(ISNUMBER(SEARCH("kW/ton", J66))),OR(L66&gt;N66,R66&gt;T66))),
"Must Improve Efficiency",
IFERROR(IF(EXPIRATION&lt;&gt;"",PROJSTATEXP,
IF(BP66&gt;0,"",
IF(OR(M02S04F06="",M02S04F06="Select Rate Code",M02S04F06=0),MEASURERATE,
IF(M02S04F22="", SPACECONDTYPE,
IF(PAYCUSE&lt;PAYBACKREQ,PROJECTSTATPAYBACK,
IF(BN66&lt;CBREQ,PROJECTSTATCB,"")))))),MEASURESUBMIT)))),"")</f>
        <v/>
      </c>
      <c r="BZ66" s="1247" t="str">
        <f>IFERROR(IF(INDEX(CLHVAC[Eff Unit 3],MATCH(C66,CLHVAC[Measure Name],0))="","",INDEX(CLHVAC[Eff Unit 3],MATCH(C66,CLHVAC[Measure Name],0))),"")</f>
        <v/>
      </c>
      <c r="CA66" s="1249" t="str">
        <f>IFERROR(IF(INDEX(CLHVAC[Base Efficiency 3],MATCH(C66,CLHVAC[Measure Name],0))="","",INDEX(CLHVAC[Base Efficiency 3],MATCH(C66,CLHVAC[Measure Name],0))),"")</f>
        <v/>
      </c>
      <c r="CB66" s="1251" t="str">
        <f t="shared" ref="CB66" si="196">IFERROR(IF(ISNUMBER(SEARCH("Air-Cooled Chiller",$C66)),12/N66,""),"")</f>
        <v/>
      </c>
      <c r="CC66" s="1252"/>
    </row>
    <row r="67" spans="2:81" ht="15.95" customHeight="1">
      <c r="B67" s="785"/>
      <c r="C67" s="793"/>
      <c r="D67" s="795"/>
      <c r="E67" s="795"/>
      <c r="F67" s="795"/>
      <c r="G67" s="795"/>
      <c r="H67" s="795"/>
      <c r="I67" s="795"/>
      <c r="J67" s="934"/>
      <c r="K67" s="935"/>
      <c r="L67" s="930"/>
      <c r="M67" s="931"/>
      <c r="N67" s="915"/>
      <c r="O67" s="916"/>
      <c r="P67" s="934"/>
      <c r="Q67" s="935"/>
      <c r="R67" s="930"/>
      <c r="S67" s="931"/>
      <c r="T67" s="917"/>
      <c r="U67" s="918"/>
      <c r="V67" s="926"/>
      <c r="W67" s="927"/>
      <c r="X67" s="793"/>
      <c r="Y67" s="795"/>
      <c r="Z67" s="794"/>
      <c r="AA67" s="904"/>
      <c r="AB67" s="905"/>
      <c r="AC67" s="905"/>
      <c r="AD67" s="906"/>
      <c r="AE67" s="809"/>
      <c r="AF67" s="810"/>
      <c r="AG67" s="810"/>
      <c r="AH67" s="812"/>
      <c r="AI67" s="921"/>
      <c r="AJ67" s="921"/>
      <c r="AK67" s="921"/>
      <c r="AL67" s="922"/>
      <c r="AM67" s="816"/>
      <c r="AN67" s="816"/>
      <c r="AO67" s="818"/>
      <c r="AP67" s="818"/>
      <c r="AQ67" s="818"/>
      <c r="AR67" s="841"/>
      <c r="AS67" s="841"/>
      <c r="AT67" s="841"/>
      <c r="AU67" s="841"/>
      <c r="AV67" s="17"/>
      <c r="AX67" s="1243"/>
      <c r="AY67" s="760"/>
      <c r="AZ67" s="760"/>
      <c r="BA67" s="920"/>
      <c r="BB67" s="920"/>
      <c r="BC67" s="1243"/>
      <c r="BD67" s="1239"/>
      <c r="BE67" s="776"/>
      <c r="BF67" s="776"/>
      <c r="BG67" s="776"/>
      <c r="BH67" s="1241"/>
      <c r="BI67" s="1241"/>
      <c r="BJ67" s="778"/>
      <c r="BK67" s="768"/>
      <c r="BL67" s="768"/>
      <c r="BM67" s="766"/>
      <c r="BN67" s="764"/>
      <c r="BO67" s="764"/>
      <c r="BP67" s="770"/>
      <c r="BQ67" s="768"/>
      <c r="BR67" s="768"/>
      <c r="BS67" s="766"/>
      <c r="BT67" s="766"/>
      <c r="BU67" s="1239"/>
      <c r="BV67" s="768"/>
      <c r="BW67" s="1239"/>
      <c r="BX67" s="758"/>
      <c r="BY67" s="1254"/>
      <c r="BZ67" s="1248"/>
      <c r="CA67" s="1250"/>
      <c r="CB67" s="913"/>
      <c r="CC67" s="909"/>
    </row>
    <row r="68" spans="2:81" ht="15.95" customHeight="1">
      <c r="B68" s="785">
        <v>26</v>
      </c>
      <c r="C68" s="825"/>
      <c r="D68" s="826"/>
      <c r="E68" s="826"/>
      <c r="F68" s="826"/>
      <c r="G68" s="826"/>
      <c r="H68" s="826"/>
      <c r="I68" s="826"/>
      <c r="J68" s="932" t="str">
        <f>IF(C68="","",INDEX(CLHVAC[Eff Unit 1],MATCH(C68,CLHVAC[Measure Name],0)))</f>
        <v/>
      </c>
      <c r="K68" s="933"/>
      <c r="L68" s="928" t="str">
        <f>IF(C68="","",INDEX(CLHVAC[Base Efficiency 1],MATCH(C68,CLHVAC[Measure Name],0)))</f>
        <v/>
      </c>
      <c r="M68" s="929"/>
      <c r="N68" s="915"/>
      <c r="O68" s="916"/>
      <c r="P68" s="932" t="str">
        <f>IF(C68="","",INDEX(CLHVAC[Eff Unit 2],MATCH(C68,CLHVAC[Measure Name],0)))</f>
        <v/>
      </c>
      <c r="Q68" s="933"/>
      <c r="R68" s="928" t="str">
        <f>IF(C68="","",INDEX(CLHVAC[Base Efficiency 2],MATCH(C68,CLHVAC[Measure Name],0)))</f>
        <v/>
      </c>
      <c r="S68" s="929"/>
      <c r="T68" s="917" t="str">
        <f>IF(AND(ISNUMBER(SEARCH("DX",C68)),ISNUMBER(SEARCH("&lt;65 kbtu",C68)),N68&lt;&gt;""),1.12*N68-0.02*N68^2,IF(AND(ISNUMBER(SEARCH("PTAC",C68)),N68&lt;&gt;""),1,""))</f>
        <v/>
      </c>
      <c r="U68" s="918"/>
      <c r="V68" s="926"/>
      <c r="W68" s="927"/>
      <c r="X68" s="825"/>
      <c r="Y68" s="826"/>
      <c r="Z68" s="827"/>
      <c r="AA68" s="904"/>
      <c r="AB68" s="905"/>
      <c r="AC68" s="905"/>
      <c r="AD68" s="906"/>
      <c r="AE68" s="809"/>
      <c r="AF68" s="810"/>
      <c r="AG68" s="810"/>
      <c r="AH68" s="812"/>
      <c r="AI68" s="948" t="str">
        <f>IF(C68="","",INDEX(CLHVAC[Current Unit],MATCH(C68,CLHVAC[Measure Name],0)))</f>
        <v/>
      </c>
      <c r="AJ68" s="948"/>
      <c r="AK68" s="948"/>
      <c r="AL68" s="949"/>
      <c r="AM68" s="814" t="str" cm="1">
        <f t="array" ref="AM68">IFERROR(IF(C68="","",INDEX(IF(AND(ACTIVEBONUS = TRUE,INDEX(CLHVAC[Bonus Incentive],MATCH(C68,CLHVAC[Measure Name],0))&lt;&gt; ""),CLHVAC[Bonus Incentive],_xlfn.SWITCH(Program_Banner,"Business Energy Savings",CLHVAC[BESP Incentive],"Small Business / Non-Profit",CLHVAC[SBNP Incentive],0)),MATCH(C68,CLHVAC[Measure Name],0))),"")</f>
        <v/>
      </c>
      <c r="AN68" s="814"/>
      <c r="AO68" s="817" t="str">
        <f t="shared" ref="AO68" si="197">IFERROR(IF(OR(C68="",N68="",T68="",V68="",AA68="",AE68="",AG68=""),"",IF(BE68&lt;=0, 0, BE68)),"")</f>
        <v/>
      </c>
      <c r="AP68" s="817"/>
      <c r="AQ68" s="817"/>
      <c r="AR68" s="840" t="str">
        <f>IFERROR(IF(OR(C68="",N68="",V68="",AA68="",T68="",AE68="",AG68=""),"",IF(BY68&lt;&gt;"",BY68,IF(BP68&gt;0,BP68,ROUND(IF(AO68&lt;=0,0,MIN(BL68,BQ68)), 2)))), "")</f>
        <v/>
      </c>
      <c r="AS68" s="840"/>
      <c r="AT68" s="840"/>
      <c r="AU68" s="840"/>
      <c r="AV68" s="17"/>
      <c r="AX68" s="1242" t="str">
        <f>IFERROR(IF(OR(C68="",N68="",V68="",AA68="",T68="",AE68="",AG68=""),"",INDEX(CLHVAC[Current Unit],MATCH(C68,CLHVAC[Measure Name],0))),"Err")</f>
        <v/>
      </c>
      <c r="AY68" s="759" t="str">
        <f t="shared" ref="AY68" si="198">IF(OR(L68="", N68="", V68=""), "", ABS(N68-L68)*V68)</f>
        <v/>
      </c>
      <c r="AZ68" s="759" t="str">
        <f t="shared" ref="AZ68" si="199">IF(OR(L68="", N68="", V68=""), "", ABS(N68-L68)*V68)</f>
        <v/>
      </c>
      <c r="BA68" s="919" t="str">
        <f>IF(C68&lt;&gt;"", _xlfn.LET(
_xlpm.Tons_Cool, V68, _xlpm.PLC_Base, L68, _xlpm.Tons_Heat, CC68, _xlpm.Other_Base, R68,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(12/_xlpm.PLC_Base)*_xlpm.EFLH_Cool,
IF(ISNUMBER(SEARCH("Water", C68)),
_xlpm.Tons_Cool * (_xlpm.PLC_Base) * _xlpm.EFLH_Cool,
" "
)),4),
_xlpm.kWhHeat,
IF(
_xlpm.ElecHeat=1,
ROUND(
IF(OR(ISNUMBER(SEARCH("DX", C68)),ISNUMBER(SEARCH("PTAC", C68)), ISNUMBER(SEARCH("Air-Cooled Chiller", C68)), ISNUMBER(SEARCH("Water", C68)),
ISNUMBER(SEARCH("VRF", C68))),
0,
IF(
OR(ISNUMBER(SEARCH("ASHP", C68)), ISNUMBER(SEARCH("PTHP", C68))),
_xlpm.Tons_Heat * (1/_xlpm.Other_Base) * _xlpm.EFLH_Heat,
" "
)),4),
0
),
IFERROR(_xlpm.kWhCool + _xlpm.kWhHeat, "Measure Not Specified.")
), "")</f>
        <v/>
      </c>
      <c r="BB68" s="919" t="str">
        <f>IF(C68&lt;&gt;"", _xlfn.LET(
_xlpm.Tons_Cool, V68,_xlpm.PLC_Eff, N68, _xlpm.Tons_Heat, CC68, _xlpm.Other_Eff, T68,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(12/_xlpm.PLC_Eff)*_xlpm.EFLH_Cool,
IF(ISNUMBER(SEARCH("Water", C68)),
_xlpm.Tons_Cool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(1/_xlpm.Other_Eff) * _xlpm.EFLH_Heat,
" "
)),4),
0
),
IFERROR(_xlpm.kWhCool + _xlpm.kWhHeat, "Measure Not Specified.")
), "")</f>
        <v/>
      </c>
      <c r="BC68" s="1242" t="str">
        <f>IFERROR(IF(OR(C68="",N68="",V68="",AA68="",T68="",AE68="",AG68=""),"",INDEX(CLHVAC[End Use],MATCH(C68,CLHVAC[Measure Name],0))),"Err")</f>
        <v/>
      </c>
      <c r="BD68" s="1238" t="str">
        <f>IFERROR(IF(OR(C68="",N68="",V68="",AA68="",T68="",AE68="",AG68=""),"",INDEX(CLHVAC[Reporting Methodology],MATCH(C68,CLHVAC[Measure Name],0))),"Err")</f>
        <v/>
      </c>
      <c r="BE68" s="775" t="str">
        <f t="shared" si="2"/>
        <v/>
      </c>
      <c r="BF68" s="775" t="str">
        <f t="shared" ref="BF68" si="200">IF(C68&lt;&gt;"", _xlfn.LET(
_xlpm.Tons, V68, _xlpm.PCF, 0.913,
IF(OR(ISNUMBER(SEARCH("DX", C68)), ISNUMBER(SEARCH("Air-Cooled Chiller", C68)), ISNUMBER(SEARCH("VRF", C68))),
IFERROR(_xlpm.Tons * (12/R68 - 12/T68) * _xlpm.PCF, 0),
IF(ISNUMBER(SEARCH("Water", C68)),
IFERROR(_xlpm.Tons * (R68-T68) * _xlpm.PCF, 0),
IF(ISNUMBER(SEARCH("ASHP", C68)),
IFERROR(_xlpm.Tons * (12/CA68 - 12/CB68) * _xlpm.PCF, 0),
IF(OR(ISNUMBER(SEARCH("PTAC", C68)), ISNUMBER(SEARCH("PTHP", C68))),
IFERROR(_xlpm.Tons * (12/L68 - 12/N68) * _xlpm.PCF, 0),
"Measure Not Specified."))))), "")</f>
        <v/>
      </c>
      <c r="BG68" s="775"/>
      <c r="BH68" s="1240"/>
      <c r="BI68" s="1240"/>
      <c r="BJ68" s="777" t="str">
        <f>IFERROR(INDEX(CLHVAC[Measure Life (Years)],MATCH(C68,CLHVAC[Measure Name],0)),"")</f>
        <v/>
      </c>
      <c r="BK68" s="767" t="str">
        <f>IFERROR(IF(OR(C68="",N68="",T68="",V68="",AA68="",AE68="",AG68=""),"",
ROUND(((1+ELOSS)*((BE68*INDEX(ELECCB[NPV AEC $/kWh],MATCH(BJ68,ELECCB[Year Number],1)))+(BF68*INDEX(ELECCB[NPV ACC $/kW],MATCH(BJ68,ELECCB[Year Number],1))))),2)),0)</f>
        <v/>
      </c>
      <c r="BL68" s="767" t="str">
        <f t="shared" ref="BL68" si="201">IF(OR(C68="",N68="",V68="",AA68="",T68="",AE68="",AG68=""),"",ROUND(AE68+AG68,2))</f>
        <v/>
      </c>
      <c r="BM68" s="765"/>
      <c r="BN68" s="763" t="str">
        <f t="shared" si="4"/>
        <v/>
      </c>
      <c r="BO68" s="763" t="str">
        <f>IFERROR(IF(BM68 &lt;&gt; "", BM68, BL68) / M02S04F06 / AO68, "")</f>
        <v/>
      </c>
      <c r="BP68" s="769"/>
      <c r="BQ68" s="767" t="str">
        <f t="shared" ref="BQ68" si="202">IFERROR(IF(AI68="per ton", ROUND(V68*AM68, 2),
IF(AND(ISNUMBER(SEARCH("Air-Cooled Chiller",C68)),AI68="$/ton/IPLV"), ROUND((12/L68-12/N68)*V68*AM68, 2),
ROUND(ABS(N68-L68)*V68*AM68, 2))), "")</f>
        <v/>
      </c>
      <c r="BR68" s="767"/>
      <c r="BS68" s="765"/>
      <c r="BT68" s="765"/>
      <c r="BU68" s="1238" t="str">
        <f t="shared" ref="BU68" si="203">IFERROR(IF(BP68="",IF(AND(AO68&gt;0, AR68 &lt; BQ68), "100% Total Cost", ""), ""), "")</f>
        <v/>
      </c>
      <c r="BV68" s="767"/>
      <c r="BW68" s="1238" t="str">
        <f>IFERROR(IF(OR(C68="",N68="",V68="",AA68="",T68="",AE68="",AG68=""),"",IF(BY68&lt;&gt;"", SPILLOVERNUMBER, INDEX(CLHVAC[Measure Number],MATCH(C68,CLHVAC[Measure Name],0)))),"Err")</f>
        <v/>
      </c>
      <c r="BX68" s="757" t="str" cm="1">
        <f t="array" ref="BX68">IFERROR(INDEX(_xlfn.SWITCH(Program_Banner,"Business Energy Savings",CLHVAC[Primary Key WBE],"Small Business / Non-Profit",CLHVAC[Primary Key HTRB],0),MATCH(BW68,CLHVAC[Measure Number],0)),"")</f>
        <v/>
      </c>
      <c r="BY68" s="1253" t="str">
        <f>IFERROR(
IF(OR(C68="",N68="",T68="",V68="",AA68="",AE68="",AG68=""),
"",
IF(BP68&gt;0,"",IF(OR(AND(ISNUMBER(SEARCH("kW/ton", J68)),OR(L68&lt;N68,R68&lt;T68)),AND(NOT(ISNUMBER(SEARCH("kW/ton", J68))),OR(L68&gt;N68,R68&gt;T68))),
"Must Improve Efficiency",
IFERROR(IF(EXPIRATION&lt;&gt;"",PROJSTATEXP,
IF(BP68&gt;0,"",
IF(OR(M02S04F06="",M02S04F06="Select Rate Code",M02S04F06=0),MEASURERATE,
IF(M02S04F22="", SPACECONDTYPE,
IF(PAYCUSE&lt;PAYBACKREQ,PROJECTSTATPAYBACK,
IF(BN68&lt;CBREQ,PROJECTSTATCB,"")))))),MEASURESUBMIT)))),"")</f>
        <v/>
      </c>
      <c r="BZ68" s="1247" t="str">
        <f>IFERROR(IF(INDEX(CLHVAC[Eff Unit 3],MATCH(C68,CLHVAC[Measure Name],0))="","",INDEX(CLHVAC[Eff Unit 3],MATCH(C68,CLHVAC[Measure Name],0))),"")</f>
        <v/>
      </c>
      <c r="CA68" s="1249" t="str">
        <f>IFERROR(IF(INDEX(CLHVAC[Base Efficiency 3],MATCH(C68,CLHVAC[Measure Name],0))="","",INDEX(CLHVAC[Base Efficiency 3],MATCH(C68,CLHVAC[Measure Name],0))),"")</f>
        <v/>
      </c>
      <c r="CB68" s="1251" t="str">
        <f t="shared" ref="CB68" si="204">IFERROR(IF(ISNUMBER(SEARCH("Air-Cooled Chiller",$C68)),12/N68,""),"")</f>
        <v/>
      </c>
      <c r="CC68" s="1252"/>
    </row>
    <row r="69" spans="2:81" ht="15.95" customHeight="1">
      <c r="B69" s="785"/>
      <c r="C69" s="793"/>
      <c r="D69" s="795"/>
      <c r="E69" s="795"/>
      <c r="F69" s="795"/>
      <c r="G69" s="795"/>
      <c r="H69" s="795"/>
      <c r="I69" s="795"/>
      <c r="J69" s="934"/>
      <c r="K69" s="935"/>
      <c r="L69" s="930"/>
      <c r="M69" s="931"/>
      <c r="N69" s="915"/>
      <c r="O69" s="916"/>
      <c r="P69" s="934"/>
      <c r="Q69" s="935"/>
      <c r="R69" s="930"/>
      <c r="S69" s="931"/>
      <c r="T69" s="917"/>
      <c r="U69" s="918"/>
      <c r="V69" s="926"/>
      <c r="W69" s="927"/>
      <c r="X69" s="793"/>
      <c r="Y69" s="795"/>
      <c r="Z69" s="794"/>
      <c r="AA69" s="904"/>
      <c r="AB69" s="905"/>
      <c r="AC69" s="905"/>
      <c r="AD69" s="906"/>
      <c r="AE69" s="809"/>
      <c r="AF69" s="810"/>
      <c r="AG69" s="810"/>
      <c r="AH69" s="812"/>
      <c r="AI69" s="921"/>
      <c r="AJ69" s="921"/>
      <c r="AK69" s="921"/>
      <c r="AL69" s="922"/>
      <c r="AM69" s="816"/>
      <c r="AN69" s="816"/>
      <c r="AO69" s="818"/>
      <c r="AP69" s="818"/>
      <c r="AQ69" s="818"/>
      <c r="AR69" s="841"/>
      <c r="AS69" s="841"/>
      <c r="AT69" s="841"/>
      <c r="AU69" s="841"/>
      <c r="AV69" s="17"/>
      <c r="AX69" s="1243"/>
      <c r="AY69" s="760"/>
      <c r="AZ69" s="760"/>
      <c r="BA69" s="920"/>
      <c r="BB69" s="920"/>
      <c r="BC69" s="1243"/>
      <c r="BD69" s="1239"/>
      <c r="BE69" s="776"/>
      <c r="BF69" s="776"/>
      <c r="BG69" s="776"/>
      <c r="BH69" s="1241"/>
      <c r="BI69" s="1241"/>
      <c r="BJ69" s="778"/>
      <c r="BK69" s="768"/>
      <c r="BL69" s="768"/>
      <c r="BM69" s="766"/>
      <c r="BN69" s="764"/>
      <c r="BO69" s="764"/>
      <c r="BP69" s="770"/>
      <c r="BQ69" s="768"/>
      <c r="BR69" s="768"/>
      <c r="BS69" s="766"/>
      <c r="BT69" s="766"/>
      <c r="BU69" s="1239"/>
      <c r="BV69" s="768"/>
      <c r="BW69" s="1239"/>
      <c r="BX69" s="758"/>
      <c r="BY69" s="1254"/>
      <c r="BZ69" s="1248"/>
      <c r="CA69" s="1250"/>
      <c r="CB69" s="913"/>
      <c r="CC69" s="909"/>
    </row>
    <row r="70" spans="2:81" ht="15.95" customHeight="1">
      <c r="B70" s="785">
        <v>27</v>
      </c>
      <c r="C70" s="825"/>
      <c r="D70" s="826"/>
      <c r="E70" s="826"/>
      <c r="F70" s="826"/>
      <c r="G70" s="826"/>
      <c r="H70" s="826"/>
      <c r="I70" s="826"/>
      <c r="J70" s="932" t="str">
        <f>IF(C70="","",INDEX(CLHVAC[Eff Unit 1],MATCH(C70,CLHVAC[Measure Name],0)))</f>
        <v/>
      </c>
      <c r="K70" s="933"/>
      <c r="L70" s="928" t="str">
        <f>IF(C70="","",INDEX(CLHVAC[Base Efficiency 1],MATCH(C70,CLHVAC[Measure Name],0)))</f>
        <v/>
      </c>
      <c r="M70" s="929"/>
      <c r="N70" s="915"/>
      <c r="O70" s="916"/>
      <c r="P70" s="932" t="str">
        <f>IF(C70="","",INDEX(CLHVAC[Eff Unit 2],MATCH(C70,CLHVAC[Measure Name],0)))</f>
        <v/>
      </c>
      <c r="Q70" s="933"/>
      <c r="R70" s="928" t="str">
        <f>IF(C70="","",INDEX(CLHVAC[Base Efficiency 2],MATCH(C70,CLHVAC[Measure Name],0)))</f>
        <v/>
      </c>
      <c r="S70" s="929"/>
      <c r="T70" s="917" t="str">
        <f>IF(AND(ISNUMBER(SEARCH("DX",C70)),ISNUMBER(SEARCH("&lt;65 kbtu",C70)),N70&lt;&gt;""),1.12*N70-0.02*N70^2,IF(AND(ISNUMBER(SEARCH("PTAC",C70)),N70&lt;&gt;""),1,""))</f>
        <v/>
      </c>
      <c r="U70" s="918"/>
      <c r="V70" s="926"/>
      <c r="W70" s="927"/>
      <c r="X70" s="825"/>
      <c r="Y70" s="826"/>
      <c r="Z70" s="827"/>
      <c r="AA70" s="904"/>
      <c r="AB70" s="905"/>
      <c r="AC70" s="905"/>
      <c r="AD70" s="906"/>
      <c r="AE70" s="809"/>
      <c r="AF70" s="810"/>
      <c r="AG70" s="810"/>
      <c r="AH70" s="812"/>
      <c r="AI70" s="948" t="str">
        <f>IF(C70="","",INDEX(CLHVAC[Current Unit],MATCH(C70,CLHVAC[Measure Name],0)))</f>
        <v/>
      </c>
      <c r="AJ70" s="948"/>
      <c r="AK70" s="948"/>
      <c r="AL70" s="949"/>
      <c r="AM70" s="814" t="str" cm="1">
        <f t="array" ref="AM70">IFERROR(IF(C70="","",INDEX(IF(AND(ACTIVEBONUS = TRUE,INDEX(CLHVAC[Bonus Incentive],MATCH(C70,CLHVAC[Measure Name],0))&lt;&gt; ""),CLHVAC[Bonus Incentive],_xlfn.SWITCH(Program_Banner,"Business Energy Savings",CLHVAC[BESP Incentive],"Small Business / Non-Profit",CLHVAC[SBNP Incentive],0)),MATCH(C70,CLHVAC[Measure Name],0))),"")</f>
        <v/>
      </c>
      <c r="AN70" s="814"/>
      <c r="AO70" s="817" t="str">
        <f t="shared" ref="AO70" si="205">IFERROR(IF(OR(C70="",N70="",T70="",V70="",AA70="",AE70="",AG70=""),"",IF(BE70&lt;=0, 0, BE70)),"")</f>
        <v/>
      </c>
      <c r="AP70" s="817"/>
      <c r="AQ70" s="817"/>
      <c r="AR70" s="840" t="str">
        <f>IFERROR(IF(OR(C70="",N70="",V70="",AA70="",T70="",AE70="",AG70=""),"",IF(BY70&lt;&gt;"",BY70,IF(BP70&gt;0,BP70,ROUND(IF(AO70&lt;=0,0,MIN(BL70,BQ70)), 2)))), "")</f>
        <v/>
      </c>
      <c r="AS70" s="840"/>
      <c r="AT70" s="840"/>
      <c r="AU70" s="840"/>
      <c r="AV70" s="17"/>
      <c r="AX70" s="1242" t="str">
        <f>IFERROR(IF(OR(C70="",N70="",V70="",AA70="",T70="",AE70="",AG70=""),"",INDEX(CLHVAC[Current Unit],MATCH(C70,CLHVAC[Measure Name],0))),"Err")</f>
        <v/>
      </c>
      <c r="AY70" s="759" t="str">
        <f t="shared" ref="AY70" si="206">IF(OR(L70="", N70="", V70=""), "", ABS(N70-L70)*V70)</f>
        <v/>
      </c>
      <c r="AZ70" s="759" t="str">
        <f t="shared" ref="AZ70" si="207">IF(OR(L70="", N70="", V70=""), "", ABS(N70-L70)*V70)</f>
        <v/>
      </c>
      <c r="BA70" s="919" t="str">
        <f>IF(C70&lt;&gt;"", _xlfn.LET(
_xlpm.Tons_Cool, V70, _xlpm.PLC_Base, L70, _xlpm.Tons_Heat, CC70, _xlpm.Other_Base, R70,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(12/_xlpm.PLC_Base)*_xlpm.EFLH_Cool,
IF(ISNUMBER(SEARCH("Water", C70)),
_xlpm.Tons_Cool * (_xlpm.PLC_Base) * _xlpm.EFLH_Cool,
" "
)),4),
_xlpm.kWhHeat,
IF(
_xlpm.ElecHeat=1,
ROUND(
IF(OR(ISNUMBER(SEARCH("DX", C70)),ISNUMBER(SEARCH("PTAC", C70)), ISNUMBER(SEARCH("Air-Cooled Chiller", C70)), ISNUMBER(SEARCH("Water", C70)),
ISNUMBER(SEARCH("VRF", C70))),
0,
IF(
OR(ISNUMBER(SEARCH("ASHP", C70)), ISNUMBER(SEARCH("PTHP", C70))),
_xlpm.Tons_Heat * (1/_xlpm.Other_Base) * _xlpm.EFLH_Heat,
" "
)),4),
0
),
IFERROR(_xlpm.kWhCool + _xlpm.kWhHeat, "Measure Not Specified.")
), "")</f>
        <v/>
      </c>
      <c r="BB70" s="919" t="str">
        <f>IF(C70&lt;&gt;"", _xlfn.LET(
_xlpm.Tons_Cool, V70,_xlpm.PLC_Eff, N70, _xlpm.Tons_Heat, CC70, _xlpm.Other_Eff, T70,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(12/_xlpm.PLC_Eff)*_xlpm.EFLH_Cool,
IF(ISNUMBER(SEARCH("Water", C70)),
_xlpm.Tons_Cool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(1/_xlpm.Other_Eff) * _xlpm.EFLH_Heat,
" "
)),4),
0
),
IFERROR(_xlpm.kWhCool + _xlpm.kWhHeat, "Measure Not Specified.")
), "")</f>
        <v/>
      </c>
      <c r="BC70" s="1242" t="str">
        <f>IFERROR(IF(OR(C70="",N70="",V70="",AA70="",T70="",AE70="",AG70=""),"",INDEX(CLHVAC[End Use],MATCH(C70,CLHVAC[Measure Name],0))),"Err")</f>
        <v/>
      </c>
      <c r="BD70" s="1238" t="str">
        <f>IFERROR(IF(OR(C70="",N70="",V70="",AA70="",T70="",AE70="",AG70=""),"",INDEX(CLHVAC[Reporting Methodology],MATCH(C70,CLHVAC[Measure Name],0))),"Err")</f>
        <v/>
      </c>
      <c r="BE70" s="775" t="str">
        <f t="shared" si="2"/>
        <v/>
      </c>
      <c r="BF70" s="775" t="str">
        <f t="shared" ref="BF70" si="208">IF(C70&lt;&gt;"", _xlfn.LET(
_xlpm.Tons, V70, _xlpm.PCF, 0.913,
IF(OR(ISNUMBER(SEARCH("DX", C70)), ISNUMBER(SEARCH("Air-Cooled Chiller", C70)), ISNUMBER(SEARCH("VRF", C70))),
IFERROR(_xlpm.Tons * (12/R70 - 12/T70) * _xlpm.PCF, 0),
IF(ISNUMBER(SEARCH("Water", C70)),
IFERROR(_xlpm.Tons * (R70-T70) * _xlpm.PCF, 0),
IF(ISNUMBER(SEARCH("ASHP", C70)),
IFERROR(_xlpm.Tons * (12/CA70 - 12/CB70) * _xlpm.PCF, 0),
IF(OR(ISNUMBER(SEARCH("PTAC", C70)), ISNUMBER(SEARCH("PTHP", C70))),
IFERROR(_xlpm.Tons * (12/L70 - 12/N70) * _xlpm.PCF, 0),
"Measure Not Specified."))))), "")</f>
        <v/>
      </c>
      <c r="BG70" s="775"/>
      <c r="BH70" s="1240"/>
      <c r="BI70" s="1240"/>
      <c r="BJ70" s="777" t="str">
        <f>IFERROR(INDEX(CLHVAC[Measure Life (Years)],MATCH(C70,CLHVAC[Measure Name],0)),"")</f>
        <v/>
      </c>
      <c r="BK70" s="767" t="str">
        <f>IFERROR(IF(OR(C70="",N70="",T70="",V70="",AA70="",AE70="",AG70=""),"",
ROUND(((1+ELOSS)*((BE70*INDEX(ELECCB[NPV AEC $/kWh],MATCH(BJ70,ELECCB[Year Number],1)))+(BF70*INDEX(ELECCB[NPV ACC $/kW],MATCH(BJ70,ELECCB[Year Number],1))))),2)),0)</f>
        <v/>
      </c>
      <c r="BL70" s="767" t="str">
        <f t="shared" ref="BL70" si="209">IF(OR(C70="",N70="",V70="",AA70="",T70="",AE70="",AG70=""),"",ROUND(AE70+AG70,2))</f>
        <v/>
      </c>
      <c r="BM70" s="765"/>
      <c r="BN70" s="763" t="str">
        <f t="shared" si="4"/>
        <v/>
      </c>
      <c r="BO70" s="763" t="str">
        <f>IFERROR(IF(BM70 &lt;&gt; "", BM70, BL70) / M02S04F06 / AO70, "")</f>
        <v/>
      </c>
      <c r="BP70" s="769"/>
      <c r="BQ70" s="767" t="str">
        <f t="shared" ref="BQ70" si="210">IFERROR(IF(AI70="per ton", ROUND(V70*AM70, 2),
IF(AND(ISNUMBER(SEARCH("Air-Cooled Chiller",C70)),AI70="$/ton/IPLV"), ROUND((12/L70-12/N70)*V70*AM70, 2),
ROUND(ABS(N70-L70)*V70*AM70, 2))), "")</f>
        <v/>
      </c>
      <c r="BR70" s="767"/>
      <c r="BS70" s="765"/>
      <c r="BT70" s="765"/>
      <c r="BU70" s="1238" t="str">
        <f t="shared" ref="BU70" si="211">IFERROR(IF(BP70="",IF(AND(AO70&gt;0, AR70 &lt; BQ70), "100% Total Cost", ""), ""), "")</f>
        <v/>
      </c>
      <c r="BV70" s="767"/>
      <c r="BW70" s="1238" t="str">
        <f>IFERROR(IF(OR(C70="",N70="",V70="",AA70="",T70="",AE70="",AG70=""),"",IF(BY70&lt;&gt;"", SPILLOVERNUMBER, INDEX(CLHVAC[Measure Number],MATCH(C70,CLHVAC[Measure Name],0)))),"Err")</f>
        <v/>
      </c>
      <c r="BX70" s="757" t="str" cm="1">
        <f t="array" ref="BX70">IFERROR(INDEX(_xlfn.SWITCH(Program_Banner,"Business Energy Savings",CLHVAC[Primary Key WBE],"Small Business / Non-Profit",CLHVAC[Primary Key HTRB],0),MATCH(BW70,CLHVAC[Measure Number],0)),"")</f>
        <v/>
      </c>
      <c r="BY70" s="1253" t="str">
        <f>IFERROR(
IF(OR(C70="",N70="",T70="",V70="",AA70="",AE70="",AG70=""),
"",
IF(BP70&gt;0,"",IF(OR(AND(ISNUMBER(SEARCH("kW/ton", J70)),OR(L70&lt;N70,R70&lt;T70)),AND(NOT(ISNUMBER(SEARCH("kW/ton", J70))),OR(L70&gt;N70,R70&gt;T70))),
"Must Improve Efficiency",
IFERROR(IF(EXPIRATION&lt;&gt;"",PROJSTATEXP,
IF(BP70&gt;0,"",
IF(OR(M02S04F06="",M02S04F06="Select Rate Code",M02S04F06=0),MEASURERATE,
IF(M02S04F22="", SPACECONDTYPE,
IF(PAYCUSE&lt;PAYBACKREQ,PROJECTSTATPAYBACK,
IF(BN70&lt;CBREQ,PROJECTSTATCB,"")))))),MEASURESUBMIT)))),"")</f>
        <v/>
      </c>
      <c r="BZ70" s="1247" t="str">
        <f>IFERROR(IF(INDEX(CLHVAC[Eff Unit 3],MATCH(C70,CLHVAC[Measure Name],0))="","",INDEX(CLHVAC[Eff Unit 3],MATCH(C70,CLHVAC[Measure Name],0))),"")</f>
        <v/>
      </c>
      <c r="CA70" s="1249" t="str">
        <f>IFERROR(IF(INDEX(CLHVAC[Base Efficiency 3],MATCH(C70,CLHVAC[Measure Name],0))="","",INDEX(CLHVAC[Base Efficiency 3],MATCH(C70,CLHVAC[Measure Name],0))),"")</f>
        <v/>
      </c>
      <c r="CB70" s="1251" t="str">
        <f t="shared" ref="CB70" si="212">IFERROR(IF(ISNUMBER(SEARCH("Air-Cooled Chiller",$C70)),12/N70,""),"")</f>
        <v/>
      </c>
      <c r="CC70" s="1252"/>
    </row>
    <row r="71" spans="2:81" ht="15.95" customHeight="1">
      <c r="B71" s="785"/>
      <c r="C71" s="793"/>
      <c r="D71" s="795"/>
      <c r="E71" s="795"/>
      <c r="F71" s="795"/>
      <c r="G71" s="795"/>
      <c r="H71" s="795"/>
      <c r="I71" s="795"/>
      <c r="J71" s="934"/>
      <c r="K71" s="935"/>
      <c r="L71" s="930"/>
      <c r="M71" s="931"/>
      <c r="N71" s="915"/>
      <c r="O71" s="916"/>
      <c r="P71" s="934"/>
      <c r="Q71" s="935"/>
      <c r="R71" s="930"/>
      <c r="S71" s="931"/>
      <c r="T71" s="917"/>
      <c r="U71" s="918"/>
      <c r="V71" s="926"/>
      <c r="W71" s="927"/>
      <c r="X71" s="793"/>
      <c r="Y71" s="795"/>
      <c r="Z71" s="794"/>
      <c r="AA71" s="904"/>
      <c r="AB71" s="905"/>
      <c r="AC71" s="905"/>
      <c r="AD71" s="906"/>
      <c r="AE71" s="809"/>
      <c r="AF71" s="810"/>
      <c r="AG71" s="810"/>
      <c r="AH71" s="812"/>
      <c r="AI71" s="921"/>
      <c r="AJ71" s="921"/>
      <c r="AK71" s="921"/>
      <c r="AL71" s="922"/>
      <c r="AM71" s="816"/>
      <c r="AN71" s="816"/>
      <c r="AO71" s="818"/>
      <c r="AP71" s="818"/>
      <c r="AQ71" s="818"/>
      <c r="AR71" s="841"/>
      <c r="AS71" s="841"/>
      <c r="AT71" s="841"/>
      <c r="AU71" s="841"/>
      <c r="AV71" s="17"/>
      <c r="AX71" s="1243"/>
      <c r="AY71" s="760"/>
      <c r="AZ71" s="760"/>
      <c r="BA71" s="920"/>
      <c r="BB71" s="920"/>
      <c r="BC71" s="1243"/>
      <c r="BD71" s="1239"/>
      <c r="BE71" s="776"/>
      <c r="BF71" s="776"/>
      <c r="BG71" s="776"/>
      <c r="BH71" s="1241"/>
      <c r="BI71" s="1241"/>
      <c r="BJ71" s="778"/>
      <c r="BK71" s="768"/>
      <c r="BL71" s="768"/>
      <c r="BM71" s="766"/>
      <c r="BN71" s="764"/>
      <c r="BO71" s="764"/>
      <c r="BP71" s="770"/>
      <c r="BQ71" s="768"/>
      <c r="BR71" s="768"/>
      <c r="BS71" s="766"/>
      <c r="BT71" s="766"/>
      <c r="BU71" s="1239"/>
      <c r="BV71" s="768"/>
      <c r="BW71" s="1239"/>
      <c r="BX71" s="758"/>
      <c r="BY71" s="1254"/>
      <c r="BZ71" s="1248"/>
      <c r="CA71" s="1250"/>
      <c r="CB71" s="913"/>
      <c r="CC71" s="909"/>
    </row>
    <row r="72" spans="2:81" ht="15.95" customHeight="1">
      <c r="B72" s="785">
        <v>28</v>
      </c>
      <c r="C72" s="825"/>
      <c r="D72" s="826"/>
      <c r="E72" s="826"/>
      <c r="F72" s="826"/>
      <c r="G72" s="826"/>
      <c r="H72" s="826"/>
      <c r="I72" s="826"/>
      <c r="J72" s="932" t="str">
        <f>IF(C72="","",INDEX(CLHVAC[Eff Unit 1],MATCH(C72,CLHVAC[Measure Name],0)))</f>
        <v/>
      </c>
      <c r="K72" s="933"/>
      <c r="L72" s="928" t="str">
        <f>IF(C72="","",INDEX(CLHVAC[Base Efficiency 1],MATCH(C72,CLHVAC[Measure Name],0)))</f>
        <v/>
      </c>
      <c r="M72" s="929"/>
      <c r="N72" s="915"/>
      <c r="O72" s="916"/>
      <c r="P72" s="932" t="str">
        <f>IF(C72="","",INDEX(CLHVAC[Eff Unit 2],MATCH(C72,CLHVAC[Measure Name],0)))</f>
        <v/>
      </c>
      <c r="Q72" s="933"/>
      <c r="R72" s="928" t="str">
        <f>IF(C72="","",INDEX(CLHVAC[Base Efficiency 2],MATCH(C72,CLHVAC[Measure Name],0)))</f>
        <v/>
      </c>
      <c r="S72" s="929"/>
      <c r="T72" s="917" t="str">
        <f>IF(AND(ISNUMBER(SEARCH("DX",C72)),ISNUMBER(SEARCH("&lt;65 kbtu",C72)),N72&lt;&gt;""),1.12*N72-0.02*N72^2,IF(AND(ISNUMBER(SEARCH("PTAC",C72)),N72&lt;&gt;""),1,""))</f>
        <v/>
      </c>
      <c r="U72" s="918"/>
      <c r="V72" s="926"/>
      <c r="W72" s="927"/>
      <c r="X72" s="825"/>
      <c r="Y72" s="826"/>
      <c r="Z72" s="827"/>
      <c r="AA72" s="904"/>
      <c r="AB72" s="905"/>
      <c r="AC72" s="905"/>
      <c r="AD72" s="906"/>
      <c r="AE72" s="809"/>
      <c r="AF72" s="810"/>
      <c r="AG72" s="810"/>
      <c r="AH72" s="812"/>
      <c r="AI72" s="948" t="str">
        <f>IF(C72="","",INDEX(CLHVAC[Current Unit],MATCH(C72,CLHVAC[Measure Name],0)))</f>
        <v/>
      </c>
      <c r="AJ72" s="948"/>
      <c r="AK72" s="948"/>
      <c r="AL72" s="949"/>
      <c r="AM72" s="814" t="str" cm="1">
        <f t="array" ref="AM72">IFERROR(IF(C72="","",INDEX(IF(AND(ACTIVEBONUS = TRUE,INDEX(CLHVAC[Bonus Incentive],MATCH(C72,CLHVAC[Measure Name],0))&lt;&gt; ""),CLHVAC[Bonus Incentive],_xlfn.SWITCH(Program_Banner,"Business Energy Savings",CLHVAC[BESP Incentive],"Small Business / Non-Profit",CLHVAC[SBNP Incentive],0)),MATCH(C72,CLHVAC[Measure Name],0))),"")</f>
        <v/>
      </c>
      <c r="AN72" s="814"/>
      <c r="AO72" s="817" t="str">
        <f t="shared" ref="AO72" si="213">IFERROR(IF(OR(C72="",N72="",T72="",V72="",AA72="",AE72="",AG72=""),"",IF(BE72&lt;=0, 0, BE72)),"")</f>
        <v/>
      </c>
      <c r="AP72" s="817"/>
      <c r="AQ72" s="817"/>
      <c r="AR72" s="840" t="str">
        <f>IFERROR(IF(OR(C72="",N72="",V72="",AA72="",T72="",AE72="",AG72=""),"",IF(BY72&lt;&gt;"",BY72,IF(BP72&gt;0,BP72,ROUND(IF(AO72&lt;=0,0,MIN(BL72,BQ72)), 2)))), "")</f>
        <v/>
      </c>
      <c r="AS72" s="840"/>
      <c r="AT72" s="840"/>
      <c r="AU72" s="840"/>
      <c r="AV72" s="17"/>
      <c r="AX72" s="1242" t="str">
        <f>IFERROR(IF(OR(C72="",N72="",V72="",AA72="",T72="",AE72="",AG72=""),"",INDEX(CLHVAC[Current Unit],MATCH(C72,CLHVAC[Measure Name],0))),"Err")</f>
        <v/>
      </c>
      <c r="AY72" s="759" t="str">
        <f t="shared" ref="AY72" si="214">IF(OR(L72="", N72="", V72=""), "", ABS(N72-L72)*V72)</f>
        <v/>
      </c>
      <c r="AZ72" s="759" t="str">
        <f t="shared" ref="AZ72" si="215">IF(OR(L72="", N72="", V72=""), "", ABS(N72-L72)*V72)</f>
        <v/>
      </c>
      <c r="BA72" s="919" t="str">
        <f>IF(C72&lt;&gt;"", _xlfn.LET(
_xlpm.Tons_Cool, V72, _xlpm.PLC_Base, L72, _xlpm.Tons_Heat, CC72, _xlpm.Other_Base, R72,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(12/_xlpm.PLC_Base)*_xlpm.EFLH_Cool,
IF(ISNUMBER(SEARCH("Water", C72)),
_xlpm.Tons_Cool * (_xlpm.PLC_Base) * _xlpm.EFLH_Cool,
" "
)),4),
_xlpm.kWhHeat,
IF(
_xlpm.ElecHeat=1,
ROUND(
IF(OR(ISNUMBER(SEARCH("DX", C72)),ISNUMBER(SEARCH("PTAC", C72)), ISNUMBER(SEARCH("Air-Cooled Chiller", C72)), ISNUMBER(SEARCH("Water", C72)),
ISNUMBER(SEARCH("VRF", C72))),
0,
IF(
OR(ISNUMBER(SEARCH("ASHP", C72)), ISNUMBER(SEARCH("PTHP", C72))),
_xlpm.Tons_Heat * (1/_xlpm.Other_Base) * _xlpm.EFLH_Heat,
" "
)),4),
0
),
IFERROR(_xlpm.kWhCool + _xlpm.kWhHeat, "Measure Not Specified.")
), "")</f>
        <v/>
      </c>
      <c r="BB72" s="919" t="str">
        <f>IF(C72&lt;&gt;"", _xlfn.LET(
_xlpm.Tons_Cool, V72,_xlpm.PLC_Eff, N72, _xlpm.Tons_Heat, CC72, _xlpm.Other_Eff, T72,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(12/_xlpm.PLC_Eff)*_xlpm.EFLH_Cool,
IF(ISNUMBER(SEARCH("Water", C72)),
_xlpm.Tons_Cool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(1/_xlpm.Other_Eff) * _xlpm.EFLH_Heat,
" "
)),4),
0
),
IFERROR(_xlpm.kWhCool + _xlpm.kWhHeat, "Measure Not Specified.")
), "")</f>
        <v/>
      </c>
      <c r="BC72" s="1242" t="str">
        <f>IFERROR(IF(OR(C72="",N72="",V72="",AA72="",T72="",AE72="",AG72=""),"",INDEX(CLHVAC[End Use],MATCH(C72,CLHVAC[Measure Name],0))),"Err")</f>
        <v/>
      </c>
      <c r="BD72" s="1238" t="str">
        <f>IFERROR(IF(OR(C72="",N72="",V72="",AA72="",T72="",AE72="",AG72=""),"",INDEX(CLHVAC[Reporting Methodology],MATCH(C72,CLHVAC[Measure Name],0))),"Err")</f>
        <v/>
      </c>
      <c r="BE72" s="775" t="str">
        <f t="shared" si="2"/>
        <v/>
      </c>
      <c r="BF72" s="775" t="str">
        <f t="shared" ref="BF72" si="216">IF(C72&lt;&gt;"", _xlfn.LET(
_xlpm.Tons, V72, _xlpm.PCF, 0.913,
IF(OR(ISNUMBER(SEARCH("DX", C72)), ISNUMBER(SEARCH("Air-Cooled Chiller", C72)), ISNUMBER(SEARCH("VRF", C72))),
IFERROR(_xlpm.Tons * (12/R72 - 12/T72) * _xlpm.PCF, 0),
IF(ISNUMBER(SEARCH("Water", C72)),
IFERROR(_xlpm.Tons * (R72-T72) * _xlpm.PCF, 0),
IF(ISNUMBER(SEARCH("ASHP", C72)),
IFERROR(_xlpm.Tons * (12/CA72 - 12/CB72) * _xlpm.PCF, 0),
IF(OR(ISNUMBER(SEARCH("PTAC", C72)), ISNUMBER(SEARCH("PTHP", C72))),
IFERROR(_xlpm.Tons * (12/L72 - 12/N72) * _xlpm.PCF, 0),
"Measure Not Specified."))))), "")</f>
        <v/>
      </c>
      <c r="BG72" s="775"/>
      <c r="BH72" s="1240"/>
      <c r="BI72" s="1240"/>
      <c r="BJ72" s="777" t="str">
        <f>IFERROR(INDEX(CLHVAC[Measure Life (Years)],MATCH(C72,CLHVAC[Measure Name],0)),"")</f>
        <v/>
      </c>
      <c r="BK72" s="767" t="str">
        <f>IFERROR(IF(OR(C72="",N72="",T72="",V72="",AA72="",AE72="",AG72=""),"",
ROUND(((1+ELOSS)*((BE72*INDEX(ELECCB[NPV AEC $/kWh],MATCH(BJ72,ELECCB[Year Number],1)))+(BF72*INDEX(ELECCB[NPV ACC $/kW],MATCH(BJ72,ELECCB[Year Number],1))))),2)),0)</f>
        <v/>
      </c>
      <c r="BL72" s="767" t="str">
        <f t="shared" ref="BL72" si="217">IF(OR(C72="",N72="",V72="",AA72="",T72="",AE72="",AG72=""),"",ROUND(AE72+AG72,2))</f>
        <v/>
      </c>
      <c r="BM72" s="765"/>
      <c r="BN72" s="763" t="str">
        <f t="shared" si="4"/>
        <v/>
      </c>
      <c r="BO72" s="763" t="str">
        <f>IFERROR(IF(BM72 &lt;&gt; "", BM72, BL72) / M02S04F06 / AO72, "")</f>
        <v/>
      </c>
      <c r="BP72" s="769"/>
      <c r="BQ72" s="767" t="str">
        <f t="shared" ref="BQ72" si="218">IFERROR(IF(AI72="per ton", ROUND(V72*AM72, 2),
IF(AND(ISNUMBER(SEARCH("Air-Cooled Chiller",C72)),AI72="$/ton/IPLV"), ROUND((12/L72-12/N72)*V72*AM72, 2),
ROUND(ABS(N72-L72)*V72*AM72, 2))), "")</f>
        <v/>
      </c>
      <c r="BR72" s="767"/>
      <c r="BS72" s="765"/>
      <c r="BT72" s="765"/>
      <c r="BU72" s="1238" t="str">
        <f t="shared" ref="BU72" si="219">IFERROR(IF(BP72="",IF(AND(AO72&gt;0, AR72 &lt; BQ72), "100% Total Cost", ""), ""), "")</f>
        <v/>
      </c>
      <c r="BV72" s="767"/>
      <c r="BW72" s="1238" t="str">
        <f>IFERROR(IF(OR(C72="",N72="",V72="",AA72="",T72="",AE72="",AG72=""),"",IF(BY72&lt;&gt;"", SPILLOVERNUMBER, INDEX(CLHVAC[Measure Number],MATCH(C72,CLHVAC[Measure Name],0)))),"Err")</f>
        <v/>
      </c>
      <c r="BX72" s="757" t="str" cm="1">
        <f t="array" ref="BX72">IFERROR(INDEX(_xlfn.SWITCH(Program_Banner,"Business Energy Savings",CLHVAC[Primary Key WBE],"Small Business / Non-Profit",CLHVAC[Primary Key HTRB],0),MATCH(BW72,CLHVAC[Measure Number],0)),"")</f>
        <v/>
      </c>
      <c r="BY72" s="1253" t="str">
        <f>IFERROR(
IF(OR(C72="",N72="",T72="",V72="",AA72="",AE72="",AG72=""),
"",
IF(BP72&gt;0,"",IF(OR(AND(ISNUMBER(SEARCH("kW/ton", J72)),OR(L72&lt;N72,R72&lt;T72)),AND(NOT(ISNUMBER(SEARCH("kW/ton", J72))),OR(L72&gt;N72,R72&gt;T72))),
"Must Improve Efficiency",
IFERROR(IF(EXPIRATION&lt;&gt;"",PROJSTATEXP,
IF(BP72&gt;0,"",
IF(OR(M02S04F06="",M02S04F06="Select Rate Code",M02S04F06=0),MEASURERATE,
IF(M02S04F22="", SPACECONDTYPE,
IF(PAYCUSE&lt;PAYBACKREQ,PROJECTSTATPAYBACK,
IF(BN72&lt;CBREQ,PROJECTSTATCB,"")))))),MEASURESUBMIT)))),"")</f>
        <v/>
      </c>
      <c r="BZ72" s="1247" t="str">
        <f>IFERROR(IF(INDEX(CLHVAC[Eff Unit 3],MATCH(C72,CLHVAC[Measure Name],0))="","",INDEX(CLHVAC[Eff Unit 3],MATCH(C72,CLHVAC[Measure Name],0))),"")</f>
        <v/>
      </c>
      <c r="CA72" s="1249" t="str">
        <f>IFERROR(IF(INDEX(CLHVAC[Base Efficiency 3],MATCH(C72,CLHVAC[Measure Name],0))="","",INDEX(CLHVAC[Base Efficiency 3],MATCH(C72,CLHVAC[Measure Name],0))),"")</f>
        <v/>
      </c>
      <c r="CB72" s="1251" t="str">
        <f t="shared" ref="CB72" si="220">IFERROR(IF(ISNUMBER(SEARCH("Air-Cooled Chiller",$C72)),12/N72,""),"")</f>
        <v/>
      </c>
      <c r="CC72" s="1252"/>
    </row>
    <row r="73" spans="2:81" ht="15.95" customHeight="1">
      <c r="B73" s="785"/>
      <c r="C73" s="793"/>
      <c r="D73" s="795"/>
      <c r="E73" s="795"/>
      <c r="F73" s="795"/>
      <c r="G73" s="795"/>
      <c r="H73" s="795"/>
      <c r="I73" s="795"/>
      <c r="J73" s="934"/>
      <c r="K73" s="935"/>
      <c r="L73" s="930"/>
      <c r="M73" s="931"/>
      <c r="N73" s="915"/>
      <c r="O73" s="916"/>
      <c r="P73" s="934"/>
      <c r="Q73" s="935"/>
      <c r="R73" s="930"/>
      <c r="S73" s="931"/>
      <c r="T73" s="917"/>
      <c r="U73" s="918"/>
      <c r="V73" s="926"/>
      <c r="W73" s="927"/>
      <c r="X73" s="793"/>
      <c r="Y73" s="795"/>
      <c r="Z73" s="794"/>
      <c r="AA73" s="904"/>
      <c r="AB73" s="905"/>
      <c r="AC73" s="905"/>
      <c r="AD73" s="906"/>
      <c r="AE73" s="809"/>
      <c r="AF73" s="810"/>
      <c r="AG73" s="810"/>
      <c r="AH73" s="812"/>
      <c r="AI73" s="921"/>
      <c r="AJ73" s="921"/>
      <c r="AK73" s="921"/>
      <c r="AL73" s="922"/>
      <c r="AM73" s="816"/>
      <c r="AN73" s="816"/>
      <c r="AO73" s="818"/>
      <c r="AP73" s="818"/>
      <c r="AQ73" s="818"/>
      <c r="AR73" s="841"/>
      <c r="AS73" s="841"/>
      <c r="AT73" s="841"/>
      <c r="AU73" s="841"/>
      <c r="AV73" s="17"/>
      <c r="AX73" s="1243"/>
      <c r="AY73" s="760"/>
      <c r="AZ73" s="760"/>
      <c r="BA73" s="920"/>
      <c r="BB73" s="920"/>
      <c r="BC73" s="1243"/>
      <c r="BD73" s="1239"/>
      <c r="BE73" s="776"/>
      <c r="BF73" s="776"/>
      <c r="BG73" s="776"/>
      <c r="BH73" s="1241"/>
      <c r="BI73" s="1241"/>
      <c r="BJ73" s="778"/>
      <c r="BK73" s="768"/>
      <c r="BL73" s="768"/>
      <c r="BM73" s="766"/>
      <c r="BN73" s="764"/>
      <c r="BO73" s="764"/>
      <c r="BP73" s="770"/>
      <c r="BQ73" s="768"/>
      <c r="BR73" s="768"/>
      <c r="BS73" s="766"/>
      <c r="BT73" s="766"/>
      <c r="BU73" s="1239"/>
      <c r="BV73" s="768"/>
      <c r="BW73" s="1239"/>
      <c r="BX73" s="758"/>
      <c r="BY73" s="1254"/>
      <c r="BZ73" s="1248"/>
      <c r="CA73" s="1250"/>
      <c r="CB73" s="913"/>
      <c r="CC73" s="909"/>
    </row>
    <row r="74" spans="2:81" ht="15.95" customHeight="1">
      <c r="B74" s="785">
        <v>29</v>
      </c>
      <c r="C74" s="825"/>
      <c r="D74" s="826"/>
      <c r="E74" s="826"/>
      <c r="F74" s="826"/>
      <c r="G74" s="826"/>
      <c r="H74" s="826"/>
      <c r="I74" s="826"/>
      <c r="J74" s="932" t="str">
        <f>IF(C74="","",INDEX(CLHVAC[Eff Unit 1],MATCH(C74,CLHVAC[Measure Name],0)))</f>
        <v/>
      </c>
      <c r="K74" s="933"/>
      <c r="L74" s="928" t="str">
        <f>IF(C74="","",INDEX(CLHVAC[Base Efficiency 1],MATCH(C74,CLHVAC[Measure Name],0)))</f>
        <v/>
      </c>
      <c r="M74" s="929"/>
      <c r="N74" s="915"/>
      <c r="O74" s="916"/>
      <c r="P74" s="932" t="str">
        <f>IF(C74="","",INDEX(CLHVAC[Eff Unit 2],MATCH(C74,CLHVAC[Measure Name],0)))</f>
        <v/>
      </c>
      <c r="Q74" s="933"/>
      <c r="R74" s="928" t="str">
        <f>IF(C74="","",INDEX(CLHVAC[Base Efficiency 2],MATCH(C74,CLHVAC[Measure Name],0)))</f>
        <v/>
      </c>
      <c r="S74" s="929"/>
      <c r="T74" s="917" t="str">
        <f>IF(AND(ISNUMBER(SEARCH("DX",C74)),ISNUMBER(SEARCH("&lt;65 kbtu",C74)),N74&lt;&gt;""),1.12*N74-0.02*N74^2,IF(AND(ISNUMBER(SEARCH("PTAC",C74)),N74&lt;&gt;""),1,""))</f>
        <v/>
      </c>
      <c r="U74" s="918"/>
      <c r="V74" s="926"/>
      <c r="W74" s="927"/>
      <c r="X74" s="825"/>
      <c r="Y74" s="826"/>
      <c r="Z74" s="827"/>
      <c r="AA74" s="904"/>
      <c r="AB74" s="905"/>
      <c r="AC74" s="905"/>
      <c r="AD74" s="906"/>
      <c r="AE74" s="809"/>
      <c r="AF74" s="810"/>
      <c r="AG74" s="810"/>
      <c r="AH74" s="812"/>
      <c r="AI74" s="948" t="str">
        <f>IF(C74="","",INDEX(CLHVAC[Current Unit],MATCH(C74,CLHVAC[Measure Name],0)))</f>
        <v/>
      </c>
      <c r="AJ74" s="948"/>
      <c r="AK74" s="948"/>
      <c r="AL74" s="949"/>
      <c r="AM74" s="814" t="str" cm="1">
        <f t="array" ref="AM74">IFERROR(IF(C74="","",INDEX(IF(AND(ACTIVEBONUS = TRUE,INDEX(CLHVAC[Bonus Incentive],MATCH(C74,CLHVAC[Measure Name],0))&lt;&gt; ""),CLHVAC[Bonus Incentive],_xlfn.SWITCH(Program_Banner,"Business Energy Savings",CLHVAC[BESP Incentive],"Small Business / Non-Profit",CLHVAC[SBNP Incentive],0)),MATCH(C74,CLHVAC[Measure Name],0))),"")</f>
        <v/>
      </c>
      <c r="AN74" s="814"/>
      <c r="AO74" s="817" t="str">
        <f t="shared" ref="AO74" si="221">IFERROR(IF(OR(C74="",N74="",T74="",V74="",AA74="",AE74="",AG74=""),"",IF(BE74&lt;=0, 0, BE74)),"")</f>
        <v/>
      </c>
      <c r="AP74" s="817"/>
      <c r="AQ74" s="817"/>
      <c r="AR74" s="840" t="str">
        <f>IFERROR(IF(OR(C74="",N74="",V74="",AA74="",T74="",AE74="",AG74=""),"",IF(BY74&lt;&gt;"",BY74,IF(BP74&gt;0,BP74,ROUND(IF(AO74&lt;=0,0,MIN(BL74,BQ74)), 2)))), "")</f>
        <v/>
      </c>
      <c r="AS74" s="840"/>
      <c r="AT74" s="840"/>
      <c r="AU74" s="840"/>
      <c r="AV74" s="17"/>
      <c r="AX74" s="1242" t="str">
        <f>IFERROR(IF(OR(C74="",N74="",V74="",AA74="",T74="",AE74="",AG74=""),"",INDEX(CLHVAC[Current Unit],MATCH(C74,CLHVAC[Measure Name],0))),"Err")</f>
        <v/>
      </c>
      <c r="AY74" s="759" t="str">
        <f t="shared" ref="AY74" si="222">IF(OR(L74="", N74="", V74=""), "", ABS(N74-L74)*V74)</f>
        <v/>
      </c>
      <c r="AZ74" s="759" t="str">
        <f t="shared" ref="AZ74" si="223">IF(OR(L74="", N74="", V74=""), "", ABS(N74-L74)*V74)</f>
        <v/>
      </c>
      <c r="BA74" s="919" t="str">
        <f>IF(C74&lt;&gt;"", _xlfn.LET(
_xlpm.Tons_Cool, V74, _xlpm.PLC_Base, L74, _xlpm.Tons_Heat, CC74, _xlpm.Other_Base, R74,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(12/_xlpm.PLC_Base)*_xlpm.EFLH_Cool,
IF(ISNUMBER(SEARCH("Water", C74)),
_xlpm.Tons_Cool * (_xlpm.PLC_Base) * _xlpm.EFLH_Cool,
" "
)),4),
_xlpm.kWhHeat,
IF(
_xlpm.ElecHeat=1,
ROUND(
IF(OR(ISNUMBER(SEARCH("DX", C74)),ISNUMBER(SEARCH("PTAC", C74)), ISNUMBER(SEARCH("Air-Cooled Chiller", C74)), ISNUMBER(SEARCH("Water", C74)),
ISNUMBER(SEARCH("VRF", C74))),
0,
IF(
OR(ISNUMBER(SEARCH("ASHP", C74)), ISNUMBER(SEARCH("PTHP", C74))),
_xlpm.Tons_Heat * (1/_xlpm.Other_Base) * _xlpm.EFLH_Heat,
" "
)),4),
0
),
IFERROR(_xlpm.kWhCool + _xlpm.kWhHeat, "Measure Not Specified.")
), "")</f>
        <v/>
      </c>
      <c r="BB74" s="919" t="str">
        <f>IF(C74&lt;&gt;"", _xlfn.LET(
_xlpm.Tons_Cool, V74,_xlpm.PLC_Eff, N74, _xlpm.Tons_Heat, CC74, _xlpm.Other_Eff, T74,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(12/_xlpm.PLC_Eff)*_xlpm.EFLH_Cool,
IF(ISNUMBER(SEARCH("Water", C74)),
_xlpm.Tons_Cool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(1/_xlpm.Other_Eff) * _xlpm.EFLH_Heat,
" "
)),4),
0
),
IFERROR(_xlpm.kWhCool + _xlpm.kWhHeat, "Measure Not Specified.")
), "")</f>
        <v/>
      </c>
      <c r="BC74" s="1242" t="str">
        <f>IFERROR(IF(OR(C74="",N74="",V74="",AA74="",T74="",AE74="",AG74=""),"",INDEX(CLHVAC[End Use],MATCH(C74,CLHVAC[Measure Name],0))),"Err")</f>
        <v/>
      </c>
      <c r="BD74" s="1238" t="str">
        <f>IFERROR(IF(OR(C74="",N74="",V74="",AA74="",T74="",AE74="",AG74=""),"",INDEX(CLHVAC[Reporting Methodology],MATCH(C74,CLHVAC[Measure Name],0))),"Err")</f>
        <v/>
      </c>
      <c r="BE74" s="775" t="str">
        <f t="shared" si="2"/>
        <v/>
      </c>
      <c r="BF74" s="775" t="str">
        <f t="shared" ref="BF74" si="224">IF(C74&lt;&gt;"", _xlfn.LET(
_xlpm.Tons, V74, _xlpm.PCF, 0.913,
IF(OR(ISNUMBER(SEARCH("DX", C74)), ISNUMBER(SEARCH("Air-Cooled Chiller", C74)), ISNUMBER(SEARCH("VRF", C74))),
IFERROR(_xlpm.Tons * (12/R74 - 12/T74) * _xlpm.PCF, 0),
IF(ISNUMBER(SEARCH("Water", C74)),
IFERROR(_xlpm.Tons * (R74-T74) * _xlpm.PCF, 0),
IF(ISNUMBER(SEARCH("ASHP", C74)),
IFERROR(_xlpm.Tons * (12/CA74 - 12/CB74) * _xlpm.PCF, 0),
IF(OR(ISNUMBER(SEARCH("PTAC", C74)), ISNUMBER(SEARCH("PTHP", C74))),
IFERROR(_xlpm.Tons * (12/L74 - 12/N74) * _xlpm.PCF, 0),
"Measure Not Specified."))))), "")</f>
        <v/>
      </c>
      <c r="BG74" s="775"/>
      <c r="BH74" s="1240"/>
      <c r="BI74" s="1240"/>
      <c r="BJ74" s="777" t="str">
        <f>IFERROR(INDEX(CLHVAC[Measure Life (Years)],MATCH(C74,CLHVAC[Measure Name],0)),"")</f>
        <v/>
      </c>
      <c r="BK74" s="767" t="str">
        <f>IFERROR(IF(OR(C74="",N74="",T74="",V74="",AA74="",AE74="",AG74=""),"",
ROUND(((1+ELOSS)*((BE74*INDEX(ELECCB[NPV AEC $/kWh],MATCH(BJ74,ELECCB[Year Number],1)))+(BF74*INDEX(ELECCB[NPV ACC $/kW],MATCH(BJ74,ELECCB[Year Number],1))))),2)),0)</f>
        <v/>
      </c>
      <c r="BL74" s="767" t="str">
        <f t="shared" ref="BL74" si="225">IF(OR(C74="",N74="",V74="",AA74="",T74="",AE74="",AG74=""),"",ROUND(AE74+AG74,2))</f>
        <v/>
      </c>
      <c r="BM74" s="765"/>
      <c r="BN74" s="763" t="str">
        <f t="shared" si="4"/>
        <v/>
      </c>
      <c r="BO74" s="763" t="str">
        <f>IFERROR(IF(BM74 &lt;&gt; "", BM74, BL74) / M02S04F06 / AO74, "")</f>
        <v/>
      </c>
      <c r="BP74" s="769"/>
      <c r="BQ74" s="767" t="str">
        <f t="shared" ref="BQ74" si="226">IFERROR(IF(AI74="per ton", ROUND(V74*AM74, 2),
IF(AND(ISNUMBER(SEARCH("Air-Cooled Chiller",C74)),AI74="$/ton/IPLV"), ROUND((12/L74-12/N74)*V74*AM74, 2),
ROUND(ABS(N74-L74)*V74*AM74, 2))), "")</f>
        <v/>
      </c>
      <c r="BR74" s="767"/>
      <c r="BS74" s="765"/>
      <c r="BT74" s="765"/>
      <c r="BU74" s="1238" t="str">
        <f t="shared" ref="BU74" si="227">IFERROR(IF(BP74="",IF(AND(AO74&gt;0, AR74 &lt; BQ74), "100% Total Cost", ""), ""), "")</f>
        <v/>
      </c>
      <c r="BV74" s="767"/>
      <c r="BW74" s="1238" t="str">
        <f>IFERROR(IF(OR(C74="",N74="",V74="",AA74="",T74="",AE74="",AG74=""),"",IF(BY74&lt;&gt;"", SPILLOVERNUMBER, INDEX(CLHVAC[Measure Number],MATCH(C74,CLHVAC[Measure Name],0)))),"Err")</f>
        <v/>
      </c>
      <c r="BX74" s="757" t="str" cm="1">
        <f t="array" ref="BX74">IFERROR(INDEX(_xlfn.SWITCH(Program_Banner,"Business Energy Savings",CLHVAC[Primary Key WBE],"Small Business / Non-Profit",CLHVAC[Primary Key HTRB],0),MATCH(BW74,CLHVAC[Measure Number],0)),"")</f>
        <v/>
      </c>
      <c r="BY74" s="1253" t="str">
        <f>IFERROR(
IF(OR(C74="",N74="",T74="",V74="",AA74="",AE74="",AG74=""),
"",
IF(BP74&gt;0,"",IF(OR(AND(ISNUMBER(SEARCH("kW/ton", J74)),OR(L74&lt;N74,R74&lt;T74)),AND(NOT(ISNUMBER(SEARCH("kW/ton", J74))),OR(L74&gt;N74,R74&gt;T74))),
"Must Improve Efficiency",
IFERROR(IF(EXPIRATION&lt;&gt;"",PROJSTATEXP,
IF(BP74&gt;0,"",
IF(OR(M02S04F06="",M02S04F06="Select Rate Code",M02S04F06=0),MEASURERATE,
IF(M02S04F22="", SPACECONDTYPE,
IF(PAYCUSE&lt;PAYBACKREQ,PROJECTSTATPAYBACK,
IF(BN74&lt;CBREQ,PROJECTSTATCB,"")))))),MEASURESUBMIT)))),"")</f>
        <v/>
      </c>
      <c r="BZ74" s="1247" t="str">
        <f>IFERROR(IF(INDEX(CLHVAC[Eff Unit 3],MATCH(C74,CLHVAC[Measure Name],0))="","",INDEX(CLHVAC[Eff Unit 3],MATCH(C74,CLHVAC[Measure Name],0))),"")</f>
        <v/>
      </c>
      <c r="CA74" s="1249" t="str">
        <f>IFERROR(IF(INDEX(CLHVAC[Base Efficiency 3],MATCH(C74,CLHVAC[Measure Name],0))="","",INDEX(CLHVAC[Base Efficiency 3],MATCH(C74,CLHVAC[Measure Name],0))),"")</f>
        <v/>
      </c>
      <c r="CB74" s="1251" t="str">
        <f t="shared" ref="CB74" si="228">IFERROR(IF(ISNUMBER(SEARCH("Air-Cooled Chiller",$C74)),12/N74,""),"")</f>
        <v/>
      </c>
      <c r="CC74" s="1252"/>
    </row>
    <row r="75" spans="2:81" ht="15.95" customHeight="1">
      <c r="B75" s="785"/>
      <c r="C75" s="793"/>
      <c r="D75" s="795"/>
      <c r="E75" s="795"/>
      <c r="F75" s="795"/>
      <c r="G75" s="795"/>
      <c r="H75" s="795"/>
      <c r="I75" s="795"/>
      <c r="J75" s="934"/>
      <c r="K75" s="935"/>
      <c r="L75" s="930"/>
      <c r="M75" s="931"/>
      <c r="N75" s="915"/>
      <c r="O75" s="916"/>
      <c r="P75" s="934"/>
      <c r="Q75" s="935"/>
      <c r="R75" s="930"/>
      <c r="S75" s="931"/>
      <c r="T75" s="917"/>
      <c r="U75" s="918"/>
      <c r="V75" s="926"/>
      <c r="W75" s="927"/>
      <c r="X75" s="793"/>
      <c r="Y75" s="795"/>
      <c r="Z75" s="794"/>
      <c r="AA75" s="904"/>
      <c r="AB75" s="905"/>
      <c r="AC75" s="905"/>
      <c r="AD75" s="906"/>
      <c r="AE75" s="809"/>
      <c r="AF75" s="810"/>
      <c r="AG75" s="810"/>
      <c r="AH75" s="812"/>
      <c r="AI75" s="921"/>
      <c r="AJ75" s="921"/>
      <c r="AK75" s="921"/>
      <c r="AL75" s="922"/>
      <c r="AM75" s="816"/>
      <c r="AN75" s="816"/>
      <c r="AO75" s="818"/>
      <c r="AP75" s="818"/>
      <c r="AQ75" s="818"/>
      <c r="AR75" s="841"/>
      <c r="AS75" s="841"/>
      <c r="AT75" s="841"/>
      <c r="AU75" s="841"/>
      <c r="AV75" s="17"/>
      <c r="AX75" s="1243"/>
      <c r="AY75" s="760"/>
      <c r="AZ75" s="760"/>
      <c r="BA75" s="920"/>
      <c r="BB75" s="920"/>
      <c r="BC75" s="1243"/>
      <c r="BD75" s="1239"/>
      <c r="BE75" s="776"/>
      <c r="BF75" s="776"/>
      <c r="BG75" s="776"/>
      <c r="BH75" s="1241"/>
      <c r="BI75" s="1241"/>
      <c r="BJ75" s="778"/>
      <c r="BK75" s="768"/>
      <c r="BL75" s="768"/>
      <c r="BM75" s="766"/>
      <c r="BN75" s="764"/>
      <c r="BO75" s="764"/>
      <c r="BP75" s="770"/>
      <c r="BQ75" s="768"/>
      <c r="BR75" s="768"/>
      <c r="BS75" s="766"/>
      <c r="BT75" s="766"/>
      <c r="BU75" s="1239"/>
      <c r="BV75" s="768"/>
      <c r="BW75" s="1239"/>
      <c r="BX75" s="758"/>
      <c r="BY75" s="1254"/>
      <c r="BZ75" s="1248"/>
      <c r="CA75" s="1250"/>
      <c r="CB75" s="913"/>
      <c r="CC75" s="909"/>
    </row>
    <row r="76" spans="2:81" ht="15.95" customHeight="1">
      <c r="B76" s="785">
        <v>30</v>
      </c>
      <c r="C76" s="825"/>
      <c r="D76" s="826"/>
      <c r="E76" s="826"/>
      <c r="F76" s="826"/>
      <c r="G76" s="826"/>
      <c r="H76" s="826"/>
      <c r="I76" s="826"/>
      <c r="J76" s="932" t="str">
        <f>IF(C76="","",INDEX(CLHVAC[Eff Unit 1],MATCH(C76,CLHVAC[Measure Name],0)))</f>
        <v/>
      </c>
      <c r="K76" s="933"/>
      <c r="L76" s="928" t="str">
        <f>IF(C76="","",INDEX(CLHVAC[Base Efficiency 1],MATCH(C76,CLHVAC[Measure Name],0)))</f>
        <v/>
      </c>
      <c r="M76" s="929"/>
      <c r="N76" s="915"/>
      <c r="O76" s="916"/>
      <c r="P76" s="932" t="str">
        <f>IF(C76="","",INDEX(CLHVAC[Eff Unit 2],MATCH(C76,CLHVAC[Measure Name],0)))</f>
        <v/>
      </c>
      <c r="Q76" s="933"/>
      <c r="R76" s="928" t="str">
        <f>IF(C76="","",INDEX(CLHVAC[Base Efficiency 2],MATCH(C76,CLHVAC[Measure Name],0)))</f>
        <v/>
      </c>
      <c r="S76" s="929"/>
      <c r="T76" s="917" t="str">
        <f>IF(AND(ISNUMBER(SEARCH("DX",C76)),ISNUMBER(SEARCH("&lt;65 kbtu",C76)),N76&lt;&gt;""),1.12*N76-0.02*N76^2,IF(AND(ISNUMBER(SEARCH("PTAC",C76)),N76&lt;&gt;""),1,""))</f>
        <v/>
      </c>
      <c r="U76" s="918"/>
      <c r="V76" s="926"/>
      <c r="W76" s="927"/>
      <c r="X76" s="825"/>
      <c r="Y76" s="826"/>
      <c r="Z76" s="827"/>
      <c r="AA76" s="904"/>
      <c r="AB76" s="905"/>
      <c r="AC76" s="905"/>
      <c r="AD76" s="906"/>
      <c r="AE76" s="809"/>
      <c r="AF76" s="810"/>
      <c r="AG76" s="810"/>
      <c r="AH76" s="812"/>
      <c r="AI76" s="948" t="str">
        <f>IF(C76="","",INDEX(CLHVAC[Current Unit],MATCH(C76,CLHVAC[Measure Name],0)))</f>
        <v/>
      </c>
      <c r="AJ76" s="948"/>
      <c r="AK76" s="948"/>
      <c r="AL76" s="949"/>
      <c r="AM76" s="814" t="str" cm="1">
        <f t="array" ref="AM76">IFERROR(IF(C76="","",INDEX(IF(AND(ACTIVEBONUS = TRUE,INDEX(CLHVAC[Bonus Incentive],MATCH(C76,CLHVAC[Measure Name],0))&lt;&gt; ""),CLHVAC[Bonus Incentive],_xlfn.SWITCH(Program_Banner,"Business Energy Savings",CLHVAC[BESP Incentive],"Small Business / Non-Profit",CLHVAC[SBNP Incentive],0)),MATCH(C76,CLHVAC[Measure Name],0))),"")</f>
        <v/>
      </c>
      <c r="AN76" s="814"/>
      <c r="AO76" s="817" t="str">
        <f t="shared" ref="AO76" si="229">IFERROR(IF(OR(C76="",N76="",T76="",V76="",AA76="",AE76="",AG76=""),"",IF(BE76&lt;=0, 0, BE76)),"")</f>
        <v/>
      </c>
      <c r="AP76" s="817"/>
      <c r="AQ76" s="817"/>
      <c r="AR76" s="840" t="str">
        <f>IFERROR(IF(OR(C76="",N76="",V76="",AA76="",T76="",AE76="",AG76=""),"",IF(BY76&lt;&gt;"",BY76,IF(BP76&gt;0,BP76,ROUND(IF(AO76&lt;=0,0,MIN(BL76,BQ76)), 2)))), "")</f>
        <v/>
      </c>
      <c r="AS76" s="840"/>
      <c r="AT76" s="840"/>
      <c r="AU76" s="840"/>
      <c r="AV76" s="17"/>
      <c r="AX76" s="1242" t="str">
        <f>IFERROR(IF(OR(C76="",N76="",V76="",AA76="",T76="",AE76="",AG76=""),"",INDEX(CLHVAC[Current Unit],MATCH(C76,CLHVAC[Measure Name],0))),"Err")</f>
        <v/>
      </c>
      <c r="AY76" s="759" t="str">
        <f t="shared" ref="AY76" si="230">IF(OR(L76="", N76="", V76=""), "", ABS(N76-L76)*V76)</f>
        <v/>
      </c>
      <c r="AZ76" s="759" t="str">
        <f t="shared" ref="AZ76" si="231">IF(OR(L76="", N76="", V76=""), "", ABS(N76-L76)*V76)</f>
        <v/>
      </c>
      <c r="BA76" s="919" t="str">
        <f>IF(C76&lt;&gt;"", _xlfn.LET(
_xlpm.Tons_Cool, V76, _xlpm.PLC_Base, L76, _xlpm.Tons_Heat, CC76, _xlpm.Other_Base, R76,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(12/_xlpm.PLC_Base)*_xlpm.EFLH_Cool,
IF(ISNUMBER(SEARCH("Water", C76)),
_xlpm.Tons_Cool * (_xlpm.PLC_Base) * _xlpm.EFLH_Cool,
" "
)),4),
_xlpm.kWhHeat,
IF(
_xlpm.ElecHeat=1,
ROUND(
IF(OR(ISNUMBER(SEARCH("DX", C76)),ISNUMBER(SEARCH("PTAC", C76)), ISNUMBER(SEARCH("Air-Cooled Chiller", C76)), ISNUMBER(SEARCH("Water", C76)),
ISNUMBER(SEARCH("VRF", C76))),
0,
IF(
OR(ISNUMBER(SEARCH("ASHP", C76)), ISNUMBER(SEARCH("PTHP", C76))),
_xlpm.Tons_Heat * (1/_xlpm.Other_Base) * _xlpm.EFLH_Heat,
" "
)),4),
0
),
IFERROR(_xlpm.kWhCool + _xlpm.kWhHeat, "Measure Not Specified.")
), "")</f>
        <v/>
      </c>
      <c r="BB76" s="919" t="str">
        <f>IF(C76&lt;&gt;"", _xlfn.LET(
_xlpm.Tons_Cool, V76,_xlpm.PLC_Eff, N76, _xlpm.Tons_Heat, CC76, _xlpm.Other_Eff, T76,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(12/_xlpm.PLC_Eff)*_xlpm.EFLH_Cool,
IF(ISNUMBER(SEARCH("Water", C76)),
_xlpm.Tons_Cool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(1/_xlpm.Other_Eff) * _xlpm.EFLH_Heat,
" "
)),4),
0
),
IFERROR(_xlpm.kWhCool + _xlpm.kWhHeat, "Measure Not Specified.")
), "")</f>
        <v/>
      </c>
      <c r="BC76" s="1242" t="str">
        <f>IFERROR(IF(OR(C76="",N76="",V76="",AA76="",T76="",AE76="",AG76=""),"",INDEX(CLHVAC[End Use],MATCH(C76,CLHVAC[Measure Name],0))),"Err")</f>
        <v/>
      </c>
      <c r="BD76" s="1238" t="str">
        <f>IFERROR(IF(OR(C76="",N76="",V76="",AA76="",T76="",AE76="",AG76=""),"",INDEX(CLHVAC[Reporting Methodology],MATCH(C76,CLHVAC[Measure Name],0))),"Err")</f>
        <v/>
      </c>
      <c r="BE76" s="775" t="str">
        <f t="shared" si="2"/>
        <v/>
      </c>
      <c r="BF76" s="775" t="str">
        <f t="shared" ref="BF76" si="232">IF(C76&lt;&gt;"", _xlfn.LET(
_xlpm.Tons, V76, _xlpm.PCF, 0.913,
IF(OR(ISNUMBER(SEARCH("DX", C76)), ISNUMBER(SEARCH("Air-Cooled Chiller", C76)), ISNUMBER(SEARCH("VRF", C76))),
IFERROR(_xlpm.Tons * (12/R76 - 12/T76) * _xlpm.PCF, 0),
IF(ISNUMBER(SEARCH("Water", C76)),
IFERROR(_xlpm.Tons * (R76-T76) * _xlpm.PCF, 0),
IF(ISNUMBER(SEARCH("ASHP", C76)),
IFERROR(_xlpm.Tons * (12/CA76 - 12/CB76) * _xlpm.PCF, 0),
IF(OR(ISNUMBER(SEARCH("PTAC", C76)), ISNUMBER(SEARCH("PTHP", C76))),
IFERROR(_xlpm.Tons * (12/L76 - 12/N76) * _xlpm.PCF, 0),
"Measure Not Specified."))))), "")</f>
        <v/>
      </c>
      <c r="BG76" s="775"/>
      <c r="BH76" s="1240"/>
      <c r="BI76" s="1240"/>
      <c r="BJ76" s="777" t="str">
        <f>IFERROR(INDEX(CLHVAC[Measure Life (Years)],MATCH(C76,CLHVAC[Measure Name],0)),"")</f>
        <v/>
      </c>
      <c r="BK76" s="767" t="str">
        <f>IFERROR(IF(OR(C76="",N76="",T76="",V76="",AA76="",AE76="",AG76=""),"",
ROUND(((1+ELOSS)*((BE76*INDEX(ELECCB[NPV AEC $/kWh],MATCH(BJ76,ELECCB[Year Number],1)))+(BF76*INDEX(ELECCB[NPV ACC $/kW],MATCH(BJ76,ELECCB[Year Number],1))))),2)),0)</f>
        <v/>
      </c>
      <c r="BL76" s="767" t="str">
        <f t="shared" ref="BL76" si="233">IF(OR(C76="",N76="",V76="",AA76="",T76="",AE76="",AG76=""),"",ROUND(AE76+AG76,2))</f>
        <v/>
      </c>
      <c r="BM76" s="765"/>
      <c r="BN76" s="763" t="str">
        <f t="shared" si="4"/>
        <v/>
      </c>
      <c r="BO76" s="763" t="str">
        <f>IFERROR(IF(BM76 &lt;&gt; "", BM76, BL76) / M02S04F06 / AO76, "")</f>
        <v/>
      </c>
      <c r="BP76" s="769"/>
      <c r="BQ76" s="767" t="str">
        <f t="shared" ref="BQ76" si="234">IFERROR(IF(AI76="per ton", ROUND(V76*AM76, 2),
IF(AND(ISNUMBER(SEARCH("Air-Cooled Chiller",C76)),AI76="$/ton/IPLV"), ROUND((12/L76-12/N76)*V76*AM76, 2),
ROUND(ABS(N76-L76)*V76*AM76, 2))), "")</f>
        <v/>
      </c>
      <c r="BR76" s="767"/>
      <c r="BS76" s="765"/>
      <c r="BT76" s="765"/>
      <c r="BU76" s="1238" t="str">
        <f t="shared" ref="BU76" si="235">IFERROR(IF(BP76="",IF(AND(AO76&gt;0, AR76 &lt; BQ76), "100% Total Cost", ""), ""), "")</f>
        <v/>
      </c>
      <c r="BV76" s="767"/>
      <c r="BW76" s="1238" t="str">
        <f>IFERROR(IF(OR(C76="",N76="",V76="",AA76="",T76="",AE76="",AG76=""),"",IF(BY76&lt;&gt;"", SPILLOVERNUMBER, INDEX(CLHVAC[Measure Number],MATCH(C76,CLHVAC[Measure Name],0)))),"Err")</f>
        <v/>
      </c>
      <c r="BX76" s="757" t="str" cm="1">
        <f t="array" ref="BX76">IFERROR(INDEX(_xlfn.SWITCH(Program_Banner,"Business Energy Savings",CLHVAC[Primary Key WBE],"Small Business / Non-Profit",CLHVAC[Primary Key HTRB],0),MATCH(BW76,CLHVAC[Measure Number],0)),"")</f>
        <v/>
      </c>
      <c r="BY76" s="1253" t="str">
        <f>IFERROR(
IF(OR(C76="",N76="",T76="",V76="",AA76="",AE76="",AG76=""),
"",
IF(BP76&gt;0,"",IF(OR(AND(ISNUMBER(SEARCH("kW/ton", J76)),OR(L76&lt;N76,R76&lt;T76)),AND(NOT(ISNUMBER(SEARCH("kW/ton", J76))),OR(L76&gt;N76,R76&gt;T76))),
"Must Improve Efficiency",
IFERROR(IF(EXPIRATION&lt;&gt;"",PROJSTATEXP,
IF(BP76&gt;0,"",
IF(OR(M02S04F06="",M02S04F06="Select Rate Code",M02S04F06=0),MEASURERATE,
IF(M02S04F22="", SPACECONDTYPE,
IF(PAYCUSE&lt;PAYBACKREQ,PROJECTSTATPAYBACK,
IF(BN76&lt;CBREQ,PROJECTSTATCB,"")))))),MEASURESUBMIT)))),"")</f>
        <v/>
      </c>
      <c r="BZ76" s="1247" t="str">
        <f>IFERROR(IF(INDEX(CLHVAC[Eff Unit 3],MATCH(C76,CLHVAC[Measure Name],0))="","",INDEX(CLHVAC[Eff Unit 3],MATCH(C76,CLHVAC[Measure Name],0))),"")</f>
        <v/>
      </c>
      <c r="CA76" s="1249" t="str">
        <f>IFERROR(IF(INDEX(CLHVAC[Base Efficiency 3],MATCH(C76,CLHVAC[Measure Name],0))="","",INDEX(CLHVAC[Base Efficiency 3],MATCH(C76,CLHVAC[Measure Name],0))),"")</f>
        <v/>
      </c>
      <c r="CB76" s="1251" t="str">
        <f t="shared" ref="CB76" si="236">IFERROR(IF(ISNUMBER(SEARCH("Air-Cooled Chiller",$C76)),12/N76,""),"")</f>
        <v/>
      </c>
      <c r="CC76" s="1252"/>
    </row>
    <row r="77" spans="2:81" ht="15.95" customHeight="1">
      <c r="B77" s="785"/>
      <c r="C77" s="793"/>
      <c r="D77" s="795"/>
      <c r="E77" s="795"/>
      <c r="F77" s="795"/>
      <c r="G77" s="795"/>
      <c r="H77" s="795"/>
      <c r="I77" s="795"/>
      <c r="J77" s="934"/>
      <c r="K77" s="935"/>
      <c r="L77" s="930"/>
      <c r="M77" s="931"/>
      <c r="N77" s="915"/>
      <c r="O77" s="916"/>
      <c r="P77" s="934"/>
      <c r="Q77" s="935"/>
      <c r="R77" s="930"/>
      <c r="S77" s="931"/>
      <c r="T77" s="917"/>
      <c r="U77" s="918"/>
      <c r="V77" s="926"/>
      <c r="W77" s="927"/>
      <c r="X77" s="793"/>
      <c r="Y77" s="795"/>
      <c r="Z77" s="794"/>
      <c r="AA77" s="904"/>
      <c r="AB77" s="905"/>
      <c r="AC77" s="905"/>
      <c r="AD77" s="906"/>
      <c r="AE77" s="809"/>
      <c r="AF77" s="810"/>
      <c r="AG77" s="810"/>
      <c r="AH77" s="812"/>
      <c r="AI77" s="921"/>
      <c r="AJ77" s="921"/>
      <c r="AK77" s="921"/>
      <c r="AL77" s="922"/>
      <c r="AM77" s="816"/>
      <c r="AN77" s="816"/>
      <c r="AO77" s="818"/>
      <c r="AP77" s="818"/>
      <c r="AQ77" s="818"/>
      <c r="AR77" s="841"/>
      <c r="AS77" s="841"/>
      <c r="AT77" s="841"/>
      <c r="AU77" s="841"/>
      <c r="AV77" s="17"/>
      <c r="AX77" s="1243"/>
      <c r="AY77" s="760"/>
      <c r="AZ77" s="760"/>
      <c r="BA77" s="920"/>
      <c r="BB77" s="920"/>
      <c r="BC77" s="1243"/>
      <c r="BD77" s="1239"/>
      <c r="BE77" s="776"/>
      <c r="BF77" s="776"/>
      <c r="BG77" s="776"/>
      <c r="BH77" s="1241"/>
      <c r="BI77" s="1241"/>
      <c r="BJ77" s="778"/>
      <c r="BK77" s="768"/>
      <c r="BL77" s="768"/>
      <c r="BM77" s="766"/>
      <c r="BN77" s="764"/>
      <c r="BO77" s="764"/>
      <c r="BP77" s="770"/>
      <c r="BQ77" s="768"/>
      <c r="BR77" s="768"/>
      <c r="BS77" s="766"/>
      <c r="BT77" s="766"/>
      <c r="BU77" s="1239"/>
      <c r="BV77" s="768"/>
      <c r="BW77" s="1239"/>
      <c r="BX77" s="758"/>
      <c r="BY77" s="1254"/>
      <c r="BZ77" s="1248"/>
      <c r="CA77" s="1250"/>
      <c r="CB77" s="913"/>
      <c r="CC77" s="909"/>
    </row>
    <row r="78" spans="2:81" ht="15.95" customHeight="1">
      <c r="B78" s="785">
        <v>31</v>
      </c>
      <c r="C78" s="825"/>
      <c r="D78" s="826"/>
      <c r="E78" s="826"/>
      <c r="F78" s="826"/>
      <c r="G78" s="826"/>
      <c r="H78" s="826"/>
      <c r="I78" s="826"/>
      <c r="J78" s="932" t="str">
        <f>IF(C78="","",INDEX(CLHVAC[Eff Unit 1],MATCH(C78,CLHVAC[Measure Name],0)))</f>
        <v/>
      </c>
      <c r="K78" s="933"/>
      <c r="L78" s="928" t="str">
        <f>IF(C78="","",INDEX(CLHVAC[Base Efficiency 1],MATCH(C78,CLHVAC[Measure Name],0)))</f>
        <v/>
      </c>
      <c r="M78" s="929"/>
      <c r="N78" s="915"/>
      <c r="O78" s="916"/>
      <c r="P78" s="932" t="str">
        <f>IF(C78="","",INDEX(CLHVAC[Eff Unit 2],MATCH(C78,CLHVAC[Measure Name],0)))</f>
        <v/>
      </c>
      <c r="Q78" s="933"/>
      <c r="R78" s="928" t="str">
        <f>IF(C78="","",INDEX(CLHVAC[Base Efficiency 2],MATCH(C78,CLHVAC[Measure Name],0)))</f>
        <v/>
      </c>
      <c r="S78" s="929"/>
      <c r="T78" s="917" t="str">
        <f>IF(AND(ISNUMBER(SEARCH("DX",C78)),ISNUMBER(SEARCH("&lt;65 kbtu",C78)),N78&lt;&gt;""),1.12*N78-0.02*N78^2,IF(AND(ISNUMBER(SEARCH("PTAC",C78)),N78&lt;&gt;""),1,""))</f>
        <v/>
      </c>
      <c r="U78" s="918"/>
      <c r="V78" s="926"/>
      <c r="W78" s="927"/>
      <c r="X78" s="825"/>
      <c r="Y78" s="826"/>
      <c r="Z78" s="827"/>
      <c r="AA78" s="904"/>
      <c r="AB78" s="905"/>
      <c r="AC78" s="905"/>
      <c r="AD78" s="906"/>
      <c r="AE78" s="809"/>
      <c r="AF78" s="810"/>
      <c r="AG78" s="810"/>
      <c r="AH78" s="812"/>
      <c r="AI78" s="948" t="str">
        <f>IF(C78="","",INDEX(CLHVAC[Current Unit],MATCH(C78,CLHVAC[Measure Name],0)))</f>
        <v/>
      </c>
      <c r="AJ78" s="948"/>
      <c r="AK78" s="948"/>
      <c r="AL78" s="949"/>
      <c r="AM78" s="814" t="str" cm="1">
        <f t="array" ref="AM78">IFERROR(IF(C78="","",INDEX(IF(AND(ACTIVEBONUS = TRUE,INDEX(CLHVAC[Bonus Incentive],MATCH(C78,CLHVAC[Measure Name],0))&lt;&gt; ""),CLHVAC[Bonus Incentive],_xlfn.SWITCH(Program_Banner,"Business Energy Savings",CLHVAC[BESP Incentive],"Small Business / Non-Profit",CLHVAC[SBNP Incentive],0)),MATCH(C78,CLHVAC[Measure Name],0))),"")</f>
        <v/>
      </c>
      <c r="AN78" s="814"/>
      <c r="AO78" s="817" t="str">
        <f t="shared" ref="AO78" si="237">IFERROR(IF(OR(C78="",N78="",T78="",V78="",AA78="",AE78="",AG78=""),"",IF(BE78&lt;=0, 0, BE78)),"")</f>
        <v/>
      </c>
      <c r="AP78" s="817"/>
      <c r="AQ78" s="817"/>
      <c r="AR78" s="840" t="str">
        <f>IFERROR(IF(OR(C78="",N78="",V78="",AA78="",T78="",AE78="",AG78=""),"",IF(BY78&lt;&gt;"",BY78,IF(BP78&gt;0,BP78,ROUND(IF(AO78&lt;=0,0,MIN(BL78,BQ78)), 2)))), "")</f>
        <v/>
      </c>
      <c r="AS78" s="840"/>
      <c r="AT78" s="840"/>
      <c r="AU78" s="840"/>
      <c r="AV78" s="17"/>
      <c r="AX78" s="1242" t="str">
        <f>IFERROR(IF(OR(C78="",N78="",V78="",AA78="",T78="",AE78="",AG78=""),"",INDEX(CLHVAC[Current Unit],MATCH(C78,CLHVAC[Measure Name],0))),"Err")</f>
        <v/>
      </c>
      <c r="AY78" s="759" t="str">
        <f t="shared" ref="AY78" si="238">IF(OR(L78="", N78="", V78=""), "", ABS(N78-L78)*V78)</f>
        <v/>
      </c>
      <c r="AZ78" s="759" t="str">
        <f t="shared" ref="AZ78" si="239">IF(OR(L78="", N78="", V78=""), "", ABS(N78-L78)*V78)</f>
        <v/>
      </c>
      <c r="BA78" s="919" t="str">
        <f>IF(C78&lt;&gt;"", _xlfn.LET(
_xlpm.Tons_Cool, V78, _xlpm.PLC_Base, L78, _xlpm.Tons_Heat, CC78, _xlpm.Other_Base, R78,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(12/_xlpm.PLC_Base)*_xlpm.EFLH_Cool,
IF(ISNUMBER(SEARCH("Water", C78)),
_xlpm.Tons_Cool * (_xlpm.PLC_Base) * _xlpm.EFLH_Cool,
" "
)),4),
_xlpm.kWhHeat,
IF(
_xlpm.ElecHeat=1,
ROUND(
IF(OR(ISNUMBER(SEARCH("DX", C78)),ISNUMBER(SEARCH("PTAC", C78)), ISNUMBER(SEARCH("Air-Cooled Chiller", C78)), ISNUMBER(SEARCH("Water", C78)),
ISNUMBER(SEARCH("VRF", C78))),
0,
IF(
OR(ISNUMBER(SEARCH("ASHP", C78)), ISNUMBER(SEARCH("PTHP", C78))),
_xlpm.Tons_Heat * (1/_xlpm.Other_Base) * _xlpm.EFLH_Heat,
" "
)),4),
0
),
IFERROR(_xlpm.kWhCool + _xlpm.kWhHeat, "Measure Not Specified.")
), "")</f>
        <v/>
      </c>
      <c r="BB78" s="919" t="str">
        <f>IF(C78&lt;&gt;"", _xlfn.LET(
_xlpm.Tons_Cool, V78,_xlpm.PLC_Eff, N78, _xlpm.Tons_Heat, CC78, _xlpm.Other_Eff, T78,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(12/_xlpm.PLC_Eff)*_xlpm.EFLH_Cool,
IF(ISNUMBER(SEARCH("Water", C78)),
_xlpm.Tons_Cool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(1/_xlpm.Other_Eff) * _xlpm.EFLH_Heat,
" "
)),4),
0
),
IFERROR(_xlpm.kWhCool + _xlpm.kWhHeat, "Measure Not Specified.")
), "")</f>
        <v/>
      </c>
      <c r="BC78" s="1242" t="str">
        <f>IFERROR(IF(OR(C78="",N78="",V78="",AA78="",T78="",AE78="",AG78=""),"",INDEX(CLHVAC[End Use],MATCH(C78,CLHVAC[Measure Name],0))),"Err")</f>
        <v/>
      </c>
      <c r="BD78" s="1238" t="str">
        <f>IFERROR(IF(OR(C78="",N78="",V78="",AA78="",T78="",AE78="",AG78=""),"",INDEX(CLHVAC[Reporting Methodology],MATCH(C78,CLHVAC[Measure Name],0))),"Err")</f>
        <v/>
      </c>
      <c r="BE78" s="775" t="str">
        <f t="shared" si="2"/>
        <v/>
      </c>
      <c r="BF78" s="775" t="str">
        <f t="shared" ref="BF78" si="240">IF(C78&lt;&gt;"", _xlfn.LET(
_xlpm.Tons, V78, _xlpm.PCF, 0.913,
IF(OR(ISNUMBER(SEARCH("DX", C78)), ISNUMBER(SEARCH("Air-Cooled Chiller", C78)), ISNUMBER(SEARCH("VRF", C78))),
IFERROR(_xlpm.Tons * (12/R78 - 12/T78) * _xlpm.PCF, 0),
IF(ISNUMBER(SEARCH("Water", C78)),
IFERROR(_xlpm.Tons * (R78-T78) * _xlpm.PCF, 0),
IF(ISNUMBER(SEARCH("ASHP", C78)),
IFERROR(_xlpm.Tons * (12/CA78 - 12/CB78) * _xlpm.PCF, 0),
IF(OR(ISNUMBER(SEARCH("PTAC", C78)), ISNUMBER(SEARCH("PTHP", C78))),
IFERROR(_xlpm.Tons * (12/L78 - 12/N78) * _xlpm.PCF, 0),
"Measure Not Specified."))))), "")</f>
        <v/>
      </c>
      <c r="BG78" s="775"/>
      <c r="BH78" s="1240"/>
      <c r="BI78" s="1240"/>
      <c r="BJ78" s="777" t="str">
        <f>IFERROR(INDEX(CLHVAC[Measure Life (Years)],MATCH(C78,CLHVAC[Measure Name],0)),"")</f>
        <v/>
      </c>
      <c r="BK78" s="767" t="str">
        <f>IFERROR(IF(OR(C78="",N78="",T78="",V78="",AA78="",AE78="",AG78=""),"",
ROUND(((1+ELOSS)*((BE78*INDEX(ELECCB[NPV AEC $/kWh],MATCH(BJ78,ELECCB[Year Number],1)))+(BF78*INDEX(ELECCB[NPV ACC $/kW],MATCH(BJ78,ELECCB[Year Number],1))))),2)),0)</f>
        <v/>
      </c>
      <c r="BL78" s="767" t="str">
        <f t="shared" ref="BL78" si="241">IF(OR(C78="",N78="",V78="",AA78="",T78="",AE78="",AG78=""),"",ROUND(AE78+AG78,2))</f>
        <v/>
      </c>
      <c r="BM78" s="765"/>
      <c r="BN78" s="763" t="str">
        <f t="shared" si="4"/>
        <v/>
      </c>
      <c r="BO78" s="763" t="str">
        <f>IFERROR(IF(BM78 &lt;&gt; "", BM78, BL78) / M02S04F06 / AO78, "")</f>
        <v/>
      </c>
      <c r="BP78" s="769"/>
      <c r="BQ78" s="767" t="str">
        <f t="shared" ref="BQ78" si="242">IFERROR(IF(AI78="per ton", ROUND(V78*AM78, 2),
IF(AND(ISNUMBER(SEARCH("Air-Cooled Chiller",C78)),AI78="$/ton/IPLV"), ROUND((12/L78-12/N78)*V78*AM78, 2),
ROUND(ABS(N78-L78)*V78*AM78, 2))), "")</f>
        <v/>
      </c>
      <c r="BR78" s="767"/>
      <c r="BS78" s="765"/>
      <c r="BT78" s="765"/>
      <c r="BU78" s="1238" t="str">
        <f t="shared" ref="BU78" si="243">IFERROR(IF(BP78="",IF(AND(AO78&gt;0, AR78 &lt; BQ78), "100% Total Cost", ""), ""), "")</f>
        <v/>
      </c>
      <c r="BV78" s="767"/>
      <c r="BW78" s="1238" t="str">
        <f>IFERROR(IF(OR(C78="",N78="",V78="",AA78="",T78="",AE78="",AG78=""),"",IF(BY78&lt;&gt;"", SPILLOVERNUMBER, INDEX(CLHVAC[Measure Number],MATCH(C78,CLHVAC[Measure Name],0)))),"Err")</f>
        <v/>
      </c>
      <c r="BX78" s="757" t="str" cm="1">
        <f t="array" ref="BX78">IFERROR(INDEX(_xlfn.SWITCH(Program_Banner,"Business Energy Savings",CLHVAC[Primary Key WBE],"Small Business / Non-Profit",CLHVAC[Primary Key HTRB],0),MATCH(BW78,CLHVAC[Measure Number],0)),"")</f>
        <v/>
      </c>
      <c r="BY78" s="1253" t="str">
        <f>IFERROR(
IF(OR(C78="",N78="",T78="",V78="",AA78="",AE78="",AG78=""),
"",
IF(BP78&gt;0,"",IF(OR(AND(ISNUMBER(SEARCH("kW/ton", J78)),OR(L78&lt;N78,R78&lt;T78)),AND(NOT(ISNUMBER(SEARCH("kW/ton", J78))),OR(L78&gt;N78,R78&gt;T78))),
"Must Improve Efficiency",
IFERROR(IF(EXPIRATION&lt;&gt;"",PROJSTATEXP,
IF(BP78&gt;0,"",
IF(OR(M02S04F06="",M02S04F06="Select Rate Code",M02S04F06=0),MEASURERATE,
IF(M02S04F22="", SPACECONDTYPE,
IF(PAYCUSE&lt;PAYBACKREQ,PROJECTSTATPAYBACK,
IF(BN78&lt;CBREQ,PROJECTSTATCB,"")))))),MEASURESUBMIT)))),"")</f>
        <v/>
      </c>
      <c r="BZ78" s="1247" t="str">
        <f>IFERROR(IF(INDEX(CLHVAC[Eff Unit 3],MATCH(C78,CLHVAC[Measure Name],0))="","",INDEX(CLHVAC[Eff Unit 3],MATCH(C78,CLHVAC[Measure Name],0))),"")</f>
        <v/>
      </c>
      <c r="CA78" s="1249" t="str">
        <f>IFERROR(IF(INDEX(CLHVAC[Base Efficiency 3],MATCH(C78,CLHVAC[Measure Name],0))="","",INDEX(CLHVAC[Base Efficiency 3],MATCH(C78,CLHVAC[Measure Name],0))),"")</f>
        <v/>
      </c>
      <c r="CB78" s="1251" t="str">
        <f t="shared" ref="CB78" si="244">IFERROR(IF(ISNUMBER(SEARCH("Air-Cooled Chiller",$C78)),12/N78,""),"")</f>
        <v/>
      </c>
      <c r="CC78" s="1252"/>
    </row>
    <row r="79" spans="2:81" ht="15.95" customHeight="1">
      <c r="B79" s="785"/>
      <c r="C79" s="793"/>
      <c r="D79" s="795"/>
      <c r="E79" s="795"/>
      <c r="F79" s="795"/>
      <c r="G79" s="795"/>
      <c r="H79" s="795"/>
      <c r="I79" s="795"/>
      <c r="J79" s="934"/>
      <c r="K79" s="935"/>
      <c r="L79" s="930"/>
      <c r="M79" s="931"/>
      <c r="N79" s="915"/>
      <c r="O79" s="916"/>
      <c r="P79" s="934"/>
      <c r="Q79" s="935"/>
      <c r="R79" s="930"/>
      <c r="S79" s="931"/>
      <c r="T79" s="917"/>
      <c r="U79" s="918"/>
      <c r="V79" s="926"/>
      <c r="W79" s="927"/>
      <c r="X79" s="793"/>
      <c r="Y79" s="795"/>
      <c r="Z79" s="794"/>
      <c r="AA79" s="904"/>
      <c r="AB79" s="905"/>
      <c r="AC79" s="905"/>
      <c r="AD79" s="906"/>
      <c r="AE79" s="809"/>
      <c r="AF79" s="810"/>
      <c r="AG79" s="810"/>
      <c r="AH79" s="812"/>
      <c r="AI79" s="921"/>
      <c r="AJ79" s="921"/>
      <c r="AK79" s="921"/>
      <c r="AL79" s="922"/>
      <c r="AM79" s="816"/>
      <c r="AN79" s="816"/>
      <c r="AO79" s="818"/>
      <c r="AP79" s="818"/>
      <c r="AQ79" s="818"/>
      <c r="AR79" s="841"/>
      <c r="AS79" s="841"/>
      <c r="AT79" s="841"/>
      <c r="AU79" s="841"/>
      <c r="AV79" s="17"/>
      <c r="AX79" s="1243"/>
      <c r="AY79" s="760"/>
      <c r="AZ79" s="760"/>
      <c r="BA79" s="920"/>
      <c r="BB79" s="920"/>
      <c r="BC79" s="1243"/>
      <c r="BD79" s="1239"/>
      <c r="BE79" s="776"/>
      <c r="BF79" s="776"/>
      <c r="BG79" s="776"/>
      <c r="BH79" s="1241"/>
      <c r="BI79" s="1241"/>
      <c r="BJ79" s="778"/>
      <c r="BK79" s="768"/>
      <c r="BL79" s="768"/>
      <c r="BM79" s="766"/>
      <c r="BN79" s="764"/>
      <c r="BO79" s="764"/>
      <c r="BP79" s="770"/>
      <c r="BQ79" s="768"/>
      <c r="BR79" s="768"/>
      <c r="BS79" s="766"/>
      <c r="BT79" s="766"/>
      <c r="BU79" s="1239"/>
      <c r="BV79" s="768"/>
      <c r="BW79" s="1239"/>
      <c r="BX79" s="758"/>
      <c r="BY79" s="1254"/>
      <c r="BZ79" s="1248"/>
      <c r="CA79" s="1250"/>
      <c r="CB79" s="913"/>
      <c r="CC79" s="909"/>
    </row>
    <row r="80" spans="2:81" ht="15.95" customHeight="1">
      <c r="B80" s="785">
        <v>32</v>
      </c>
      <c r="C80" s="825"/>
      <c r="D80" s="826"/>
      <c r="E80" s="826"/>
      <c r="F80" s="826"/>
      <c r="G80" s="826"/>
      <c r="H80" s="826"/>
      <c r="I80" s="826"/>
      <c r="J80" s="932" t="str">
        <f>IF(C80="","",INDEX(CLHVAC[Eff Unit 1],MATCH(C80,CLHVAC[Measure Name],0)))</f>
        <v/>
      </c>
      <c r="K80" s="933"/>
      <c r="L80" s="928" t="str">
        <f>IF(C80="","",INDEX(CLHVAC[Base Efficiency 1],MATCH(C80,CLHVAC[Measure Name],0)))</f>
        <v/>
      </c>
      <c r="M80" s="929"/>
      <c r="N80" s="915"/>
      <c r="O80" s="916"/>
      <c r="P80" s="932" t="str">
        <f>IF(C80="","",INDEX(CLHVAC[Eff Unit 2],MATCH(C80,CLHVAC[Measure Name],0)))</f>
        <v/>
      </c>
      <c r="Q80" s="933"/>
      <c r="R80" s="928" t="str">
        <f>IF(C80="","",INDEX(CLHVAC[Base Efficiency 2],MATCH(C80,CLHVAC[Measure Name],0)))</f>
        <v/>
      </c>
      <c r="S80" s="929"/>
      <c r="T80" s="917" t="str">
        <f>IF(AND(ISNUMBER(SEARCH("DX",C80)),ISNUMBER(SEARCH("&lt;65 kbtu",C80)),N80&lt;&gt;""),1.12*N80-0.02*N80^2,IF(AND(ISNUMBER(SEARCH("PTAC",C80)),N80&lt;&gt;""),1,""))</f>
        <v/>
      </c>
      <c r="U80" s="918"/>
      <c r="V80" s="926"/>
      <c r="W80" s="927"/>
      <c r="X80" s="825"/>
      <c r="Y80" s="826"/>
      <c r="Z80" s="827"/>
      <c r="AA80" s="904"/>
      <c r="AB80" s="905"/>
      <c r="AC80" s="905"/>
      <c r="AD80" s="906"/>
      <c r="AE80" s="809"/>
      <c r="AF80" s="810"/>
      <c r="AG80" s="810"/>
      <c r="AH80" s="812"/>
      <c r="AI80" s="948" t="str">
        <f>IF(C80="","",INDEX(CLHVAC[Current Unit],MATCH(C80,CLHVAC[Measure Name],0)))</f>
        <v/>
      </c>
      <c r="AJ80" s="948"/>
      <c r="AK80" s="948"/>
      <c r="AL80" s="949"/>
      <c r="AM80" s="814" t="str" cm="1">
        <f t="array" ref="AM80">IFERROR(IF(C80="","",INDEX(IF(AND(ACTIVEBONUS = TRUE,INDEX(CLHVAC[Bonus Incentive],MATCH(C80,CLHVAC[Measure Name],0))&lt;&gt; ""),CLHVAC[Bonus Incentive],_xlfn.SWITCH(Program_Banner,"Business Energy Savings",CLHVAC[BESP Incentive],"Small Business / Non-Profit",CLHVAC[SBNP Incentive],0)),MATCH(C80,CLHVAC[Measure Name],0))),"")</f>
        <v/>
      </c>
      <c r="AN80" s="814"/>
      <c r="AO80" s="817" t="str">
        <f t="shared" ref="AO80" si="245">IFERROR(IF(OR(C80="",N80="",T80="",V80="",AA80="",AE80="",AG80=""),"",IF(BE80&lt;=0, 0, BE80)),"")</f>
        <v/>
      </c>
      <c r="AP80" s="817"/>
      <c r="AQ80" s="817"/>
      <c r="AR80" s="840" t="str">
        <f>IFERROR(IF(OR(C80="",N80="",V80="",AA80="",T80="",AE80="",AG80=""),"",IF(BY80&lt;&gt;"",BY80,IF(BP80&gt;0,BP80,ROUND(IF(AO80&lt;=0,0,MIN(BL80,BQ80)), 2)))), "")</f>
        <v/>
      </c>
      <c r="AS80" s="840"/>
      <c r="AT80" s="840"/>
      <c r="AU80" s="840"/>
      <c r="AV80" s="17"/>
      <c r="AX80" s="1242" t="str">
        <f>IFERROR(IF(OR(C80="",N80="",V80="",AA80="",T80="",AE80="",AG80=""),"",INDEX(CLHVAC[Current Unit],MATCH(C80,CLHVAC[Measure Name],0))),"Err")</f>
        <v/>
      </c>
      <c r="AY80" s="759" t="str">
        <f t="shared" ref="AY80" si="246">IF(OR(L80="", N80="", V80=""), "", ABS(N80-L80)*V80)</f>
        <v/>
      </c>
      <c r="AZ80" s="759" t="str">
        <f t="shared" ref="AZ80" si="247">IF(OR(L80="", N80="", V80=""), "", ABS(N80-L80)*V80)</f>
        <v/>
      </c>
      <c r="BA80" s="919" t="str">
        <f>IF(C80&lt;&gt;"", _xlfn.LET(
_xlpm.Tons_Cool, V80, _xlpm.PLC_Base, L80, _xlpm.Tons_Heat, CC80, _xlpm.Other_Base, R80,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(12/_xlpm.PLC_Base)*_xlpm.EFLH_Cool,
IF(ISNUMBER(SEARCH("Water", C80)),
_xlpm.Tons_Cool * (_xlpm.PLC_Base) * _xlpm.EFLH_Cool,
" "
)),4),
_xlpm.kWhHeat,
IF(
_xlpm.ElecHeat=1,
ROUND(
IF(OR(ISNUMBER(SEARCH("DX", C80)),ISNUMBER(SEARCH("PTAC", C80)), ISNUMBER(SEARCH("Air-Cooled Chiller", C80)), ISNUMBER(SEARCH("Water", C80)),
ISNUMBER(SEARCH("VRF", C80))),
0,
IF(
OR(ISNUMBER(SEARCH("ASHP", C80)), ISNUMBER(SEARCH("PTHP", C80))),
_xlpm.Tons_Heat * (1/_xlpm.Other_Base) * _xlpm.EFLH_Heat,
" "
)),4),
0
),
IFERROR(_xlpm.kWhCool + _xlpm.kWhHeat, "Measure Not Specified.")
), "")</f>
        <v/>
      </c>
      <c r="BB80" s="919" t="str">
        <f>IF(C80&lt;&gt;"", _xlfn.LET(
_xlpm.Tons_Cool, V80,_xlpm.PLC_Eff, N80, _xlpm.Tons_Heat, CC80, _xlpm.Other_Eff, T80,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(12/_xlpm.PLC_Eff)*_xlpm.EFLH_Cool,
IF(ISNUMBER(SEARCH("Water", C80)),
_xlpm.Tons_Cool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(1/_xlpm.Other_Eff) * _xlpm.EFLH_Heat,
" "
)),4),
0
),
IFERROR(_xlpm.kWhCool + _xlpm.kWhHeat, "Measure Not Specified.")
), "")</f>
        <v/>
      </c>
      <c r="BC80" s="1242" t="str">
        <f>IFERROR(IF(OR(C80="",N80="",V80="",AA80="",T80="",AE80="",AG80=""),"",INDEX(CLHVAC[End Use],MATCH(C80,CLHVAC[Measure Name],0))),"Err")</f>
        <v/>
      </c>
      <c r="BD80" s="1238" t="str">
        <f>IFERROR(IF(OR(C80="",N80="",V80="",AA80="",T80="",AE80="",AG80=""),"",INDEX(CLHVAC[Reporting Methodology],MATCH(C80,CLHVAC[Measure Name],0))),"Err")</f>
        <v/>
      </c>
      <c r="BE80" s="775" t="str">
        <f t="shared" si="2"/>
        <v/>
      </c>
      <c r="BF80" s="775" t="str">
        <f t="shared" ref="BF80" si="248">IF(C80&lt;&gt;"", _xlfn.LET(
_xlpm.Tons, V80, _xlpm.PCF, 0.913,
IF(OR(ISNUMBER(SEARCH("DX", C80)), ISNUMBER(SEARCH("Air-Cooled Chiller", C80)), ISNUMBER(SEARCH("VRF", C80))),
IFERROR(_xlpm.Tons * (12/R80 - 12/T80) * _xlpm.PCF, 0),
IF(ISNUMBER(SEARCH("Water", C80)),
IFERROR(_xlpm.Tons * (R80-T80) * _xlpm.PCF, 0),
IF(ISNUMBER(SEARCH("ASHP", C80)),
IFERROR(_xlpm.Tons * (12/CA80 - 12/CB80) * _xlpm.PCF, 0),
IF(OR(ISNUMBER(SEARCH("PTAC", C80)), ISNUMBER(SEARCH("PTHP", C80))),
IFERROR(_xlpm.Tons * (12/L80 - 12/N80) * _xlpm.PCF, 0),
"Measure Not Specified."))))), "")</f>
        <v/>
      </c>
      <c r="BG80" s="775"/>
      <c r="BH80" s="1240"/>
      <c r="BI80" s="1240"/>
      <c r="BJ80" s="777" t="str">
        <f>IFERROR(INDEX(CLHVAC[Measure Life (Years)],MATCH(C80,CLHVAC[Measure Name],0)),"")</f>
        <v/>
      </c>
      <c r="BK80" s="767" t="str">
        <f>IFERROR(IF(OR(C80="",N80="",T80="",V80="",AA80="",AE80="",AG80=""),"",
ROUND(((1+ELOSS)*((BE80*INDEX(ELECCB[NPV AEC $/kWh],MATCH(BJ80,ELECCB[Year Number],1)))+(BF80*INDEX(ELECCB[NPV ACC $/kW],MATCH(BJ80,ELECCB[Year Number],1))))),2)),0)</f>
        <v/>
      </c>
      <c r="BL80" s="767" t="str">
        <f t="shared" ref="BL80" si="249">IF(OR(C80="",N80="",V80="",AA80="",T80="",AE80="",AG80=""),"",ROUND(AE80+AG80,2))</f>
        <v/>
      </c>
      <c r="BM80" s="765"/>
      <c r="BN80" s="763" t="str">
        <f t="shared" si="4"/>
        <v/>
      </c>
      <c r="BO80" s="763" t="str">
        <f>IFERROR(IF(BM80 &lt;&gt; "", BM80, BL80) / M02S04F06 / AO80, "")</f>
        <v/>
      </c>
      <c r="BP80" s="769"/>
      <c r="BQ80" s="767" t="str">
        <f t="shared" ref="BQ80" si="250">IFERROR(IF(AI80="per ton", ROUND(V80*AM80, 2),
IF(AND(ISNUMBER(SEARCH("Air-Cooled Chiller",C80)),AI80="$/ton/IPLV"), ROUND((12/L80-12/N80)*V80*AM80, 2),
ROUND(ABS(N80-L80)*V80*AM80, 2))), "")</f>
        <v/>
      </c>
      <c r="BR80" s="767"/>
      <c r="BS80" s="765"/>
      <c r="BT80" s="765"/>
      <c r="BU80" s="1238" t="str">
        <f t="shared" ref="BU80" si="251">IFERROR(IF(BP80="",IF(AND(AO80&gt;0, AR80 &lt; BQ80), "100% Total Cost", ""), ""), "")</f>
        <v/>
      </c>
      <c r="BV80" s="767"/>
      <c r="BW80" s="1238" t="str">
        <f>IFERROR(IF(OR(C80="",N80="",V80="",AA80="",T80="",AE80="",AG80=""),"",IF(BY80&lt;&gt;"", SPILLOVERNUMBER, INDEX(CLHVAC[Measure Number],MATCH(C80,CLHVAC[Measure Name],0)))),"Err")</f>
        <v/>
      </c>
      <c r="BX80" s="757" t="str" cm="1">
        <f t="array" ref="BX80">IFERROR(INDEX(_xlfn.SWITCH(Program_Banner,"Business Energy Savings",CLHVAC[Primary Key WBE],"Small Business / Non-Profit",CLHVAC[Primary Key HTRB],0),MATCH(BW80,CLHVAC[Measure Number],0)),"")</f>
        <v/>
      </c>
      <c r="BY80" s="1253" t="str">
        <f>IFERROR(
IF(OR(C80="",N80="",T80="",V80="",AA80="",AE80="",AG80=""),
"",
IF(BP80&gt;0,"",IF(OR(AND(ISNUMBER(SEARCH("kW/ton", J80)),OR(L80&lt;N80,R80&lt;T80)),AND(NOT(ISNUMBER(SEARCH("kW/ton", J80))),OR(L80&gt;N80,R80&gt;T80))),
"Must Improve Efficiency",
IFERROR(IF(EXPIRATION&lt;&gt;"",PROJSTATEXP,
IF(BP80&gt;0,"",
IF(OR(M02S04F06="",M02S04F06="Select Rate Code",M02S04F06=0),MEASURERATE,
IF(M02S04F22="", SPACECONDTYPE,
IF(PAYCUSE&lt;PAYBACKREQ,PROJECTSTATPAYBACK,
IF(BN80&lt;CBREQ,PROJECTSTATCB,"")))))),MEASURESUBMIT)))),"")</f>
        <v/>
      </c>
      <c r="BZ80" s="1247" t="str">
        <f>IFERROR(IF(INDEX(CLHVAC[Eff Unit 3],MATCH(C80,CLHVAC[Measure Name],0))="","",INDEX(CLHVAC[Eff Unit 3],MATCH(C80,CLHVAC[Measure Name],0))),"")</f>
        <v/>
      </c>
      <c r="CA80" s="1249" t="str">
        <f>IFERROR(IF(INDEX(CLHVAC[Base Efficiency 3],MATCH(C80,CLHVAC[Measure Name],0))="","",INDEX(CLHVAC[Base Efficiency 3],MATCH(C80,CLHVAC[Measure Name],0))),"")</f>
        <v/>
      </c>
      <c r="CB80" s="1251" t="str">
        <f t="shared" ref="CB80" si="252">IFERROR(IF(ISNUMBER(SEARCH("Air-Cooled Chiller",$C80)),12/N80,""),"")</f>
        <v/>
      </c>
      <c r="CC80" s="1252"/>
    </row>
    <row r="81" spans="2:81" ht="15.95" customHeight="1">
      <c r="B81" s="785"/>
      <c r="C81" s="793"/>
      <c r="D81" s="795"/>
      <c r="E81" s="795"/>
      <c r="F81" s="795"/>
      <c r="G81" s="795"/>
      <c r="H81" s="795"/>
      <c r="I81" s="795"/>
      <c r="J81" s="934"/>
      <c r="K81" s="935"/>
      <c r="L81" s="930"/>
      <c r="M81" s="931"/>
      <c r="N81" s="915"/>
      <c r="O81" s="916"/>
      <c r="P81" s="934"/>
      <c r="Q81" s="935"/>
      <c r="R81" s="930"/>
      <c r="S81" s="931"/>
      <c r="T81" s="917"/>
      <c r="U81" s="918"/>
      <c r="V81" s="926"/>
      <c r="W81" s="927"/>
      <c r="X81" s="793"/>
      <c r="Y81" s="795"/>
      <c r="Z81" s="794"/>
      <c r="AA81" s="904"/>
      <c r="AB81" s="905"/>
      <c r="AC81" s="905"/>
      <c r="AD81" s="906"/>
      <c r="AE81" s="809"/>
      <c r="AF81" s="810"/>
      <c r="AG81" s="810"/>
      <c r="AH81" s="812"/>
      <c r="AI81" s="921"/>
      <c r="AJ81" s="921"/>
      <c r="AK81" s="921"/>
      <c r="AL81" s="922"/>
      <c r="AM81" s="816"/>
      <c r="AN81" s="816"/>
      <c r="AO81" s="818"/>
      <c r="AP81" s="818"/>
      <c r="AQ81" s="818"/>
      <c r="AR81" s="841"/>
      <c r="AS81" s="841"/>
      <c r="AT81" s="841"/>
      <c r="AU81" s="841"/>
      <c r="AV81" s="17"/>
      <c r="AX81" s="1243"/>
      <c r="AY81" s="760"/>
      <c r="AZ81" s="760"/>
      <c r="BA81" s="920"/>
      <c r="BB81" s="920"/>
      <c r="BC81" s="1243"/>
      <c r="BD81" s="1239"/>
      <c r="BE81" s="776"/>
      <c r="BF81" s="776"/>
      <c r="BG81" s="776"/>
      <c r="BH81" s="1241"/>
      <c r="BI81" s="1241"/>
      <c r="BJ81" s="778"/>
      <c r="BK81" s="768"/>
      <c r="BL81" s="768"/>
      <c r="BM81" s="766"/>
      <c r="BN81" s="764"/>
      <c r="BO81" s="764"/>
      <c r="BP81" s="770"/>
      <c r="BQ81" s="768"/>
      <c r="BR81" s="768"/>
      <c r="BS81" s="766"/>
      <c r="BT81" s="766"/>
      <c r="BU81" s="1239"/>
      <c r="BV81" s="768"/>
      <c r="BW81" s="1239"/>
      <c r="BX81" s="758"/>
      <c r="BY81" s="1254"/>
      <c r="BZ81" s="1248"/>
      <c r="CA81" s="1250"/>
      <c r="CB81" s="913"/>
      <c r="CC81" s="909"/>
    </row>
    <row r="82" spans="2:81" ht="15.95" customHeight="1">
      <c r="B82" s="785">
        <v>33</v>
      </c>
      <c r="C82" s="825"/>
      <c r="D82" s="826"/>
      <c r="E82" s="826"/>
      <c r="F82" s="826"/>
      <c r="G82" s="826"/>
      <c r="H82" s="826"/>
      <c r="I82" s="826"/>
      <c r="J82" s="932" t="str">
        <f>IF(C82="","",INDEX(CLHVAC[Eff Unit 1],MATCH(C82,CLHVAC[Measure Name],0)))</f>
        <v/>
      </c>
      <c r="K82" s="933"/>
      <c r="L82" s="928" t="str">
        <f>IF(C82="","",INDEX(CLHVAC[Base Efficiency 1],MATCH(C82,CLHVAC[Measure Name],0)))</f>
        <v/>
      </c>
      <c r="M82" s="929"/>
      <c r="N82" s="915"/>
      <c r="O82" s="916"/>
      <c r="P82" s="932" t="str">
        <f>IF(C82="","",INDEX(CLHVAC[Eff Unit 2],MATCH(C82,CLHVAC[Measure Name],0)))</f>
        <v/>
      </c>
      <c r="Q82" s="933"/>
      <c r="R82" s="928" t="str">
        <f>IF(C82="","",INDEX(CLHVAC[Base Efficiency 2],MATCH(C82,CLHVAC[Measure Name],0)))</f>
        <v/>
      </c>
      <c r="S82" s="929"/>
      <c r="T82" s="917" t="str">
        <f>IF(AND(ISNUMBER(SEARCH("DX",C82)),ISNUMBER(SEARCH("&lt;65 kbtu",C82)),N82&lt;&gt;""),1.12*N82-0.02*N82^2,IF(AND(ISNUMBER(SEARCH("PTAC",C82)),N82&lt;&gt;""),1,""))</f>
        <v/>
      </c>
      <c r="U82" s="918"/>
      <c r="V82" s="926"/>
      <c r="W82" s="927"/>
      <c r="X82" s="825"/>
      <c r="Y82" s="826"/>
      <c r="Z82" s="827"/>
      <c r="AA82" s="904"/>
      <c r="AB82" s="905"/>
      <c r="AC82" s="905"/>
      <c r="AD82" s="906"/>
      <c r="AE82" s="809"/>
      <c r="AF82" s="810"/>
      <c r="AG82" s="810"/>
      <c r="AH82" s="812"/>
      <c r="AI82" s="948" t="str">
        <f>IF(C82="","",INDEX(CLHVAC[Current Unit],MATCH(C82,CLHVAC[Measure Name],0)))</f>
        <v/>
      </c>
      <c r="AJ82" s="948"/>
      <c r="AK82" s="948"/>
      <c r="AL82" s="949"/>
      <c r="AM82" s="814" t="str" cm="1">
        <f t="array" ref="AM82">IFERROR(IF(C82="","",INDEX(IF(AND(ACTIVEBONUS = TRUE,INDEX(CLHVAC[Bonus Incentive],MATCH(C82,CLHVAC[Measure Name],0))&lt;&gt; ""),CLHVAC[Bonus Incentive],_xlfn.SWITCH(Program_Banner,"Business Energy Savings",CLHVAC[BESP Incentive],"Small Business / Non-Profit",CLHVAC[SBNP Incentive],0)),MATCH(C82,CLHVAC[Measure Name],0))),"")</f>
        <v/>
      </c>
      <c r="AN82" s="814"/>
      <c r="AO82" s="817" t="str">
        <f t="shared" ref="AO82" si="253">IFERROR(IF(OR(C82="",N82="",T82="",V82="",AA82="",AE82="",AG82=""),"",IF(BE82&lt;=0, 0, BE82)),"")</f>
        <v/>
      </c>
      <c r="AP82" s="817"/>
      <c r="AQ82" s="817"/>
      <c r="AR82" s="840" t="str">
        <f>IFERROR(IF(OR(C82="",N82="",V82="",AA82="",T82="",AE82="",AG82=""),"",IF(BY82&lt;&gt;"",BY82,IF(BP82&gt;0,BP82,ROUND(IF(AO82&lt;=0,0,MIN(BL82,BQ82)), 2)))), "")</f>
        <v/>
      </c>
      <c r="AS82" s="840"/>
      <c r="AT82" s="840"/>
      <c r="AU82" s="840"/>
      <c r="AV82" s="17"/>
      <c r="AX82" s="1242" t="str">
        <f>IFERROR(IF(OR(C82="",N82="",V82="",AA82="",T82="",AE82="",AG82=""),"",INDEX(CLHVAC[Current Unit],MATCH(C82,CLHVAC[Measure Name],0))),"Err")</f>
        <v/>
      </c>
      <c r="AY82" s="759" t="str">
        <f t="shared" ref="AY82" si="254">IF(OR(L82="", N82="", V82=""), "", ABS(N82-L82)*V82)</f>
        <v/>
      </c>
      <c r="AZ82" s="759" t="str">
        <f t="shared" ref="AZ82" si="255">IF(OR(L82="", N82="", V82=""), "", ABS(N82-L82)*V82)</f>
        <v/>
      </c>
      <c r="BA82" s="919" t="str">
        <f>IF(C82&lt;&gt;"", _xlfn.LET(
_xlpm.Tons_Cool, V82, _xlpm.PLC_Base, L82, _xlpm.Tons_Heat, CC82, _xlpm.Other_Base, R82,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(12/_xlpm.PLC_Base)*_xlpm.EFLH_Cool,
IF(ISNUMBER(SEARCH("Water", C82)),
_xlpm.Tons_Cool * (_xlpm.PLC_Base) * _xlpm.EFLH_Cool,
" "
)),4),
_xlpm.kWhHeat,
IF(
_xlpm.ElecHeat=1,
ROUND(
IF(OR(ISNUMBER(SEARCH("DX", C82)),ISNUMBER(SEARCH("PTAC", C82)), ISNUMBER(SEARCH("Air-Cooled Chiller", C82)), ISNUMBER(SEARCH("Water", C82)),
ISNUMBER(SEARCH("VRF", C82))),
0,
IF(
OR(ISNUMBER(SEARCH("ASHP", C82)), ISNUMBER(SEARCH("PTHP", C82))),
_xlpm.Tons_Heat * (1/_xlpm.Other_Base) * _xlpm.EFLH_Heat,
" "
)),4),
0
),
IFERROR(_xlpm.kWhCool + _xlpm.kWhHeat, "Measure Not Specified.")
), "")</f>
        <v/>
      </c>
      <c r="BB82" s="919" t="str">
        <f>IF(C82&lt;&gt;"", _xlfn.LET(
_xlpm.Tons_Cool, V82,_xlpm.PLC_Eff, N82, _xlpm.Tons_Heat, CC82, _xlpm.Other_Eff, T82,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(12/_xlpm.PLC_Eff)*_xlpm.EFLH_Cool,
IF(ISNUMBER(SEARCH("Water", C82)),
_xlpm.Tons_Cool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(1/_xlpm.Other_Eff) * _xlpm.EFLH_Heat,
" "
)),4),
0
),
IFERROR(_xlpm.kWhCool + _xlpm.kWhHeat, "Measure Not Specified.")
), "")</f>
        <v/>
      </c>
      <c r="BC82" s="1242" t="str">
        <f>IFERROR(IF(OR(C82="",N82="",V82="",AA82="",T82="",AE82="",AG82=""),"",INDEX(CLHVAC[End Use],MATCH(C82,CLHVAC[Measure Name],0))),"Err")</f>
        <v/>
      </c>
      <c r="BD82" s="1238" t="str">
        <f>IFERROR(IF(OR(C82="",N82="",V82="",AA82="",T82="",AE82="",AG82=""),"",INDEX(CLHVAC[Reporting Methodology],MATCH(C82,CLHVAC[Measure Name],0))),"Err")</f>
        <v/>
      </c>
      <c r="BE82" s="775" t="str">
        <f t="shared" ref="BE82:BE86" si="256">IF(AND(BA82&lt;&gt;"", BB82&lt;&gt;""), BA82-BB82, "")</f>
        <v/>
      </c>
      <c r="BF82" s="775" t="str">
        <f t="shared" ref="BF82" si="257">IF(C82&lt;&gt;"", _xlfn.LET(
_xlpm.Tons, V82, _xlpm.PCF, 0.913,
IF(OR(ISNUMBER(SEARCH("DX", C82)), ISNUMBER(SEARCH("Air-Cooled Chiller", C82)), ISNUMBER(SEARCH("VRF", C82))),
IFERROR(_xlpm.Tons * (12/R82 - 12/T82) * _xlpm.PCF, 0),
IF(ISNUMBER(SEARCH("Water", C82)),
IFERROR(_xlpm.Tons * (R82-T82) * _xlpm.PCF, 0),
IF(ISNUMBER(SEARCH("ASHP", C82)),
IFERROR(_xlpm.Tons * (12/CA82 - 12/CB82) * _xlpm.PCF, 0),
IF(OR(ISNUMBER(SEARCH("PTAC", C82)), ISNUMBER(SEARCH("PTHP", C82))),
IFERROR(_xlpm.Tons * (12/L82 - 12/N82) * _xlpm.PCF, 0),
"Measure Not Specified."))))), "")</f>
        <v/>
      </c>
      <c r="BG82" s="775"/>
      <c r="BH82" s="1240"/>
      <c r="BI82" s="1240"/>
      <c r="BJ82" s="777" t="str">
        <f>IFERROR(INDEX(CLHVAC[Measure Life (Years)],MATCH(C82,CLHVAC[Measure Name],0)),"")</f>
        <v/>
      </c>
      <c r="BK82" s="767" t="str">
        <f>IFERROR(IF(OR(C82="",N82="",T82="",V82="",AA82="",AE82="",AG82=""),"",
ROUND(((1+ELOSS)*((BE82*INDEX(ELECCB[NPV AEC $/kWh],MATCH(BJ82,ELECCB[Year Number],1)))+(BF82*INDEX(ELECCB[NPV ACC $/kW],MATCH(BJ82,ELECCB[Year Number],1))))),2)),0)</f>
        <v/>
      </c>
      <c r="BL82" s="767" t="str">
        <f t="shared" ref="BL82" si="258">IF(OR(C82="",N82="",V82="",AA82="",T82="",AE82="",AG82=""),"",ROUND(AE82+AG82,2))</f>
        <v/>
      </c>
      <c r="BM82" s="765"/>
      <c r="BN82" s="763" t="str">
        <f t="shared" ref="BN82:BN86" si="259">IFERROR( BK82 / IF(BM82 &lt;&gt; "", BM82, BL82), "")</f>
        <v/>
      </c>
      <c r="BO82" s="763" t="str">
        <f>IFERROR(IF(BM82 &lt;&gt; "", BM82, BL82) / M02S04F06 / AO82, "")</f>
        <v/>
      </c>
      <c r="BP82" s="769"/>
      <c r="BQ82" s="767" t="str">
        <f t="shared" ref="BQ82" si="260">IFERROR(IF(AI82="per ton", ROUND(V82*AM82, 2),
IF(AND(ISNUMBER(SEARCH("Air-Cooled Chiller",C82)),AI82="$/ton/IPLV"), ROUND((12/L82-12/N82)*V82*AM82, 2),
ROUND(ABS(N82-L82)*V82*AM82, 2))), "")</f>
        <v/>
      </c>
      <c r="BR82" s="767"/>
      <c r="BS82" s="765"/>
      <c r="BT82" s="765"/>
      <c r="BU82" s="1238" t="str">
        <f t="shared" ref="BU82" si="261">IFERROR(IF(BP82="",IF(AND(AO82&gt;0, AR82 &lt; BQ82), "100% Total Cost", ""), ""), "")</f>
        <v/>
      </c>
      <c r="BV82" s="767"/>
      <c r="BW82" s="1238" t="str">
        <f>IFERROR(IF(OR(C82="",N82="",V82="",AA82="",T82="",AE82="",AG82=""),"",IF(BY82&lt;&gt;"", SPILLOVERNUMBER, INDEX(CLHVAC[Measure Number],MATCH(C82,CLHVAC[Measure Name],0)))),"Err")</f>
        <v/>
      </c>
      <c r="BX82" s="757" t="str" cm="1">
        <f t="array" ref="BX82">IFERROR(INDEX(_xlfn.SWITCH(Program_Banner,"Business Energy Savings",CLHVAC[Primary Key WBE],"Small Business / Non-Profit",CLHVAC[Primary Key HTRB],0),MATCH(BW82,CLHVAC[Measure Number],0)),"")</f>
        <v/>
      </c>
      <c r="BY82" s="1253" t="str">
        <f>IFERROR(
IF(OR(C82="",N82="",T82="",V82="",AA82="",AE82="",AG82=""),
"",
IF(BP82&gt;0,"",IF(OR(AND(ISNUMBER(SEARCH("kW/ton", J82)),OR(L82&lt;N82,R82&lt;T82)),AND(NOT(ISNUMBER(SEARCH("kW/ton", J82))),OR(L82&gt;N82,R82&gt;T82))),
"Must Improve Efficiency",
IFERROR(IF(EXPIRATION&lt;&gt;"",PROJSTATEXP,
IF(BP82&gt;0,"",
IF(OR(M02S04F06="",M02S04F06="Select Rate Code",M02S04F06=0),MEASURERATE,
IF(M02S04F22="", SPACECONDTYPE,
IF(PAYCUSE&lt;PAYBACKREQ,PROJECTSTATPAYBACK,
IF(BN82&lt;CBREQ,PROJECTSTATCB,"")))))),MEASURESUBMIT)))),"")</f>
        <v/>
      </c>
      <c r="BZ82" s="1247" t="str">
        <f>IFERROR(IF(INDEX(CLHVAC[Eff Unit 3],MATCH(C82,CLHVAC[Measure Name],0))="","",INDEX(CLHVAC[Eff Unit 3],MATCH(C82,CLHVAC[Measure Name],0))),"")</f>
        <v/>
      </c>
      <c r="CA82" s="1249" t="str">
        <f>IFERROR(IF(INDEX(CLHVAC[Base Efficiency 3],MATCH(C82,CLHVAC[Measure Name],0))="","",INDEX(CLHVAC[Base Efficiency 3],MATCH(C82,CLHVAC[Measure Name],0))),"")</f>
        <v/>
      </c>
      <c r="CB82" s="1251" t="str">
        <f t="shared" ref="CB82" si="262">IFERROR(IF(ISNUMBER(SEARCH("Air-Cooled Chiller",$C82)),12/N82,""),"")</f>
        <v/>
      </c>
      <c r="CC82" s="1252"/>
    </row>
    <row r="83" spans="2:81" ht="15.95" customHeight="1">
      <c r="B83" s="785"/>
      <c r="C83" s="793"/>
      <c r="D83" s="795"/>
      <c r="E83" s="795"/>
      <c r="F83" s="795"/>
      <c r="G83" s="795"/>
      <c r="H83" s="795"/>
      <c r="I83" s="795"/>
      <c r="J83" s="934"/>
      <c r="K83" s="935"/>
      <c r="L83" s="930"/>
      <c r="M83" s="931"/>
      <c r="N83" s="915"/>
      <c r="O83" s="916"/>
      <c r="P83" s="934"/>
      <c r="Q83" s="935"/>
      <c r="R83" s="930"/>
      <c r="S83" s="931"/>
      <c r="T83" s="917"/>
      <c r="U83" s="918"/>
      <c r="V83" s="926"/>
      <c r="W83" s="927"/>
      <c r="X83" s="793"/>
      <c r="Y83" s="795"/>
      <c r="Z83" s="794"/>
      <c r="AA83" s="904"/>
      <c r="AB83" s="905"/>
      <c r="AC83" s="905"/>
      <c r="AD83" s="906"/>
      <c r="AE83" s="809"/>
      <c r="AF83" s="810"/>
      <c r="AG83" s="810"/>
      <c r="AH83" s="812"/>
      <c r="AI83" s="921"/>
      <c r="AJ83" s="921"/>
      <c r="AK83" s="921"/>
      <c r="AL83" s="922"/>
      <c r="AM83" s="816"/>
      <c r="AN83" s="816"/>
      <c r="AO83" s="818"/>
      <c r="AP83" s="818"/>
      <c r="AQ83" s="818"/>
      <c r="AR83" s="841"/>
      <c r="AS83" s="841"/>
      <c r="AT83" s="841"/>
      <c r="AU83" s="841"/>
      <c r="AV83" s="17"/>
      <c r="AX83" s="1243"/>
      <c r="AY83" s="760"/>
      <c r="AZ83" s="760"/>
      <c r="BA83" s="920"/>
      <c r="BB83" s="920"/>
      <c r="BC83" s="1243"/>
      <c r="BD83" s="1239"/>
      <c r="BE83" s="776"/>
      <c r="BF83" s="776"/>
      <c r="BG83" s="776"/>
      <c r="BH83" s="1241"/>
      <c r="BI83" s="1241"/>
      <c r="BJ83" s="778"/>
      <c r="BK83" s="768"/>
      <c r="BL83" s="768"/>
      <c r="BM83" s="766"/>
      <c r="BN83" s="764"/>
      <c r="BO83" s="764"/>
      <c r="BP83" s="770"/>
      <c r="BQ83" s="768"/>
      <c r="BR83" s="768"/>
      <c r="BS83" s="766"/>
      <c r="BT83" s="766"/>
      <c r="BU83" s="1239"/>
      <c r="BV83" s="768"/>
      <c r="BW83" s="1239"/>
      <c r="BX83" s="758"/>
      <c r="BY83" s="1254"/>
      <c r="BZ83" s="1248"/>
      <c r="CA83" s="1250"/>
      <c r="CB83" s="913"/>
      <c r="CC83" s="909"/>
    </row>
    <row r="84" spans="2:81" ht="15.95" customHeight="1">
      <c r="B84" s="785">
        <v>34</v>
      </c>
      <c r="C84" s="825"/>
      <c r="D84" s="826"/>
      <c r="E84" s="826"/>
      <c r="F84" s="826"/>
      <c r="G84" s="826"/>
      <c r="H84" s="826"/>
      <c r="I84" s="826"/>
      <c r="J84" s="932" t="str">
        <f>IF(C84="","",INDEX(CLHVAC[Eff Unit 1],MATCH(C84,CLHVAC[Measure Name],0)))</f>
        <v/>
      </c>
      <c r="K84" s="933"/>
      <c r="L84" s="928" t="str">
        <f>IF(C84="","",INDEX(CLHVAC[Base Efficiency 1],MATCH(C84,CLHVAC[Measure Name],0)))</f>
        <v/>
      </c>
      <c r="M84" s="929"/>
      <c r="N84" s="915"/>
      <c r="O84" s="916"/>
      <c r="P84" s="932" t="str">
        <f>IF(C84="","",INDEX(CLHVAC[Eff Unit 2],MATCH(C84,CLHVAC[Measure Name],0)))</f>
        <v/>
      </c>
      <c r="Q84" s="933"/>
      <c r="R84" s="928" t="str">
        <f>IF(C84="","",INDEX(CLHVAC[Base Efficiency 2],MATCH(C84,CLHVAC[Measure Name],0)))</f>
        <v/>
      </c>
      <c r="S84" s="929"/>
      <c r="T84" s="917" t="str">
        <f>IF(AND(ISNUMBER(SEARCH("DX",C84)),ISNUMBER(SEARCH("&lt;65 kbtu",C84)),N84&lt;&gt;""),1.12*N84-0.02*N84^2,IF(AND(ISNUMBER(SEARCH("PTAC",C84)),N84&lt;&gt;""),1,""))</f>
        <v/>
      </c>
      <c r="U84" s="918"/>
      <c r="V84" s="926"/>
      <c r="W84" s="927"/>
      <c r="X84" s="825"/>
      <c r="Y84" s="826"/>
      <c r="Z84" s="827"/>
      <c r="AA84" s="904"/>
      <c r="AB84" s="905"/>
      <c r="AC84" s="905"/>
      <c r="AD84" s="906"/>
      <c r="AE84" s="809"/>
      <c r="AF84" s="810"/>
      <c r="AG84" s="810"/>
      <c r="AH84" s="812"/>
      <c r="AI84" s="948" t="str">
        <f>IF(C84="","",INDEX(CLHVAC[Current Unit],MATCH(C84,CLHVAC[Measure Name],0)))</f>
        <v/>
      </c>
      <c r="AJ84" s="948"/>
      <c r="AK84" s="948"/>
      <c r="AL84" s="949"/>
      <c r="AM84" s="814" t="str" cm="1">
        <f t="array" ref="AM84">IFERROR(IF(C84="","",INDEX(IF(AND(ACTIVEBONUS = TRUE,INDEX(CLHVAC[Bonus Incentive],MATCH(C84,CLHVAC[Measure Name],0))&lt;&gt; ""),CLHVAC[Bonus Incentive],_xlfn.SWITCH(Program_Banner,"Business Energy Savings",CLHVAC[BESP Incentive],"Small Business / Non-Profit",CLHVAC[SBNP Incentive],0)),MATCH(C84,CLHVAC[Measure Name],0))),"")</f>
        <v/>
      </c>
      <c r="AN84" s="814"/>
      <c r="AO84" s="817" t="str">
        <f t="shared" ref="AO84" si="263">IFERROR(IF(OR(C84="",N84="",T84="",V84="",AA84="",AE84="",AG84=""),"",IF(BE84&lt;=0, 0, BE84)),"")</f>
        <v/>
      </c>
      <c r="AP84" s="817"/>
      <c r="AQ84" s="817"/>
      <c r="AR84" s="840" t="str">
        <f>IFERROR(IF(OR(C84="",N84="",V84="",AA84="",T84="",AE84="",AG84=""),"",IF(BY84&lt;&gt;"",BY84,IF(BP84&gt;0,BP84,ROUND(IF(AO84&lt;=0,0,MIN(BL84,BQ84)), 2)))), "")</f>
        <v/>
      </c>
      <c r="AS84" s="840"/>
      <c r="AT84" s="840"/>
      <c r="AU84" s="840"/>
      <c r="AV84" s="17"/>
      <c r="AX84" s="1242" t="str">
        <f>IFERROR(IF(OR(C84="",N84="",V84="",AA84="",T84="",AE84="",AG84=""),"",INDEX(CLHVAC[Current Unit],MATCH(C84,CLHVAC[Measure Name],0))),"Err")</f>
        <v/>
      </c>
      <c r="AY84" s="759" t="str">
        <f t="shared" ref="AY84" si="264">IF(OR(L84="", N84="", V84=""), "", ABS(N84-L84)*V84)</f>
        <v/>
      </c>
      <c r="AZ84" s="759" t="str">
        <f t="shared" ref="AZ84" si="265">IF(OR(L84="", N84="", V84=""), "", ABS(N84-L84)*V84)</f>
        <v/>
      </c>
      <c r="BA84" s="919" t="str">
        <f>IF(C84&lt;&gt;"", _xlfn.LET(
_xlpm.Tons_Cool, V84, _xlpm.PLC_Base, L84, _xlpm.Tons_Heat, CC84, _xlpm.Other_Base, R84,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(12/_xlpm.PLC_Base)*_xlpm.EFLH_Cool,
IF(ISNUMBER(SEARCH("Water", C84)),
_xlpm.Tons_Cool * (_xlpm.PLC_Base) * _xlpm.EFLH_Cool,
" "
)),4),
_xlpm.kWhHeat,
IF(
_xlpm.ElecHeat=1,
ROUND(
IF(OR(ISNUMBER(SEARCH("DX", C84)),ISNUMBER(SEARCH("PTAC", C84)), ISNUMBER(SEARCH("Air-Cooled Chiller", C84)), ISNUMBER(SEARCH("Water", C84)),
ISNUMBER(SEARCH("VRF", C84))),
0,
IF(
OR(ISNUMBER(SEARCH("ASHP", C84)), ISNUMBER(SEARCH("PTHP", C84))),
_xlpm.Tons_Heat * (1/_xlpm.Other_Base) * _xlpm.EFLH_Heat,
" "
)),4),
0
),
IFERROR(_xlpm.kWhCool + _xlpm.kWhHeat, "Measure Not Specified.")
), "")</f>
        <v/>
      </c>
      <c r="BB84" s="919" t="str">
        <f>IF(C84&lt;&gt;"", _xlfn.LET(
_xlpm.Tons_Cool, V84,_xlpm.PLC_Eff, N84, _xlpm.Tons_Heat, CC84, _xlpm.Other_Eff, T84,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(12/_xlpm.PLC_Eff)*_xlpm.EFLH_Cool,
IF(ISNUMBER(SEARCH("Water", C84)),
_xlpm.Tons_Cool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(1/_xlpm.Other_Eff) * _xlpm.EFLH_Heat,
" "
)),4),
0
),
IFERROR(_xlpm.kWhCool + _xlpm.kWhHeat, "Measure Not Specified.")
), "")</f>
        <v/>
      </c>
      <c r="BC84" s="1242" t="str">
        <f>IFERROR(IF(OR(C84="",N84="",V84="",AA84="",T84="",AE84="",AG84=""),"",INDEX(CLHVAC[End Use],MATCH(C84,CLHVAC[Measure Name],0))),"Err")</f>
        <v/>
      </c>
      <c r="BD84" s="1238" t="str">
        <f>IFERROR(IF(OR(C84="",N84="",V84="",AA84="",T84="",AE84="",AG84=""),"",INDEX(CLHVAC[Reporting Methodology],MATCH(C84,CLHVAC[Measure Name],0))),"Err")</f>
        <v/>
      </c>
      <c r="BE84" s="775" t="str">
        <f t="shared" si="256"/>
        <v/>
      </c>
      <c r="BF84" s="775" t="str">
        <f t="shared" ref="BF84" si="266">IF(C84&lt;&gt;"", _xlfn.LET(
_xlpm.Tons, V84, _xlpm.PCF, 0.913,
IF(OR(ISNUMBER(SEARCH("DX", C84)), ISNUMBER(SEARCH("Air-Cooled Chiller", C84)), ISNUMBER(SEARCH("VRF", C84))),
IFERROR(_xlpm.Tons * (12/R84 - 12/T84) * _xlpm.PCF, 0),
IF(ISNUMBER(SEARCH("Water", C84)),
IFERROR(_xlpm.Tons * (R84-T84) * _xlpm.PCF, 0),
IF(ISNUMBER(SEARCH("ASHP", C84)),
IFERROR(_xlpm.Tons * (12/CA84 - 12/CB84) * _xlpm.PCF, 0),
IF(OR(ISNUMBER(SEARCH("PTAC", C84)), ISNUMBER(SEARCH("PTHP", C84))),
IFERROR(_xlpm.Tons * (12/L84 - 12/N84) * _xlpm.PCF, 0),
"Measure Not Specified."))))), "")</f>
        <v/>
      </c>
      <c r="BG84" s="775"/>
      <c r="BH84" s="1240"/>
      <c r="BI84" s="1240"/>
      <c r="BJ84" s="777" t="str">
        <f>IFERROR(INDEX(CLHVAC[Measure Life (Years)],MATCH(C84,CLHVAC[Measure Name],0)),"")</f>
        <v/>
      </c>
      <c r="BK84" s="767" t="str">
        <f>IFERROR(IF(OR(C84="",N84="",T84="",V84="",AA84="",AE84="",AG84=""),"",
ROUND(((1+ELOSS)*((BE84*INDEX(ELECCB[NPV AEC $/kWh],MATCH(BJ84,ELECCB[Year Number],1)))+(BF84*INDEX(ELECCB[NPV ACC $/kW],MATCH(BJ84,ELECCB[Year Number],1))))),2)),0)</f>
        <v/>
      </c>
      <c r="BL84" s="767" t="str">
        <f t="shared" ref="BL84" si="267">IF(OR(C84="",N84="",V84="",AA84="",T84="",AE84="",AG84=""),"",ROUND(AE84+AG84,2))</f>
        <v/>
      </c>
      <c r="BM84" s="765"/>
      <c r="BN84" s="763" t="str">
        <f t="shared" si="259"/>
        <v/>
      </c>
      <c r="BO84" s="763" t="str">
        <f>IFERROR(IF(BM84 &lt;&gt; "", BM84, BL84) / M02S04F06 / AO84, "")</f>
        <v/>
      </c>
      <c r="BP84" s="769"/>
      <c r="BQ84" s="767" t="str">
        <f t="shared" ref="BQ84" si="268">IFERROR(IF(AI84="per ton", ROUND(V84*AM84, 2),
IF(AND(ISNUMBER(SEARCH("Air-Cooled Chiller",C84)),AI84="$/ton/IPLV"), ROUND((12/L84-12/N84)*V84*AM84, 2),
ROUND(ABS(N84-L84)*V84*AM84, 2))), "")</f>
        <v/>
      </c>
      <c r="BR84" s="767"/>
      <c r="BS84" s="765"/>
      <c r="BT84" s="765"/>
      <c r="BU84" s="1238" t="str">
        <f t="shared" ref="BU84" si="269">IFERROR(IF(BP84="",IF(AND(AO84&gt;0, AR84 &lt; BQ84), "100% Total Cost", ""), ""), "")</f>
        <v/>
      </c>
      <c r="BV84" s="767"/>
      <c r="BW84" s="1238" t="str">
        <f>IFERROR(IF(OR(C84="",N84="",V84="",AA84="",T84="",AE84="",AG84=""),"",IF(BY84&lt;&gt;"", SPILLOVERNUMBER, INDEX(CLHVAC[Measure Number],MATCH(C84,CLHVAC[Measure Name],0)))),"Err")</f>
        <v/>
      </c>
      <c r="BX84" s="757" t="str" cm="1">
        <f t="array" ref="BX84">IFERROR(INDEX(_xlfn.SWITCH(Program_Banner,"Business Energy Savings",CLHVAC[Primary Key WBE],"Small Business / Non-Profit",CLHVAC[Primary Key HTRB],0),MATCH(BW84,CLHVAC[Measure Number],0)),"")</f>
        <v/>
      </c>
      <c r="BY84" s="1253" t="str">
        <f>IFERROR(
IF(OR(C84="",N84="",T84="",V84="",AA84="",AE84="",AG84=""),
"",
IF(BP84&gt;0,"",IF(OR(AND(ISNUMBER(SEARCH("kW/ton", J84)),OR(L84&lt;N84,R84&lt;T84)),AND(NOT(ISNUMBER(SEARCH("kW/ton", J84))),OR(L84&gt;N84,R84&gt;T84))),
"Must Improve Efficiency",
IFERROR(IF(EXPIRATION&lt;&gt;"",PROJSTATEXP,
IF(BP84&gt;0,"",
IF(OR(M02S04F06="",M02S04F06="Select Rate Code",M02S04F06=0),MEASURERATE,
IF(M02S04F22="", SPACECONDTYPE,
IF(PAYCUSE&lt;PAYBACKREQ,PROJECTSTATPAYBACK,
IF(BN84&lt;CBREQ,PROJECTSTATCB,"")))))),MEASURESUBMIT)))),"")</f>
        <v/>
      </c>
      <c r="BZ84" s="1247" t="str">
        <f>IFERROR(IF(INDEX(CLHVAC[Eff Unit 3],MATCH(C84,CLHVAC[Measure Name],0))="","",INDEX(CLHVAC[Eff Unit 3],MATCH(C84,CLHVAC[Measure Name],0))),"")</f>
        <v/>
      </c>
      <c r="CA84" s="1249" t="str">
        <f>IFERROR(IF(INDEX(CLHVAC[Base Efficiency 3],MATCH(C84,CLHVAC[Measure Name],0))="","",INDEX(CLHVAC[Base Efficiency 3],MATCH(C84,CLHVAC[Measure Name],0))),"")</f>
        <v/>
      </c>
      <c r="CB84" s="1251" t="str">
        <f t="shared" ref="CB84" si="270">IFERROR(IF(ISNUMBER(SEARCH("Air-Cooled Chiller",$C84)),12/N84,""),"")</f>
        <v/>
      </c>
      <c r="CC84" s="1252"/>
    </row>
    <row r="85" spans="2:81" ht="15.95" customHeight="1">
      <c r="B85" s="785"/>
      <c r="C85" s="793"/>
      <c r="D85" s="795"/>
      <c r="E85" s="795"/>
      <c r="F85" s="795"/>
      <c r="G85" s="795"/>
      <c r="H85" s="795"/>
      <c r="I85" s="795"/>
      <c r="J85" s="934"/>
      <c r="K85" s="935"/>
      <c r="L85" s="930"/>
      <c r="M85" s="931"/>
      <c r="N85" s="915"/>
      <c r="O85" s="916"/>
      <c r="P85" s="934"/>
      <c r="Q85" s="935"/>
      <c r="R85" s="930"/>
      <c r="S85" s="931"/>
      <c r="T85" s="917"/>
      <c r="U85" s="918"/>
      <c r="V85" s="926"/>
      <c r="W85" s="927"/>
      <c r="X85" s="793"/>
      <c r="Y85" s="795"/>
      <c r="Z85" s="794"/>
      <c r="AA85" s="904"/>
      <c r="AB85" s="905"/>
      <c r="AC85" s="905"/>
      <c r="AD85" s="906"/>
      <c r="AE85" s="809"/>
      <c r="AF85" s="810"/>
      <c r="AG85" s="810"/>
      <c r="AH85" s="812"/>
      <c r="AI85" s="921"/>
      <c r="AJ85" s="921"/>
      <c r="AK85" s="921"/>
      <c r="AL85" s="922"/>
      <c r="AM85" s="816"/>
      <c r="AN85" s="816"/>
      <c r="AO85" s="818"/>
      <c r="AP85" s="818"/>
      <c r="AQ85" s="818"/>
      <c r="AR85" s="841"/>
      <c r="AS85" s="841"/>
      <c r="AT85" s="841"/>
      <c r="AU85" s="841"/>
      <c r="AV85" s="17"/>
      <c r="AX85" s="1243"/>
      <c r="AY85" s="760"/>
      <c r="AZ85" s="760"/>
      <c r="BA85" s="920"/>
      <c r="BB85" s="920"/>
      <c r="BC85" s="1243"/>
      <c r="BD85" s="1239"/>
      <c r="BE85" s="776"/>
      <c r="BF85" s="776"/>
      <c r="BG85" s="776"/>
      <c r="BH85" s="1241"/>
      <c r="BI85" s="1241"/>
      <c r="BJ85" s="778"/>
      <c r="BK85" s="768"/>
      <c r="BL85" s="768"/>
      <c r="BM85" s="766"/>
      <c r="BN85" s="764"/>
      <c r="BO85" s="764"/>
      <c r="BP85" s="770"/>
      <c r="BQ85" s="768"/>
      <c r="BR85" s="768"/>
      <c r="BS85" s="766"/>
      <c r="BT85" s="766"/>
      <c r="BU85" s="1239"/>
      <c r="BV85" s="768"/>
      <c r="BW85" s="1239"/>
      <c r="BX85" s="758"/>
      <c r="BY85" s="1254"/>
      <c r="BZ85" s="1248"/>
      <c r="CA85" s="1250"/>
      <c r="CB85" s="913"/>
      <c r="CC85" s="909"/>
    </row>
    <row r="86" spans="2:81" ht="15.95" customHeight="1">
      <c r="B86" s="785">
        <v>35</v>
      </c>
      <c r="C86" s="825"/>
      <c r="D86" s="826"/>
      <c r="E86" s="826"/>
      <c r="F86" s="826"/>
      <c r="G86" s="826"/>
      <c r="H86" s="826"/>
      <c r="I86" s="826"/>
      <c r="J86" s="932" t="str">
        <f>IF(C86="","",INDEX(CLHVAC[Eff Unit 1],MATCH(C86,CLHVAC[Measure Name],0)))</f>
        <v/>
      </c>
      <c r="K86" s="933"/>
      <c r="L86" s="928" t="str">
        <f>IF(C86="","",INDEX(CLHVAC[Base Efficiency 1],MATCH(C86,CLHVAC[Measure Name],0)))</f>
        <v/>
      </c>
      <c r="M86" s="929"/>
      <c r="N86" s="915"/>
      <c r="O86" s="916"/>
      <c r="P86" s="932" t="str">
        <f>IF(C86="","",INDEX(CLHVAC[Eff Unit 2],MATCH(C86,CLHVAC[Measure Name],0)))</f>
        <v/>
      </c>
      <c r="Q86" s="933"/>
      <c r="R86" s="928" t="str">
        <f>IF(C86="","",INDEX(CLHVAC[Base Efficiency 2],MATCH(C86,CLHVAC[Measure Name],0)))</f>
        <v/>
      </c>
      <c r="S86" s="929"/>
      <c r="T86" s="917" t="str">
        <f>IF(AND(ISNUMBER(SEARCH("DX",C86)),ISNUMBER(SEARCH("&lt;65 kbtu",C86)),N86&lt;&gt;""),1.12*N86-0.02*N86^2,IF(AND(ISNUMBER(SEARCH("PTAC",C86)),N86&lt;&gt;""),1,""))</f>
        <v/>
      </c>
      <c r="U86" s="918"/>
      <c r="V86" s="926"/>
      <c r="W86" s="927"/>
      <c r="X86" s="825"/>
      <c r="Y86" s="826"/>
      <c r="Z86" s="827"/>
      <c r="AA86" s="904"/>
      <c r="AB86" s="905"/>
      <c r="AC86" s="905"/>
      <c r="AD86" s="906"/>
      <c r="AE86" s="809"/>
      <c r="AF86" s="810"/>
      <c r="AG86" s="810"/>
      <c r="AH86" s="812"/>
      <c r="AI86" s="948" t="str">
        <f>IF(C86="","",INDEX(CLHVAC[Current Unit],MATCH(C86,CLHVAC[Measure Name],0)))</f>
        <v/>
      </c>
      <c r="AJ86" s="948"/>
      <c r="AK86" s="948"/>
      <c r="AL86" s="949"/>
      <c r="AM86" s="814" t="str" cm="1">
        <f t="array" ref="AM86">IFERROR(IF(C86="","",INDEX(IF(AND(ACTIVEBONUS = TRUE,INDEX(CLHVAC[Bonus Incentive],MATCH(C86,CLHVAC[Measure Name],0))&lt;&gt; ""),CLHVAC[Bonus Incentive],_xlfn.SWITCH(Program_Banner,"Business Energy Savings",CLHVAC[BESP Incentive],"Small Business / Non-Profit",CLHVAC[SBNP Incentive],0)),MATCH(C86,CLHVAC[Measure Name],0))),"")</f>
        <v/>
      </c>
      <c r="AN86" s="814"/>
      <c r="AO86" s="817" t="str">
        <f t="shared" ref="AO86" si="271">IFERROR(IF(OR(C86="",N86="",T86="",V86="",AA86="",AE86="",AG86=""),"",IF(BE86&lt;=0, 0, BE86)),"")</f>
        <v/>
      </c>
      <c r="AP86" s="817"/>
      <c r="AQ86" s="817"/>
      <c r="AR86" s="840" t="str">
        <f>IFERROR(IF(OR(C86="",N86="",V86="",AA86="",T86="",AE86="",AG86=""),"",IF(BY86&lt;&gt;"",BY86,IF(BP86&gt;0,BP86,ROUND(IF(AO86&lt;=0,0,MIN(BL86,BQ86)), 2)))), "")</f>
        <v/>
      </c>
      <c r="AS86" s="840"/>
      <c r="AT86" s="840"/>
      <c r="AU86" s="840"/>
      <c r="AV86" s="17"/>
      <c r="AX86" s="1242" t="str">
        <f>IFERROR(IF(OR(C86="",N86="",V86="",AA86="",T86="",AE86="",AG86=""),"",INDEX(CLHVAC[Current Unit],MATCH(C86,CLHVAC[Measure Name],0))),"Err")</f>
        <v/>
      </c>
      <c r="AY86" s="759" t="str">
        <f t="shared" ref="AY86" si="272">IF(OR(L86="", N86="", V86=""), "", ABS(N86-L86)*V86)</f>
        <v/>
      </c>
      <c r="AZ86" s="759" t="str">
        <f t="shared" ref="AZ86" si="273">IF(OR(L86="", N86="", V86=""), "", ABS(N86-L86)*V86)</f>
        <v/>
      </c>
      <c r="BA86" s="919" t="str">
        <f>IF(C86&lt;&gt;"", _xlfn.LET(
_xlpm.Tons_Cool, V86, _xlpm.PLC_Base, L86, _xlpm.Tons_Heat, CC86, _xlpm.Other_Base, R86,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(12/_xlpm.PLC_Base)*_xlpm.EFLH_Cool,
IF(ISNUMBER(SEARCH("Water", C86)),
_xlpm.Tons_Cool * (_xlpm.PLC_Base) * _xlpm.EFLH_Cool,
" "
)),4),
_xlpm.kWhHeat,
IF(
_xlpm.ElecHeat=1,
ROUND(
IF(OR(ISNUMBER(SEARCH("DX", C86)),ISNUMBER(SEARCH("PTAC", C86)), ISNUMBER(SEARCH("Air-Cooled Chiller", C86)), ISNUMBER(SEARCH("Water", C86)),
ISNUMBER(SEARCH("VRF", C86))),
0,
IF(
OR(ISNUMBER(SEARCH("ASHP", C86)), ISNUMBER(SEARCH("PTHP", C86))),
_xlpm.Tons_Heat * (1/_xlpm.Other_Base) * _xlpm.EFLH_Heat,
" "
)),4),
0
),
IFERROR(_xlpm.kWhCool + _xlpm.kWhHeat, "Measure Not Specified.")
), "")</f>
        <v/>
      </c>
      <c r="BB86" s="919" t="str">
        <f>IF(C86&lt;&gt;"", _xlfn.LET(
_xlpm.Tons_Cool, V86,_xlpm.PLC_Eff, N86, _xlpm.Tons_Heat, CC86, _xlpm.Other_Eff, T86,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(12/_xlpm.PLC_Eff)*_xlpm.EFLH_Cool,
IF(ISNUMBER(SEARCH("Water", C86)),
_xlpm.Tons_Cool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(1/_xlpm.Other_Eff) * _xlpm.EFLH_Heat,
" "
)),4),
0
),
IFERROR(_xlpm.kWhCool + _xlpm.kWhHeat, "Measure Not Specified.")
), "")</f>
        <v/>
      </c>
      <c r="BC86" s="1242" t="str">
        <f>IFERROR(IF(OR(C86="",N86="",V86="",AA86="",T86="",AE86="",AG86=""),"",INDEX(CLHVAC[End Use],MATCH(C86,CLHVAC[Measure Name],0))),"Err")</f>
        <v/>
      </c>
      <c r="BD86" s="1238" t="str">
        <f>IFERROR(IF(OR(C86="",N86="",V86="",AA86="",T86="",AE86="",AG86=""),"",INDEX(CLHVAC[Reporting Methodology],MATCH(C86,CLHVAC[Measure Name],0))),"Err")</f>
        <v/>
      </c>
      <c r="BE86" s="775" t="str">
        <f t="shared" si="256"/>
        <v/>
      </c>
      <c r="BF86" s="775" t="str">
        <f t="shared" ref="BF86" si="274">IF(C86&lt;&gt;"", _xlfn.LET(
_xlpm.Tons, V86, _xlpm.PCF, 0.913,
IF(OR(ISNUMBER(SEARCH("DX", C86)), ISNUMBER(SEARCH("Air-Cooled Chiller", C86)), ISNUMBER(SEARCH("VRF", C86))),
IFERROR(_xlpm.Tons * (12/R86 - 12/T86) * _xlpm.PCF, 0),
IF(ISNUMBER(SEARCH("Water", C86)),
IFERROR(_xlpm.Tons * (R86-T86) * _xlpm.PCF, 0),
IF(ISNUMBER(SEARCH("ASHP", C86)),
IFERROR(_xlpm.Tons * (12/CA86 - 12/CB86) * _xlpm.PCF, 0),
IF(OR(ISNUMBER(SEARCH("PTAC", C86)), ISNUMBER(SEARCH("PTHP", C86))),
IFERROR(_xlpm.Tons * (12/L86 - 12/N86) * _xlpm.PCF, 0),
"Measure Not Specified."))))), "")</f>
        <v/>
      </c>
      <c r="BG86" s="775"/>
      <c r="BH86" s="1240"/>
      <c r="BI86" s="1240"/>
      <c r="BJ86" s="777" t="str">
        <f>IFERROR(INDEX(CLHVAC[Measure Life (Years)],MATCH(C86,CLHVAC[Measure Name],0)),"")</f>
        <v/>
      </c>
      <c r="BK86" s="767" t="str">
        <f>IFERROR(IF(OR(C86="",N86="",T86="",V86="",AA86="",AE86="",AG86=""),"",
ROUND(((1+ELOSS)*((BE86*INDEX(ELECCB[NPV AEC $/kWh],MATCH(BJ86,ELECCB[Year Number],1)))+(BF86*INDEX(ELECCB[NPV ACC $/kW],MATCH(BJ86,ELECCB[Year Number],1))))),2)),0)</f>
        <v/>
      </c>
      <c r="BL86" s="767" t="str">
        <f t="shared" ref="BL86" si="275">IF(OR(C86="",N86="",V86="",AA86="",T86="",AE86="",AG86=""),"",ROUND(AE86+AG86,2))</f>
        <v/>
      </c>
      <c r="BM86" s="765"/>
      <c r="BN86" s="763" t="str">
        <f t="shared" si="259"/>
        <v/>
      </c>
      <c r="BO86" s="763" t="str">
        <f>IFERROR(IF(BM86 &lt;&gt; "", BM86, BL86) / M02S04F06 / AO86, "")</f>
        <v/>
      </c>
      <c r="BP86" s="769"/>
      <c r="BQ86" s="767" t="str">
        <f t="shared" ref="BQ86" si="276">IFERROR(IF(AI86="per ton", ROUND(V86*AM86, 2),
IF(AND(ISNUMBER(SEARCH("Air-Cooled Chiller",C86)),AI86="$/ton/IPLV"), ROUND((12/L86-12/N86)*V86*AM86, 2),
ROUND(ABS(N86-L86)*V86*AM86, 2))), "")</f>
        <v/>
      </c>
      <c r="BR86" s="767"/>
      <c r="BS86" s="765"/>
      <c r="BT86" s="765"/>
      <c r="BU86" s="1238" t="str">
        <f t="shared" ref="BU86" si="277">IFERROR(IF(BP86="",IF(AND(AO86&gt;0, AR86 &lt; BQ86), "100% Total Cost", ""), ""), "")</f>
        <v/>
      </c>
      <c r="BV86" s="767"/>
      <c r="BW86" s="1238" t="str">
        <f>IFERROR(IF(OR(C86="",N86="",V86="",AA86="",T86="",AE86="",AG86=""),"",IF(BY86&lt;&gt;"", SPILLOVERNUMBER, INDEX(CLHVAC[Measure Number],MATCH(C86,CLHVAC[Measure Name],0)))),"Err")</f>
        <v/>
      </c>
      <c r="BX86" s="757" t="str" cm="1">
        <f t="array" ref="BX86">IFERROR(INDEX(_xlfn.SWITCH(Program_Banner,"Business Energy Savings",CLHVAC[Primary Key WBE],"Small Business / Non-Profit",CLHVAC[Primary Key HTRB],0),MATCH(BW86,CLHVAC[Measure Number],0)),"")</f>
        <v/>
      </c>
      <c r="BY86" s="1253" t="str">
        <f>IFERROR(
IF(OR(C86="",N86="",T86="",V86="",AA86="",AE86="",AG86=""),
"",
IF(BP86&gt;0,"",IF(OR(AND(ISNUMBER(SEARCH("kW/ton", J86)),OR(L86&lt;N86,R86&lt;T86)),AND(NOT(ISNUMBER(SEARCH("kW/ton", J86))),OR(L86&gt;N86,R86&gt;T86))),
"Must Improve Efficiency",
IFERROR(IF(EXPIRATION&lt;&gt;"",PROJSTATEXP,
IF(BP86&gt;0,"",
IF(OR(M02S04F06="",M02S04F06="Select Rate Code",M02S04F06=0),MEASURERATE,
IF(M02S04F22="", SPACECONDTYPE,
IF(PAYCUSE&lt;PAYBACKREQ,PROJECTSTATPAYBACK,
IF(BN86&lt;CBREQ,PROJECTSTATCB,"")))))),MEASURESUBMIT)))),"")</f>
        <v/>
      </c>
      <c r="BZ86" s="1247" t="str">
        <f>IFERROR(IF(INDEX(CLHVAC[Eff Unit 3],MATCH(C86,CLHVAC[Measure Name],0))="","",INDEX(CLHVAC[Eff Unit 3],MATCH(C86,CLHVAC[Measure Name],0))),"")</f>
        <v/>
      </c>
      <c r="CA86" s="1249" t="str">
        <f>IFERROR(IF(INDEX(CLHVAC[Base Efficiency 3],MATCH(C86,CLHVAC[Measure Name],0))="","",INDEX(CLHVAC[Base Efficiency 3],MATCH(C86,CLHVAC[Measure Name],0))),"")</f>
        <v/>
      </c>
      <c r="CB86" s="1251" t="str">
        <f t="shared" ref="CB86" si="278">IFERROR(IF(ISNUMBER(SEARCH("Air-Cooled Chiller",$C86)),12/N86,""),"")</f>
        <v/>
      </c>
      <c r="CC86" s="1252"/>
    </row>
    <row r="87" spans="2:81" ht="15.95" customHeight="1">
      <c r="B87" s="785"/>
      <c r="C87" s="793"/>
      <c r="D87" s="795"/>
      <c r="E87" s="795"/>
      <c r="F87" s="795"/>
      <c r="G87" s="795"/>
      <c r="H87" s="795"/>
      <c r="I87" s="795"/>
      <c r="J87" s="934"/>
      <c r="K87" s="935"/>
      <c r="L87" s="930"/>
      <c r="M87" s="931"/>
      <c r="N87" s="915"/>
      <c r="O87" s="916"/>
      <c r="P87" s="934"/>
      <c r="Q87" s="935"/>
      <c r="R87" s="930"/>
      <c r="S87" s="931"/>
      <c r="T87" s="917"/>
      <c r="U87" s="918"/>
      <c r="V87" s="926"/>
      <c r="W87" s="927"/>
      <c r="X87" s="793"/>
      <c r="Y87" s="795"/>
      <c r="Z87" s="794"/>
      <c r="AA87" s="904"/>
      <c r="AB87" s="905"/>
      <c r="AC87" s="905"/>
      <c r="AD87" s="906"/>
      <c r="AE87" s="809"/>
      <c r="AF87" s="810"/>
      <c r="AG87" s="810"/>
      <c r="AH87" s="812"/>
      <c r="AI87" s="921"/>
      <c r="AJ87" s="921"/>
      <c r="AK87" s="921"/>
      <c r="AL87" s="922"/>
      <c r="AM87" s="816"/>
      <c r="AN87" s="816"/>
      <c r="AO87" s="818"/>
      <c r="AP87" s="818"/>
      <c r="AQ87" s="818"/>
      <c r="AR87" s="841"/>
      <c r="AS87" s="841"/>
      <c r="AT87" s="841"/>
      <c r="AU87" s="841"/>
      <c r="AV87" s="17"/>
      <c r="AX87" s="1243"/>
      <c r="AY87" s="760"/>
      <c r="AZ87" s="760"/>
      <c r="BA87" s="920"/>
      <c r="BB87" s="920"/>
      <c r="BC87" s="1243"/>
      <c r="BD87" s="1239"/>
      <c r="BE87" s="776"/>
      <c r="BF87" s="776"/>
      <c r="BG87" s="776"/>
      <c r="BH87" s="1241"/>
      <c r="BI87" s="1241"/>
      <c r="BJ87" s="778"/>
      <c r="BK87" s="768"/>
      <c r="BL87" s="768"/>
      <c r="BM87" s="766"/>
      <c r="BN87" s="764"/>
      <c r="BO87" s="764"/>
      <c r="BP87" s="770"/>
      <c r="BQ87" s="768"/>
      <c r="BR87" s="768"/>
      <c r="BS87" s="766"/>
      <c r="BT87" s="766"/>
      <c r="BU87" s="1239"/>
      <c r="BV87" s="768"/>
      <c r="BW87" s="1239"/>
      <c r="BX87" s="758"/>
      <c r="BY87" s="1254"/>
      <c r="BZ87" s="1248"/>
      <c r="CA87" s="1250"/>
      <c r="CB87" s="913"/>
      <c r="CC87" s="909"/>
    </row>
    <row r="88" spans="2:81" ht="15.95" customHeight="1"/>
    <row r="89" spans="2:81" ht="15.95" hidden="1" customHeight="1"/>
    <row r="90" spans="2:81" ht="15.95" hidden="1" customHeight="1"/>
    <row r="91" spans="2:81" ht="15.95" hidden="1" customHeight="1"/>
    <row r="92" spans="2:81" ht="15.95" hidden="1" customHeight="1"/>
    <row r="93" spans="2:81" ht="15.95" hidden="1" customHeight="1"/>
    <row r="94" spans="2:81" ht="15.95" hidden="1" customHeight="1"/>
    <row r="95" spans="2:81" ht="15.95" hidden="1" customHeight="1"/>
    <row r="96" spans="2:81"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69" ht="15.95" hidden="1" customHeight="1"/>
    <row r="194" spans="1:69" ht="15.95" hidden="1" customHeight="1"/>
    <row r="195" spans="1:69" ht="15.95" hidden="1" customHeight="1"/>
    <row r="196" spans="1:69" ht="15.95" hidden="1" customHeight="1"/>
    <row r="197" spans="1:69" ht="15.95" hidden="1" customHeight="1"/>
    <row r="198" spans="1:69" ht="15.95" hidden="1" customHeight="1"/>
    <row r="199" spans="1:69" ht="15.95" hidden="1" customHeight="1"/>
    <row r="200" spans="1:6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c r="BE200" s="861">
        <f>SUM(BE18:BE199)</f>
        <v>0</v>
      </c>
      <c r="BF200" s="861">
        <f>SUM(BF18:BF199)</f>
        <v>0</v>
      </c>
      <c r="BL200" s="862">
        <f>SUM(BL18:BL199)</f>
        <v>0</v>
      </c>
      <c r="BQ200" s="319"/>
    </row>
    <row r="201" spans="1:6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c r="BE201" s="861"/>
      <c r="BF201" s="861"/>
      <c r="BL201" s="862"/>
      <c r="BQ201" s="319"/>
    </row>
    <row r="202" spans="1:6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9" ht="15.95" hidden="1" customHeight="1"/>
    <row r="204" spans="1:69" ht="15.95" hidden="1" customHeight="1"/>
  </sheetData>
  <sheetProtection algorithmName="SHA-512" hashValue="YokEe9xw5GOfgEf7xWJ6NUlWqUGzYN1eNv1oSNZjFh7OxzgVbptz1mx5qqTzFUNJJ0LzTSH2HzJx0LO9vTqAqg==" saltValue="63pBFNvPMAFoznKvjJJpzg==" spinCount="100000" sheet="1" objects="1" scenarios="1" selectLockedCells="1"/>
  <mergeCells count="1796">
    <mergeCell ref="CA86:CA87"/>
    <mergeCell ref="CB86:CB87"/>
    <mergeCell ref="CC86:CC87"/>
    <mergeCell ref="BE86:BE87"/>
    <mergeCell ref="BF86:BF87"/>
    <mergeCell ref="BQ86:BQ87"/>
    <mergeCell ref="BW86:BW87"/>
    <mergeCell ref="BU86:BU87"/>
    <mergeCell ref="BY86:BY87"/>
    <mergeCell ref="BN86:BN87"/>
    <mergeCell ref="BO86:BO87"/>
    <mergeCell ref="AY84:AY85"/>
    <mergeCell ref="AZ84:AZ85"/>
    <mergeCell ref="BG84:BG85"/>
    <mergeCell ref="BH84:BH85"/>
    <mergeCell ref="BI84:BI85"/>
    <mergeCell ref="BM86:BM87"/>
    <mergeCell ref="BP86:BP87"/>
    <mergeCell ref="BS86:BS87"/>
    <mergeCell ref="BD84:BD85"/>
    <mergeCell ref="BM84:BM85"/>
    <mergeCell ref="BP84:BP85"/>
    <mergeCell ref="BS84:BS85"/>
    <mergeCell ref="O200:AI201"/>
    <mergeCell ref="BL200:BL201"/>
    <mergeCell ref="BE200:BE201"/>
    <mergeCell ref="BF200:BF201"/>
    <mergeCell ref="BJ86:BJ87"/>
    <mergeCell ref="BK86:BK87"/>
    <mergeCell ref="BZ86:BZ87"/>
    <mergeCell ref="AX86:AX87"/>
    <mergeCell ref="BA86:BA87"/>
    <mergeCell ref="BB86:BB87"/>
    <mergeCell ref="BC86:BC87"/>
    <mergeCell ref="AG86:AH87"/>
    <mergeCell ref="AI86:AL87"/>
    <mergeCell ref="AM86:AN87"/>
    <mergeCell ref="AO86:AQ87"/>
    <mergeCell ref="AR86:AU87"/>
    <mergeCell ref="BL86:BL87"/>
    <mergeCell ref="R86:S87"/>
    <mergeCell ref="T86:U87"/>
    <mergeCell ref="V86:W87"/>
    <mergeCell ref="X86:Z87"/>
    <mergeCell ref="AA86:AD87"/>
    <mergeCell ref="AE86:AF87"/>
    <mergeCell ref="B86:B87"/>
    <mergeCell ref="C86:I87"/>
    <mergeCell ref="J86:K87"/>
    <mergeCell ref="L86:M87"/>
    <mergeCell ref="N86:O87"/>
    <mergeCell ref="P86:Q87"/>
    <mergeCell ref="BJ84:BJ85"/>
    <mergeCell ref="BK84:BK85"/>
    <mergeCell ref="BZ84:BZ85"/>
    <mergeCell ref="CA84:CA85"/>
    <mergeCell ref="CB84:CB85"/>
    <mergeCell ref="CC84:CC85"/>
    <mergeCell ref="BE84:BE85"/>
    <mergeCell ref="BF84:BF85"/>
    <mergeCell ref="BQ84:BQ85"/>
    <mergeCell ref="BW84:BW85"/>
    <mergeCell ref="BU84:BU85"/>
    <mergeCell ref="BY84:BY85"/>
    <mergeCell ref="AX84:AX85"/>
    <mergeCell ref="BD86:BD87"/>
    <mergeCell ref="AM84:AN85"/>
    <mergeCell ref="AO84:AQ85"/>
    <mergeCell ref="AR84:AU85"/>
    <mergeCell ref="BL84:BL85"/>
    <mergeCell ref="R84:S85"/>
    <mergeCell ref="B84:B85"/>
    <mergeCell ref="C84:I85"/>
    <mergeCell ref="J84:K85"/>
    <mergeCell ref="L84:M85"/>
    <mergeCell ref="N84:O85"/>
    <mergeCell ref="P84:Q85"/>
    <mergeCell ref="T84:U85"/>
    <mergeCell ref="V84:W85"/>
    <mergeCell ref="X84:Z85"/>
    <mergeCell ref="AA84:AD85"/>
    <mergeCell ref="AE84:AF85"/>
    <mergeCell ref="BN84:BN85"/>
    <mergeCell ref="BO84:BO85"/>
    <mergeCell ref="BI82:BI83"/>
    <mergeCell ref="BR82:BR83"/>
    <mergeCell ref="BT82:BT83"/>
    <mergeCell ref="BV82:BV83"/>
    <mergeCell ref="BX82:BX83"/>
    <mergeCell ref="B82:B83"/>
    <mergeCell ref="C82:I83"/>
    <mergeCell ref="J82:K83"/>
    <mergeCell ref="L82:M83"/>
    <mergeCell ref="N82:O83"/>
    <mergeCell ref="P82:Q83"/>
    <mergeCell ref="BJ82:BJ83"/>
    <mergeCell ref="BK82:BK83"/>
    <mergeCell ref="BE82:BE83"/>
    <mergeCell ref="BF82:BF83"/>
    <mergeCell ref="BQ82:BQ83"/>
    <mergeCell ref="BW82:BW83"/>
    <mergeCell ref="BU82:BU83"/>
    <mergeCell ref="AX82:AX83"/>
    <mergeCell ref="BA84:BA85"/>
    <mergeCell ref="BB84:BB85"/>
    <mergeCell ref="BC84:BC85"/>
    <mergeCell ref="AG84:AH85"/>
    <mergeCell ref="AI84:AL85"/>
    <mergeCell ref="R82:S83"/>
    <mergeCell ref="AG82:AH83"/>
    <mergeCell ref="AI82:AL83"/>
    <mergeCell ref="AM82:AN83"/>
    <mergeCell ref="AO82:AQ83"/>
    <mergeCell ref="AR82:AU83"/>
    <mergeCell ref="T82:U83"/>
    <mergeCell ref="V82:W83"/>
    <mergeCell ref="X82:Z83"/>
    <mergeCell ref="BN80:BN81"/>
    <mergeCell ref="BJ80:BJ81"/>
    <mergeCell ref="BK80:BK81"/>
    <mergeCell ref="BZ80:BZ81"/>
    <mergeCell ref="CA80:CA81"/>
    <mergeCell ref="CB80:CB81"/>
    <mergeCell ref="BU80:BU81"/>
    <mergeCell ref="BY80:BY81"/>
    <mergeCell ref="AX80:AX81"/>
    <mergeCell ref="BA80:BA81"/>
    <mergeCell ref="BB80:BB81"/>
    <mergeCell ref="BC80:BC81"/>
    <mergeCell ref="AG80:AH81"/>
    <mergeCell ref="AI80:AL81"/>
    <mergeCell ref="AM80:AN81"/>
    <mergeCell ref="AO80:AQ81"/>
    <mergeCell ref="AA82:AD83"/>
    <mergeCell ref="AE82:AF83"/>
    <mergeCell ref="BH82:BH83"/>
    <mergeCell ref="BM82:BM83"/>
    <mergeCell ref="BP82:BP83"/>
    <mergeCell ref="BS82:BS83"/>
    <mergeCell ref="AR80:AU81"/>
    <mergeCell ref="BL80:BL81"/>
    <mergeCell ref="CC80:CC81"/>
    <mergeCell ref="BE80:BE81"/>
    <mergeCell ref="BF80:BF81"/>
    <mergeCell ref="BQ80:BQ81"/>
    <mergeCell ref="BW80:BW81"/>
    <mergeCell ref="BD82:BD83"/>
    <mergeCell ref="BL82:BL83"/>
    <mergeCell ref="BZ82:BZ83"/>
    <mergeCell ref="CA82:CA83"/>
    <mergeCell ref="CB82:CB83"/>
    <mergeCell ref="CC82:CC83"/>
    <mergeCell ref="BN82:BN83"/>
    <mergeCell ref="BO82:BO83"/>
    <mergeCell ref="BM80:BM81"/>
    <mergeCell ref="BP80:BP81"/>
    <mergeCell ref="BS80:BS81"/>
    <mergeCell ref="AY82:AY83"/>
    <mergeCell ref="AZ82:AZ83"/>
    <mergeCell ref="BG82:BG83"/>
    <mergeCell ref="BA82:BA83"/>
    <mergeCell ref="BB82:BB83"/>
    <mergeCell ref="BY82:BY83"/>
    <mergeCell ref="BC82:BC83"/>
    <mergeCell ref="B80:B81"/>
    <mergeCell ref="C80:I81"/>
    <mergeCell ref="J80:K81"/>
    <mergeCell ref="L80:M81"/>
    <mergeCell ref="N80:O81"/>
    <mergeCell ref="P80:Q81"/>
    <mergeCell ref="BJ78:BJ79"/>
    <mergeCell ref="BK78:BK79"/>
    <mergeCell ref="B78:B79"/>
    <mergeCell ref="C78:I79"/>
    <mergeCell ref="J78:K79"/>
    <mergeCell ref="L78:M79"/>
    <mergeCell ref="N78:O79"/>
    <mergeCell ref="P78:Q79"/>
    <mergeCell ref="T80:U81"/>
    <mergeCell ref="V80:W81"/>
    <mergeCell ref="X80:Z81"/>
    <mergeCell ref="AA80:AD81"/>
    <mergeCell ref="AE80:AF81"/>
    <mergeCell ref="R80:S81"/>
    <mergeCell ref="CB78:CB79"/>
    <mergeCell ref="CC78:CC79"/>
    <mergeCell ref="BE78:BE79"/>
    <mergeCell ref="BF78:BF79"/>
    <mergeCell ref="BQ78:BQ79"/>
    <mergeCell ref="BW78:BW79"/>
    <mergeCell ref="BU78:BU79"/>
    <mergeCell ref="BY78:BY79"/>
    <mergeCell ref="AX78:AX79"/>
    <mergeCell ref="BD80:BD81"/>
    <mergeCell ref="AM78:AN79"/>
    <mergeCell ref="AO78:AQ79"/>
    <mergeCell ref="AR78:AU79"/>
    <mergeCell ref="BL78:BL79"/>
    <mergeCell ref="R78:S79"/>
    <mergeCell ref="T78:U79"/>
    <mergeCell ref="V78:W79"/>
    <mergeCell ref="X78:Z79"/>
    <mergeCell ref="AG78:AH79"/>
    <mergeCell ref="AI78:AL79"/>
    <mergeCell ref="AA78:AD79"/>
    <mergeCell ref="AE78:AF79"/>
    <mergeCell ref="BH80:BH81"/>
    <mergeCell ref="BI80:BI81"/>
    <mergeCell ref="BR80:BR81"/>
    <mergeCell ref="BT80:BT81"/>
    <mergeCell ref="BV80:BV81"/>
    <mergeCell ref="BX80:BX81"/>
    <mergeCell ref="BO80:BO81"/>
    <mergeCell ref="BM78:BM79"/>
    <mergeCell ref="BP78:BP79"/>
    <mergeCell ref="BS78:BS79"/>
    <mergeCell ref="BW76:BW77"/>
    <mergeCell ref="BU76:BU77"/>
    <mergeCell ref="BY76:BY77"/>
    <mergeCell ref="AX76:AX77"/>
    <mergeCell ref="BA76:BA77"/>
    <mergeCell ref="BB76:BB77"/>
    <mergeCell ref="BC76:BC77"/>
    <mergeCell ref="BA78:BA79"/>
    <mergeCell ref="BB78:BB79"/>
    <mergeCell ref="BC78:BC79"/>
    <mergeCell ref="BP76:BP77"/>
    <mergeCell ref="BS76:BS77"/>
    <mergeCell ref="BN78:BN79"/>
    <mergeCell ref="BO78:BO79"/>
    <mergeCell ref="BD78:BD79"/>
    <mergeCell ref="BZ78:BZ79"/>
    <mergeCell ref="CA78:CA79"/>
    <mergeCell ref="BZ74:BZ75"/>
    <mergeCell ref="CA74:CA75"/>
    <mergeCell ref="CB74:CB75"/>
    <mergeCell ref="CC74:CC75"/>
    <mergeCell ref="BE74:BE75"/>
    <mergeCell ref="BF74:BF75"/>
    <mergeCell ref="BQ74:BQ75"/>
    <mergeCell ref="BW74:BW75"/>
    <mergeCell ref="BU74:BU75"/>
    <mergeCell ref="BY74:BY75"/>
    <mergeCell ref="AX74:AX75"/>
    <mergeCell ref="BL76:BL77"/>
    <mergeCell ref="R76:S77"/>
    <mergeCell ref="BA74:BA75"/>
    <mergeCell ref="BB74:BB75"/>
    <mergeCell ref="BC74:BC75"/>
    <mergeCell ref="AG74:AH75"/>
    <mergeCell ref="AI74:AL75"/>
    <mergeCell ref="AM74:AN75"/>
    <mergeCell ref="AO74:AQ75"/>
    <mergeCell ref="BT76:BT77"/>
    <mergeCell ref="BV76:BV77"/>
    <mergeCell ref="BX76:BX77"/>
    <mergeCell ref="BM76:BM77"/>
    <mergeCell ref="BJ76:BJ77"/>
    <mergeCell ref="BK76:BK77"/>
    <mergeCell ref="BZ76:BZ77"/>
    <mergeCell ref="CA76:CA77"/>
    <mergeCell ref="CB76:CB77"/>
    <mergeCell ref="CC76:CC77"/>
    <mergeCell ref="BE76:BE77"/>
    <mergeCell ref="BF76:BF77"/>
    <mergeCell ref="B72:B73"/>
    <mergeCell ref="C72:I73"/>
    <mergeCell ref="J72:K73"/>
    <mergeCell ref="L72:M73"/>
    <mergeCell ref="N72:O73"/>
    <mergeCell ref="P72:Q73"/>
    <mergeCell ref="BN76:BN77"/>
    <mergeCell ref="BO76:BO77"/>
    <mergeCell ref="AR74:AU75"/>
    <mergeCell ref="BL74:BL75"/>
    <mergeCell ref="R74:S75"/>
    <mergeCell ref="T74:U75"/>
    <mergeCell ref="V74:W75"/>
    <mergeCell ref="X74:Z75"/>
    <mergeCell ref="AA74:AD75"/>
    <mergeCell ref="AE74:AF75"/>
    <mergeCell ref="AG76:AH77"/>
    <mergeCell ref="AI76:AL77"/>
    <mergeCell ref="AM76:AN77"/>
    <mergeCell ref="AO76:AQ77"/>
    <mergeCell ref="AR76:AU77"/>
    <mergeCell ref="T76:U77"/>
    <mergeCell ref="V76:W77"/>
    <mergeCell ref="X76:Z77"/>
    <mergeCell ref="AA76:AD77"/>
    <mergeCell ref="AE76:AF77"/>
    <mergeCell ref="B76:B77"/>
    <mergeCell ref="C76:I77"/>
    <mergeCell ref="J76:K77"/>
    <mergeCell ref="L76:M77"/>
    <mergeCell ref="N76:O77"/>
    <mergeCell ref="P76:Q77"/>
    <mergeCell ref="BR74:BR75"/>
    <mergeCell ref="BM74:BM75"/>
    <mergeCell ref="BP74:BP75"/>
    <mergeCell ref="BS74:BS75"/>
    <mergeCell ref="BD76:BD77"/>
    <mergeCell ref="AY76:AY77"/>
    <mergeCell ref="AZ76:AZ77"/>
    <mergeCell ref="BG76:BG77"/>
    <mergeCell ref="BH76:BH77"/>
    <mergeCell ref="BI76:BI77"/>
    <mergeCell ref="BR76:BR77"/>
    <mergeCell ref="B74:B75"/>
    <mergeCell ref="C74:I75"/>
    <mergeCell ref="J74:K75"/>
    <mergeCell ref="L74:M75"/>
    <mergeCell ref="N74:O75"/>
    <mergeCell ref="P74:Q75"/>
    <mergeCell ref="BJ74:BJ75"/>
    <mergeCell ref="BK74:BK75"/>
    <mergeCell ref="BQ76:BQ77"/>
    <mergeCell ref="AX72:AX73"/>
    <mergeCell ref="BD74:BD75"/>
    <mergeCell ref="AM72:AN73"/>
    <mergeCell ref="AO72:AQ73"/>
    <mergeCell ref="AR72:AU73"/>
    <mergeCell ref="BL72:BL73"/>
    <mergeCell ref="R72:S73"/>
    <mergeCell ref="T72:U73"/>
    <mergeCell ref="V72:W73"/>
    <mergeCell ref="X72:Z73"/>
    <mergeCell ref="AG72:AH73"/>
    <mergeCell ref="AI72:AL73"/>
    <mergeCell ref="AA72:AD73"/>
    <mergeCell ref="AE72:AF73"/>
    <mergeCell ref="BN74:BN75"/>
    <mergeCell ref="BO74:BO75"/>
    <mergeCell ref="AY74:AY75"/>
    <mergeCell ref="AZ74:AZ75"/>
    <mergeCell ref="BG74:BG75"/>
    <mergeCell ref="BH74:BH75"/>
    <mergeCell ref="BI74:BI75"/>
    <mergeCell ref="BJ72:BJ73"/>
    <mergeCell ref="BK72:BK73"/>
    <mergeCell ref="BK70:BK71"/>
    <mergeCell ref="BZ70:BZ71"/>
    <mergeCell ref="CA70:CA71"/>
    <mergeCell ref="CB70:CB71"/>
    <mergeCell ref="CC70:CC71"/>
    <mergeCell ref="BE70:BE71"/>
    <mergeCell ref="BF70:BF71"/>
    <mergeCell ref="BQ70:BQ71"/>
    <mergeCell ref="BW70:BW71"/>
    <mergeCell ref="BU70:BU71"/>
    <mergeCell ref="BY70:BY71"/>
    <mergeCell ref="AX70:AX71"/>
    <mergeCell ref="BA70:BA71"/>
    <mergeCell ref="BB70:BB71"/>
    <mergeCell ref="BC70:BC71"/>
    <mergeCell ref="BA72:BA73"/>
    <mergeCell ref="BB72:BB73"/>
    <mergeCell ref="BC72:BC73"/>
    <mergeCell ref="BP70:BP71"/>
    <mergeCell ref="BS70:BS71"/>
    <mergeCell ref="BN72:BN73"/>
    <mergeCell ref="BO72:BO73"/>
    <mergeCell ref="BZ72:BZ73"/>
    <mergeCell ref="CA72:CA73"/>
    <mergeCell ref="CB72:CB73"/>
    <mergeCell ref="CC72:CC73"/>
    <mergeCell ref="BE72:BE73"/>
    <mergeCell ref="BF72:BF73"/>
    <mergeCell ref="BQ72:BQ73"/>
    <mergeCell ref="BW72:BW73"/>
    <mergeCell ref="BU72:BU73"/>
    <mergeCell ref="BY72:BY73"/>
    <mergeCell ref="AA70:AD71"/>
    <mergeCell ref="AE70:AF71"/>
    <mergeCell ref="B70:B71"/>
    <mergeCell ref="C70:I71"/>
    <mergeCell ref="J70:K71"/>
    <mergeCell ref="L70:M71"/>
    <mergeCell ref="N70:O71"/>
    <mergeCell ref="P70:Q71"/>
    <mergeCell ref="BJ68:BJ69"/>
    <mergeCell ref="BK68:BK69"/>
    <mergeCell ref="BZ68:BZ69"/>
    <mergeCell ref="CA68:CA69"/>
    <mergeCell ref="CB68:CB69"/>
    <mergeCell ref="CC68:CC69"/>
    <mergeCell ref="BE68:BE69"/>
    <mergeCell ref="BF68:BF69"/>
    <mergeCell ref="BQ68:BQ69"/>
    <mergeCell ref="BW68:BW69"/>
    <mergeCell ref="BU68:BU69"/>
    <mergeCell ref="BY68:BY69"/>
    <mergeCell ref="AX68:AX69"/>
    <mergeCell ref="BL70:BL71"/>
    <mergeCell ref="R70:S71"/>
    <mergeCell ref="BA68:BA69"/>
    <mergeCell ref="BB68:BB69"/>
    <mergeCell ref="BC68:BC69"/>
    <mergeCell ref="AG68:AH69"/>
    <mergeCell ref="AI68:AL69"/>
    <mergeCell ref="AM68:AN69"/>
    <mergeCell ref="AO68:AQ69"/>
    <mergeCell ref="BT70:BT71"/>
    <mergeCell ref="BV70:BV71"/>
    <mergeCell ref="B68:B69"/>
    <mergeCell ref="C68:I69"/>
    <mergeCell ref="J68:K69"/>
    <mergeCell ref="L68:M69"/>
    <mergeCell ref="N68:O69"/>
    <mergeCell ref="P68:Q69"/>
    <mergeCell ref="BJ66:BJ67"/>
    <mergeCell ref="BK66:BK67"/>
    <mergeCell ref="B66:B67"/>
    <mergeCell ref="C66:I67"/>
    <mergeCell ref="J66:K67"/>
    <mergeCell ref="L66:M67"/>
    <mergeCell ref="N66:O67"/>
    <mergeCell ref="P66:Q67"/>
    <mergeCell ref="BN70:BN71"/>
    <mergeCell ref="BO70:BO71"/>
    <mergeCell ref="AR68:AU69"/>
    <mergeCell ref="BL68:BL69"/>
    <mergeCell ref="R68:S69"/>
    <mergeCell ref="T68:U69"/>
    <mergeCell ref="V68:W69"/>
    <mergeCell ref="X68:Z69"/>
    <mergeCell ref="AA68:AD69"/>
    <mergeCell ref="AE68:AF69"/>
    <mergeCell ref="AG70:AH71"/>
    <mergeCell ref="AI70:AL71"/>
    <mergeCell ref="AM70:AN71"/>
    <mergeCell ref="AO70:AQ71"/>
    <mergeCell ref="AR70:AU71"/>
    <mergeCell ref="T70:U71"/>
    <mergeCell ref="V70:W71"/>
    <mergeCell ref="X70:Z71"/>
    <mergeCell ref="BZ66:BZ67"/>
    <mergeCell ref="CA66:CA67"/>
    <mergeCell ref="CB66:CB67"/>
    <mergeCell ref="CC66:CC67"/>
    <mergeCell ref="BE66:BE67"/>
    <mergeCell ref="BF66:BF67"/>
    <mergeCell ref="BQ66:BQ67"/>
    <mergeCell ref="BW66:BW67"/>
    <mergeCell ref="BU66:BU67"/>
    <mergeCell ref="BY66:BY67"/>
    <mergeCell ref="AX66:AX67"/>
    <mergeCell ref="BD68:BD69"/>
    <mergeCell ref="AM66:AN67"/>
    <mergeCell ref="AO66:AQ67"/>
    <mergeCell ref="AR66:AU67"/>
    <mergeCell ref="BL66:BL67"/>
    <mergeCell ref="R66:S67"/>
    <mergeCell ref="T66:U67"/>
    <mergeCell ref="V66:W67"/>
    <mergeCell ref="X66:Z67"/>
    <mergeCell ref="AG66:AH67"/>
    <mergeCell ref="AI66:AL67"/>
    <mergeCell ref="AA66:AD67"/>
    <mergeCell ref="AE66:AF67"/>
    <mergeCell ref="BX66:BX67"/>
    <mergeCell ref="AY68:AY69"/>
    <mergeCell ref="AZ68:AZ69"/>
    <mergeCell ref="BG68:BG69"/>
    <mergeCell ref="BH68:BH69"/>
    <mergeCell ref="BI68:BI69"/>
    <mergeCell ref="BR68:BR69"/>
    <mergeCell ref="BT68:BT69"/>
    <mergeCell ref="BJ64:BJ65"/>
    <mergeCell ref="BK64:BK65"/>
    <mergeCell ref="BZ64:BZ65"/>
    <mergeCell ref="CA64:CA65"/>
    <mergeCell ref="CB64:CB65"/>
    <mergeCell ref="CC64:CC65"/>
    <mergeCell ref="BE64:BE65"/>
    <mergeCell ref="BF64:BF65"/>
    <mergeCell ref="BQ64:BQ65"/>
    <mergeCell ref="BW64:BW65"/>
    <mergeCell ref="BU64:BU65"/>
    <mergeCell ref="BY64:BY65"/>
    <mergeCell ref="AX64:AX65"/>
    <mergeCell ref="BA64:BA65"/>
    <mergeCell ref="BB64:BB65"/>
    <mergeCell ref="BC64:BC65"/>
    <mergeCell ref="BA66:BA67"/>
    <mergeCell ref="BB66:BB67"/>
    <mergeCell ref="BC66:BC67"/>
    <mergeCell ref="BV64:BV65"/>
    <mergeCell ref="BX64:BX65"/>
    <mergeCell ref="BM64:BM65"/>
    <mergeCell ref="BP64:BP65"/>
    <mergeCell ref="BS64:BS65"/>
    <mergeCell ref="AY66:AY67"/>
    <mergeCell ref="AZ66:AZ67"/>
    <mergeCell ref="BG66:BG67"/>
    <mergeCell ref="BH66:BH67"/>
    <mergeCell ref="BI66:BI67"/>
    <mergeCell ref="BR66:BR67"/>
    <mergeCell ref="BT66:BT67"/>
    <mergeCell ref="BV66:BV67"/>
    <mergeCell ref="B64:B65"/>
    <mergeCell ref="C64:I65"/>
    <mergeCell ref="J64:K65"/>
    <mergeCell ref="L64:M65"/>
    <mergeCell ref="N64:O65"/>
    <mergeCell ref="P64:Q65"/>
    <mergeCell ref="BJ62:BJ63"/>
    <mergeCell ref="BK62:BK63"/>
    <mergeCell ref="BZ62:BZ63"/>
    <mergeCell ref="CA62:CA63"/>
    <mergeCell ref="CB62:CB63"/>
    <mergeCell ref="CC62:CC63"/>
    <mergeCell ref="BE62:BE63"/>
    <mergeCell ref="BF62:BF63"/>
    <mergeCell ref="BQ62:BQ63"/>
    <mergeCell ref="BW62:BW63"/>
    <mergeCell ref="BU62:BU63"/>
    <mergeCell ref="BY62:BY63"/>
    <mergeCell ref="AX62:AX63"/>
    <mergeCell ref="BL64:BL65"/>
    <mergeCell ref="R64:S65"/>
    <mergeCell ref="BA62:BA63"/>
    <mergeCell ref="BB62:BB63"/>
    <mergeCell ref="BC62:BC63"/>
    <mergeCell ref="AG62:AH63"/>
    <mergeCell ref="AI62:AL63"/>
    <mergeCell ref="AM62:AN63"/>
    <mergeCell ref="AO62:AQ63"/>
    <mergeCell ref="BH64:BH65"/>
    <mergeCell ref="BI64:BI65"/>
    <mergeCell ref="BR64:BR65"/>
    <mergeCell ref="BT64:BT65"/>
    <mergeCell ref="BD64:BD65"/>
    <mergeCell ref="BN62:BN63"/>
    <mergeCell ref="BO62:BO63"/>
    <mergeCell ref="BN64:BN65"/>
    <mergeCell ref="BO64:BO65"/>
    <mergeCell ref="AY64:AY65"/>
    <mergeCell ref="AZ64:AZ65"/>
    <mergeCell ref="BG64:BG65"/>
    <mergeCell ref="B62:B63"/>
    <mergeCell ref="C62:I63"/>
    <mergeCell ref="J62:K63"/>
    <mergeCell ref="L62:M63"/>
    <mergeCell ref="N62:O63"/>
    <mergeCell ref="P62:Q63"/>
    <mergeCell ref="AR62:AU63"/>
    <mergeCell ref="BL62:BL63"/>
    <mergeCell ref="R62:S63"/>
    <mergeCell ref="T62:U63"/>
    <mergeCell ref="V62:W63"/>
    <mergeCell ref="X62:Z63"/>
    <mergeCell ref="AA62:AD63"/>
    <mergeCell ref="AE62:AF63"/>
    <mergeCell ref="AG64:AH65"/>
    <mergeCell ref="AI64:AL65"/>
    <mergeCell ref="AM64:AN65"/>
    <mergeCell ref="AO64:AQ65"/>
    <mergeCell ref="AR64:AU65"/>
    <mergeCell ref="T64:U65"/>
    <mergeCell ref="V64:W65"/>
    <mergeCell ref="X64:Z65"/>
    <mergeCell ref="AA64:AD65"/>
    <mergeCell ref="AE64:AF65"/>
    <mergeCell ref="BJ60:BJ61"/>
    <mergeCell ref="BK60:BK61"/>
    <mergeCell ref="BZ60:BZ61"/>
    <mergeCell ref="CA60:CA61"/>
    <mergeCell ref="CB60:CB61"/>
    <mergeCell ref="CC60:CC61"/>
    <mergeCell ref="BE60:BE61"/>
    <mergeCell ref="BF60:BF61"/>
    <mergeCell ref="BQ60:BQ61"/>
    <mergeCell ref="BW60:BW61"/>
    <mergeCell ref="BU60:BU61"/>
    <mergeCell ref="BY60:BY61"/>
    <mergeCell ref="AX60:AX61"/>
    <mergeCell ref="BD62:BD63"/>
    <mergeCell ref="AM60:AN61"/>
    <mergeCell ref="AO60:AQ61"/>
    <mergeCell ref="AR60:AU61"/>
    <mergeCell ref="BL60:BL61"/>
    <mergeCell ref="AY62:AY63"/>
    <mergeCell ref="AZ62:AZ63"/>
    <mergeCell ref="BG62:BG63"/>
    <mergeCell ref="BH62:BH63"/>
    <mergeCell ref="BI62:BI63"/>
    <mergeCell ref="BR62:BR63"/>
    <mergeCell ref="BT62:BT63"/>
    <mergeCell ref="BV62:BV63"/>
    <mergeCell ref="BX62:BX63"/>
    <mergeCell ref="BM62:BM63"/>
    <mergeCell ref="BP62:BP63"/>
    <mergeCell ref="BS62:BS63"/>
    <mergeCell ref="R60:S61"/>
    <mergeCell ref="T60:U61"/>
    <mergeCell ref="V60:W61"/>
    <mergeCell ref="X60:Z61"/>
    <mergeCell ref="B60:B61"/>
    <mergeCell ref="C60:I61"/>
    <mergeCell ref="J60:K61"/>
    <mergeCell ref="L60:M61"/>
    <mergeCell ref="N60:O61"/>
    <mergeCell ref="P60:Q61"/>
    <mergeCell ref="BJ58:BJ59"/>
    <mergeCell ref="BK58:BK59"/>
    <mergeCell ref="BZ58:BZ59"/>
    <mergeCell ref="CA58:CA59"/>
    <mergeCell ref="CB58:CB59"/>
    <mergeCell ref="CC58:CC59"/>
    <mergeCell ref="BE58:BE59"/>
    <mergeCell ref="BF58:BF59"/>
    <mergeCell ref="BQ58:BQ59"/>
    <mergeCell ref="BW58:BW59"/>
    <mergeCell ref="BU58:BU59"/>
    <mergeCell ref="BY58:BY59"/>
    <mergeCell ref="AX58:AX59"/>
    <mergeCell ref="BA58:BA59"/>
    <mergeCell ref="BB58:BB59"/>
    <mergeCell ref="BC58:BC59"/>
    <mergeCell ref="BA60:BA61"/>
    <mergeCell ref="BB60:BB61"/>
    <mergeCell ref="BC60:BC61"/>
    <mergeCell ref="AG60:AH61"/>
    <mergeCell ref="AI60:AL61"/>
    <mergeCell ref="AA60:AD61"/>
    <mergeCell ref="BR56:BR57"/>
    <mergeCell ref="BT56:BT57"/>
    <mergeCell ref="AE60:AF61"/>
    <mergeCell ref="BN60:BN61"/>
    <mergeCell ref="BO60:BO61"/>
    <mergeCell ref="B58:B59"/>
    <mergeCell ref="C58:I59"/>
    <mergeCell ref="J58:K59"/>
    <mergeCell ref="L58:M59"/>
    <mergeCell ref="N58:O59"/>
    <mergeCell ref="P58:Q59"/>
    <mergeCell ref="BJ56:BJ57"/>
    <mergeCell ref="BK56:BK57"/>
    <mergeCell ref="BZ56:BZ57"/>
    <mergeCell ref="CA56:CA57"/>
    <mergeCell ref="CB56:CB57"/>
    <mergeCell ref="CC56:CC57"/>
    <mergeCell ref="BE56:BE57"/>
    <mergeCell ref="BF56:BF57"/>
    <mergeCell ref="BQ56:BQ57"/>
    <mergeCell ref="BW56:BW57"/>
    <mergeCell ref="BU56:BU57"/>
    <mergeCell ref="BY56:BY57"/>
    <mergeCell ref="AX56:AX57"/>
    <mergeCell ref="BL58:BL59"/>
    <mergeCell ref="R58:S59"/>
    <mergeCell ref="BA56:BA57"/>
    <mergeCell ref="BB56:BB57"/>
    <mergeCell ref="BC56:BC57"/>
    <mergeCell ref="AG56:AH57"/>
    <mergeCell ref="AI56:AL57"/>
    <mergeCell ref="AM56:AN57"/>
    <mergeCell ref="V56:W57"/>
    <mergeCell ref="X56:Z57"/>
    <mergeCell ref="AA56:AD57"/>
    <mergeCell ref="AE56:AF57"/>
    <mergeCell ref="AG58:AH59"/>
    <mergeCell ref="AI58:AL59"/>
    <mergeCell ref="AM58:AN59"/>
    <mergeCell ref="AO58:AQ59"/>
    <mergeCell ref="AR58:AU59"/>
    <mergeCell ref="T58:U59"/>
    <mergeCell ref="V58:W59"/>
    <mergeCell ref="X58:Z59"/>
    <mergeCell ref="AA58:AD59"/>
    <mergeCell ref="AE58:AF59"/>
    <mergeCell ref="BN56:BN57"/>
    <mergeCell ref="BO56:BO57"/>
    <mergeCell ref="BN58:BN59"/>
    <mergeCell ref="BO58:BO59"/>
    <mergeCell ref="BM56:BM57"/>
    <mergeCell ref="BD58:BD59"/>
    <mergeCell ref="AY58:AY59"/>
    <mergeCell ref="AZ58:AZ59"/>
    <mergeCell ref="BG58:BG59"/>
    <mergeCell ref="AY56:AY57"/>
    <mergeCell ref="AZ56:AZ57"/>
    <mergeCell ref="BG56:BG57"/>
    <mergeCell ref="BH56:BH57"/>
    <mergeCell ref="BI56:BI57"/>
    <mergeCell ref="AO56:AQ57"/>
    <mergeCell ref="BH58:BH59"/>
    <mergeCell ref="B56:B57"/>
    <mergeCell ref="C56:I57"/>
    <mergeCell ref="J56:K57"/>
    <mergeCell ref="L56:M57"/>
    <mergeCell ref="N56:O57"/>
    <mergeCell ref="P56:Q57"/>
    <mergeCell ref="BJ54:BJ55"/>
    <mergeCell ref="BK54:BK55"/>
    <mergeCell ref="BZ54:BZ55"/>
    <mergeCell ref="CA54:CA55"/>
    <mergeCell ref="CB54:CB55"/>
    <mergeCell ref="CC54:CC55"/>
    <mergeCell ref="BE54:BE55"/>
    <mergeCell ref="BF54:BF55"/>
    <mergeCell ref="BQ54:BQ55"/>
    <mergeCell ref="BW54:BW55"/>
    <mergeCell ref="BU54:BU55"/>
    <mergeCell ref="BY54:BY55"/>
    <mergeCell ref="AX54:AX55"/>
    <mergeCell ref="BD56:BD57"/>
    <mergeCell ref="AM54:AN55"/>
    <mergeCell ref="AO54:AQ55"/>
    <mergeCell ref="AR54:AU55"/>
    <mergeCell ref="BL54:BL55"/>
    <mergeCell ref="R54:S55"/>
    <mergeCell ref="T54:U55"/>
    <mergeCell ref="V54:W55"/>
    <mergeCell ref="X54:Z55"/>
    <mergeCell ref="AR56:AU57"/>
    <mergeCell ref="BL56:BL57"/>
    <mergeCell ref="R56:S57"/>
    <mergeCell ref="T56:U57"/>
    <mergeCell ref="B54:B55"/>
    <mergeCell ref="C54:I55"/>
    <mergeCell ref="J54:K55"/>
    <mergeCell ref="L54:M55"/>
    <mergeCell ref="N54:O55"/>
    <mergeCell ref="P54:Q55"/>
    <mergeCell ref="BJ52:BJ53"/>
    <mergeCell ref="BK52:BK53"/>
    <mergeCell ref="BZ52:BZ53"/>
    <mergeCell ref="CA52:CA53"/>
    <mergeCell ref="CB52:CB53"/>
    <mergeCell ref="CC52:CC53"/>
    <mergeCell ref="BE52:BE53"/>
    <mergeCell ref="BF52:BF53"/>
    <mergeCell ref="BQ52:BQ53"/>
    <mergeCell ref="BW52:BW53"/>
    <mergeCell ref="BU52:BU53"/>
    <mergeCell ref="BY52:BY53"/>
    <mergeCell ref="AX52:AX53"/>
    <mergeCell ref="BA52:BA53"/>
    <mergeCell ref="BB52:BB53"/>
    <mergeCell ref="BC52:BC53"/>
    <mergeCell ref="BA54:BA55"/>
    <mergeCell ref="BB54:BB55"/>
    <mergeCell ref="BC54:BC55"/>
    <mergeCell ref="AG54:AH55"/>
    <mergeCell ref="AI54:AL55"/>
    <mergeCell ref="AA54:AD55"/>
    <mergeCell ref="AE54:AF55"/>
    <mergeCell ref="BN54:BN55"/>
    <mergeCell ref="BO54:BO55"/>
    <mergeCell ref="B52:B53"/>
    <mergeCell ref="C52:I53"/>
    <mergeCell ref="J52:K53"/>
    <mergeCell ref="L52:M53"/>
    <mergeCell ref="N52:O53"/>
    <mergeCell ref="P52:Q53"/>
    <mergeCell ref="BJ50:BJ51"/>
    <mergeCell ref="BK50:BK51"/>
    <mergeCell ref="BZ50:BZ51"/>
    <mergeCell ref="CA50:CA51"/>
    <mergeCell ref="CB50:CB51"/>
    <mergeCell ref="CC50:CC51"/>
    <mergeCell ref="BE50:BE51"/>
    <mergeCell ref="BF50:BF51"/>
    <mergeCell ref="BQ50:BQ51"/>
    <mergeCell ref="BW50:BW51"/>
    <mergeCell ref="BU50:BU51"/>
    <mergeCell ref="BY50:BY51"/>
    <mergeCell ref="AX50:AX51"/>
    <mergeCell ref="BL52:BL53"/>
    <mergeCell ref="R52:S53"/>
    <mergeCell ref="BA50:BA51"/>
    <mergeCell ref="BB50:BB51"/>
    <mergeCell ref="BC50:BC51"/>
    <mergeCell ref="AG50:AH51"/>
    <mergeCell ref="AI50:AL51"/>
    <mergeCell ref="AM50:AN51"/>
    <mergeCell ref="AO50:AQ51"/>
    <mergeCell ref="BH52:BH53"/>
    <mergeCell ref="BI52:BI53"/>
    <mergeCell ref="BR52:BR53"/>
    <mergeCell ref="BT52:BT53"/>
    <mergeCell ref="BV52:BV53"/>
    <mergeCell ref="V50:W51"/>
    <mergeCell ref="X50:Z51"/>
    <mergeCell ref="AA50:AD51"/>
    <mergeCell ref="AE50:AF51"/>
    <mergeCell ref="AG52:AH53"/>
    <mergeCell ref="AI52:AL53"/>
    <mergeCell ref="AM52:AN53"/>
    <mergeCell ref="AO52:AQ53"/>
    <mergeCell ref="AR52:AU53"/>
    <mergeCell ref="T52:U53"/>
    <mergeCell ref="V52:W53"/>
    <mergeCell ref="X52:Z53"/>
    <mergeCell ref="AA52:AD53"/>
    <mergeCell ref="AE52:AF53"/>
    <mergeCell ref="BN50:BN51"/>
    <mergeCell ref="BO50:BO51"/>
    <mergeCell ref="BN52:BN53"/>
    <mergeCell ref="BO52:BO53"/>
    <mergeCell ref="BM50:BM51"/>
    <mergeCell ref="BD52:BD53"/>
    <mergeCell ref="AY52:AY53"/>
    <mergeCell ref="AZ52:AZ53"/>
    <mergeCell ref="BG52:BG53"/>
    <mergeCell ref="AY50:AY51"/>
    <mergeCell ref="AZ50:AZ51"/>
    <mergeCell ref="BG50:BG51"/>
    <mergeCell ref="BH50:BH51"/>
    <mergeCell ref="BI50:BI51"/>
    <mergeCell ref="B50:B51"/>
    <mergeCell ref="C50:I51"/>
    <mergeCell ref="J50:K51"/>
    <mergeCell ref="L50:M51"/>
    <mergeCell ref="N50:O51"/>
    <mergeCell ref="P50:Q51"/>
    <mergeCell ref="BJ48:BJ49"/>
    <mergeCell ref="BK48:BK49"/>
    <mergeCell ref="BZ48:BZ49"/>
    <mergeCell ref="CA48:CA49"/>
    <mergeCell ref="CB48:CB49"/>
    <mergeCell ref="CC48:CC49"/>
    <mergeCell ref="BE48:BE49"/>
    <mergeCell ref="BF48:BF49"/>
    <mergeCell ref="BQ48:BQ49"/>
    <mergeCell ref="BW48:BW49"/>
    <mergeCell ref="BU48:BU49"/>
    <mergeCell ref="BY48:BY49"/>
    <mergeCell ref="AX48:AX49"/>
    <mergeCell ref="BD50:BD51"/>
    <mergeCell ref="AM48:AN49"/>
    <mergeCell ref="AO48:AQ49"/>
    <mergeCell ref="AR48:AU49"/>
    <mergeCell ref="BL48:BL49"/>
    <mergeCell ref="R48:S49"/>
    <mergeCell ref="T48:U49"/>
    <mergeCell ref="V48:W49"/>
    <mergeCell ref="X48:Z49"/>
    <mergeCell ref="AR50:AU51"/>
    <mergeCell ref="BL50:BL51"/>
    <mergeCell ref="R50:S51"/>
    <mergeCell ref="T50:U51"/>
    <mergeCell ref="B48:B49"/>
    <mergeCell ref="C48:I49"/>
    <mergeCell ref="J48:K49"/>
    <mergeCell ref="L48:M49"/>
    <mergeCell ref="N48:O49"/>
    <mergeCell ref="P48:Q49"/>
    <mergeCell ref="BJ46:BJ47"/>
    <mergeCell ref="BK46:BK47"/>
    <mergeCell ref="BZ46:BZ47"/>
    <mergeCell ref="CA46:CA47"/>
    <mergeCell ref="CB46:CB47"/>
    <mergeCell ref="CC46:CC47"/>
    <mergeCell ref="BE46:BE47"/>
    <mergeCell ref="BF46:BF47"/>
    <mergeCell ref="BQ46:BQ47"/>
    <mergeCell ref="BW46:BW47"/>
    <mergeCell ref="BU46:BU47"/>
    <mergeCell ref="BY46:BY47"/>
    <mergeCell ref="AX46:AX47"/>
    <mergeCell ref="BA46:BA47"/>
    <mergeCell ref="BB46:BB47"/>
    <mergeCell ref="BC46:BC47"/>
    <mergeCell ref="BA48:BA49"/>
    <mergeCell ref="BB48:BB49"/>
    <mergeCell ref="BC48:BC49"/>
    <mergeCell ref="AG48:AH49"/>
    <mergeCell ref="AI48:AL49"/>
    <mergeCell ref="AA48:AD49"/>
    <mergeCell ref="AE48:AF49"/>
    <mergeCell ref="BN48:BN49"/>
    <mergeCell ref="BO48:BO49"/>
    <mergeCell ref="B46:B47"/>
    <mergeCell ref="C46:I47"/>
    <mergeCell ref="J46:K47"/>
    <mergeCell ref="L46:M47"/>
    <mergeCell ref="N46:O47"/>
    <mergeCell ref="P46:Q47"/>
    <mergeCell ref="BJ44:BJ45"/>
    <mergeCell ref="BK44:BK45"/>
    <mergeCell ref="BZ44:BZ45"/>
    <mergeCell ref="CA44:CA45"/>
    <mergeCell ref="CB44:CB45"/>
    <mergeCell ref="CC44:CC45"/>
    <mergeCell ref="BE44:BE45"/>
    <mergeCell ref="BF44:BF45"/>
    <mergeCell ref="BQ44:BQ45"/>
    <mergeCell ref="BW44:BW45"/>
    <mergeCell ref="BU44:BU45"/>
    <mergeCell ref="BY44:BY45"/>
    <mergeCell ref="AX44:AX45"/>
    <mergeCell ref="BL46:BL47"/>
    <mergeCell ref="R46:S47"/>
    <mergeCell ref="BA44:BA45"/>
    <mergeCell ref="BB44:BB45"/>
    <mergeCell ref="BC44:BC45"/>
    <mergeCell ref="AG44:AH45"/>
    <mergeCell ref="AI44:AL45"/>
    <mergeCell ref="AM44:AN45"/>
    <mergeCell ref="AO44:AQ45"/>
    <mergeCell ref="BH46:BH47"/>
    <mergeCell ref="BI46:BI47"/>
    <mergeCell ref="BR46:BR47"/>
    <mergeCell ref="BT46:BT47"/>
    <mergeCell ref="BV46:BV47"/>
    <mergeCell ref="V44:W45"/>
    <mergeCell ref="X44:Z45"/>
    <mergeCell ref="AA44:AD45"/>
    <mergeCell ref="AE44:AF45"/>
    <mergeCell ref="AG46:AH47"/>
    <mergeCell ref="AI46:AL47"/>
    <mergeCell ref="AM46:AN47"/>
    <mergeCell ref="AO46:AQ47"/>
    <mergeCell ref="AR46:AU47"/>
    <mergeCell ref="T46:U47"/>
    <mergeCell ref="V46:W47"/>
    <mergeCell ref="X46:Z47"/>
    <mergeCell ref="AA46:AD47"/>
    <mergeCell ref="AE46:AF47"/>
    <mergeCell ref="BN44:BN45"/>
    <mergeCell ref="BO44:BO45"/>
    <mergeCell ref="BN46:BN47"/>
    <mergeCell ref="BO46:BO47"/>
    <mergeCell ref="BM44:BM45"/>
    <mergeCell ref="BD46:BD47"/>
    <mergeCell ref="AY46:AY47"/>
    <mergeCell ref="AZ46:AZ47"/>
    <mergeCell ref="BG46:BG47"/>
    <mergeCell ref="AY44:AY45"/>
    <mergeCell ref="AZ44:AZ45"/>
    <mergeCell ref="BG44:BG45"/>
    <mergeCell ref="BH44:BH45"/>
    <mergeCell ref="BI44:BI45"/>
    <mergeCell ref="B44:B45"/>
    <mergeCell ref="C44:I45"/>
    <mergeCell ref="J44:K45"/>
    <mergeCell ref="L44:M45"/>
    <mergeCell ref="N44:O45"/>
    <mergeCell ref="P44:Q45"/>
    <mergeCell ref="BJ42:BJ43"/>
    <mergeCell ref="BK42:BK43"/>
    <mergeCell ref="BZ42:BZ43"/>
    <mergeCell ref="CA42:CA43"/>
    <mergeCell ref="CB42:CB43"/>
    <mergeCell ref="CC42:CC43"/>
    <mergeCell ref="BE42:BE43"/>
    <mergeCell ref="BF42:BF43"/>
    <mergeCell ref="BQ42:BQ43"/>
    <mergeCell ref="BW42:BW43"/>
    <mergeCell ref="BU42:BU43"/>
    <mergeCell ref="BY42:BY43"/>
    <mergeCell ref="AX42:AX43"/>
    <mergeCell ref="BD44:BD45"/>
    <mergeCell ref="AM42:AN43"/>
    <mergeCell ref="AO42:AQ43"/>
    <mergeCell ref="AR42:AU43"/>
    <mergeCell ref="BL42:BL43"/>
    <mergeCell ref="R42:S43"/>
    <mergeCell ref="T42:U43"/>
    <mergeCell ref="V42:W43"/>
    <mergeCell ref="X42:Z43"/>
    <mergeCell ref="AR44:AU45"/>
    <mergeCell ref="BL44:BL45"/>
    <mergeCell ref="R44:S45"/>
    <mergeCell ref="T44:U45"/>
    <mergeCell ref="B42:B43"/>
    <mergeCell ref="C42:I43"/>
    <mergeCell ref="J42:K43"/>
    <mergeCell ref="L42:M43"/>
    <mergeCell ref="N42:O43"/>
    <mergeCell ref="P42:Q43"/>
    <mergeCell ref="BJ40:BJ41"/>
    <mergeCell ref="BK40:BK41"/>
    <mergeCell ref="BZ40:BZ41"/>
    <mergeCell ref="CA40:CA41"/>
    <mergeCell ref="CB40:CB41"/>
    <mergeCell ref="CC40:CC41"/>
    <mergeCell ref="BE40:BE41"/>
    <mergeCell ref="BF40:BF41"/>
    <mergeCell ref="BQ40:BQ41"/>
    <mergeCell ref="BW40:BW41"/>
    <mergeCell ref="BU40:BU41"/>
    <mergeCell ref="BY40:BY41"/>
    <mergeCell ref="AX40:AX41"/>
    <mergeCell ref="BA40:BA41"/>
    <mergeCell ref="BB40:BB41"/>
    <mergeCell ref="BC40:BC41"/>
    <mergeCell ref="BA42:BA43"/>
    <mergeCell ref="BB42:BB43"/>
    <mergeCell ref="BC42:BC43"/>
    <mergeCell ref="AG42:AH43"/>
    <mergeCell ref="AI42:AL43"/>
    <mergeCell ref="AA42:AD43"/>
    <mergeCell ref="AE42:AF43"/>
    <mergeCell ref="BN42:BN43"/>
    <mergeCell ref="BO42:BO43"/>
    <mergeCell ref="B40:B41"/>
    <mergeCell ref="C40:I41"/>
    <mergeCell ref="J40:K41"/>
    <mergeCell ref="L40:M41"/>
    <mergeCell ref="N40:O41"/>
    <mergeCell ref="P40:Q41"/>
    <mergeCell ref="BJ38:BJ39"/>
    <mergeCell ref="BK38:BK39"/>
    <mergeCell ref="BZ38:BZ39"/>
    <mergeCell ref="CA38:CA39"/>
    <mergeCell ref="CB38:CB39"/>
    <mergeCell ref="CC38:CC39"/>
    <mergeCell ref="BE38:BE39"/>
    <mergeCell ref="BF38:BF39"/>
    <mergeCell ref="BQ38:BQ39"/>
    <mergeCell ref="BW38:BW39"/>
    <mergeCell ref="BU38:BU39"/>
    <mergeCell ref="BY38:BY39"/>
    <mergeCell ref="AX38:AX39"/>
    <mergeCell ref="BL40:BL41"/>
    <mergeCell ref="R40:S41"/>
    <mergeCell ref="BA38:BA39"/>
    <mergeCell ref="BB38:BB39"/>
    <mergeCell ref="BC38:BC39"/>
    <mergeCell ref="AG38:AH39"/>
    <mergeCell ref="AI38:AL39"/>
    <mergeCell ref="AM38:AN39"/>
    <mergeCell ref="AO38:AQ39"/>
    <mergeCell ref="BH40:BH41"/>
    <mergeCell ref="BI40:BI41"/>
    <mergeCell ref="BR40:BR41"/>
    <mergeCell ref="BT40:BT41"/>
    <mergeCell ref="BV40:BV41"/>
    <mergeCell ref="V38:W39"/>
    <mergeCell ref="X38:Z39"/>
    <mergeCell ref="AA38:AD39"/>
    <mergeCell ref="AE38:AF39"/>
    <mergeCell ref="AG40:AH41"/>
    <mergeCell ref="AI40:AL41"/>
    <mergeCell ref="AM40:AN41"/>
    <mergeCell ref="AO40:AQ41"/>
    <mergeCell ref="AR40:AU41"/>
    <mergeCell ref="T40:U41"/>
    <mergeCell ref="V40:W41"/>
    <mergeCell ref="X40:Z41"/>
    <mergeCell ref="AA40:AD41"/>
    <mergeCell ref="AE40:AF41"/>
    <mergeCell ref="BN38:BN39"/>
    <mergeCell ref="BO38:BO39"/>
    <mergeCell ref="BN40:BN41"/>
    <mergeCell ref="BO40:BO41"/>
    <mergeCell ref="BM38:BM39"/>
    <mergeCell ref="BD40:BD41"/>
    <mergeCell ref="AY40:AY41"/>
    <mergeCell ref="AZ40:AZ41"/>
    <mergeCell ref="BG40:BG41"/>
    <mergeCell ref="AY38:AY39"/>
    <mergeCell ref="AZ38:AZ39"/>
    <mergeCell ref="BG38:BG39"/>
    <mergeCell ref="BH38:BH39"/>
    <mergeCell ref="BI38:BI39"/>
    <mergeCell ref="B38:B39"/>
    <mergeCell ref="C38:I39"/>
    <mergeCell ref="J38:K39"/>
    <mergeCell ref="L38:M39"/>
    <mergeCell ref="N38:O39"/>
    <mergeCell ref="P38:Q39"/>
    <mergeCell ref="BJ36:BJ37"/>
    <mergeCell ref="BK36:BK37"/>
    <mergeCell ref="BZ36:BZ37"/>
    <mergeCell ref="CA36:CA37"/>
    <mergeCell ref="CB36:CB37"/>
    <mergeCell ref="CC36:CC37"/>
    <mergeCell ref="BE36:BE37"/>
    <mergeCell ref="BF36:BF37"/>
    <mergeCell ref="BQ36:BQ37"/>
    <mergeCell ref="BW36:BW37"/>
    <mergeCell ref="BU36:BU37"/>
    <mergeCell ref="BY36:BY37"/>
    <mergeCell ref="AX36:AX37"/>
    <mergeCell ref="BD38:BD39"/>
    <mergeCell ref="AM36:AN37"/>
    <mergeCell ref="AO36:AQ37"/>
    <mergeCell ref="AR36:AU37"/>
    <mergeCell ref="BL36:BL37"/>
    <mergeCell ref="R36:S37"/>
    <mergeCell ref="T36:U37"/>
    <mergeCell ref="V36:W37"/>
    <mergeCell ref="X36:Z37"/>
    <mergeCell ref="AR38:AU39"/>
    <mergeCell ref="BL38:BL39"/>
    <mergeCell ref="R38:S39"/>
    <mergeCell ref="T38:U39"/>
    <mergeCell ref="BZ34:BZ35"/>
    <mergeCell ref="CA34:CA35"/>
    <mergeCell ref="CB34:CB35"/>
    <mergeCell ref="CC34:CC35"/>
    <mergeCell ref="BE34:BE35"/>
    <mergeCell ref="BF34:BF35"/>
    <mergeCell ref="BQ34:BQ35"/>
    <mergeCell ref="BW34:BW35"/>
    <mergeCell ref="BU34:BU35"/>
    <mergeCell ref="BY34:BY35"/>
    <mergeCell ref="AX34:AX35"/>
    <mergeCell ref="BA34:BA35"/>
    <mergeCell ref="BB34:BB35"/>
    <mergeCell ref="BC34:BC35"/>
    <mergeCell ref="BA36:BA37"/>
    <mergeCell ref="BB36:BB37"/>
    <mergeCell ref="BC36:BC37"/>
    <mergeCell ref="BN36:BN37"/>
    <mergeCell ref="BO36:BO37"/>
    <mergeCell ref="BR34:BR35"/>
    <mergeCell ref="BT34:BT35"/>
    <mergeCell ref="BV34:BV35"/>
    <mergeCell ref="BX34:BX35"/>
    <mergeCell ref="BP34:BP35"/>
    <mergeCell ref="BS34:BS35"/>
    <mergeCell ref="AY36:AY37"/>
    <mergeCell ref="AZ36:AZ37"/>
    <mergeCell ref="BG36:BG37"/>
    <mergeCell ref="BH36:BH37"/>
    <mergeCell ref="BI36:BI37"/>
    <mergeCell ref="BR36:BR37"/>
    <mergeCell ref="BT36:BT37"/>
    <mergeCell ref="AE32:AF33"/>
    <mergeCell ref="AG34:AH35"/>
    <mergeCell ref="B36:B37"/>
    <mergeCell ref="C36:I37"/>
    <mergeCell ref="J36:K37"/>
    <mergeCell ref="L36:M37"/>
    <mergeCell ref="N36:O37"/>
    <mergeCell ref="P36:Q37"/>
    <mergeCell ref="AG36:AH37"/>
    <mergeCell ref="AI36:AL37"/>
    <mergeCell ref="AA36:AD37"/>
    <mergeCell ref="AE36:AF37"/>
    <mergeCell ref="B34:B35"/>
    <mergeCell ref="AI34:AL35"/>
    <mergeCell ref="AM34:AN35"/>
    <mergeCell ref="AO34:AQ35"/>
    <mergeCell ref="AR34:AU35"/>
    <mergeCell ref="T34:U35"/>
    <mergeCell ref="V34:W35"/>
    <mergeCell ref="X34:Z35"/>
    <mergeCell ref="AA34:AD35"/>
    <mergeCell ref="AE34:AF35"/>
    <mergeCell ref="BN32:BN33"/>
    <mergeCell ref="BO32:BO33"/>
    <mergeCell ref="BN34:BN35"/>
    <mergeCell ref="BO34:BO35"/>
    <mergeCell ref="BM32:BM33"/>
    <mergeCell ref="BD34:BD35"/>
    <mergeCell ref="B32:B33"/>
    <mergeCell ref="C32:I33"/>
    <mergeCell ref="J32:K33"/>
    <mergeCell ref="L32:M33"/>
    <mergeCell ref="N32:O33"/>
    <mergeCell ref="P32:Q33"/>
    <mergeCell ref="AY34:AY35"/>
    <mergeCell ref="AZ34:AZ35"/>
    <mergeCell ref="BG34:BG35"/>
    <mergeCell ref="BH34:BH35"/>
    <mergeCell ref="BI34:BI35"/>
    <mergeCell ref="C34:I35"/>
    <mergeCell ref="J34:K35"/>
    <mergeCell ref="L34:M35"/>
    <mergeCell ref="N34:O35"/>
    <mergeCell ref="P34:Q35"/>
    <mergeCell ref="BJ32:BJ33"/>
    <mergeCell ref="BM34:BM35"/>
    <mergeCell ref="R34:S35"/>
    <mergeCell ref="BA32:BA33"/>
    <mergeCell ref="BB32:BB33"/>
    <mergeCell ref="BC32:BC33"/>
    <mergeCell ref="AG32:AH33"/>
    <mergeCell ref="AI32:AL33"/>
    <mergeCell ref="AM32:AN33"/>
    <mergeCell ref="AR32:AU33"/>
    <mergeCell ref="CA30:CA31"/>
    <mergeCell ref="CB30:CB31"/>
    <mergeCell ref="CC30:CC31"/>
    <mergeCell ref="BE30:BE31"/>
    <mergeCell ref="BF30:BF31"/>
    <mergeCell ref="BQ30:BQ31"/>
    <mergeCell ref="BW30:BW31"/>
    <mergeCell ref="BU30:BU31"/>
    <mergeCell ref="BY30:BY31"/>
    <mergeCell ref="AX30:AX31"/>
    <mergeCell ref="BD32:BD33"/>
    <mergeCell ref="AM30:AN31"/>
    <mergeCell ref="AO30:AQ31"/>
    <mergeCell ref="AR30:AU31"/>
    <mergeCell ref="BL30:BL31"/>
    <mergeCell ref="BV32:BV33"/>
    <mergeCell ref="BX32:BX33"/>
    <mergeCell ref="BK32:BK33"/>
    <mergeCell ref="BZ32:BZ33"/>
    <mergeCell ref="CA32:CA33"/>
    <mergeCell ref="CB32:CB33"/>
    <mergeCell ref="CC32:CC33"/>
    <mergeCell ref="BE32:BE33"/>
    <mergeCell ref="BF32:BF33"/>
    <mergeCell ref="BQ32:BQ33"/>
    <mergeCell ref="BW32:BW33"/>
    <mergeCell ref="BU32:BU33"/>
    <mergeCell ref="BY32:BY33"/>
    <mergeCell ref="AX32:AX33"/>
    <mergeCell ref="BP32:BP33"/>
    <mergeCell ref="BS32:BS33"/>
    <mergeCell ref="AO32:AQ33"/>
    <mergeCell ref="BL32:BL33"/>
    <mergeCell ref="R32:S33"/>
    <mergeCell ref="T32:U33"/>
    <mergeCell ref="B30:B31"/>
    <mergeCell ref="C30:I31"/>
    <mergeCell ref="J30:K31"/>
    <mergeCell ref="L30:M31"/>
    <mergeCell ref="N30:O31"/>
    <mergeCell ref="P30:Q31"/>
    <mergeCell ref="BJ28:BJ29"/>
    <mergeCell ref="BK28:BK29"/>
    <mergeCell ref="BZ28:BZ29"/>
    <mergeCell ref="AA30:AD31"/>
    <mergeCell ref="AE30:AF31"/>
    <mergeCell ref="B28:B29"/>
    <mergeCell ref="C28:I29"/>
    <mergeCell ref="J28:K29"/>
    <mergeCell ref="L28:M29"/>
    <mergeCell ref="N28:O29"/>
    <mergeCell ref="P28:Q29"/>
    <mergeCell ref="AY32:AY33"/>
    <mergeCell ref="AZ32:AZ33"/>
    <mergeCell ref="BG32:BG33"/>
    <mergeCell ref="BH32:BH33"/>
    <mergeCell ref="BI32:BI33"/>
    <mergeCell ref="BR32:BR33"/>
    <mergeCell ref="BT32:BT33"/>
    <mergeCell ref="BZ30:BZ31"/>
    <mergeCell ref="V32:W33"/>
    <mergeCell ref="X32:Z33"/>
    <mergeCell ref="AA32:AD33"/>
    <mergeCell ref="AG30:AH31"/>
    <mergeCell ref="AI30:AL31"/>
    <mergeCell ref="BN30:BN31"/>
    <mergeCell ref="BO30:BO31"/>
    <mergeCell ref="AY30:AY31"/>
    <mergeCell ref="AZ30:AZ31"/>
    <mergeCell ref="BG30:BG31"/>
    <mergeCell ref="BH30:BH31"/>
    <mergeCell ref="BI30:BI31"/>
    <mergeCell ref="BJ30:BJ31"/>
    <mergeCell ref="BK30:BK31"/>
    <mergeCell ref="AG28:AH29"/>
    <mergeCell ref="AI28:AL29"/>
    <mergeCell ref="AM28:AN29"/>
    <mergeCell ref="AO28:AQ29"/>
    <mergeCell ref="AR28:AU29"/>
    <mergeCell ref="R30:S31"/>
    <mergeCell ref="T30:U31"/>
    <mergeCell ref="V30:W31"/>
    <mergeCell ref="X30:Z31"/>
    <mergeCell ref="T28:U29"/>
    <mergeCell ref="V28:W29"/>
    <mergeCell ref="X28:Z29"/>
    <mergeCell ref="AA28:AD29"/>
    <mergeCell ref="AE28:AF29"/>
    <mergeCell ref="AY28:AY29"/>
    <mergeCell ref="AZ28:AZ29"/>
    <mergeCell ref="BG28:BG29"/>
    <mergeCell ref="BH28:BH29"/>
    <mergeCell ref="BI28:BI29"/>
    <mergeCell ref="CC26:CC27"/>
    <mergeCell ref="BE26:BE27"/>
    <mergeCell ref="BF26:BF27"/>
    <mergeCell ref="BQ26:BQ27"/>
    <mergeCell ref="BW26:BW27"/>
    <mergeCell ref="BU26:BU27"/>
    <mergeCell ref="BY26:BY27"/>
    <mergeCell ref="AX26:AX27"/>
    <mergeCell ref="BL28:BL29"/>
    <mergeCell ref="R28:S29"/>
    <mergeCell ref="BB26:BB27"/>
    <mergeCell ref="BC26:BC27"/>
    <mergeCell ref="AG26:AH27"/>
    <mergeCell ref="AI26:AL27"/>
    <mergeCell ref="AM26:AN27"/>
    <mergeCell ref="AO26:AQ27"/>
    <mergeCell ref="BT28:BT29"/>
    <mergeCell ref="BV28:BV29"/>
    <mergeCell ref="BX28:BX29"/>
    <mergeCell ref="BP28:BP29"/>
    <mergeCell ref="BS28:BS29"/>
    <mergeCell ref="AR26:AU27"/>
    <mergeCell ref="BL26:BL27"/>
    <mergeCell ref="R26:S27"/>
    <mergeCell ref="T26:U27"/>
    <mergeCell ref="V26:W27"/>
    <mergeCell ref="X26:Z27"/>
    <mergeCell ref="CA28:CA29"/>
    <mergeCell ref="CB28:CB29"/>
    <mergeCell ref="CC28:CC29"/>
    <mergeCell ref="BY28:BY29"/>
    <mergeCell ref="AX28:AX29"/>
    <mergeCell ref="B26:B27"/>
    <mergeCell ref="C26:I27"/>
    <mergeCell ref="J26:K27"/>
    <mergeCell ref="L26:M27"/>
    <mergeCell ref="N26:O27"/>
    <mergeCell ref="P26:Q27"/>
    <mergeCell ref="AA26:AD27"/>
    <mergeCell ref="AE26:AF27"/>
    <mergeCell ref="BI26:BI27"/>
    <mergeCell ref="BA28:BA29"/>
    <mergeCell ref="BB28:BB29"/>
    <mergeCell ref="BC28:BC29"/>
    <mergeCell ref="BZ24:BZ25"/>
    <mergeCell ref="AA24:AD25"/>
    <mergeCell ref="AE24:AF25"/>
    <mergeCell ref="B24:B25"/>
    <mergeCell ref="C24:I25"/>
    <mergeCell ref="J24:K25"/>
    <mergeCell ref="L24:M25"/>
    <mergeCell ref="N24:O25"/>
    <mergeCell ref="P24:Q25"/>
    <mergeCell ref="V24:W25"/>
    <mergeCell ref="R24:S25"/>
    <mergeCell ref="BT26:BT27"/>
    <mergeCell ref="BV26:BV27"/>
    <mergeCell ref="BX26:BX27"/>
    <mergeCell ref="BS24:BS25"/>
    <mergeCell ref="CA24:CA25"/>
    <mergeCell ref="CB24:CB25"/>
    <mergeCell ref="CC24:CC25"/>
    <mergeCell ref="BE24:BE25"/>
    <mergeCell ref="BF24:BF25"/>
    <mergeCell ref="BQ24:BQ25"/>
    <mergeCell ref="BW24:BW25"/>
    <mergeCell ref="BU24:BU25"/>
    <mergeCell ref="BY24:BY25"/>
    <mergeCell ref="AX24:AX25"/>
    <mergeCell ref="BD26:BD27"/>
    <mergeCell ref="BC24:BC25"/>
    <mergeCell ref="AG24:AH25"/>
    <mergeCell ref="AI24:AL25"/>
    <mergeCell ref="AM24:AN25"/>
    <mergeCell ref="AO24:AQ25"/>
    <mergeCell ref="AR24:AU25"/>
    <mergeCell ref="BL24:BL25"/>
    <mergeCell ref="BN26:BN27"/>
    <mergeCell ref="BO26:BO27"/>
    <mergeCell ref="BZ26:BZ27"/>
    <mergeCell ref="BR24:BR25"/>
    <mergeCell ref="BT24:BT25"/>
    <mergeCell ref="BV24:BV25"/>
    <mergeCell ref="BX24:BX25"/>
    <mergeCell ref="AY26:AY27"/>
    <mergeCell ref="AZ26:AZ27"/>
    <mergeCell ref="BG26:BG27"/>
    <mergeCell ref="BH26:BH27"/>
    <mergeCell ref="CA26:CA27"/>
    <mergeCell ref="CB26:CB27"/>
    <mergeCell ref="BR26:BR27"/>
    <mergeCell ref="R22:S23"/>
    <mergeCell ref="T22:U23"/>
    <mergeCell ref="V22:W23"/>
    <mergeCell ref="X22:Z23"/>
    <mergeCell ref="AA22:AD23"/>
    <mergeCell ref="AE22:AF23"/>
    <mergeCell ref="BN22:BN23"/>
    <mergeCell ref="BO22:BO23"/>
    <mergeCell ref="BN24:BN25"/>
    <mergeCell ref="BO24:BO25"/>
    <mergeCell ref="BD24:BD25"/>
    <mergeCell ref="BM24:BM25"/>
    <mergeCell ref="X24:Z25"/>
    <mergeCell ref="AY22:AY23"/>
    <mergeCell ref="AZ22:AZ23"/>
    <mergeCell ref="BG22:BG23"/>
    <mergeCell ref="BH22:BH23"/>
    <mergeCell ref="BI22:BI23"/>
    <mergeCell ref="AY24:AY25"/>
    <mergeCell ref="AZ24:AZ25"/>
    <mergeCell ref="BG24:BG25"/>
    <mergeCell ref="BH24:BH25"/>
    <mergeCell ref="BI24:BI25"/>
    <mergeCell ref="BJ24:BJ25"/>
    <mergeCell ref="BK24:BK25"/>
    <mergeCell ref="BJ22:BJ23"/>
    <mergeCell ref="BK22:BK23"/>
    <mergeCell ref="BA24:BA25"/>
    <mergeCell ref="BB24:BB25"/>
    <mergeCell ref="T24:U25"/>
    <mergeCell ref="BZ22:BZ23"/>
    <mergeCell ref="CA22:CA23"/>
    <mergeCell ref="CB22:CB23"/>
    <mergeCell ref="CC22:CC23"/>
    <mergeCell ref="BE22:BE23"/>
    <mergeCell ref="BF22:BF23"/>
    <mergeCell ref="BQ22:BQ23"/>
    <mergeCell ref="BW22:BW23"/>
    <mergeCell ref="BU22:BU23"/>
    <mergeCell ref="BY22:BY23"/>
    <mergeCell ref="AX22:AX23"/>
    <mergeCell ref="BA22:BA23"/>
    <mergeCell ref="BB22:BB23"/>
    <mergeCell ref="BC22:BC23"/>
    <mergeCell ref="AG22:AH23"/>
    <mergeCell ref="AI22:AL23"/>
    <mergeCell ref="AM22:AN23"/>
    <mergeCell ref="AO22:AQ23"/>
    <mergeCell ref="AR22:AU23"/>
    <mergeCell ref="BP22:BP23"/>
    <mergeCell ref="BS22:BS23"/>
    <mergeCell ref="BD22:BD23"/>
    <mergeCell ref="BL22:BL23"/>
    <mergeCell ref="B22:B23"/>
    <mergeCell ref="C22:I23"/>
    <mergeCell ref="J22:K23"/>
    <mergeCell ref="L22:M23"/>
    <mergeCell ref="N22:O23"/>
    <mergeCell ref="P22:Q23"/>
    <mergeCell ref="BJ20:BJ21"/>
    <mergeCell ref="BK20:BK21"/>
    <mergeCell ref="BZ20:BZ21"/>
    <mergeCell ref="CA20:CA21"/>
    <mergeCell ref="CB20:CB21"/>
    <mergeCell ref="CC20:CC21"/>
    <mergeCell ref="BE20:BE21"/>
    <mergeCell ref="BF20:BF21"/>
    <mergeCell ref="BQ20:BQ21"/>
    <mergeCell ref="BW20:BW21"/>
    <mergeCell ref="BU20:BU21"/>
    <mergeCell ref="BY20:BY21"/>
    <mergeCell ref="AX20:AX21"/>
    <mergeCell ref="BA20:BA21"/>
    <mergeCell ref="BB20:BB21"/>
    <mergeCell ref="BC20:BC21"/>
    <mergeCell ref="AG20:AH21"/>
    <mergeCell ref="AI20:AL21"/>
    <mergeCell ref="AM20:AN21"/>
    <mergeCell ref="AO20:AQ21"/>
    <mergeCell ref="BL20:BL21"/>
    <mergeCell ref="R20:S21"/>
    <mergeCell ref="T20:U21"/>
    <mergeCell ref="V20:W21"/>
    <mergeCell ref="AA20:AD21"/>
    <mergeCell ref="AE20:AF21"/>
    <mergeCell ref="B20:B21"/>
    <mergeCell ref="C20:I21"/>
    <mergeCell ref="J20:K21"/>
    <mergeCell ref="L20:M21"/>
    <mergeCell ref="N20:O21"/>
    <mergeCell ref="P20:Q21"/>
    <mergeCell ref="BJ18:BJ19"/>
    <mergeCell ref="BK18:BK19"/>
    <mergeCell ref="BZ18:BZ19"/>
    <mergeCell ref="CA18:CA19"/>
    <mergeCell ref="CB18:CB19"/>
    <mergeCell ref="CC18:CC19"/>
    <mergeCell ref="BE18:BE19"/>
    <mergeCell ref="BF18:BF19"/>
    <mergeCell ref="BQ18:BQ19"/>
    <mergeCell ref="BW18:BW19"/>
    <mergeCell ref="BU18:BU19"/>
    <mergeCell ref="BY18:BY19"/>
    <mergeCell ref="AX18:AX19"/>
    <mergeCell ref="BD20:BD21"/>
    <mergeCell ref="BM20:BM21"/>
    <mergeCell ref="BP20:BP21"/>
    <mergeCell ref="BS20:BS21"/>
    <mergeCell ref="B18:B19"/>
    <mergeCell ref="C18:I19"/>
    <mergeCell ref="J18:K19"/>
    <mergeCell ref="L18:M19"/>
    <mergeCell ref="N18:O19"/>
    <mergeCell ref="P18:Q19"/>
    <mergeCell ref="AR20:AU21"/>
    <mergeCell ref="X20:Z21"/>
    <mergeCell ref="R18:S19"/>
    <mergeCell ref="BZ16:BZ17"/>
    <mergeCell ref="CA16:CA17"/>
    <mergeCell ref="CB16:CB17"/>
    <mergeCell ref="CC16:CC17"/>
    <mergeCell ref="BD16:BD17"/>
    <mergeCell ref="BM16:BM17"/>
    <mergeCell ref="BQ16:BQ17"/>
    <mergeCell ref="BW16:BW17"/>
    <mergeCell ref="BU16:BU17"/>
    <mergeCell ref="BY16:BY17"/>
    <mergeCell ref="BJ16:BJ17"/>
    <mergeCell ref="BD18:BD19"/>
    <mergeCell ref="BM18:BM19"/>
    <mergeCell ref="BP18:BP19"/>
    <mergeCell ref="AI16:AL17"/>
    <mergeCell ref="AM16:AN17"/>
    <mergeCell ref="AO16:AQ17"/>
    <mergeCell ref="BA18:BA19"/>
    <mergeCell ref="BB18:BB19"/>
    <mergeCell ref="BC18:BC19"/>
    <mergeCell ref="AI18:AL19"/>
    <mergeCell ref="AM18:AN19"/>
    <mergeCell ref="AO18:AQ19"/>
    <mergeCell ref="AR18:AU19"/>
    <mergeCell ref="BL18:BL19"/>
    <mergeCell ref="BA16:BA17"/>
    <mergeCell ref="BB16:BB17"/>
    <mergeCell ref="BC16:BC17"/>
    <mergeCell ref="BE16:BF16"/>
    <mergeCell ref="BN16:BN17"/>
    <mergeCell ref="BO16:BO17"/>
    <mergeCell ref="BN18:BN19"/>
    <mergeCell ref="T18:U19"/>
    <mergeCell ref="V18:W19"/>
    <mergeCell ref="X18:Z19"/>
    <mergeCell ref="AA18:AD19"/>
    <mergeCell ref="AE18:AF19"/>
    <mergeCell ref="V9:Y11"/>
    <mergeCell ref="Z9:AC11"/>
    <mergeCell ref="AD9:AG11"/>
    <mergeCell ref="BP16:BP17"/>
    <mergeCell ref="BS16:BS17"/>
    <mergeCell ref="J17:K17"/>
    <mergeCell ref="L17:M17"/>
    <mergeCell ref="N17:O17"/>
    <mergeCell ref="P17:Q17"/>
    <mergeCell ref="R17:S17"/>
    <mergeCell ref="T17:U17"/>
    <mergeCell ref="AE17:AF17"/>
    <mergeCell ref="AG17:AH17"/>
    <mergeCell ref="AG18:AH19"/>
    <mergeCell ref="AE16:AH16"/>
    <mergeCell ref="BO18:BO19"/>
    <mergeCell ref="BK16:BK17"/>
    <mergeCell ref="AX16:AX17"/>
    <mergeCell ref="BS18:BS19"/>
    <mergeCell ref="AY16:AY17"/>
    <mergeCell ref="AZ16:AZ17"/>
    <mergeCell ref="BG16:BG17"/>
    <mergeCell ref="AT1:AW3"/>
    <mergeCell ref="A4:E6"/>
    <mergeCell ref="AS5:AW6"/>
    <mergeCell ref="A7:E8"/>
    <mergeCell ref="AS7:AW7"/>
    <mergeCell ref="AS8:AW8"/>
    <mergeCell ref="F1:I3"/>
    <mergeCell ref="J1:M3"/>
    <mergeCell ref="N1:T3"/>
    <mergeCell ref="U1:AK3"/>
    <mergeCell ref="AL1:AO3"/>
    <mergeCell ref="AP1:AS3"/>
    <mergeCell ref="AR16:AU17"/>
    <mergeCell ref="BL16:BL17"/>
    <mergeCell ref="C16:I17"/>
    <mergeCell ref="J16:O16"/>
    <mergeCell ref="P16:U16"/>
    <mergeCell ref="V16:W17"/>
    <mergeCell ref="X16:Z17"/>
    <mergeCell ref="AA16:AD17"/>
    <mergeCell ref="AH9:AK11"/>
    <mergeCell ref="AL9:AO11"/>
    <mergeCell ref="T12:W13"/>
    <mergeCell ref="X12:AA13"/>
    <mergeCell ref="AB12:AE13"/>
    <mergeCell ref="AM13:AU14"/>
    <mergeCell ref="T14:W14"/>
    <mergeCell ref="X14:AA14"/>
    <mergeCell ref="AB14:AE14"/>
    <mergeCell ref="J9:M11"/>
    <mergeCell ref="N9:Q11"/>
    <mergeCell ref="R9:U11"/>
    <mergeCell ref="BN20:BN21"/>
    <mergeCell ref="BO20:BO21"/>
    <mergeCell ref="BM22:BM23"/>
    <mergeCell ref="BD30:BD31"/>
    <mergeCell ref="BR16:BR17"/>
    <mergeCell ref="BT16:BT17"/>
    <mergeCell ref="BV16:BV17"/>
    <mergeCell ref="BX16:BX17"/>
    <mergeCell ref="BH16:BH17"/>
    <mergeCell ref="BI16:BI17"/>
    <mergeCell ref="AY18:AY19"/>
    <mergeCell ref="AZ18:AZ19"/>
    <mergeCell ref="BG18:BG19"/>
    <mergeCell ref="BH18:BH19"/>
    <mergeCell ref="BI18:BI19"/>
    <mergeCell ref="BR18:BR19"/>
    <mergeCell ref="BT18:BT19"/>
    <mergeCell ref="BV18:BV19"/>
    <mergeCell ref="BX18:BX19"/>
    <mergeCell ref="AY20:AY21"/>
    <mergeCell ref="AZ20:AZ21"/>
    <mergeCell ref="BG20:BG21"/>
    <mergeCell ref="BH20:BH21"/>
    <mergeCell ref="BI20:BI21"/>
    <mergeCell ref="BR20:BR21"/>
    <mergeCell ref="BT20:BT21"/>
    <mergeCell ref="BV20:BV21"/>
    <mergeCell ref="BX20:BX21"/>
    <mergeCell ref="BR22:BR23"/>
    <mergeCell ref="BT22:BT23"/>
    <mergeCell ref="BV22:BV23"/>
    <mergeCell ref="BX22:BX23"/>
    <mergeCell ref="BR30:BR31"/>
    <mergeCell ref="BT30:BT31"/>
    <mergeCell ref="BV30:BV31"/>
    <mergeCell ref="BX30:BX31"/>
    <mergeCell ref="BP24:BP25"/>
    <mergeCell ref="BA26:BA27"/>
    <mergeCell ref="BP26:BP27"/>
    <mergeCell ref="BS26:BS27"/>
    <mergeCell ref="BD28:BD29"/>
    <mergeCell ref="BM28:BM29"/>
    <mergeCell ref="BR28:BR29"/>
    <mergeCell ref="BN28:BN29"/>
    <mergeCell ref="BO28:BO29"/>
    <mergeCell ref="BQ28:BQ29"/>
    <mergeCell ref="BW28:BW29"/>
    <mergeCell ref="BU28:BU29"/>
    <mergeCell ref="BM30:BM31"/>
    <mergeCell ref="BP30:BP31"/>
    <mergeCell ref="BS30:BS31"/>
    <mergeCell ref="BA30:BA31"/>
    <mergeCell ref="BB30:BB31"/>
    <mergeCell ref="BC30:BC31"/>
    <mergeCell ref="BM26:BM27"/>
    <mergeCell ref="BJ26:BJ27"/>
    <mergeCell ref="BK26:BK27"/>
    <mergeCell ref="BE28:BE29"/>
    <mergeCell ref="BF28:BF29"/>
    <mergeCell ref="BV36:BV37"/>
    <mergeCell ref="BX36:BX37"/>
    <mergeCell ref="BL34:BL35"/>
    <mergeCell ref="BJ34:BJ35"/>
    <mergeCell ref="BK34:BK35"/>
    <mergeCell ref="BR38:BR39"/>
    <mergeCell ref="BT38:BT39"/>
    <mergeCell ref="BV38:BV39"/>
    <mergeCell ref="BX38:BX39"/>
    <mergeCell ref="BD36:BD37"/>
    <mergeCell ref="BM36:BM37"/>
    <mergeCell ref="BP36:BP37"/>
    <mergeCell ref="BS36:BS37"/>
    <mergeCell ref="BP38:BP39"/>
    <mergeCell ref="BS38:BS39"/>
    <mergeCell ref="BX40:BX41"/>
    <mergeCell ref="AY42:AY43"/>
    <mergeCell ref="AZ42:AZ43"/>
    <mergeCell ref="BG42:BG43"/>
    <mergeCell ref="BH42:BH43"/>
    <mergeCell ref="BI42:BI43"/>
    <mergeCell ref="BR42:BR43"/>
    <mergeCell ref="BT42:BT43"/>
    <mergeCell ref="BV42:BV43"/>
    <mergeCell ref="BX42:BX43"/>
    <mergeCell ref="BR44:BR45"/>
    <mergeCell ref="BT44:BT45"/>
    <mergeCell ref="BV44:BV45"/>
    <mergeCell ref="BX44:BX45"/>
    <mergeCell ref="BM40:BM41"/>
    <mergeCell ref="BP40:BP41"/>
    <mergeCell ref="BS40:BS41"/>
    <mergeCell ref="BD42:BD43"/>
    <mergeCell ref="BM42:BM43"/>
    <mergeCell ref="BP42:BP43"/>
    <mergeCell ref="BS42:BS43"/>
    <mergeCell ref="BP44:BP45"/>
    <mergeCell ref="BS44:BS45"/>
    <mergeCell ref="BX46:BX47"/>
    <mergeCell ref="AY48:AY49"/>
    <mergeCell ref="AZ48:AZ49"/>
    <mergeCell ref="BG48:BG49"/>
    <mergeCell ref="BH48:BH49"/>
    <mergeCell ref="BI48:BI49"/>
    <mergeCell ref="BR48:BR49"/>
    <mergeCell ref="BT48:BT49"/>
    <mergeCell ref="BV48:BV49"/>
    <mergeCell ref="BX48:BX49"/>
    <mergeCell ref="BR50:BR51"/>
    <mergeCell ref="BT50:BT51"/>
    <mergeCell ref="BV50:BV51"/>
    <mergeCell ref="BX50:BX51"/>
    <mergeCell ref="BM46:BM47"/>
    <mergeCell ref="BP46:BP47"/>
    <mergeCell ref="BS46:BS47"/>
    <mergeCell ref="BD48:BD49"/>
    <mergeCell ref="BM48:BM49"/>
    <mergeCell ref="BP48:BP49"/>
    <mergeCell ref="BS48:BS49"/>
    <mergeCell ref="BP50:BP51"/>
    <mergeCell ref="BS50:BS51"/>
    <mergeCell ref="BX52:BX53"/>
    <mergeCell ref="AY54:AY55"/>
    <mergeCell ref="AZ54:AZ55"/>
    <mergeCell ref="BG54:BG55"/>
    <mergeCell ref="BH54:BH55"/>
    <mergeCell ref="BI54:BI55"/>
    <mergeCell ref="BR54:BR55"/>
    <mergeCell ref="BT54:BT55"/>
    <mergeCell ref="BV54:BV55"/>
    <mergeCell ref="BX54:BX55"/>
    <mergeCell ref="BV56:BV57"/>
    <mergeCell ref="BX56:BX57"/>
    <mergeCell ref="BM52:BM53"/>
    <mergeCell ref="BP52:BP53"/>
    <mergeCell ref="BS52:BS53"/>
    <mergeCell ref="BD54:BD55"/>
    <mergeCell ref="BM54:BM55"/>
    <mergeCell ref="BP54:BP55"/>
    <mergeCell ref="BS54:BS55"/>
    <mergeCell ref="BP56:BP57"/>
    <mergeCell ref="BS56:BS57"/>
    <mergeCell ref="BX58:BX59"/>
    <mergeCell ref="AY60:AY61"/>
    <mergeCell ref="AZ60:AZ61"/>
    <mergeCell ref="BG60:BG61"/>
    <mergeCell ref="BH60:BH61"/>
    <mergeCell ref="BI60:BI61"/>
    <mergeCell ref="BR60:BR61"/>
    <mergeCell ref="BT60:BT61"/>
    <mergeCell ref="BV60:BV61"/>
    <mergeCell ref="BX60:BX61"/>
    <mergeCell ref="BM58:BM59"/>
    <mergeCell ref="BP58:BP59"/>
    <mergeCell ref="BS58:BS59"/>
    <mergeCell ref="BD60:BD61"/>
    <mergeCell ref="BM60:BM61"/>
    <mergeCell ref="BP60:BP61"/>
    <mergeCell ref="BS60:BS61"/>
    <mergeCell ref="BI58:BI59"/>
    <mergeCell ref="BR58:BR59"/>
    <mergeCell ref="BT58:BT59"/>
    <mergeCell ref="BV58:BV59"/>
    <mergeCell ref="BV68:BV69"/>
    <mergeCell ref="BX68:BX69"/>
    <mergeCell ref="BN66:BN67"/>
    <mergeCell ref="BO66:BO67"/>
    <mergeCell ref="BN68:BN69"/>
    <mergeCell ref="BO68:BO69"/>
    <mergeCell ref="BD66:BD67"/>
    <mergeCell ref="BM66:BM67"/>
    <mergeCell ref="BP66:BP67"/>
    <mergeCell ref="BS66:BS67"/>
    <mergeCell ref="AY72:AY73"/>
    <mergeCell ref="AZ72:AZ73"/>
    <mergeCell ref="BG72:BG73"/>
    <mergeCell ref="BH72:BH73"/>
    <mergeCell ref="BI72:BI73"/>
    <mergeCell ref="BR72:BR73"/>
    <mergeCell ref="BT72:BT73"/>
    <mergeCell ref="BV72:BV73"/>
    <mergeCell ref="BX72:BX73"/>
    <mergeCell ref="BM68:BM69"/>
    <mergeCell ref="BP68:BP69"/>
    <mergeCell ref="BS68:BS69"/>
    <mergeCell ref="BD70:BD71"/>
    <mergeCell ref="AY70:AY71"/>
    <mergeCell ref="AZ70:AZ71"/>
    <mergeCell ref="BG70:BG71"/>
    <mergeCell ref="BH70:BH71"/>
    <mergeCell ref="BI70:BI71"/>
    <mergeCell ref="BR70:BR71"/>
    <mergeCell ref="BX70:BX71"/>
    <mergeCell ref="BM70:BM71"/>
    <mergeCell ref="BJ70:BJ71"/>
    <mergeCell ref="BT74:BT75"/>
    <mergeCell ref="BV74:BV75"/>
    <mergeCell ref="BX74:BX75"/>
    <mergeCell ref="BD72:BD73"/>
    <mergeCell ref="BM72:BM73"/>
    <mergeCell ref="BP72:BP73"/>
    <mergeCell ref="BS72:BS73"/>
    <mergeCell ref="BR84:BR85"/>
    <mergeCell ref="BT84:BT85"/>
    <mergeCell ref="BV84:BV85"/>
    <mergeCell ref="BX84:BX85"/>
    <mergeCell ref="AY86:AY87"/>
    <mergeCell ref="AZ86:AZ87"/>
    <mergeCell ref="BG86:BG87"/>
    <mergeCell ref="BH86:BH87"/>
    <mergeCell ref="BI86:BI87"/>
    <mergeCell ref="BR86:BR87"/>
    <mergeCell ref="BT86:BT87"/>
    <mergeCell ref="BV86:BV87"/>
    <mergeCell ref="BX86:BX87"/>
    <mergeCell ref="AY78:AY79"/>
    <mergeCell ref="AZ78:AZ79"/>
    <mergeCell ref="BG78:BG79"/>
    <mergeCell ref="BH78:BH79"/>
    <mergeCell ref="BI78:BI79"/>
    <mergeCell ref="BR78:BR79"/>
    <mergeCell ref="BT78:BT79"/>
    <mergeCell ref="BV78:BV79"/>
    <mergeCell ref="BX78:BX79"/>
    <mergeCell ref="AY80:AY81"/>
    <mergeCell ref="AZ80:AZ81"/>
    <mergeCell ref="BG80:BG81"/>
  </mergeCells>
  <conditionalFormatting sqref="L18:O87 R18:U87">
    <cfRule type="expression" dxfId="54" priority="7">
      <formula>IF($J18="IPLV",TRUE,FALSE)</formula>
    </cfRule>
  </conditionalFormatting>
  <conditionalFormatting sqref="N18:O87 T18:W87 AA18:AH87">
    <cfRule type="expression" dxfId="53" priority="6">
      <formula>AND(ISBLANK($C18)=FALSE,OR(ISBLANK(N18)=TRUE,N18=""))</formula>
    </cfRule>
  </conditionalFormatting>
  <conditionalFormatting sqref="AM18:AN87">
    <cfRule type="expression" dxfId="52" priority="5">
      <formula>AM18 &lt;&gt; INDEX(STDHVACINC, MATCH(C18, STDHVACLIST,0))</formula>
    </cfRule>
  </conditionalFormatting>
  <conditionalFormatting sqref="AR18:AU87">
    <cfRule type="expression" dxfId="51" priority="1961" stopIfTrue="1">
      <formula>ISNUMBER($AR18)=FALSE</formula>
    </cfRule>
    <cfRule type="expression" dxfId="50" priority="1962">
      <formula>$AR18 &lt;&gt; $BQ18</formula>
    </cfRule>
  </conditionalFormatting>
  <conditionalFormatting sqref="AS8:AW8">
    <cfRule type="expression" dxfId="49" priority="14">
      <formula>IF($AS$8=PROJSTATMEASURE,FALSE,TRUE)</formula>
    </cfRule>
  </conditionalFormatting>
  <conditionalFormatting sqref="CA18:CB87">
    <cfRule type="expression" dxfId="48" priority="1958">
      <formula>IF(OR($BZ18="EER",$BZ18="SEER",$BZ18="IEER",$BZ18="COP",$BZ18="HSPF"),TRUE,FALSE)</formula>
    </cfRule>
    <cfRule type="expression" dxfId="47" priority="1959">
      <formula>IF(AND($BZ18&lt;&gt;"",CA18=""),TRUE,FALSE)</formula>
    </cfRule>
  </conditionalFormatting>
  <conditionalFormatting sqref="CC18:CC87">
    <cfRule type="expression" dxfId="46" priority="1960">
      <formula>IF(AND($AO18&gt;0,$CC18="",OR(ISNUMBER(SEARCH("PTHP",$C18)),ISNUMBER(SEARCH("ASHP",$C18)),ISNUMBER(SEARCH("VRF",$C18)))),TRUE,FALSE)</formula>
    </cfRule>
  </conditionalFormatting>
  <dataValidations count="13">
    <dataValidation type="decimal" allowBlank="1" showInputMessage="1" showErrorMessage="1" promptTitle="Incremental Cost" prompt="This is the difference between the actual cost of installed Labor and the cost of the hypothetical baseline." sqref="AG18:AH87" xr:uid="{F1BD83AD-BAD1-4DC2-A63E-F7B0ED3AEA6B}">
      <formula1>0</formula1>
      <formula2>999999</formula2>
    </dataValidation>
    <dataValidation type="decimal" allowBlank="1" showInputMessage="1" showErrorMessage="1" promptTitle="Incremental Cost" prompt="This is the difference between actual cost of installed Equipment and the cost of the hypothetical baseline." sqref="AE18:AF87" xr:uid="{112CB71A-980B-4082-9FE9-74B4180E0AAD}">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87" xr:uid="{F0E976F3-F641-4BEB-B202-C1C14AC4A960}">
      <formula1>INDEX(STDHVACTONMIN,MATCH(C18,STDHVACMEASURES,0))</formula1>
      <formula2>INDEX(STDHVACTONMAX,MATCH(C18,STDHVACMEASURES,0))</formula2>
    </dataValidation>
    <dataValidation allowBlank="1" showInputMessage="1" showErrorMessage="1" prompt="Enter the Brand and Model # as it appears in technical documents and invoices." sqref="X18:Z87" xr:uid="{B4BDA2AE-5B3F-4DC2-B857-C8D42168CF73}"/>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 sqref="T18:U87" xr:uid="{BB0817C8-D751-45F2-909D-29F250AA8DFE}">
      <formula1>0</formula1>
    </dataValidation>
    <dataValidation type="decimal"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 sqref="N18:O87" xr:uid="{938CC6E5-CC49-4F86-BD50-DE757269F7E1}">
      <formula1>0</formula1>
    </dataValidation>
    <dataValidation type="list" allowBlank="1" showInputMessage="1" showErrorMessage="1" prompt="Select Efficient Measure. If you do not see your equipment listed, it may qualify as a Custom Measure." sqref="E18:E19 E22:E87" xr:uid="{9235CB05-4754-46BD-8E5F-E387D6A17C38}">
      <formula1>IF( AND(P18="", V18="", X18="", BD18="", BM18=""), STDHVACLIST, "")</formula1>
    </dataValidation>
    <dataValidation type="list" allowBlank="1" showInputMessage="1" showErrorMessage="1" prompt="Select Efficient Measure. If you do not see your equipment listed, it may qualify as a Custom Measure." sqref="F18:F19 F22:F87" xr:uid="{70591DDD-FD2E-4BE5-AFED-BB975BD8EBBB}">
      <formula1>IF( AND(Q18="", W18="", Y18="", BM18="", BP18=""), STDHVACLIST, "")</formula1>
    </dataValidation>
    <dataValidation type="list" allowBlank="1" showInputMessage="1" showErrorMessage="1" prompt="Select Efficient Measure. If you do not see your equipment listed, it may qualify as a Custom Measure." sqref="G18:G19 G22:G87" xr:uid="{CCD2A084-FDA9-4F88-A24E-87A9ADD0932D}">
      <formula1>IF( AND(R18="", X18="", Z18="", BP18="", BS18=""), STDHVACLIST, "")</formula1>
    </dataValidation>
    <dataValidation type="list" allowBlank="1" showInputMessage="1" showErrorMessage="1" prompt="Select Efficient Measure. If you do not see your equipment listed, it may qualify as a Custom Measure." sqref="I18:I19 I22:I87" xr:uid="{E56F6F63-A50D-45DD-9533-1B7DE989760A}">
      <formula1>IF( AND(T18="", Z18="", AB18="", #REF!="", BV18=""), STDHVACLIST, "")</formula1>
    </dataValidation>
    <dataValidation type="list" allowBlank="1" showInputMessage="1" showErrorMessage="1" prompt="Select Efficient Measure. If you do not see your equipment listed, it may qualify as a Custom Measure." sqref="H18:H19 H22:H87" xr:uid="{465D13AE-2A3A-4CDA-8A39-5CE4A58379AA}">
      <formula1>IF( AND(S18="", Y18="", AA18="", BS18="", #REF!=""), STDHVACLIST, "")</formula1>
    </dataValidation>
    <dataValidation type="list" allowBlank="1" showInputMessage="1" showErrorMessage="1" prompt="Select Efficient Measure. If you do not see your equipment listed, it may qualify as a Custom Measure." sqref="D18:D19 D22:D87" xr:uid="{AFF7806E-447E-433F-8202-0B1AA28B2510}">
      <formula1>IF( AND(O18="", U18="", W18="", CC18="", BD18=""), STDHVACLIST, "")</formula1>
    </dataValidation>
    <dataValidation type="list" allowBlank="1" showInputMessage="1" showErrorMessage="1" prompt="Select Efficient Measure. If you do not see your equipment listed, it may qualify as a Custom Measure." sqref="C18:C20 C22:C87" xr:uid="{E6AA6FC8-C674-4FD8-925D-88E91C426376}">
      <formula1>IF( AND(N18="", T18="", V18="", CB18="", CC18=""), STDHVACLIST, "")</formula1>
    </dataValidation>
  </dataValidations>
  <hyperlinks>
    <hyperlink ref="B202" r:id="rId1" display="businessrebates@evergy.com" xr:uid="{6F1AD011-3EB8-4B36-BA98-EA3B9FDC05D3}"/>
    <hyperlink ref="J1:M3" location="'M01-S02'!J1" tooltip="Instructions" display="'M01-S02'!J1" xr:uid="{8C25508D-58D3-4BA7-B9E3-74A5C65582F2}"/>
    <hyperlink ref="AP1:AS3" location="'M05-S05'!AL1" tooltip=" " display="'M05-S05'!AL1" xr:uid="{FCA5CEB5-F087-4331-86CF-D508424A6623}"/>
    <hyperlink ref="AL1:AO3" location="'M05-S04'!AH1" tooltip=" " display="'M05-S04'!AH1" xr:uid="{6A305DFF-FF62-47D5-B1A4-22DA6C7D45F1}"/>
    <hyperlink ref="AT1:AW3" location="'M01-S03'!AP1" tooltip="Contact" display="'M01-S03'!AP1" xr:uid="{56777B18-D78C-40EA-BD65-D2B3810C1A40}"/>
    <hyperlink ref="J9:M11" location="'M03-S02'!C18" tooltip="Lighting" display="'M03-S02'!C18" xr:uid="{940E9816-1629-49A5-A194-1D1096A1ED42}"/>
    <hyperlink ref="V9:Y11" location="'M03-S05'!C18" tooltip="HVAC" display="'M03-S05'!C18" xr:uid="{EF851B12-DEBA-48CA-B9BC-CEF1B7B3165E}"/>
  </hyperlinks>
  <printOptions horizontalCentered="1"/>
  <pageMargins left="0" right="0" top="0" bottom="0" header="0" footer="0"/>
  <pageSetup scale="43" orientation="portrait" r:id="rId2"/>
  <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tabColor theme="8" tint="0.59999389629810485"/>
    <pageSetUpPr fitToPage="1"/>
  </sheetPr>
  <dimension ref="A1:AW202"/>
  <sheetViews>
    <sheetView showGridLines="0" showRowColHeaders="0" zoomScale="85" zoomScaleNormal="85" workbookViewId="0">
      <selection activeCell="X13" sqref="X13:AC13"/>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46">
        <f>INCENTOTAL</f>
        <v>0</v>
      </c>
      <c r="B4" s="646"/>
      <c r="C4" s="646"/>
      <c r="D4" s="646"/>
      <c r="E4" s="646"/>
      <c r="F4" s="377"/>
      <c r="G4" s="377"/>
      <c r="H4" s="377"/>
      <c r="I4" s="377"/>
    </row>
    <row r="5" spans="1:49" ht="15.95" customHeight="1">
      <c r="A5" s="647"/>
      <c r="B5" s="647"/>
      <c r="C5" s="647"/>
      <c r="D5" s="647"/>
      <c r="E5" s="647"/>
      <c r="F5" s="372"/>
      <c r="G5" s="372"/>
      <c r="H5" s="372"/>
      <c r="I5" s="372"/>
      <c r="AS5" s="663">
        <f ca="1">PROGRESSSTATUS</f>
        <v>0</v>
      </c>
      <c r="AT5" s="663"/>
      <c r="AU5" s="663"/>
      <c r="AV5" s="663"/>
      <c r="AW5" s="663"/>
    </row>
    <row r="6" spans="1:49" ht="15.95" customHeight="1">
      <c r="A6" s="647"/>
      <c r="B6" s="647"/>
      <c r="C6" s="647"/>
      <c r="D6" s="647"/>
      <c r="E6" s="647"/>
      <c r="F6" s="372"/>
      <c r="G6" s="372"/>
      <c r="H6" s="372"/>
      <c r="I6" s="372"/>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373"/>
      <c r="G8" s="373"/>
      <c r="H8" s="373"/>
      <c r="I8" s="373"/>
      <c r="AS8" s="661" t="str">
        <f ca="1">PROJSTATUS</f>
        <v>Enter Measures</v>
      </c>
      <c r="AT8" s="661"/>
      <c r="AU8" s="661"/>
      <c r="AV8" s="661"/>
      <c r="AW8" s="661"/>
    </row>
    <row r="9" spans="1:49" ht="15.95" customHeight="1">
      <c r="A9" s="664" t="str">
        <f>M5S1</f>
        <v>Payment</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H11" s="1265" t="s">
        <v>827</v>
      </c>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5"/>
      <c r="AO11" s="1265"/>
      <c r="AP11" s="1265"/>
    </row>
    <row r="12" spans="1:49" ht="15.95" customHeight="1" thickBot="1">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1265"/>
      <c r="AM12" s="1265"/>
      <c r="AN12" s="1265"/>
      <c r="AO12" s="1265"/>
      <c r="AP12" s="1265"/>
    </row>
    <row r="13" spans="1:49" ht="15.95" customHeight="1" thickBot="1">
      <c r="S13" s="708" t="s">
        <v>1154</v>
      </c>
      <c r="T13" s="708"/>
      <c r="U13" s="708"/>
      <c r="V13" s="708"/>
      <c r="W13" s="708"/>
      <c r="X13" s="681"/>
      <c r="Y13" s="682"/>
      <c r="Z13" s="682"/>
      <c r="AA13" s="682"/>
      <c r="AB13" s="682"/>
      <c r="AC13" s="683"/>
      <c r="AG13" s="82"/>
      <c r="AH13" s="82"/>
      <c r="AI13" s="82"/>
      <c r="AJ13" s="82"/>
      <c r="AK13" s="82"/>
      <c r="AL13" s="82"/>
      <c r="AM13" s="82"/>
      <c r="AN13" s="82"/>
      <c r="AO13" s="82"/>
    </row>
    <row r="14" spans="1:49" ht="15.95" customHeight="1">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row>
    <row r="15" spans="1:49" ht="15.95" customHeight="1" thickBot="1">
      <c r="H15" s="648" t="s">
        <v>1155</v>
      </c>
      <c r="I15" s="648"/>
      <c r="J15" s="648"/>
      <c r="K15" s="648"/>
      <c r="L15" s="648"/>
      <c r="M15" s="648"/>
      <c r="N15" s="82"/>
      <c r="O15" s="648" t="s">
        <v>975</v>
      </c>
      <c r="P15" s="648"/>
      <c r="Q15" s="648"/>
      <c r="R15" s="648"/>
      <c r="S15" s="648"/>
      <c r="T15" s="648"/>
      <c r="U15" s="84"/>
      <c r="V15" s="648" t="s">
        <v>976</v>
      </c>
      <c r="W15" s="648"/>
      <c r="X15" s="648"/>
      <c r="Y15" s="648"/>
      <c r="Z15" s="648"/>
      <c r="AA15" s="648"/>
      <c r="AB15" s="84"/>
      <c r="AC15" s="648" t="s">
        <v>977</v>
      </c>
      <c r="AD15" s="648"/>
      <c r="AE15" s="648"/>
      <c r="AF15" s="648"/>
      <c r="AG15" s="648"/>
      <c r="AH15" s="648"/>
      <c r="AI15" s="84"/>
      <c r="AJ15" s="648" t="s">
        <v>978</v>
      </c>
      <c r="AK15" s="648"/>
      <c r="AL15" s="648"/>
      <c r="AM15" s="648"/>
      <c r="AN15" s="648"/>
      <c r="AO15" s="648"/>
    </row>
    <row r="16" spans="1:49" ht="15.95" customHeight="1" thickBot="1">
      <c r="H16" s="649" t="str">
        <f>IF(M05S01F01="","",INDEX(PAYMENT[Company],MATCH(M05S01F01,PAYMENT[Payment to],0)))</f>
        <v/>
      </c>
      <c r="I16" s="650"/>
      <c r="J16" s="650"/>
      <c r="K16" s="650"/>
      <c r="L16" s="650"/>
      <c r="M16" s="651"/>
      <c r="N16" s="88"/>
      <c r="O16" s="649" t="str">
        <f>IF(M05S01F01="","",INDEX(PAYMENT[Address],MATCH(M05S01F01,PAYMENT[Payment to],0)))</f>
        <v/>
      </c>
      <c r="P16" s="650"/>
      <c r="Q16" s="650"/>
      <c r="R16" s="650"/>
      <c r="S16" s="650"/>
      <c r="T16" s="651"/>
      <c r="U16" s="88"/>
      <c r="V16" s="649" t="str">
        <f>IF(M05S01F01="","",INDEX(PAYMENT[City],MATCH(M05S01F01,PAYMENT[Payment to],0)))</f>
        <v/>
      </c>
      <c r="W16" s="650"/>
      <c r="X16" s="650"/>
      <c r="Y16" s="650"/>
      <c r="Z16" s="650"/>
      <c r="AA16" s="651"/>
      <c r="AB16" s="88"/>
      <c r="AC16" s="649" t="str">
        <f>IF(M05S01F01="","",INDEX(PAYMENT[State],MATCH(M05S01F01,PAYMENT[Payment to],0)))</f>
        <v/>
      </c>
      <c r="AD16" s="650"/>
      <c r="AE16" s="650"/>
      <c r="AF16" s="650"/>
      <c r="AG16" s="650"/>
      <c r="AH16" s="651"/>
      <c r="AI16" s="88"/>
      <c r="AJ16" s="649" t="str">
        <f>IF(M05S01F01="","",INDEX(PAYMENT[Zip],MATCH(M05S01F01,PAYMENT[Payment to],0)))</f>
        <v/>
      </c>
      <c r="AK16" s="650"/>
      <c r="AL16" s="650"/>
      <c r="AM16" s="650"/>
      <c r="AN16" s="650"/>
      <c r="AO16" s="651"/>
    </row>
    <row r="17" spans="8:41" ht="15.95" customHeight="1">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row>
    <row r="18" spans="8:41" ht="15.95" customHeight="1" thickBot="1">
      <c r="H18" s="648" t="s">
        <v>1159</v>
      </c>
      <c r="I18" s="648"/>
      <c r="J18" s="648"/>
      <c r="K18" s="648"/>
      <c r="L18" s="648"/>
      <c r="M18" s="648"/>
      <c r="N18" s="84"/>
      <c r="O18" s="648" t="s">
        <v>1158</v>
      </c>
      <c r="P18" s="648"/>
      <c r="Q18" s="648"/>
      <c r="R18" s="648"/>
      <c r="S18" s="648"/>
      <c r="T18" s="648"/>
      <c r="U18" s="84"/>
      <c r="V18" s="648" t="s">
        <v>1157</v>
      </c>
      <c r="W18" s="648"/>
      <c r="X18" s="648"/>
      <c r="Y18" s="648"/>
      <c r="Z18" s="648"/>
      <c r="AA18" s="648"/>
      <c r="AC18" s="648" t="s">
        <v>983</v>
      </c>
      <c r="AD18" s="648"/>
      <c r="AE18" s="648"/>
      <c r="AF18" s="648"/>
      <c r="AG18" s="648"/>
      <c r="AH18" s="648"/>
      <c r="AI18" s="84"/>
      <c r="AJ18" s="648" t="s">
        <v>1294</v>
      </c>
      <c r="AK18" s="648"/>
      <c r="AL18" s="648"/>
      <c r="AM18" s="648"/>
      <c r="AN18" s="648"/>
      <c r="AO18" s="648"/>
    </row>
    <row r="19" spans="8:41" ht="15.95" customHeight="1" thickBot="1">
      <c r="H19" s="649" t="str">
        <f>IF(M05S01F01="","",INDEX(PAYMENT[First],MATCH(M05S01F01,PAYMENT[Payment to],0)))</f>
        <v/>
      </c>
      <c r="I19" s="650"/>
      <c r="J19" s="650"/>
      <c r="K19" s="650"/>
      <c r="L19" s="650"/>
      <c r="M19" s="651"/>
      <c r="N19" s="88"/>
      <c r="O19" s="649" t="str">
        <f>IF(M05S01F01="","",INDEX(PAYMENT[Last],MATCH(M05S01F01,PAYMENT[Payment to],0)))</f>
        <v/>
      </c>
      <c r="P19" s="650"/>
      <c r="Q19" s="650"/>
      <c r="R19" s="650"/>
      <c r="S19" s="650"/>
      <c r="T19" s="651"/>
      <c r="U19" s="88"/>
      <c r="V19" s="687" t="str">
        <f>IF(M05S01F01="","",INDEX(PAYMENT[Phone],MATCH(M05S01F01,PAYMENT[Payment to],0)))</f>
        <v/>
      </c>
      <c r="W19" s="688"/>
      <c r="X19" s="688"/>
      <c r="Y19" s="688"/>
      <c r="Z19" s="688"/>
      <c r="AA19" s="689"/>
      <c r="AB19" s="13"/>
      <c r="AC19" s="649" t="str">
        <f>IF(M05S01F01="","",INDEX(PAYMENT[Email],MATCH(M05S01F01,PAYMENT[Payment to],0)))</f>
        <v/>
      </c>
      <c r="AD19" s="650"/>
      <c r="AE19" s="650"/>
      <c r="AF19" s="650"/>
      <c r="AG19" s="650"/>
      <c r="AH19" s="651"/>
      <c r="AI19" s="88"/>
      <c r="AJ19" s="649" t="str">
        <f>IF(M02S04F03&lt;&gt;"",M02S04F03,IF(M02S04F04&lt;&gt;"",M02S04F04,""))</f>
        <v/>
      </c>
      <c r="AK19" s="650"/>
      <c r="AL19" s="650"/>
      <c r="AM19" s="650"/>
      <c r="AN19" s="650"/>
      <c r="AO19" s="651"/>
    </row>
    <row r="20" spans="8:41" ht="15.95" customHeight="1"/>
    <row r="21" spans="8:41" ht="15.95" customHeight="1" thickBot="1">
      <c r="I21" s="1255" t="s">
        <v>1989</v>
      </c>
      <c r="J21" s="1255"/>
      <c r="K21" s="1255"/>
      <c r="L21" s="1255"/>
      <c r="M21" s="1255"/>
      <c r="N21" s="1255"/>
      <c r="O21" s="1255"/>
      <c r="P21" s="1255"/>
      <c r="Q21" s="1255"/>
      <c r="R21" s="1255"/>
      <c r="S21" s="1255"/>
      <c r="T21" s="1255"/>
      <c r="U21" s="1255"/>
      <c r="V21" s="1255"/>
      <c r="W21" s="1255"/>
      <c r="X21" s="1255"/>
      <c r="Y21" s="1255"/>
      <c r="Z21" s="1255"/>
      <c r="AA21" s="1255"/>
      <c r="AC21" s="648" t="s">
        <v>1156</v>
      </c>
      <c r="AD21" s="648"/>
      <c r="AE21" s="648"/>
      <c r="AF21" s="648"/>
      <c r="AG21" s="648"/>
      <c r="AH21" s="648"/>
      <c r="AJ21" s="648" t="s">
        <v>1160</v>
      </c>
      <c r="AK21" s="648"/>
      <c r="AL21" s="648"/>
      <c r="AM21" s="648"/>
      <c r="AN21" s="648"/>
      <c r="AO21" s="648"/>
    </row>
    <row r="22" spans="8:41" ht="15.95" customHeight="1" thickBot="1">
      <c r="I22" s="1255"/>
      <c r="J22" s="1255"/>
      <c r="K22" s="1255"/>
      <c r="L22" s="1255"/>
      <c r="M22" s="1255"/>
      <c r="N22" s="1255"/>
      <c r="O22" s="1255"/>
      <c r="P22" s="1255"/>
      <c r="Q22" s="1255"/>
      <c r="R22" s="1255"/>
      <c r="S22" s="1255"/>
      <c r="T22" s="1255"/>
      <c r="U22" s="1255"/>
      <c r="V22" s="1255"/>
      <c r="W22" s="1255"/>
      <c r="X22" s="1255"/>
      <c r="Y22" s="1255"/>
      <c r="Z22" s="1255"/>
      <c r="AA22" s="1255"/>
      <c r="AC22" s="649"/>
      <c r="AD22" s="650"/>
      <c r="AE22" s="650"/>
      <c r="AF22" s="650"/>
      <c r="AG22" s="650"/>
      <c r="AH22" s="651"/>
      <c r="AJ22" s="87"/>
      <c r="AK22" s="86" t="s">
        <v>829</v>
      </c>
      <c r="AL22" s="1266"/>
      <c r="AM22" s="1267"/>
      <c r="AN22" s="1267"/>
      <c r="AO22" s="1268"/>
    </row>
    <row r="23" spans="8:41" ht="15.95" customHeight="1"/>
    <row r="24" spans="8:41" ht="15.95" customHeight="1" thickBot="1">
      <c r="H24" s="83" t="s">
        <v>1229</v>
      </c>
    </row>
    <row r="25" spans="8:41" ht="15.95" customHeight="1">
      <c r="H25" s="1256" t="str">
        <f>IF(M05S01F01="","",INDEX(PAYMENT[Terms],MATCH(M05S01F01,PAYMENT[Payment to],0)))</f>
        <v/>
      </c>
      <c r="I25" s="1257"/>
      <c r="J25" s="1257"/>
      <c r="K25" s="1257"/>
      <c r="L25" s="1257"/>
      <c r="M25" s="1257"/>
      <c r="N25" s="1257"/>
      <c r="O25" s="1257"/>
      <c r="P25" s="1257"/>
      <c r="Q25" s="1257"/>
      <c r="R25" s="1257"/>
      <c r="S25" s="1257"/>
      <c r="T25" s="1257"/>
      <c r="U25" s="1257"/>
      <c r="V25" s="1257"/>
      <c r="W25" s="1257"/>
      <c r="X25" s="1257"/>
      <c r="Y25" s="1257"/>
      <c r="Z25" s="1257"/>
      <c r="AA25" s="1257"/>
      <c r="AB25" s="1257"/>
      <c r="AC25" s="1257"/>
      <c r="AD25" s="1257"/>
      <c r="AE25" s="1257"/>
      <c r="AF25" s="1257"/>
      <c r="AG25" s="1257"/>
      <c r="AH25" s="1257"/>
      <c r="AI25" s="1257"/>
      <c r="AJ25" s="1257"/>
      <c r="AK25" s="1257"/>
      <c r="AL25" s="1257"/>
      <c r="AM25" s="1257"/>
      <c r="AN25" s="1257"/>
      <c r="AO25" s="1258"/>
    </row>
    <row r="26" spans="8:41" ht="15.95" customHeight="1">
      <c r="H26" s="1259"/>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1"/>
    </row>
    <row r="27" spans="8:41" ht="15.95" customHeight="1">
      <c r="H27" s="1259"/>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1"/>
    </row>
    <row r="28" spans="8:41" ht="15.95" customHeight="1">
      <c r="H28" s="1259"/>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1"/>
    </row>
    <row r="29" spans="8:41" ht="15.95" customHeight="1">
      <c r="H29" s="1259"/>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1"/>
    </row>
    <row r="30" spans="8:41" ht="15.95" customHeight="1" thickBot="1">
      <c r="H30" s="1262"/>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4"/>
    </row>
    <row r="31" spans="8:41" ht="15.95" customHeight="1"/>
    <row r="32" spans="8:41"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1NRuK8MEZ9Qv3gYzmUGtglwx7Fb+PcLRpmSnuAXgbG8rj7eZH+NgD119bmCGTAbtbI0nfRxMmxEG/29r5re2Ww==" saltValue="Q31e+xnXN53Lz3NQ5SZ07A==" spinCount="100000" sheet="1" objects="1" scenarios="1" selectLockedCells="1"/>
  <mergeCells count="43">
    <mergeCell ref="O200:AI201"/>
    <mergeCell ref="AC22:AH22"/>
    <mergeCell ref="AC21:AH21"/>
    <mergeCell ref="A4:E6"/>
    <mergeCell ref="A7:E8"/>
    <mergeCell ref="H25:AO30"/>
    <mergeCell ref="H11:AP12"/>
    <mergeCell ref="O16:T16"/>
    <mergeCell ref="V16:AA16"/>
    <mergeCell ref="AC16:AH16"/>
    <mergeCell ref="AJ16:AO16"/>
    <mergeCell ref="AL22:AO22"/>
    <mergeCell ref="O15:T15"/>
    <mergeCell ref="V15:AA15"/>
    <mergeCell ref="AC15:AH15"/>
    <mergeCell ref="AJ15:AO15"/>
    <mergeCell ref="AT1:AW3"/>
    <mergeCell ref="J1:M3"/>
    <mergeCell ref="AL1:AO3"/>
    <mergeCell ref="AP1:AS3"/>
    <mergeCell ref="A9:AW10"/>
    <mergeCell ref="AS5:AW6"/>
    <mergeCell ref="AS7:AW7"/>
    <mergeCell ref="AS8:AW8"/>
    <mergeCell ref="F1:I3"/>
    <mergeCell ref="N1:T3"/>
    <mergeCell ref="U1:AK3"/>
    <mergeCell ref="AJ18:AO18"/>
    <mergeCell ref="AJ19:AO19"/>
    <mergeCell ref="I21:AA22"/>
    <mergeCell ref="X13:AC13"/>
    <mergeCell ref="S13:W13"/>
    <mergeCell ref="AC19:AH19"/>
    <mergeCell ref="H15:M15"/>
    <mergeCell ref="H18:M18"/>
    <mergeCell ref="O18:T18"/>
    <mergeCell ref="V18:AA18"/>
    <mergeCell ref="AC18:AH18"/>
    <mergeCell ref="H16:M16"/>
    <mergeCell ref="H19:M19"/>
    <mergeCell ref="O19:T19"/>
    <mergeCell ref="V19:AA19"/>
    <mergeCell ref="AJ21:AO21"/>
  </mergeCells>
  <conditionalFormatting sqref="AJ18:AO19">
    <cfRule type="expression" dxfId="45" priority="1">
      <formula>M05S01F01&lt;&gt;"Site (Bill Credit)"</formula>
    </cfRule>
  </conditionalFormatting>
  <conditionalFormatting sqref="AS8:AW8">
    <cfRule type="expression" dxfId="44" priority="3">
      <formula>IF($AS$8=PROJSTATMEASURE,FALSE,TRUE)</formula>
    </cfRule>
  </conditionalFormatting>
  <dataValidations count="9">
    <dataValidation type="list" allowBlank="1" showInputMessage="1" showErrorMessage="1" sqref="X13:AC13" xr:uid="{C7FA3D41-70E2-4C60-B065-EF7C3995DE8C}">
      <formula1>PAYMENTLIST</formula1>
    </dataValidation>
    <dataValidation type="list" allowBlank="1" showInputMessage="1" showErrorMessage="1" sqref="AC22:AH22" xr:uid="{51C10E3E-E283-49C3-9A3A-729A26948584}">
      <formula1>TAXLIST</formula1>
    </dataValidation>
    <dataValidation type="textLength" operator="equal" allowBlank="1" showInputMessage="1" showErrorMessage="1" prompt="Please enter only the first 2 digits of the Tax ID" sqref="AJ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L22:AO22" xr:uid="{DAB8AB06-4D54-4128-BF3E-B23139384DD9}">
      <formula1>7</formula1>
    </dataValidation>
    <dataValidation type="list" allowBlank="1" showInputMessage="1" showErrorMessage="1" sqref="AC16:AH16" xr:uid="{A341AEFA-272D-4300-B9F7-93BEAA9ADBC5}">
      <formula1>STATESABBREV</formula1>
    </dataValidation>
    <dataValidation type="custom" allowBlank="1" showInputMessage="1" showErrorMessage="1" error="Please enter a valid email address." sqref="AC19:AH19" xr:uid="{D8106073-DA01-4D94-8B21-E9A252A0FFEB}">
      <formula1>AND(FIND(".",AC19),FIND("@",AC19))</formula1>
    </dataValidation>
    <dataValidation type="textLength" allowBlank="1" showInputMessage="1" showErrorMessage="1" sqref="V19:AA19" xr:uid="{D2DFA2C1-87FB-410B-BF49-E9FD3593FE58}">
      <formula1>7</formula1>
      <formula2>15</formula2>
    </dataValidation>
    <dataValidation type="whole" allowBlank="1" showInputMessage="1" showErrorMessage="1" sqref="AJ16:AO16" xr:uid="{5D375849-F9FC-4770-A42F-33ADAF1B7F9D}">
      <formula1>0</formula1>
      <formula2>99999</formula2>
    </dataValidation>
    <dataValidation type="textLength" operator="lessThanOrEqual" allowBlank="1" showInputMessage="1" showErrorMessage="1" sqref="AJ19:AO19" xr:uid="{629C1AB1-B689-4EB2-85BA-C1C3092C139E}">
      <formula1>10</formula1>
    </dataValidation>
  </dataValidations>
  <hyperlinks>
    <hyperlink ref="B202" r:id="rId1" display="businessrebates@evergy.com" xr:uid="{A59B0390-ACC8-4E01-96FF-7B6D6FB974F9}"/>
    <hyperlink ref="J1:M3" location="'M01-S02'!J1" tooltip="Instructions" display="'M01-S02'!J1" xr:uid="{DCE7C7BC-1219-447E-AB2A-817D4408C5F6}"/>
    <hyperlink ref="AP1:AS3" location="'M05-S05'!AL1" tooltip=" " display="'M05-S05'!AL1" xr:uid="{5EC859AB-0FA5-478C-A3F5-5930F5066A15}"/>
    <hyperlink ref="AL1:AO3" location="'M05-S04'!AH1" tooltip=" " display="'M05-S04'!AH1" xr:uid="{BD8B277B-8B99-4BC6-9488-7031E7E6F689}"/>
    <hyperlink ref="AT1:AW3" location="'M01-S03'!AP1" tooltip="Contact" display="'M01-S03'!AP1" xr:uid="{60089A36-F43D-4495-8B84-D7BC02FA5095}"/>
  </hyperlinks>
  <printOptions horizontalCentered="1"/>
  <pageMargins left="0" right="0" top="0" bottom="0" header="0" footer="0"/>
  <pageSetup scale="4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6</xdr:col>
                    <xdr:colOff>295275</xdr:colOff>
                    <xdr:row>19</xdr:row>
                    <xdr:rowOff>171450</xdr:rowOff>
                  </from>
                  <to>
                    <xdr:col>7</xdr:col>
                    <xdr:colOff>209550</xdr:colOff>
                    <xdr:row>22</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tabColor theme="8" tint="0.59999389629810485"/>
    <pageSetUpPr fitToPage="1"/>
  </sheetPr>
  <dimension ref="A1:CW203"/>
  <sheetViews>
    <sheetView showGridLines="0" showRowColHeaders="0" zoomScale="85" zoomScaleNormal="85" workbookViewId="0">
      <selection activeCell="L6" sqref="L6"/>
    </sheetView>
  </sheetViews>
  <sheetFormatPr defaultColWidth="0" defaultRowHeight="0" customHeight="1" zeroHeight="1"/>
  <cols>
    <col min="1" max="49" width="4.7109375" customWidth="1"/>
    <col min="50" max="62" width="1.7109375" hidden="1"/>
    <col min="63" max="101" width="8.85546875" hidden="1"/>
    <col min="102"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46">
        <f>INCENTOTAL</f>
        <v>0</v>
      </c>
      <c r="B4" s="646"/>
      <c r="C4" s="646"/>
      <c r="D4" s="646"/>
      <c r="E4" s="646"/>
      <c r="F4" s="377"/>
      <c r="G4" s="377"/>
      <c r="H4" s="377"/>
      <c r="I4" s="377"/>
    </row>
    <row r="5" spans="1:49" ht="15.95" customHeight="1">
      <c r="A5" s="647"/>
      <c r="B5" s="647"/>
      <c r="C5" s="647"/>
      <c r="D5" s="647"/>
      <c r="E5" s="647"/>
      <c r="F5" s="372"/>
      <c r="G5" s="372"/>
      <c r="H5" s="372"/>
      <c r="I5" s="372"/>
      <c r="AS5" s="663">
        <f ca="1">PROGRESSSTATUS</f>
        <v>0</v>
      </c>
      <c r="AT5" s="663"/>
      <c r="AU5" s="663"/>
      <c r="AV5" s="663"/>
      <c r="AW5" s="663"/>
    </row>
    <row r="6" spans="1:49" ht="15.95" customHeight="1">
      <c r="A6" s="647"/>
      <c r="B6" s="647"/>
      <c r="C6" s="647"/>
      <c r="D6" s="647"/>
      <c r="E6" s="647"/>
      <c r="F6" s="372"/>
      <c r="G6" s="372"/>
      <c r="H6" s="372"/>
      <c r="I6" s="372"/>
      <c r="L6" s="178"/>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373"/>
      <c r="G8" s="373"/>
      <c r="H8" s="373"/>
      <c r="I8" s="373"/>
      <c r="AS8" s="661" t="str">
        <f ca="1">PROJSTATUS</f>
        <v>Enter Measures</v>
      </c>
      <c r="AT8" s="661"/>
      <c r="AU8" s="661"/>
      <c r="AV8" s="661"/>
      <c r="AW8" s="661"/>
    </row>
    <row r="9" spans="1:49" ht="15.95" customHeight="1">
      <c r="A9" s="664" t="str">
        <f>M5S2</f>
        <v>Project Review</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H11" s="1274" t="s">
        <v>1677</v>
      </c>
      <c r="I11" s="1274"/>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274"/>
      <c r="AH11" s="1274"/>
      <c r="AI11" s="1274"/>
      <c r="AJ11" s="1274"/>
      <c r="AK11" s="1274"/>
      <c r="AL11" s="1274"/>
      <c r="AM11" s="1274"/>
      <c r="AN11" s="193"/>
      <c r="AO11" s="193"/>
      <c r="AP11" s="193"/>
    </row>
    <row r="12" spans="1:49" ht="15.95" customHeight="1">
      <c r="H12" s="1274"/>
      <c r="I12" s="1274"/>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274"/>
      <c r="AG12" s="1274"/>
      <c r="AH12" s="1274"/>
      <c r="AI12" s="1274"/>
      <c r="AJ12" s="1274"/>
      <c r="AK12" s="1274"/>
      <c r="AL12" s="1274"/>
      <c r="AM12" s="1274"/>
      <c r="AN12" s="193"/>
      <c r="AO12" s="193"/>
      <c r="AP12" s="193"/>
      <c r="AQ12" s="17"/>
      <c r="AR12" s="17"/>
      <c r="AS12" s="17"/>
    </row>
    <row r="13" spans="1:49" ht="15.95" customHeight="1">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17"/>
      <c r="AR13" s="17"/>
      <c r="AS13" s="17"/>
    </row>
    <row r="14" spans="1:49" ht="15.95" customHeight="1">
      <c r="H14" s="1302" t="str">
        <f>M2S1</f>
        <v>Terms &amp; Conditions</v>
      </c>
      <c r="I14" s="1303"/>
      <c r="J14" s="1303"/>
      <c r="K14" s="1303"/>
      <c r="L14" s="1303"/>
      <c r="M14" s="1303"/>
      <c r="N14" s="1303"/>
      <c r="O14" s="1303"/>
      <c r="P14" s="1303"/>
      <c r="Q14" s="1303"/>
      <c r="R14" s="1299" t="str">
        <f ca="1">IF(COMPTERMS&lt;&gt;1,"Incomplete","")</f>
        <v>Incomplete</v>
      </c>
      <c r="S14" s="1299"/>
      <c r="T14" s="1299"/>
      <c r="U14" s="1299"/>
      <c r="V14" s="1299"/>
      <c r="W14" s="1299"/>
      <c r="X14" s="1299"/>
      <c r="Y14" s="1313" t="s">
        <v>836</v>
      </c>
      <c r="Z14" s="1313"/>
      <c r="AA14" s="1314"/>
      <c r="AB14" s="260"/>
      <c r="AQ14" s="17"/>
      <c r="AR14" s="17"/>
      <c r="AS14" s="17"/>
    </row>
    <row r="15" spans="1:49" ht="15.95" customHeight="1">
      <c r="H15" s="1290" t="str">
        <f>IF(OR(M02S01F01="",M02S01F02="",M02S01F03=""),"Missing Signature Info",M02S01F01)</f>
        <v>Missing Signature Info</v>
      </c>
      <c r="I15" s="648"/>
      <c r="J15" s="648"/>
      <c r="K15" s="648"/>
      <c r="L15" s="648"/>
      <c r="M15" s="648"/>
      <c r="N15" s="648"/>
      <c r="O15" s="648"/>
      <c r="P15" s="648"/>
      <c r="Q15" s="648" t="str">
        <f>IF(OR(M02S01F01="",M02S01F02="",M02S01F03=""),"",M02S01F02)</f>
        <v/>
      </c>
      <c r="R15" s="648"/>
      <c r="S15" s="648"/>
      <c r="T15" s="648"/>
      <c r="U15" s="648"/>
      <c r="V15" s="648"/>
      <c r="W15" s="648"/>
      <c r="X15" s="648"/>
      <c r="Y15" s="1307" t="str">
        <f>IF(OR(M02S01F01="",M02S01F02="",M02S01F03=""),"",M02S01F03)</f>
        <v/>
      </c>
      <c r="Z15" s="1307"/>
      <c r="AA15" s="1308"/>
      <c r="AB15" s="260"/>
      <c r="AQ15" s="17"/>
      <c r="AR15" s="17"/>
      <c r="AS15" s="17"/>
    </row>
    <row r="16" spans="1:49" ht="15.95" customHeight="1">
      <c r="H16" s="1300" t="str">
        <f>M2S2</f>
        <v>Trade Ally / Contractor Information</v>
      </c>
      <c r="I16" s="1301"/>
      <c r="J16" s="1301"/>
      <c r="K16" s="1301"/>
      <c r="L16" s="1301"/>
      <c r="M16" s="1301"/>
      <c r="N16" s="1301"/>
      <c r="O16" s="1301"/>
      <c r="P16" s="1301"/>
      <c r="Q16" s="1301"/>
      <c r="R16" s="1304" t="str">
        <f ca="1">IF(COMPTA&lt;&gt;1,"Incomplete","")</f>
        <v>Incomplete</v>
      </c>
      <c r="S16" s="1304"/>
      <c r="T16" s="1304"/>
      <c r="U16" s="1304"/>
      <c r="V16" s="1304"/>
      <c r="W16" s="1304"/>
      <c r="X16" s="1304"/>
      <c r="Y16" s="1305" t="s">
        <v>836</v>
      </c>
      <c r="Z16" s="1305"/>
      <c r="AA16" s="1306"/>
      <c r="AB16" s="260"/>
      <c r="AC16" s="1281" t="s">
        <v>1230</v>
      </c>
      <c r="AD16" s="1282"/>
      <c r="AE16" s="1282"/>
      <c r="AF16" s="1282"/>
      <c r="AG16" s="1282"/>
      <c r="AH16" s="1282"/>
      <c r="AI16" s="1282"/>
      <c r="AJ16" s="1282"/>
      <c r="AK16" s="1282"/>
      <c r="AL16" s="1282"/>
      <c r="AM16" s="1282"/>
      <c r="AN16" s="1299" t="str">
        <f>IF(COMPMEASURE&lt;&gt;1,"Incomplete","")</f>
        <v>Incomplete</v>
      </c>
      <c r="AO16" s="1299"/>
      <c r="AP16" s="1317"/>
      <c r="AQ16" s="17"/>
      <c r="AR16" s="17"/>
      <c r="AS16" s="17"/>
    </row>
    <row r="17" spans="8:62" ht="15.95" customHeight="1">
      <c r="H17" s="1290" t="str">
        <f>IF(OR(M02S02F01="",M02S02F12=""),"Missing TA / Contractor Info",IF(M02S02F01="No","No TA / Contractor",IF(OR(M02S02F02="",),"Missing Company Name",M02S02F02)))</f>
        <v>Missing TA / Contractor Info</v>
      </c>
      <c r="I17" s="648"/>
      <c r="J17" s="648"/>
      <c r="K17" s="648"/>
      <c r="L17" s="648"/>
      <c r="M17" s="648"/>
      <c r="N17" s="648"/>
      <c r="O17" s="648"/>
      <c r="P17" s="648"/>
      <c r="Q17" s="648"/>
      <c r="R17" s="648" t="str">
        <f>IF(M02S02F01="No","",IF(OR(M02S02F07="",M02S02F08="",M02S02F09="",M02S02F10="",M02S02F11=""),"Missing Contact Info",M02S02F07&amp;" "&amp;M02S02F08))</f>
        <v>Missing Contact Info</v>
      </c>
      <c r="S17" s="648"/>
      <c r="T17" s="648"/>
      <c r="U17" s="648"/>
      <c r="V17" s="648"/>
      <c r="W17" s="648" t="str">
        <f>IF(OR(M02S02F07="",M02S02F08="",M02S02F09="",M02S02F10="",M02S02F11=""),"",M02S02F09)</f>
        <v/>
      </c>
      <c r="X17" s="648"/>
      <c r="Y17" s="648"/>
      <c r="Z17" s="648"/>
      <c r="AA17" s="1271"/>
      <c r="AB17" s="17"/>
      <c r="AC17" s="1310" t="s">
        <v>818</v>
      </c>
      <c r="AD17" s="1311"/>
      <c r="AE17" s="1311"/>
      <c r="AF17" s="1311"/>
      <c r="AG17" s="1311"/>
      <c r="AH17" s="1311"/>
      <c r="AI17" s="1311"/>
      <c r="AJ17" s="1309" t="s">
        <v>1151</v>
      </c>
      <c r="AK17" s="1309"/>
      <c r="AL17" s="1309"/>
      <c r="AM17" s="1315" t="s">
        <v>1231</v>
      </c>
      <c r="AN17" s="1315"/>
      <c r="AO17" s="1315"/>
      <c r="AP17" s="1316"/>
    </row>
    <row r="18" spans="8:62" ht="15.95" customHeight="1">
      <c r="H18" s="1290" t="str">
        <f>IF(M02S02F01="No","",IF(OR(M02S02F03="",M02S02F04="",M02S02F05="",M02S02F06=""),"Missing Address Info",M02S02F03))</f>
        <v>Missing Address Info</v>
      </c>
      <c r="I18" s="648"/>
      <c r="J18" s="648"/>
      <c r="K18" s="648"/>
      <c r="L18" s="648"/>
      <c r="M18" s="648"/>
      <c r="N18" s="648"/>
      <c r="O18" s="648"/>
      <c r="P18" s="648"/>
      <c r="Q18" s="648"/>
      <c r="R18" s="1272" t="str">
        <f>IF(OR(M02S02F07="",M02S02F08="",M02S02F09="",M02S02F10="",M02S02F11=""),"","P: "&amp;TEXT(M02S02F10,"(###) ###-####")&amp;"  E: "&amp;M02S02F11)</f>
        <v/>
      </c>
      <c r="S18" s="1272"/>
      <c r="T18" s="1272"/>
      <c r="U18" s="1272"/>
      <c r="V18" s="1272"/>
      <c r="W18" s="1272"/>
      <c r="X18" s="1272"/>
      <c r="Y18" s="1272"/>
      <c r="Z18" s="1272"/>
      <c r="AA18" s="1273"/>
      <c r="AB18" s="17"/>
      <c r="AC18" s="1287" t="str">
        <f>M3S2</f>
        <v>Lighting</v>
      </c>
      <c r="AD18" s="1288"/>
      <c r="AE18" s="1288"/>
      <c r="AF18" s="1288"/>
      <c r="AG18" s="1288"/>
      <c r="AH18" s="1288"/>
      <c r="AI18" s="1288"/>
      <c r="AJ18" s="1312">
        <f>COUNT('M03-S02'!AO18:AQ199)</f>
        <v>0</v>
      </c>
      <c r="AK18" s="1312"/>
      <c r="AL18" s="1312"/>
      <c r="AM18" s="1283">
        <f>SUM('M03-S02'!AR18:AU199)</f>
        <v>0</v>
      </c>
      <c r="AN18" s="1283"/>
      <c r="AO18" s="1283"/>
      <c r="AP18" s="1284"/>
      <c r="AU18" s="17"/>
      <c r="AV18" s="17"/>
      <c r="AW18" s="17"/>
      <c r="AX18" s="17"/>
      <c r="BH18" s="17"/>
      <c r="BI18" s="17"/>
      <c r="BJ18" s="17"/>
    </row>
    <row r="19" spans="8:62" ht="15.95" customHeight="1">
      <c r="H19" s="1290" t="str">
        <f>IF(OR(M02S02F03="",M02S02F04="",M02S02F05="",M02S02F06=""),"",M02S02F04)</f>
        <v/>
      </c>
      <c r="I19" s="648"/>
      <c r="J19" s="648"/>
      <c r="K19" s="648"/>
      <c r="L19" s="648"/>
      <c r="M19" s="648" t="str">
        <f>IF(OR(M02S02F03="",M02S02F04="",M02S02F05="",M02S02F06=""),"",M02S02F05)</f>
        <v/>
      </c>
      <c r="N19" s="648"/>
      <c r="O19" s="648" t="str">
        <f>IF(OR(M02S02F03="",M02S02F04="",M02S02F05="",M02S02F06=""),"",M02S02F06)</f>
        <v/>
      </c>
      <c r="P19" s="648"/>
      <c r="Q19" s="648"/>
      <c r="R19" s="648" t="str">
        <f>IF(M02S02F01="No","",IF(AND(M02S02F13="",M02S02F14="",M02S02F15="",M02S02F16="",M02S02F17=""),"",IF(AND(OR(M02S02F13&lt;&gt;"",M02S02F14&lt;&gt;"",M02S02F15&lt;&gt;"",M02S02F16&lt;&gt;"",M02S02F17&lt;&gt;""),OR(M02S02F13="",M02S02F14="",M02S02F15="",M02S02F16="",M02S02F17="")),"Missing Contact Info",M02S02F13&amp;" "&amp;M02S02F14)))</f>
        <v/>
      </c>
      <c r="S19" s="648"/>
      <c r="T19" s="648"/>
      <c r="U19" s="648"/>
      <c r="V19" s="648"/>
      <c r="W19" s="648" t="str">
        <f>IF(M02S02F01="No","",IF(AND(M02S02F13="",M02S02F14="",M02S02F15="",M02S02F16="",M02S02F17=""),"",IF(AND(OR(M02S02F13&lt;&gt;"",M02S02F14&lt;&gt;"",M02S02F15&lt;&gt;"",M02S02F16&lt;&gt;"",M02S02F17&lt;&gt;""),OR(M02S02F13="",M02S02F14="",M02S02F15="",M02S02F16="",M02S02F17="")),"",M02S02F15)))</f>
        <v/>
      </c>
      <c r="X19" s="648"/>
      <c r="Y19" s="648"/>
      <c r="Z19" s="648"/>
      <c r="AA19" s="1271"/>
      <c r="AB19" s="17"/>
      <c r="AC19" s="1287" t="str">
        <f>M3S3</f>
        <v>Lighting Controls</v>
      </c>
      <c r="AD19" s="1288"/>
      <c r="AE19" s="1288"/>
      <c r="AF19" s="1288"/>
      <c r="AG19" s="1288"/>
      <c r="AH19" s="1288"/>
      <c r="AI19" s="1288"/>
      <c r="AJ19" s="1298">
        <f>COUNT('M03-S03'!$AO$18:$AQ$199)</f>
        <v>0</v>
      </c>
      <c r="AK19" s="1298">
        <f>COUNT('M03-S03'!$AO$18:$AQ$199)</f>
        <v>0</v>
      </c>
      <c r="AL19" s="1298">
        <f>COUNT('M03-S03'!$AO$18:$AQ$199)</f>
        <v>0</v>
      </c>
      <c r="AM19" s="1275">
        <f>SUM('M03-S03'!AR18:AU199)</f>
        <v>0</v>
      </c>
      <c r="AN19" s="1275"/>
      <c r="AO19" s="1275"/>
      <c r="AP19" s="1276"/>
    </row>
    <row r="20" spans="8:62" ht="15.95" customHeight="1">
      <c r="H20" s="92"/>
      <c r="R20" s="1272" t="str">
        <f>IF(M02S02F01="No","",IF(AND(M02S02F13="",M02S02F14="",M02S02F15="",M02S02F16="",M02S02F17=""),"",IF(AND(OR(M02S02F13&lt;&gt;"",M02S02F14&lt;&gt;"",M02S02F15&lt;&gt;"",M02S02F16&lt;&gt;"",M02S02F17&lt;&gt;""),OR(M02S02F13="",M02S02F14="",M02S02F15="",M02S02F16="",M02S02F17="")),"","P: "&amp;TEXT(M02S02F16,"(###) ###-####")&amp;"  E: "&amp;M02S02F17)))</f>
        <v/>
      </c>
      <c r="S20" s="1272"/>
      <c r="T20" s="1272"/>
      <c r="U20" s="1272"/>
      <c r="V20" s="1272"/>
      <c r="W20" s="1272"/>
      <c r="X20" s="1272"/>
      <c r="Y20" s="1272"/>
      <c r="Z20" s="1272"/>
      <c r="AA20" s="1273"/>
      <c r="AB20" s="17"/>
      <c r="AC20" s="1287" t="str">
        <f>M3S4</f>
        <v>Refrigeration</v>
      </c>
      <c r="AD20" s="1288"/>
      <c r="AE20" s="1288"/>
      <c r="AF20" s="1288"/>
      <c r="AG20" s="1288"/>
      <c r="AH20" s="1288"/>
      <c r="AI20" s="1288"/>
      <c r="AJ20" s="1298">
        <f>COUNT('M03-S04'!$AO$18:$AQ$199)</f>
        <v>0</v>
      </c>
      <c r="AK20" s="1298">
        <f>COUNT('M03-S04'!$AO$18:$AQ$199)</f>
        <v>0</v>
      </c>
      <c r="AL20" s="1298">
        <f>COUNT('M03-S04'!$AO$18:$AQ$199)</f>
        <v>0</v>
      </c>
      <c r="AM20" s="1275">
        <f>SUM('M03-S04'!AR18:AU199)</f>
        <v>0</v>
      </c>
      <c r="AN20" s="1275"/>
      <c r="AO20" s="1275"/>
      <c r="AP20" s="1276"/>
    </row>
    <row r="21" spans="8:62" ht="15.95" customHeight="1">
      <c r="H21" s="1300" t="str">
        <f>M2S3</f>
        <v>Customer Information</v>
      </c>
      <c r="I21" s="1301"/>
      <c r="J21" s="1301"/>
      <c r="K21" s="1301"/>
      <c r="L21" s="1301"/>
      <c r="M21" s="1301"/>
      <c r="N21" s="1301"/>
      <c r="O21" s="1301"/>
      <c r="P21" s="1301"/>
      <c r="Q21" s="1301"/>
      <c r="R21" s="1304" t="str">
        <f ca="1">IF(COMPCUSTOMER&lt;&gt;1,"Incomplete","")</f>
        <v>Incomplete</v>
      </c>
      <c r="S21" s="1304"/>
      <c r="T21" s="1304"/>
      <c r="U21" s="1304"/>
      <c r="V21" s="1304"/>
      <c r="W21" s="1304"/>
      <c r="X21" s="1304"/>
      <c r="Y21" s="1305" t="s">
        <v>836</v>
      </c>
      <c r="Z21" s="1305"/>
      <c r="AA21" s="1306"/>
      <c r="AB21" s="45"/>
      <c r="AC21" s="1287" t="str">
        <f>M3S8</f>
        <v>Motors and Drives</v>
      </c>
      <c r="AD21" s="1288"/>
      <c r="AE21" s="1288"/>
      <c r="AF21" s="1288"/>
      <c r="AG21" s="1288"/>
      <c r="AH21" s="1288"/>
      <c r="AI21" s="1288"/>
      <c r="AJ21" s="1289">
        <f>COUNT('M03-S08'!$AO$18:$AQ$199)</f>
        <v>0</v>
      </c>
      <c r="AK21" s="1289">
        <f>COUNT(#REF!)</f>
        <v>0</v>
      </c>
      <c r="AL21" s="1289">
        <f>COUNT(#REF!)</f>
        <v>0</v>
      </c>
      <c r="AM21" s="1275">
        <f>SUM('M03-S08'!AR18:AU199)</f>
        <v>0</v>
      </c>
      <c r="AN21" s="1275"/>
      <c r="AO21" s="1275"/>
      <c r="AP21" s="1276"/>
    </row>
    <row r="22" spans="8:62" ht="15.95" customHeight="1">
      <c r="H22" s="1290" t="str">
        <f>IF(M02S03F01="","Missing Site Name",M02S03F01)</f>
        <v>Missing Site Name</v>
      </c>
      <c r="I22" s="648"/>
      <c r="J22" s="648"/>
      <c r="K22" s="648"/>
      <c r="L22" s="648"/>
      <c r="M22" s="648"/>
      <c r="N22" s="648"/>
      <c r="O22" s="648"/>
      <c r="P22" s="648"/>
      <c r="Q22" s="648"/>
      <c r="R22" s="648" t="str">
        <f>IF(OR(M02S03F06="",M02S03F07="",M02S03F08="",M02S03F09="",M02S03F10=""),"Missing Contact Info",M02S03F06&amp;" "&amp;M02S03F07)</f>
        <v>Missing Contact Info</v>
      </c>
      <c r="S22" s="648"/>
      <c r="T22" s="648"/>
      <c r="U22" s="648"/>
      <c r="V22" s="648"/>
      <c r="W22" s="648"/>
      <c r="X22" s="648"/>
      <c r="Y22" s="648"/>
      <c r="Z22" s="648"/>
      <c r="AA22" s="1271"/>
      <c r="AB22" s="17"/>
      <c r="AC22" s="1287" t="str">
        <f>M3S6</f>
        <v>Compressed Air / Process</v>
      </c>
      <c r="AD22" s="1288"/>
      <c r="AE22" s="1288"/>
      <c r="AF22" s="1288"/>
      <c r="AG22" s="1288"/>
      <c r="AH22" s="1288"/>
      <c r="AI22" s="1288"/>
      <c r="AJ22" s="1289">
        <f>COUNT('M03-S06'!$AO$18:$AQ$199)</f>
        <v>0</v>
      </c>
      <c r="AK22" s="1289">
        <f>COUNT('M03-S06'!$AO$18:$AQ$199)</f>
        <v>0</v>
      </c>
      <c r="AL22" s="1289">
        <f>COUNT('M03-S06'!$AO$18:$AQ$199)</f>
        <v>0</v>
      </c>
      <c r="AM22" s="1275">
        <f>SUM('M03-S06'!AR18:AU199)</f>
        <v>0</v>
      </c>
      <c r="AN22" s="1275"/>
      <c r="AO22" s="1275"/>
      <c r="AP22" s="1276"/>
    </row>
    <row r="23" spans="8:62" ht="15.95" customHeight="1">
      <c r="H23" s="1290" t="str">
        <f>IF(OR(M02S03F02="",M02S03F03="",M02S03F04="",M02S03F05=""),"Missing Address Info",M02S03F02)</f>
        <v>Missing Address Info</v>
      </c>
      <c r="I23" s="648"/>
      <c r="J23" s="648"/>
      <c r="K23" s="648"/>
      <c r="L23" s="648"/>
      <c r="M23" s="648"/>
      <c r="N23" s="648"/>
      <c r="O23" s="648"/>
      <c r="P23" s="648"/>
      <c r="Q23" s="648"/>
      <c r="R23" s="648" t="str">
        <f>IF(OR(M02S03F06="",M02S03F07="",M02S03F08="",M02S03F09="",M02S03F10=""),"",M02S03F08)</f>
        <v/>
      </c>
      <c r="S23" s="648"/>
      <c r="T23" s="648"/>
      <c r="U23" s="648"/>
      <c r="V23" s="648"/>
      <c r="W23" s="1291" t="str">
        <f>IF(OR(M02S03F06="",M02S03F07="",M02S03F08="",M02S03F09="",M02S03F10=""),"",M02S03F09)</f>
        <v/>
      </c>
      <c r="X23" s="1291"/>
      <c r="Y23" s="1291"/>
      <c r="Z23" s="1291"/>
      <c r="AA23" s="1292"/>
      <c r="AB23" s="17"/>
      <c r="AC23" s="1287" t="str">
        <f>M3S7</f>
        <v>Water Heating / Food Services</v>
      </c>
      <c r="AD23" s="1288"/>
      <c r="AE23" s="1288"/>
      <c r="AF23" s="1288"/>
      <c r="AG23" s="1288"/>
      <c r="AH23" s="1288"/>
      <c r="AI23" s="1288"/>
      <c r="AJ23" s="1289">
        <f>COUNT('M03-S07'!$AO$18:$AQ$199)</f>
        <v>0</v>
      </c>
      <c r="AK23" s="1289">
        <f>COUNT('M03-S07'!$AO$18:$AQ$199)</f>
        <v>0</v>
      </c>
      <c r="AL23" s="1289">
        <f>COUNT('M03-S07'!$AO$18:$AQ$199)</f>
        <v>0</v>
      </c>
      <c r="AM23" s="1277">
        <f>SUM('M03-S07'!AR18:AU199)</f>
        <v>0</v>
      </c>
      <c r="AN23" s="1277"/>
      <c r="AO23" s="1277"/>
      <c r="AP23" s="1278"/>
    </row>
    <row r="24" spans="8:62" ht="15.95" customHeight="1">
      <c r="H24" s="1290" t="str">
        <f>IF(OR(M02S03F02="",M02S03F03="",M02S03F04="",M02S03F05=""),"",M02S03F03)</f>
        <v/>
      </c>
      <c r="I24" s="648"/>
      <c r="J24" s="648"/>
      <c r="K24" s="648"/>
      <c r="L24" s="648"/>
      <c r="M24" s="648" t="str">
        <f>IF(OR(M02S03F02="",M02S03F03="",M02S03F04="",M02S03F05=""),"",M02S03F04)</f>
        <v/>
      </c>
      <c r="N24" s="648"/>
      <c r="O24" s="648" t="str">
        <f>IF(OR(M02S03F02="",M02S03F03="",M02S03F04="",M02S03F05=""),"",M02S03F05)</f>
        <v/>
      </c>
      <c r="P24" s="648"/>
      <c r="Q24" s="648"/>
      <c r="R24" s="648" t="str">
        <f>IF(OR(M02S03F06="",M02S03F07="",M02S03F08="",M02S03F09="",M02S03F10=""),"",M02S03F10)</f>
        <v/>
      </c>
      <c r="S24" s="648"/>
      <c r="T24" s="648"/>
      <c r="U24" s="648"/>
      <c r="V24" s="648"/>
      <c r="W24" s="648"/>
      <c r="X24" s="648"/>
      <c r="Y24" s="648"/>
      <c r="Z24" s="648"/>
      <c r="AA24" s="1271"/>
      <c r="AB24" s="17"/>
      <c r="AC24" s="1310" t="s">
        <v>2773</v>
      </c>
      <c r="AD24" s="1311"/>
      <c r="AE24" s="1311"/>
      <c r="AF24" s="1311"/>
      <c r="AG24" s="1311"/>
      <c r="AH24" s="1311"/>
      <c r="AI24" s="1311"/>
      <c r="AJ24" s="1309" t="s">
        <v>1151</v>
      </c>
      <c r="AK24" s="1309"/>
      <c r="AL24" s="1309"/>
      <c r="AM24" s="1285" t="s">
        <v>1231</v>
      </c>
      <c r="AN24" s="1285"/>
      <c r="AO24" s="1285"/>
      <c r="AP24" s="1286"/>
    </row>
    <row r="25" spans="8:62" ht="15.95" customHeight="1">
      <c r="H25" s="1300" t="str">
        <f>M2S4</f>
        <v>Building Information</v>
      </c>
      <c r="I25" s="1301"/>
      <c r="J25" s="1301"/>
      <c r="K25" s="1301"/>
      <c r="L25" s="1301"/>
      <c r="M25" s="1301"/>
      <c r="N25" s="1301"/>
      <c r="O25" s="1301"/>
      <c r="P25" s="1301"/>
      <c r="Q25" s="1301"/>
      <c r="R25" s="1304" t="str">
        <f ca="1">IF(COMPBUILD&lt;&gt;1,"Incomplete","")</f>
        <v>Incomplete</v>
      </c>
      <c r="S25" s="1304"/>
      <c r="T25" s="1304"/>
      <c r="U25" s="1304"/>
      <c r="V25" s="1304"/>
      <c r="W25" s="1304"/>
      <c r="X25" s="1304"/>
      <c r="Y25" s="1305" t="s">
        <v>836</v>
      </c>
      <c r="Z25" s="1305"/>
      <c r="AA25" s="1306"/>
      <c r="AB25" s="17"/>
      <c r="AC25" s="1287" t="str">
        <f>M4S10</f>
        <v>Lighting</v>
      </c>
      <c r="AD25" s="1288"/>
      <c r="AE25" s="1288"/>
      <c r="AF25" s="1288"/>
      <c r="AG25" s="1288"/>
      <c r="AH25" s="1288"/>
      <c r="AI25" s="1288"/>
      <c r="AJ25" s="1298">
        <f>COUNT('M04-S10'!$AO$18:$AQ$199)</f>
        <v>0</v>
      </c>
      <c r="AK25" s="1298"/>
      <c r="AL25" s="1298"/>
      <c r="AM25" s="1275">
        <f>SUM('M04-S10'!AR18:AU184)</f>
        <v>0</v>
      </c>
      <c r="AN25" s="1275"/>
      <c r="AO25" s="1275"/>
      <c r="AP25" s="1276"/>
    </row>
    <row r="26" spans="8:62" ht="15.95" customHeight="1">
      <c r="H26" s="1290" t="str">
        <f>IF(M02S04F07="","Missing Site Name",M02S04F07)</f>
        <v>Missing Site Name</v>
      </c>
      <c r="I26" s="648"/>
      <c r="J26" s="648"/>
      <c r="K26" s="648"/>
      <c r="L26" s="648"/>
      <c r="M26" s="648"/>
      <c r="N26" s="648"/>
      <c r="O26" s="648"/>
      <c r="P26" s="648"/>
      <c r="Q26" s="648"/>
      <c r="R26" s="648" t="str">
        <f>IF(OR(M02S04F12="",M02S04F13="",M02S04F14="",M02S04F15="",M02S04F16=""),"Missing Contact Info",M02S04F12&amp;" "&amp;M02S04F13)</f>
        <v>Missing Contact Info</v>
      </c>
      <c r="S26" s="648"/>
      <c r="T26" s="648"/>
      <c r="U26" s="648"/>
      <c r="V26" s="648"/>
      <c r="W26" s="648"/>
      <c r="X26" s="648"/>
      <c r="Y26" s="648"/>
      <c r="Z26" s="648"/>
      <c r="AA26" s="1271"/>
      <c r="AB26" s="17"/>
      <c r="AC26" s="1287" t="str">
        <f>M4S13</f>
        <v>HVAC</v>
      </c>
      <c r="AD26" s="1288"/>
      <c r="AE26" s="1288"/>
      <c r="AF26" s="1288"/>
      <c r="AG26" s="1288"/>
      <c r="AH26" s="1288"/>
      <c r="AI26" s="1288"/>
      <c r="AJ26" s="1298">
        <f>COUNT('M04-S13'!$AO$18:$AQ$199)</f>
        <v>0</v>
      </c>
      <c r="AK26" s="1298"/>
      <c r="AL26" s="1298"/>
      <c r="AM26" s="1275">
        <f>SUM('M04-S13'!AR18:AU184)</f>
        <v>0</v>
      </c>
      <c r="AN26" s="1275"/>
      <c r="AO26" s="1275"/>
      <c r="AP26" s="1276"/>
    </row>
    <row r="27" spans="8:62" ht="15.95" customHeight="1">
      <c r="H27" s="1290" t="str">
        <f>IF(OR(M02S04F08="",M02S04F09="",M02S04F10="",M02S04F11=""),"Missing Address Info",M02S04F08)</f>
        <v>Missing Address Info</v>
      </c>
      <c r="I27" s="648"/>
      <c r="J27" s="648"/>
      <c r="K27" s="648"/>
      <c r="L27" s="648"/>
      <c r="M27" s="648"/>
      <c r="N27" s="648"/>
      <c r="O27" s="648"/>
      <c r="P27" s="648"/>
      <c r="Q27" s="648"/>
      <c r="R27" s="648" t="str">
        <f>IF(OR(M02S04F12="",M02S04F13="",M02S04F14="",M02S04F15="",M02S04F16=""),"",M02S04F14)</f>
        <v/>
      </c>
      <c r="S27" s="648"/>
      <c r="T27" s="648"/>
      <c r="U27" s="648"/>
      <c r="V27" s="648"/>
      <c r="W27" s="1291" t="str">
        <f>IF(OR(M02S04F12="",M02S04F13="",M02S04F14="",M02S04F15="",M02S04F16=""),"",M02S04F15)</f>
        <v/>
      </c>
      <c r="X27" s="1291"/>
      <c r="Y27" s="1291"/>
      <c r="Z27" s="1291"/>
      <c r="AA27" s="1292"/>
      <c r="AB27" s="17"/>
      <c r="AC27" s="1310" t="s">
        <v>819</v>
      </c>
      <c r="AD27" s="1311"/>
      <c r="AE27" s="1311"/>
      <c r="AF27" s="1311"/>
      <c r="AG27" s="1311"/>
      <c r="AH27" s="1311"/>
      <c r="AI27" s="1311"/>
      <c r="AJ27" s="1309" t="s">
        <v>1151</v>
      </c>
      <c r="AK27" s="1309"/>
      <c r="AL27" s="1309"/>
      <c r="AM27" s="1285" t="s">
        <v>1231</v>
      </c>
      <c r="AN27" s="1285"/>
      <c r="AO27" s="1285"/>
      <c r="AP27" s="1286"/>
    </row>
    <row r="28" spans="8:62" ht="15.95" customHeight="1">
      <c r="H28" s="1290" t="str">
        <f>IF(OR(M02S04F08="",M02S04F09="",M02S04F10="",M02S04F11=""),"",M02S04F09)</f>
        <v/>
      </c>
      <c r="I28" s="648"/>
      <c r="J28" s="648"/>
      <c r="K28" s="648"/>
      <c r="L28" s="648"/>
      <c r="M28" s="648" t="str">
        <f>IF(OR(M02S04F08="",M02S04F09="",M02S04F10="",M02S04F11=""),"",M02S04F10)</f>
        <v/>
      </c>
      <c r="N28" s="648"/>
      <c r="O28" s="648" t="str">
        <f>IF(OR(M02S04F08="",M02S04F09="",M02S04F10="",M02S04F11=""),"",M02S04F11)</f>
        <v/>
      </c>
      <c r="P28" s="648"/>
      <c r="Q28" s="648"/>
      <c r="R28" s="648" t="str">
        <f>IF(OR(M02S04F12="",M02S04F13="",M02S04F14="",M02S04F15="",M02S04F16=""),"",M02S04F16)</f>
        <v/>
      </c>
      <c r="S28" s="648"/>
      <c r="T28" s="648"/>
      <c r="U28" s="648"/>
      <c r="V28" s="648"/>
      <c r="W28" s="648"/>
      <c r="X28" s="648"/>
      <c r="Y28" s="648"/>
      <c r="Z28" s="648"/>
      <c r="AA28" s="1271"/>
      <c r="AB28" s="17"/>
      <c r="AC28" s="1287" t="str">
        <f>M4S2</f>
        <v>Lighting</v>
      </c>
      <c r="AD28" s="1288"/>
      <c r="AE28" s="1288"/>
      <c r="AF28" s="1288"/>
      <c r="AG28" s="1288"/>
      <c r="AH28" s="1288"/>
      <c r="AI28" s="1288"/>
      <c r="AJ28" s="1298">
        <f>COUNT('M04-S02'!$AO$18:$AQ$199)</f>
        <v>0</v>
      </c>
      <c r="AK28" s="1298">
        <f>COUNT('M04-S02'!$AO$18:$AQ$199)</f>
        <v>0</v>
      </c>
      <c r="AL28" s="1298">
        <f>COUNT('M04-S02'!$AO$18:$AQ$199)</f>
        <v>0</v>
      </c>
      <c r="AM28" s="1275">
        <f>SUM('M04-S02'!AR18:AU199)</f>
        <v>0</v>
      </c>
      <c r="AN28" s="1275"/>
      <c r="AO28" s="1275"/>
      <c r="AP28" s="1276"/>
    </row>
    <row r="29" spans="8:62" ht="15.95" customHeight="1">
      <c r="H29" s="92"/>
      <c r="AA29" s="91"/>
      <c r="AB29" s="17"/>
      <c r="AC29" s="1287" t="str">
        <f>M4S3</f>
        <v>Lighting Controls</v>
      </c>
      <c r="AD29" s="1288"/>
      <c r="AE29" s="1288"/>
      <c r="AF29" s="1288"/>
      <c r="AG29" s="1288"/>
      <c r="AH29" s="1288"/>
      <c r="AI29" s="1288"/>
      <c r="AJ29" s="1298">
        <f>COUNT('M04-S03'!$AO$18:$AQ$199)</f>
        <v>0</v>
      </c>
      <c r="AK29" s="1298">
        <f>COUNT('M04-S03'!$AO$18:$AQ$199)</f>
        <v>0</v>
      </c>
      <c r="AL29" s="1298">
        <f>COUNT('M04-S03'!$AO$18:$AQ$199)</f>
        <v>0</v>
      </c>
      <c r="AM29" s="1275">
        <f>SUM('M04-S03'!AR18:AU199)</f>
        <v>0</v>
      </c>
      <c r="AN29" s="1275"/>
      <c r="AO29" s="1275"/>
      <c r="AP29" s="1276"/>
    </row>
    <row r="30" spans="8:62" ht="15.95" customHeight="1">
      <c r="H30" s="89" t="str">
        <f>IF(OR(M02S04F18="",M02S04F19="",M02S04F20="",M02S04F21="",M02S04F22="",M02S04F23="",M02S04F24="",M02S04F25=""),"Missing Additional Info","Project ID: "&amp;M02S04F18)</f>
        <v>Missing Additional Info</v>
      </c>
      <c r="I30" s="83"/>
      <c r="J30" s="83"/>
      <c r="K30" s="83"/>
      <c r="L30" s="83"/>
      <c r="M30" s="83"/>
      <c r="N30" s="83"/>
      <c r="P30" s="83"/>
      <c r="Q30" s="83"/>
      <c r="R30" s="83" t="str">
        <f>IF(OR(M02S04F18="",M02S04F19="",M02S04F20="",M02S04F21="",M02S04F22="",M02S04F23="",M02S04F24="",M02S04F25=""),"","Space Conditioning: "&amp;M02S04F22)</f>
        <v/>
      </c>
      <c r="S30" s="83"/>
      <c r="T30" s="83"/>
      <c r="U30" s="83"/>
      <c r="V30" s="83"/>
      <c r="W30" s="83"/>
      <c r="X30" s="83"/>
      <c r="Y30" s="83"/>
      <c r="Z30" s="83"/>
      <c r="AA30" s="90"/>
      <c r="AB30" s="17"/>
      <c r="AC30" s="1287" t="str">
        <f>M4S4</f>
        <v>Refrigeration</v>
      </c>
      <c r="AD30" s="1288"/>
      <c r="AE30" s="1288"/>
      <c r="AF30" s="1288"/>
      <c r="AG30" s="1288"/>
      <c r="AH30" s="1288"/>
      <c r="AI30" s="1288"/>
      <c r="AJ30" s="1298">
        <f>COUNT('M04-S04'!$AO$18:$AQ$199)</f>
        <v>0</v>
      </c>
      <c r="AK30" s="1298">
        <f>COUNT('M04-S04'!$AO$18:$AQ$199)</f>
        <v>0</v>
      </c>
      <c r="AL30" s="1298">
        <f>COUNT('M04-S04'!$AO$18:$AQ$199)</f>
        <v>0</v>
      </c>
      <c r="AM30" s="1275">
        <f>SUM('M04-S04'!AR18:AU199)</f>
        <v>0</v>
      </c>
      <c r="AN30" s="1275"/>
      <c r="AO30" s="1275"/>
      <c r="AP30" s="1276"/>
    </row>
    <row r="31" spans="8:62" ht="15.95" customHeight="1">
      <c r="H31" s="89" t="str">
        <f>IF(OR(M02S04F18="",M02S04F19="",M02S04F20="",M02S04F21="",M02S04F22="",M02S04F23="",M02S04F24="",M02S04F25=""),"","Building Type: "&amp;M02S04F19)</f>
        <v/>
      </c>
      <c r="I31" s="83"/>
      <c r="J31" s="83"/>
      <c r="K31" s="83"/>
      <c r="L31" s="83"/>
      <c r="M31" s="83"/>
      <c r="N31" s="83"/>
      <c r="P31" s="83"/>
      <c r="Q31" s="83"/>
      <c r="R31" s="83" t="str">
        <f>IF(OR(M02S04F18="",M02S04F19="",M02S04F20="",M02S04F21="",M02S04F22="",M02S04F23="",M02S04F24="",M02S04F25=""),"","Project Description: Complete")</f>
        <v/>
      </c>
      <c r="S31" s="83"/>
      <c r="T31" s="83"/>
      <c r="U31" s="83"/>
      <c r="V31" s="83"/>
      <c r="W31" s="83"/>
      <c r="X31" s="83"/>
      <c r="Y31" s="83"/>
      <c r="Z31" s="83"/>
      <c r="AA31" s="90"/>
      <c r="AB31" s="17"/>
      <c r="AC31" s="1287" t="str">
        <f>M4S5</f>
        <v>HVAC</v>
      </c>
      <c r="AD31" s="1288"/>
      <c r="AE31" s="1288"/>
      <c r="AF31" s="1288"/>
      <c r="AG31" s="1288"/>
      <c r="AH31" s="1288"/>
      <c r="AI31" s="1288"/>
      <c r="AJ31" s="1298">
        <f>COUNT('M04-S05'!$AO$18:$AQ$199)</f>
        <v>0</v>
      </c>
      <c r="AK31" s="1298">
        <f>COUNT('M04-S05'!$AO$18:$AQ$199)</f>
        <v>0</v>
      </c>
      <c r="AL31" s="1298">
        <f>COUNT('M04-S05'!$AO$18:$AQ$199)</f>
        <v>0</v>
      </c>
      <c r="AM31" s="1275">
        <f>SUM('M04-S05'!AR18:AU199)</f>
        <v>0</v>
      </c>
      <c r="AN31" s="1275"/>
      <c r="AO31" s="1275"/>
      <c r="AP31" s="1276"/>
    </row>
    <row r="32" spans="8:62" ht="15.95" customHeight="1">
      <c r="H32" s="1290" t="str">
        <f>IF(OR(M02S04F18="",M02S04F19="",M02S04F20="",M02S04F21="",M02S04F22="",M02S04F23="",M02S04F24="",M02S04F25=""),"","Op Hours: "&amp;M02S04F20)</f>
        <v/>
      </c>
      <c r="I32" s="648"/>
      <c r="J32" s="648"/>
      <c r="K32" s="648"/>
      <c r="L32" s="648"/>
      <c r="M32" s="83"/>
      <c r="N32" s="83"/>
      <c r="P32" s="83"/>
      <c r="Q32" s="83"/>
      <c r="R32" s="83" t="str">
        <f>IF(OR(M02S04F18="",M02S04F19="",M02S04F20="",M02S04F21="",M02S04F22="",M02S04F23="",M02S04F24="",M02S04F25=""),"","Evergy Contact: "&amp;M02S04F24)</f>
        <v/>
      </c>
      <c r="S32" s="83"/>
      <c r="T32" s="83"/>
      <c r="U32" s="83"/>
      <c r="V32" s="83"/>
      <c r="W32" s="83"/>
      <c r="X32" s="83"/>
      <c r="Y32" s="83"/>
      <c r="Z32" s="83"/>
      <c r="AA32" s="90"/>
      <c r="AB32" s="17"/>
      <c r="AC32" s="1287" t="str">
        <f>M4S8</f>
        <v>Motors and Drives</v>
      </c>
      <c r="AD32" s="1288"/>
      <c r="AE32" s="1288"/>
      <c r="AF32" s="1288"/>
      <c r="AG32" s="1288"/>
      <c r="AH32" s="1288"/>
      <c r="AI32" s="1288"/>
      <c r="AJ32" s="1298">
        <f>COUNT('M04-S08'!$AO$18:$AQ$199)</f>
        <v>0</v>
      </c>
      <c r="AK32" s="1298">
        <f>COUNT('M04-S08'!$AO$18:$AQ$199)</f>
        <v>0</v>
      </c>
      <c r="AL32" s="1298">
        <f>COUNT('M04-S08'!$AO$18:$AQ$199)</f>
        <v>0</v>
      </c>
      <c r="AM32" s="1275">
        <f>SUM('M04-S08'!AR18:AU199)</f>
        <v>0</v>
      </c>
      <c r="AN32" s="1275"/>
      <c r="AO32" s="1275"/>
      <c r="AP32" s="1276"/>
    </row>
    <row r="33" spans="8:45" ht="15.95" customHeight="1">
      <c r="H33" s="89" t="str">
        <f>IF(OR(M02S04F18="",M02S04F19="",M02S04F20="",M02S04F21="",M02S04F22="",M02S04F23="",M02S04F24="",M02S04F25=""),"","Sq Ft: "&amp;M02S04F21)</f>
        <v/>
      </c>
      <c r="I33" s="83"/>
      <c r="J33" s="83"/>
      <c r="K33" s="83"/>
      <c r="L33" s="83"/>
      <c r="M33" s="83"/>
      <c r="N33" s="83"/>
      <c r="P33" s="83"/>
      <c r="Q33" s="83"/>
      <c r="R33" s="83" t="str">
        <f>IF(OR(M02S04F18="",M02S04F19="",M02S04F20="",M02S04F21="",M02S04F22="",M02S04F23="",M02S04F24="",M02S04F25=""),"","How did you hear?: "&amp;M02S04F25)</f>
        <v/>
      </c>
      <c r="S33" s="83"/>
      <c r="T33" s="83"/>
      <c r="U33" s="83"/>
      <c r="V33" s="83"/>
      <c r="W33" s="83"/>
      <c r="X33" s="83"/>
      <c r="Y33" s="83"/>
      <c r="Z33" s="83"/>
      <c r="AA33" s="90"/>
      <c r="AB33" s="17"/>
      <c r="AC33" s="1287" t="str">
        <f>M4S6</f>
        <v>Compressed Air / Process</v>
      </c>
      <c r="AD33" s="1288"/>
      <c r="AE33" s="1288"/>
      <c r="AF33" s="1288"/>
      <c r="AG33" s="1288"/>
      <c r="AH33" s="1288"/>
      <c r="AI33" s="1288"/>
      <c r="AJ33" s="1298">
        <f>COUNT('M04-S06'!$AO$18:$AQ$199)</f>
        <v>0</v>
      </c>
      <c r="AK33" s="1298">
        <f>COUNT('M04-S06'!$AO$18:$AQ$199)</f>
        <v>0</v>
      </c>
      <c r="AL33" s="1298">
        <f>COUNT('M04-S06'!$AO$18:$AQ$199)</f>
        <v>0</v>
      </c>
      <c r="AM33" s="1275">
        <f>SUM('M04-S06'!AR18:AU199)</f>
        <v>0</v>
      </c>
      <c r="AN33" s="1275"/>
      <c r="AO33" s="1275"/>
      <c r="AP33" s="1276"/>
    </row>
    <row r="34" spans="8:45" ht="15.95" customHeight="1">
      <c r="H34" s="1300" t="str">
        <f>M5S1</f>
        <v>Payment</v>
      </c>
      <c r="I34" s="1301"/>
      <c r="J34" s="1301"/>
      <c r="K34" s="1301"/>
      <c r="L34" s="1301"/>
      <c r="M34" s="1301"/>
      <c r="N34" s="1301"/>
      <c r="O34" s="1301"/>
      <c r="P34" s="1301"/>
      <c r="Q34" s="1301"/>
      <c r="R34" s="1304" t="str">
        <f ca="1">IF(COMPPAY&lt;&gt;1,"Incomplete","")</f>
        <v>Incomplete</v>
      </c>
      <c r="S34" s="1304"/>
      <c r="T34" s="1304"/>
      <c r="U34" s="1304"/>
      <c r="V34" s="1304"/>
      <c r="W34" s="1304"/>
      <c r="X34" s="1304"/>
      <c r="Y34" s="1305" t="s">
        <v>836</v>
      </c>
      <c r="Z34" s="1305"/>
      <c r="AA34" s="1306"/>
      <c r="AB34" s="17"/>
      <c r="AC34" s="1287" t="str">
        <f>M4S7</f>
        <v>Water Heating / Food Services</v>
      </c>
      <c r="AD34" s="1288"/>
      <c r="AE34" s="1288"/>
      <c r="AF34" s="1288"/>
      <c r="AG34" s="1288"/>
      <c r="AH34" s="1288"/>
      <c r="AI34" s="1288"/>
      <c r="AJ34" s="1298">
        <f>COUNT('M04-S07'!$AO$18:$AQ$199)</f>
        <v>0</v>
      </c>
      <c r="AK34" s="1298">
        <f>COUNT('M04-S07'!$AO$18:$AQ$199)</f>
        <v>0</v>
      </c>
      <c r="AL34" s="1298">
        <f>COUNT('M04-S07'!$AO$18:$AQ$199)</f>
        <v>0</v>
      </c>
      <c r="AM34" s="1275">
        <f>SUM('M04-S07'!AR18:AU199)</f>
        <v>0</v>
      </c>
      <c r="AN34" s="1275"/>
      <c r="AO34" s="1275"/>
      <c r="AP34" s="1276"/>
    </row>
    <row r="35" spans="8:45" ht="15.95" customHeight="1">
      <c r="H35" s="1290" t="str">
        <f>IF(OR(M05S01F02=0,M05S01F02=""),"Missing Company Name",M05S01F02)</f>
        <v>Missing Company Name</v>
      </c>
      <c r="I35" s="648"/>
      <c r="J35" s="648"/>
      <c r="K35" s="648"/>
      <c r="L35" s="648"/>
      <c r="M35" s="648"/>
      <c r="N35" s="648"/>
      <c r="O35" s="648"/>
      <c r="P35" s="648"/>
      <c r="Q35" s="648"/>
      <c r="R35" s="648" t="str">
        <f>IF(OR(M05S01F07=0,M05S01F08=0,M05S01F09=0,M05S01F10=0,M05S01F07="",M05S01F08="",M05S01F09="",M05S01F10=""),"Missing Contact Info",M05S01F07&amp;" "&amp;M05S01F08)</f>
        <v>Missing Contact Info</v>
      </c>
      <c r="S35" s="648"/>
      <c r="T35" s="648"/>
      <c r="U35" s="648"/>
      <c r="V35" s="648"/>
      <c r="W35" s="648"/>
      <c r="X35" s="648"/>
      <c r="Y35" s="648"/>
      <c r="Z35" s="648"/>
      <c r="AA35" s="1271"/>
      <c r="AB35" s="17"/>
      <c r="AC35" s="1287" t="str">
        <f>M4S9</f>
        <v>Miscellaneous</v>
      </c>
      <c r="AD35" s="1288"/>
      <c r="AE35" s="1288"/>
      <c r="AF35" s="1288"/>
      <c r="AG35" s="1288"/>
      <c r="AH35" s="1288"/>
      <c r="AI35" s="1288"/>
      <c r="AJ35" s="1289">
        <f>COUNT('M04-S09'!$AO$18:$AQ$199)</f>
        <v>0</v>
      </c>
      <c r="AK35" s="1289">
        <f>COUNT('M04-S09'!$AO$18:$AQ$199)</f>
        <v>0</v>
      </c>
      <c r="AL35" s="1289">
        <f>COUNT('M04-S09'!$AO$18:$AQ$199)</f>
        <v>0</v>
      </c>
      <c r="AM35" s="1277">
        <f>SUM('M04-S09'!AR18:AU199)</f>
        <v>0</v>
      </c>
      <c r="AN35" s="1277"/>
      <c r="AO35" s="1277"/>
      <c r="AP35" s="1278"/>
    </row>
    <row r="36" spans="8:45" ht="15.95" customHeight="1">
      <c r="H36" s="1290" t="str">
        <f>IF(OR(M05S01F03=0,M05S01F04=0,M05S01F05=0,M05S01F06=0,M05S01F03="",M05S01F04="",M05S01F05="",M05S01F06=""),"Missing Address Info",M05S01F03)</f>
        <v>Missing Address Info</v>
      </c>
      <c r="I36" s="648"/>
      <c r="J36" s="648"/>
      <c r="K36" s="648"/>
      <c r="L36" s="648"/>
      <c r="M36" s="648"/>
      <c r="N36" s="648"/>
      <c r="O36" s="648"/>
      <c r="P36" s="648"/>
      <c r="Q36" s="648"/>
      <c r="R36" s="1291" t="str">
        <f>IF(OR(M05S01F07=0,M05S01F08=0,M05S01F09=0,M05S01F10=0,M05S01F07="",M05S01F08="",M05S01F09="",M05S01F10=""),"",M05S01F09)</f>
        <v/>
      </c>
      <c r="S36" s="1291"/>
      <c r="T36" s="1291"/>
      <c r="U36" s="1291"/>
      <c r="V36" s="1291"/>
      <c r="AA36" s="91"/>
      <c r="AC36" s="1296" t="s">
        <v>1279</v>
      </c>
      <c r="AD36" s="1297"/>
      <c r="AE36" s="1297"/>
      <c r="AF36" s="1297"/>
      <c r="AG36" s="1297"/>
      <c r="AH36" s="1297"/>
      <c r="AI36" s="1297"/>
      <c r="AJ36" s="1297"/>
      <c r="AK36" s="1297"/>
      <c r="AL36" s="1297"/>
      <c r="AM36" s="1279">
        <f>SUM(AM18:AP23,AM25:AP26,AM28:AP35)</f>
        <v>0</v>
      </c>
      <c r="AN36" s="1279"/>
      <c r="AO36" s="1279"/>
      <c r="AP36" s="1280"/>
      <c r="AQ36" s="261"/>
      <c r="AR36" s="261"/>
      <c r="AS36" s="261"/>
    </row>
    <row r="37" spans="8:45" ht="15.95" customHeight="1">
      <c r="H37" s="1290" t="str">
        <f>IF(OR(M05S01F03=0,M05S01F04=0,M05S01F05=0,M05S01F06=0,M05S01F03="",M05S01F04="",M05S01F05="",M05S01F06=""),"",M05S01F04)</f>
        <v/>
      </c>
      <c r="I37" s="648"/>
      <c r="J37" s="648"/>
      <c r="K37" s="648"/>
      <c r="L37" s="648"/>
      <c r="M37" s="648" t="str">
        <f>IF(OR(M05S01F03=0,M05S01F04=0,M05S01F05=0,M05S01F06=0,M05S01F03="",M05S01F04="",M05S01F05="",M05S01F06=""),"",M05S01F05)</f>
        <v/>
      </c>
      <c r="N37" s="648"/>
      <c r="O37" s="648" t="str">
        <f>IF(OR(M05S01F03=0,M05S01F04=0,M05S01F05=0,M05S01F06=0,M05S01F03="",M05S01F04="",M05S01F05="",M05S01F06=""),"",M05S01F06)</f>
        <v/>
      </c>
      <c r="P37" s="648"/>
      <c r="Q37" s="648"/>
      <c r="R37" s="648" t="str">
        <f>IF(OR(M05S01F07=0,M05S01F08=0,M05S01F09=0,M05S01F10=0,M05S01F07="",M05S01F08="",M05S01F09="",M05S01F10=""),"",M05S01F10)</f>
        <v/>
      </c>
      <c r="S37" s="648"/>
      <c r="T37" s="648"/>
      <c r="U37" s="648"/>
      <c r="V37" s="648"/>
      <c r="W37" s="648"/>
      <c r="X37" s="648"/>
      <c r="Y37" s="648"/>
      <c r="Z37" s="648"/>
      <c r="AA37" s="1271"/>
      <c r="AC37" s="1269" t="str">
        <f>IF(AM36&gt;250000,"The total incentive total exceeds $250,000. This project may be subject to a reduced rate upon review.","")</f>
        <v/>
      </c>
      <c r="AD37" s="1269"/>
      <c r="AE37" s="1269"/>
      <c r="AF37" s="1269"/>
      <c r="AG37" s="1269"/>
      <c r="AH37" s="1269"/>
      <c r="AI37" s="1269"/>
      <c r="AJ37" s="1269"/>
      <c r="AK37" s="1269"/>
      <c r="AL37" s="1269"/>
      <c r="AM37" s="1269"/>
      <c r="AN37" s="1269"/>
      <c r="AO37" s="1269"/>
      <c r="AP37" s="1269"/>
      <c r="AQ37" s="261"/>
      <c r="AR37" s="261"/>
      <c r="AS37" s="261"/>
    </row>
    <row r="38" spans="8:45" ht="15.95" customHeight="1">
      <c r="H38" s="92"/>
      <c r="I38" s="83"/>
      <c r="J38" s="83"/>
      <c r="K38" s="83"/>
      <c r="N38" s="83"/>
      <c r="O38" s="83"/>
      <c r="P38" s="83"/>
      <c r="Q38" s="83"/>
      <c r="T38" s="83"/>
      <c r="U38" s="83"/>
      <c r="V38" s="83"/>
      <c r="W38" s="83"/>
      <c r="X38" s="83"/>
      <c r="Y38" s="83"/>
      <c r="Z38" s="83"/>
      <c r="AA38" s="90"/>
      <c r="AC38" s="1270"/>
      <c r="AD38" s="1270"/>
      <c r="AE38" s="1270"/>
      <c r="AF38" s="1270"/>
      <c r="AG38" s="1270"/>
      <c r="AH38" s="1270"/>
      <c r="AI38" s="1270"/>
      <c r="AJ38" s="1270"/>
      <c r="AK38" s="1270"/>
      <c r="AL38" s="1270"/>
      <c r="AM38" s="1270"/>
      <c r="AN38" s="1270"/>
      <c r="AO38" s="1270"/>
      <c r="AP38" s="1270"/>
    </row>
    <row r="39" spans="8:45" ht="15.95" customHeight="1" thickBot="1">
      <c r="H39" s="89" t="s">
        <v>834</v>
      </c>
      <c r="I39" s="83"/>
      <c r="J39" s="83"/>
      <c r="K39" s="83"/>
      <c r="L39" s="83"/>
      <c r="M39" s="83"/>
      <c r="N39" s="83"/>
      <c r="O39" s="83"/>
      <c r="P39" s="83"/>
      <c r="Q39" s="83"/>
      <c r="S39" s="83"/>
      <c r="T39" s="83"/>
      <c r="U39" s="83"/>
      <c r="V39" s="83"/>
      <c r="W39" s="83"/>
      <c r="X39" s="83"/>
      <c r="Y39" s="83"/>
      <c r="Z39" s="83"/>
      <c r="AA39" s="90"/>
      <c r="AB39" s="17"/>
      <c r="AD39" s="83" t="s">
        <v>1047</v>
      </c>
      <c r="AE39" s="17"/>
      <c r="AF39" s="17"/>
      <c r="AG39" s="17"/>
      <c r="AH39" s="17"/>
      <c r="AJ39" s="264"/>
      <c r="AK39" s="83" t="s">
        <v>1048</v>
      </c>
      <c r="AL39" s="17"/>
      <c r="AM39" s="17"/>
      <c r="AN39" s="17"/>
      <c r="AO39" s="17"/>
    </row>
    <row r="40" spans="8:45" ht="15.95" customHeight="1" thickBot="1">
      <c r="H40" s="93" t="str">
        <f>IF(M05S01F11="","Missing Tax Entity","Tax Entity: "&amp;M05S01F11)</f>
        <v>Missing Tax Entity</v>
      </c>
      <c r="I40" s="94"/>
      <c r="J40" s="94"/>
      <c r="K40" s="94"/>
      <c r="L40" s="94"/>
      <c r="M40" s="94"/>
      <c r="N40" s="94"/>
      <c r="O40" s="94"/>
      <c r="P40" s="94" t="str">
        <f>IF(OR(M05S01F12="",M05S01F13=""),"Missing Tax ID","Tax ID: "&amp;M05S01F12&amp;"-"&amp;M05S01F13)</f>
        <v>Missing Tax ID</v>
      </c>
      <c r="Q40" s="94"/>
      <c r="R40" s="223"/>
      <c r="S40" s="94"/>
      <c r="T40" s="94"/>
      <c r="U40" s="94" t="str">
        <f>IF(AND(M05S01F01="Site (Bill Credit)",M05S01F14=""),"Missing Bill Credit Account",IF(AND(M05S01F01="Site (Bill Credit)",M05S01F14&lt;&gt;""),"Bill Credit Account: "&amp;M05S01F14,""))</f>
        <v/>
      </c>
      <c r="V40" s="94"/>
      <c r="W40" s="94"/>
      <c r="X40" s="94"/>
      <c r="Y40" s="94"/>
      <c r="Z40" s="94"/>
      <c r="AA40" s="95"/>
      <c r="AB40" s="17"/>
      <c r="AD40" s="1293"/>
      <c r="AE40" s="1294"/>
      <c r="AF40" s="1294"/>
      <c r="AG40" s="1294"/>
      <c r="AH40" s="1295"/>
      <c r="AJ40" s="264"/>
      <c r="AK40" s="1293"/>
      <c r="AL40" s="1294"/>
      <c r="AM40" s="1294"/>
      <c r="AN40" s="1294"/>
      <c r="AO40" s="1295"/>
    </row>
    <row r="41" spans="8:45" ht="15.95" customHeight="1">
      <c r="AB41" s="17"/>
      <c r="AC41" s="264"/>
      <c r="AD41" s="1270" t="s">
        <v>1674</v>
      </c>
      <c r="AE41" s="1270"/>
      <c r="AF41" s="1270"/>
      <c r="AG41" s="1270"/>
      <c r="AH41" s="1270"/>
      <c r="AI41" s="1270"/>
      <c r="AJ41" s="1270"/>
      <c r="AK41" s="1270"/>
      <c r="AL41" s="1270"/>
      <c r="AM41" s="1270"/>
      <c r="AN41" s="1270"/>
      <c r="AO41" s="1270"/>
      <c r="AP41" s="263"/>
    </row>
    <row r="42" spans="8:45" ht="15.95" customHeight="1">
      <c r="AD42" s="1270"/>
      <c r="AE42" s="1270"/>
      <c r="AF42" s="1270"/>
      <c r="AG42" s="1270"/>
      <c r="AH42" s="1270"/>
      <c r="AI42" s="1270"/>
      <c r="AJ42" s="1270"/>
      <c r="AK42" s="1270"/>
      <c r="AL42" s="1270"/>
      <c r="AM42" s="1270"/>
      <c r="AN42" s="1270"/>
      <c r="AO42" s="1270"/>
      <c r="AP42" s="263"/>
    </row>
    <row r="43" spans="8:45" ht="15.95" customHeight="1">
      <c r="AS43" s="262"/>
    </row>
    <row r="44" spans="8:45" ht="15.95" hidden="1" customHeight="1"/>
    <row r="45" spans="8:45" ht="15.95" hidden="1" customHeight="1"/>
    <row r="46" spans="8:45" ht="15.95" hidden="1" customHeight="1"/>
    <row r="47" spans="8:45" ht="15.95" hidden="1" customHeight="1"/>
    <row r="48" spans="8:45" ht="15.95" hidden="1" customHeight="1"/>
    <row r="49" spans="45:45" ht="15.95" hidden="1" customHeight="1"/>
    <row r="50" spans="45:45" ht="15.95" hidden="1" customHeight="1">
      <c r="AS50" s="17"/>
    </row>
    <row r="51" spans="45:45" ht="15.95" hidden="1" customHeight="1">
      <c r="AS51" s="17"/>
    </row>
    <row r="52" spans="45:45" ht="15.95" hidden="1" customHeight="1">
      <c r="AS52" s="17"/>
    </row>
    <row r="53" spans="45:45" ht="15.95" hidden="1" customHeight="1">
      <c r="AS53" s="17"/>
    </row>
    <row r="54" spans="45:45" ht="15.95" hidden="1" customHeight="1">
      <c r="AS54" s="17"/>
    </row>
    <row r="55" spans="45:45" ht="15.95" hidden="1" customHeight="1">
      <c r="AS55" s="17"/>
    </row>
    <row r="56" spans="45:45" ht="15.95" hidden="1" customHeight="1"/>
    <row r="57" spans="45:45" ht="15.95" hidden="1" customHeight="1"/>
    <row r="58" spans="45:45" ht="15.95" hidden="1" customHeight="1"/>
    <row r="59" spans="45:45" ht="15.95" hidden="1" customHeight="1"/>
    <row r="60" spans="45:45" ht="15.95" hidden="1" customHeight="1"/>
    <row r="61" spans="45:45" ht="15.95" hidden="1" customHeight="1"/>
    <row r="62" spans="45:45" ht="15.95" hidden="1" customHeight="1"/>
    <row r="63" spans="45:45" ht="15.95" hidden="1" customHeight="1"/>
    <row r="64" spans="45: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49" ht="15.95" hidden="1" customHeight="1"/>
  </sheetData>
  <sheetProtection algorithmName="SHA-512" hashValue="Da8w+/fxhRel63tTsUfbd5aA5/YuhK/MW5E2jvkeCzbgQEVBfxB+ABPHCm8fPC4mzH6k+bLXkYN/mAlxTDp7QA==" saltValue="ynT4rIQOkUNxdk5HWnBz7g==" spinCount="100000" sheet="1" objects="1" scenarios="1" selectLockedCells="1"/>
  <mergeCells count="136">
    <mergeCell ref="AM24:AP24"/>
    <mergeCell ref="AC25:AI25"/>
    <mergeCell ref="AJ25:AL25"/>
    <mergeCell ref="AM25:AP25"/>
    <mergeCell ref="AC26:AI26"/>
    <mergeCell ref="AJ26:AL26"/>
    <mergeCell ref="AM26:AP26"/>
    <mergeCell ref="F1:I3"/>
    <mergeCell ref="J1:M3"/>
    <mergeCell ref="AL1:AO3"/>
    <mergeCell ref="AP1:AS3"/>
    <mergeCell ref="AT1:AW3"/>
    <mergeCell ref="AJ18:AL18"/>
    <mergeCell ref="AC17:AI17"/>
    <mergeCell ref="AC18:AI18"/>
    <mergeCell ref="Y14:AA14"/>
    <mergeCell ref="AM17:AP17"/>
    <mergeCell ref="A9:AW10"/>
    <mergeCell ref="AS5:AW6"/>
    <mergeCell ref="AS7:AW7"/>
    <mergeCell ref="AS8:AW8"/>
    <mergeCell ref="AN16:AP16"/>
    <mergeCell ref="AJ17:AL17"/>
    <mergeCell ref="A4:E6"/>
    <mergeCell ref="A7:E8"/>
    <mergeCell ref="N1:T3"/>
    <mergeCell ref="U1:AK3"/>
    <mergeCell ref="R35:AA35"/>
    <mergeCell ref="H36:Q36"/>
    <mergeCell ref="R36:V36"/>
    <mergeCell ref="R34:X34"/>
    <mergeCell ref="H34:Q34"/>
    <mergeCell ref="R23:V23"/>
    <mergeCell ref="W23:AA23"/>
    <mergeCell ref="H24:L24"/>
    <mergeCell ref="M24:N24"/>
    <mergeCell ref="O24:Q24"/>
    <mergeCell ref="R24:AA24"/>
    <mergeCell ref="H26:Q26"/>
    <mergeCell ref="R26:AA26"/>
    <mergeCell ref="R25:X25"/>
    <mergeCell ref="H25:Q25"/>
    <mergeCell ref="Y34:AA34"/>
    <mergeCell ref="H32:L32"/>
    <mergeCell ref="AJ29:AL29"/>
    <mergeCell ref="AJ30:AL30"/>
    <mergeCell ref="AC19:AI19"/>
    <mergeCell ref="AJ27:AL27"/>
    <mergeCell ref="H28:L28"/>
    <mergeCell ref="Y21:AA21"/>
    <mergeCell ref="Y25:AA25"/>
    <mergeCell ref="M28:N28"/>
    <mergeCell ref="O28:Q28"/>
    <mergeCell ref="R28:AA28"/>
    <mergeCell ref="H22:Q22"/>
    <mergeCell ref="R21:X21"/>
    <mergeCell ref="H21:Q21"/>
    <mergeCell ref="H23:Q23"/>
    <mergeCell ref="R22:AA22"/>
    <mergeCell ref="AC27:AI27"/>
    <mergeCell ref="AC28:AI28"/>
    <mergeCell ref="AC29:AI29"/>
    <mergeCell ref="AC24:AI24"/>
    <mergeCell ref="AJ24:AL24"/>
    <mergeCell ref="AJ34:AL34"/>
    <mergeCell ref="AJ35:AL35"/>
    <mergeCell ref="AJ31:AL31"/>
    <mergeCell ref="AJ32:AL32"/>
    <mergeCell ref="AJ33:AL33"/>
    <mergeCell ref="R14:X14"/>
    <mergeCell ref="H16:Q16"/>
    <mergeCell ref="H14:Q14"/>
    <mergeCell ref="R16:X16"/>
    <mergeCell ref="H17:Q17"/>
    <mergeCell ref="O19:Q19"/>
    <mergeCell ref="M19:N19"/>
    <mergeCell ref="H19:L19"/>
    <mergeCell ref="W17:AA17"/>
    <mergeCell ref="Y16:AA16"/>
    <mergeCell ref="R18:AA18"/>
    <mergeCell ref="H18:Q18"/>
    <mergeCell ref="Y15:AA15"/>
    <mergeCell ref="H15:P15"/>
    <mergeCell ref="Q15:X15"/>
    <mergeCell ref="AJ19:AL19"/>
    <mergeCell ref="AJ20:AL20"/>
    <mergeCell ref="AC20:AI20"/>
    <mergeCell ref="AJ28:AL28"/>
    <mergeCell ref="O200:AI201"/>
    <mergeCell ref="AC21:AI21"/>
    <mergeCell ref="AJ21:AL21"/>
    <mergeCell ref="AC22:AI22"/>
    <mergeCell ref="AJ22:AL22"/>
    <mergeCell ref="AC23:AI23"/>
    <mergeCell ref="AJ23:AL23"/>
    <mergeCell ref="H27:Q27"/>
    <mergeCell ref="R27:V27"/>
    <mergeCell ref="W27:AA27"/>
    <mergeCell ref="AD40:AH40"/>
    <mergeCell ref="AK40:AO40"/>
    <mergeCell ref="AC30:AI30"/>
    <mergeCell ref="AC31:AI31"/>
    <mergeCell ref="AC32:AI32"/>
    <mergeCell ref="AC33:AI33"/>
    <mergeCell ref="AC34:AI34"/>
    <mergeCell ref="AC35:AI35"/>
    <mergeCell ref="H37:L37"/>
    <mergeCell ref="M37:N37"/>
    <mergeCell ref="O37:Q37"/>
    <mergeCell ref="R37:AA37"/>
    <mergeCell ref="H35:Q35"/>
    <mergeCell ref="AC36:AL36"/>
    <mergeCell ref="AC37:AP38"/>
    <mergeCell ref="AD41:AO42"/>
    <mergeCell ref="R17:V17"/>
    <mergeCell ref="R19:V19"/>
    <mergeCell ref="W19:AA19"/>
    <mergeCell ref="R20:AA20"/>
    <mergeCell ref="H11:AM12"/>
    <mergeCell ref="AM29:AP29"/>
    <mergeCell ref="AM30:AP30"/>
    <mergeCell ref="AM31:AP31"/>
    <mergeCell ref="AM32:AP32"/>
    <mergeCell ref="AM33:AP33"/>
    <mergeCell ref="AM34:AP34"/>
    <mergeCell ref="AM35:AP35"/>
    <mergeCell ref="AM36:AP36"/>
    <mergeCell ref="AC16:AM16"/>
    <mergeCell ref="AM18:AP18"/>
    <mergeCell ref="AM19:AP19"/>
    <mergeCell ref="AM20:AP20"/>
    <mergeCell ref="AM21:AP21"/>
    <mergeCell ref="AM22:AP22"/>
    <mergeCell ref="AM23:AP23"/>
    <mergeCell ref="AM27:AP27"/>
    <mergeCell ref="AM28:AP28"/>
  </mergeCells>
  <conditionalFormatting sqref="H15:AA15 H17:R17 H18:AA18 H22:AA24 H26:AA28 H30:N33 P30:AA33 H35:AA39 H40:Q40 S40:AA40">
    <cfRule type="expression" dxfId="43" priority="5">
      <formula>IF(ISNUMBER(SEARCH("Missing",H15)),TRUE,FALSE)</formula>
    </cfRule>
  </conditionalFormatting>
  <conditionalFormatting sqref="W17:AA20 H19:R19 R20:V20">
    <cfRule type="expression" dxfId="42" priority="1">
      <formula>IF(ISNUMBER(SEARCH("Missing",H17)),TRUE,FALSE)</formula>
    </cfRule>
  </conditionalFormatting>
  <conditionalFormatting sqref="AD40:AH40 AK40:AO40">
    <cfRule type="expression" dxfId="41" priority="3">
      <formula>IF(OR(AND(MEASTOTALCUSE=0, INCENTOTAL &lt;=INCPREAPPROVAL), ACTIVECOMPL="Yes"),TRUE,FALSE)</formula>
    </cfRule>
  </conditionalFormatting>
  <conditionalFormatting sqref="AK39:AK40 AD39:AD41">
    <cfRule type="expression" dxfId="40" priority="2">
      <formula>IF(OR(AND(MEASTOTALCUSE = 0, INCENTOTAL &lt;= INCPREAPPROVAL), ACTIVECOMPL = "Yes"),FALSE,TRUE)</formula>
    </cfRule>
  </conditionalFormatting>
  <conditionalFormatting sqref="AS8:AW8">
    <cfRule type="expression" dxfId="39" priority="4">
      <formula>IF($AS$8=PROJSTATMEASURE,FALSE,TRUE)</formula>
    </cfRule>
  </conditionalFormatting>
  <dataValidations count="1">
    <dataValidation type="date" operator="greaterThan" allowBlank="1" showInputMessage="1" showErrorMessage="1" error="Please enter date. Format: xx/xx/xxx" sqref="AK40:AO40 AD40:AH40" xr:uid="{A952109B-74A0-43D6-B998-6FE30A8DBAD9}">
      <formula1>36526</formula1>
    </dataValidation>
  </dataValidations>
  <hyperlinks>
    <hyperlink ref="AC18:AI18" location="'M03-S02'!C18" tooltip="View: Standard Lighting" display="'M03-S02'!C18" xr:uid="{3CFB549D-7AF9-4D68-A1B8-48C95289CBAD}"/>
    <hyperlink ref="AC19:AI19" location="'M03-S03'!C18" tooltip="View: Lighting Controls" display="'M03-S03'!C18" xr:uid="{B695D4D9-D0D6-466C-B634-066248DBD00D}"/>
    <hyperlink ref="AC20:AI20" location="'M03-S04'!C18" tooltip="View: Standard Refrigeration" display="'M03-S04'!C18" xr:uid="{8BB9FBEE-F7F8-40AC-97E4-AA84C02B0B8A}"/>
    <hyperlink ref="AC21:AI21" location="'M03-S08'!C18" tooltip="View: Standard Motors and Drives" display="'M03-S08'!C18" xr:uid="{8DEE1A84-9D57-41AE-BE8E-E36DEE1DBDB6}"/>
    <hyperlink ref="AC22:AI22" location="'M03-S06'!C18" tooltip="View: Standard Compressed Air / Process" display="'M03-S06'!C18" xr:uid="{03A916E2-FAD8-4A3F-A9E4-95DDE9436D30}"/>
    <hyperlink ref="AC23:AI23" location="'M03-S07'!C18" tooltip="View: Standard Water Heating / Cooking" display="'M03-S07'!C18" xr:uid="{49275D18-AC04-4FD9-BE28-61B5E5E4197E}"/>
    <hyperlink ref="AC28:AI28" location="'M04-S02'!C18" tooltip="View: Custom Lighting" display="'M04-S02'!C18" xr:uid="{120921CA-75AD-46B2-8F74-C98AB0487FE5}"/>
    <hyperlink ref="AC29:AI29" location="'M04-S03'!C18" tooltip="View: Custom Lighting Controls" display="'M04-S03'!C18" xr:uid="{0A2ED40B-95D8-443A-8068-518DAF818444}"/>
    <hyperlink ref="AC30:AI30" location="'M04-S04'!C18" tooltip="View: Custom Refrigeration" display="'M04-S04'!C18" xr:uid="{3B67CACC-B5E9-412A-AE90-F7B2D32D12D1}"/>
    <hyperlink ref="AC31:AI31" location="'M04-S05'!C18" tooltip="View: Custom HVAC" display="'M04-S05'!C18" xr:uid="{7DFA6AE8-C160-4EA7-88DF-E38D8285DCEA}"/>
    <hyperlink ref="AC32:AI32" location="'M04-S08'!C18" tooltip="View: Custom Motors and Drives" display="'M04-S08'!C18" xr:uid="{F00E9ECF-CD14-404E-8994-2F49053E499C}"/>
    <hyperlink ref="AC33:AI33" location="'M04-S06'!C18" tooltip="View: Custom Compressed Air / Process" display="'M04-S06'!C18" xr:uid="{71CC8C35-C95D-45D0-BFE2-317A4822D6DD}"/>
    <hyperlink ref="AC34:AI34" location="'M04-S07'!C18" tooltip="View: Custom Water Heating / Cooking" display="'M04-S07'!C18" xr:uid="{B4CD4E88-7BA3-40C6-8A09-337A1FE45E95}"/>
    <hyperlink ref="AC35:AI35" location="'M04-S09'!C18" tooltip="View: Custom Miscellaneous" display="'M04-S09'!C18" xr:uid="{8C2F8462-E0BA-48F0-8471-F5F6C0B88776}"/>
    <hyperlink ref="Y14:AA14" location="'M02-S01'!A1" tooltip="Update: Terms &amp; Conditions" display=" ✎ Update" xr:uid="{398CD1AD-3469-4BD1-8444-A818E5DF26DF}"/>
    <hyperlink ref="Y16:AA16" location="'M02-S02'!A1" tooltip="Update: Trade Ally / Vendor Information" display=" ✎ Update" xr:uid="{E7955452-2A55-4EEB-8B92-8AAD104DF504}"/>
    <hyperlink ref="Y21:AA21" location="'M02-S03'!A1" tooltip="Update: Customer Information" display=" ✎ Update" xr:uid="{B38BEA78-9C81-4AA4-B00B-E887499B6F7D}"/>
    <hyperlink ref="Y25:AA25" location="'M02-S04'!A1" tooltip="Update: Building Information" display=" ✎ Update" xr:uid="{DA88AAD8-68D4-42BF-823E-37ACA0042CE7}"/>
    <hyperlink ref="Y34:AA34" location="'M05-S01'!A1" tooltip="Update: Payment" display=" ✎ Update" xr:uid="{609B4E3E-05F9-459B-843B-53C337F54CC1}"/>
    <hyperlink ref="B202" r:id="rId1" display="businessrebates@evergy.com" xr:uid="{0202C31A-3508-41A5-80E8-246F6B1D9083}"/>
    <hyperlink ref="J1:M3" location="'M01-S02'!J1" tooltip="Instructions" display="'M01-S02'!J1" xr:uid="{F5DFB5AA-3129-4BD8-889B-A75F53511CBB}"/>
    <hyperlink ref="AP1:AS3" location="'M05-S05'!AL1" tooltip=" " display="'M05-S05'!AL1" xr:uid="{1E1962A5-2BC3-490E-B75E-9809FCBCA5CA}"/>
    <hyperlink ref="AL1:AO3" location="'M05-S04'!AH1" tooltip=" " display="'M05-S04'!AH1" xr:uid="{0C8BAF7E-7242-4CA0-AEF6-E1DE6E69B449}"/>
    <hyperlink ref="AT1:AW3" location="'M01-S03'!AP1" tooltip="Contact" display="'M01-S03'!AP1" xr:uid="{B40C85C9-B85D-4E01-9482-648CAD0115EF}"/>
    <hyperlink ref="AC25:AI25" location="'M04-S02'!C18" tooltip="View: Custom Lighting" display="'M04-S02'!C18" xr:uid="{EBF74A7E-09AB-4813-A3D9-5DA70518AE1C}"/>
    <hyperlink ref="AC26:AI26" location="'M04-S03'!C18" tooltip="View: Custom Lighting Controls" display="'M04-S03'!C18" xr:uid="{349A15FF-C694-48AA-B1C3-5FDB39064C29}"/>
  </hyperlinks>
  <printOptions horizontalCentered="1"/>
  <pageMargins left="0" right="0" top="0" bottom="0" header="0" footer="0"/>
  <pageSetup scale="43"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1"/>
  <sheetViews>
    <sheetView zoomScale="85" zoomScaleNormal="85" workbookViewId="0">
      <selection activeCell="C7" sqref="C7"/>
    </sheetView>
  </sheetViews>
  <sheetFormatPr defaultColWidth="2.5703125" defaultRowHeight="15"/>
  <cols>
    <col min="1" max="1" width="58.42578125" bestFit="1" customWidth="1"/>
    <col min="2" max="2" width="15" bestFit="1" customWidth="1"/>
    <col min="3" max="3" width="43.85546875" bestFit="1" customWidth="1"/>
    <col min="4" max="4" width="28.7109375" bestFit="1" customWidth="1"/>
    <col min="5" max="5" width="21.7109375" customWidth="1"/>
    <col min="6" max="6" width="17.5703125" bestFit="1" customWidth="1"/>
    <col min="7" max="7" width="16.5703125" bestFit="1" customWidth="1"/>
    <col min="8" max="8" width="6.140625" customWidth="1"/>
    <col min="9" max="9" width="13.140625" bestFit="1" customWidth="1"/>
    <col min="10" max="10" width="12.7109375" bestFit="1" customWidth="1"/>
    <col min="11" max="11" width="5.7109375" customWidth="1"/>
    <col min="12" max="12" width="18.140625" bestFit="1" customWidth="1"/>
    <col min="13" max="13" width="13.42578125" bestFit="1" customWidth="1"/>
    <col min="14" max="14" width="12.5703125" bestFit="1" customWidth="1"/>
    <col min="15" max="15" width="19.140625" customWidth="1"/>
    <col min="16" max="16" width="13.28515625" bestFit="1" customWidth="1"/>
  </cols>
  <sheetData>
    <row r="1" spans="1:16">
      <c r="A1" t="s">
        <v>126</v>
      </c>
      <c r="H1" s="5"/>
      <c r="I1" s="5"/>
      <c r="J1" s="5"/>
      <c r="K1" s="5"/>
      <c r="N1" s="15"/>
      <c r="O1" s="15"/>
      <c r="P1" s="16"/>
    </row>
    <row r="2" spans="1:16">
      <c r="A2" t="s">
        <v>127</v>
      </c>
      <c r="H2" s="5"/>
      <c r="I2" s="5"/>
      <c r="J2" s="5"/>
      <c r="K2" s="5"/>
      <c r="N2" s="15"/>
      <c r="O2" s="15"/>
      <c r="P2" s="16"/>
    </row>
    <row r="3" spans="1:16">
      <c r="A3" t="s">
        <v>1873</v>
      </c>
    </row>
    <row r="5" spans="1:16">
      <c r="E5" t="s">
        <v>328</v>
      </c>
    </row>
    <row r="6" spans="1:16">
      <c r="A6" t="s">
        <v>128</v>
      </c>
      <c r="B6">
        <v>0</v>
      </c>
      <c r="E6" t="s">
        <v>698</v>
      </c>
    </row>
    <row r="7" spans="1:16">
      <c r="A7" s="61" t="s">
        <v>130</v>
      </c>
      <c r="B7" s="174">
        <f ca="1">B44</f>
        <v>7.0599999999999996E-2</v>
      </c>
      <c r="E7" s="62" t="s">
        <v>765</v>
      </c>
    </row>
    <row r="8" spans="1:16">
      <c r="A8" t="s">
        <v>326</v>
      </c>
      <c r="B8">
        <v>1</v>
      </c>
    </row>
    <row r="9" spans="1:16">
      <c r="B9" s="4"/>
    </row>
    <row r="10" spans="1:16">
      <c r="C10" s="5"/>
      <c r="D10" s="5"/>
      <c r="E10" s="5"/>
      <c r="F10" s="5"/>
      <c r="G10" s="5"/>
    </row>
    <row r="11" spans="1:16">
      <c r="A11" s="61" t="s">
        <v>123</v>
      </c>
      <c r="B11" s="61" t="s">
        <v>129</v>
      </c>
      <c r="C11" t="s">
        <v>327</v>
      </c>
      <c r="D11" s="5" t="s">
        <v>124</v>
      </c>
      <c r="E11" s="5" t="s">
        <v>125</v>
      </c>
      <c r="F11" s="61" t="s">
        <v>131</v>
      </c>
      <c r="G11" s="61" t="s">
        <v>753</v>
      </c>
    </row>
    <row r="12" spans="1:16">
      <c r="A12" s="14">
        <v>2023</v>
      </c>
      <c r="B12" s="14">
        <v>1</v>
      </c>
      <c r="C12" s="14"/>
      <c r="D12" s="14"/>
      <c r="E12" s="14"/>
      <c r="F12" s="14">
        <f t="shared" ref="F12:F32" ca="1" si="0">M50</f>
        <v>2.055844069634704E-2</v>
      </c>
      <c r="G12" s="14">
        <f t="shared" ref="G12:G32" ca="1" si="1">N50</f>
        <v>72.370864662916901</v>
      </c>
    </row>
    <row r="13" spans="1:16">
      <c r="A13" s="14">
        <v>2024</v>
      </c>
      <c r="B13" s="14">
        <v>2</v>
      </c>
      <c r="C13" s="14"/>
      <c r="D13" s="14"/>
      <c r="E13" s="14"/>
      <c r="F13" s="14">
        <f t="shared" ca="1" si="0"/>
        <v>4.1351744988652711E-2</v>
      </c>
      <c r="G13" s="14">
        <f t="shared" ca="1" si="1"/>
        <v>132.41129713669841</v>
      </c>
    </row>
    <row r="14" spans="1:16">
      <c r="A14" s="14">
        <v>2025</v>
      </c>
      <c r="B14" s="14">
        <v>3</v>
      </c>
      <c r="C14" s="14"/>
      <c r="D14" s="14"/>
      <c r="E14" s="14"/>
      <c r="F14" s="14">
        <f t="shared" ca="1" si="0"/>
        <v>6.2237932705359336E-2</v>
      </c>
      <c r="G14" s="14">
        <f t="shared" ca="1" si="1"/>
        <v>189.80024736823526</v>
      </c>
    </row>
    <row r="15" spans="1:16">
      <c r="A15" s="14">
        <v>2026</v>
      </c>
      <c r="B15" s="14">
        <v>4</v>
      </c>
      <c r="C15" s="14"/>
      <c r="D15" s="14"/>
      <c r="E15" s="14"/>
      <c r="F15" s="14">
        <f t="shared" ca="1" si="0"/>
        <v>8.3885750779202573E-2</v>
      </c>
      <c r="G15" s="14">
        <f t="shared" ca="1" si="1"/>
        <v>244.2225135181545</v>
      </c>
    </row>
    <row r="16" spans="1:16">
      <c r="A16" s="14">
        <v>2027</v>
      </c>
      <c r="B16" s="14">
        <v>5</v>
      </c>
      <c r="C16" s="14"/>
      <c r="D16" s="14"/>
      <c r="E16" s="14"/>
      <c r="F16" s="14">
        <f t="shared" ca="1" si="0"/>
        <v>0.10648749190443302</v>
      </c>
      <c r="G16" s="14">
        <f t="shared" ca="1" si="1"/>
        <v>296.32677543078967</v>
      </c>
    </row>
    <row r="17" spans="1:7">
      <c r="A17" s="14">
        <v>2028</v>
      </c>
      <c r="B17" s="14">
        <v>6</v>
      </c>
      <c r="C17" s="14"/>
      <c r="D17" s="14"/>
      <c r="E17" s="14"/>
      <c r="F17" s="14">
        <f t="shared" ca="1" si="0"/>
        <v>0.12977252670194039</v>
      </c>
      <c r="G17" s="14">
        <f t="shared" ca="1" si="1"/>
        <v>346.21176371815289</v>
      </c>
    </row>
    <row r="18" spans="1:7">
      <c r="A18" s="14">
        <v>2029</v>
      </c>
      <c r="B18" s="14">
        <v>7</v>
      </c>
      <c r="C18" s="14"/>
      <c r="D18" s="14"/>
      <c r="E18" s="14"/>
      <c r="F18" s="14">
        <f t="shared" ca="1" si="0"/>
        <v>0.15673296272719228</v>
      </c>
      <c r="G18" s="14">
        <f t="shared" ca="1" si="1"/>
        <v>393.97200376536688</v>
      </c>
    </row>
    <row r="19" spans="1:7">
      <c r="A19" s="14">
        <v>2030</v>
      </c>
      <c r="B19" s="14">
        <v>8</v>
      </c>
      <c r="C19" s="14"/>
      <c r="D19" s="14"/>
      <c r="E19" s="14"/>
      <c r="F19" s="14">
        <f t="shared" ca="1" si="0"/>
        <v>0.19075361747507463</v>
      </c>
      <c r="G19" s="14">
        <f t="shared" ca="1" si="1"/>
        <v>447.9040387464284</v>
      </c>
    </row>
    <row r="20" spans="1:7">
      <c r="A20" s="14">
        <v>2031</v>
      </c>
      <c r="B20" s="14">
        <v>9</v>
      </c>
      <c r="C20" s="14"/>
      <c r="D20" s="14"/>
      <c r="E20" s="14"/>
      <c r="F20" s="14">
        <f t="shared" ca="1" si="0"/>
        <v>0.22163892995848786</v>
      </c>
      <c r="G20" s="14">
        <f t="shared" ca="1" si="1"/>
        <v>512.633157174904</v>
      </c>
    </row>
    <row r="21" spans="1:7">
      <c r="A21" s="14">
        <v>2032</v>
      </c>
      <c r="B21" s="14">
        <v>10</v>
      </c>
      <c r="C21" s="14"/>
      <c r="D21" s="14"/>
      <c r="E21" s="14"/>
      <c r="F21" s="14">
        <f t="shared" ca="1" si="0"/>
        <v>0.25033249602057178</v>
      </c>
      <c r="G21" s="14">
        <f t="shared" ca="1" si="1"/>
        <v>574.60527224046302</v>
      </c>
    </row>
    <row r="22" spans="1:7">
      <c r="A22" s="14">
        <v>2033</v>
      </c>
      <c r="B22" s="14">
        <v>11</v>
      </c>
      <c r="C22" s="14"/>
      <c r="D22" s="14"/>
      <c r="E22" s="14"/>
      <c r="F22" s="14">
        <f t="shared" ca="1" si="0"/>
        <v>0.27778124274067229</v>
      </c>
      <c r="G22" s="14">
        <f t="shared" ca="1" si="1"/>
        <v>642.33957733002148</v>
      </c>
    </row>
    <row r="23" spans="1:7">
      <c r="A23" s="14">
        <v>2034</v>
      </c>
      <c r="B23" s="14">
        <v>12</v>
      </c>
      <c r="C23" s="14"/>
      <c r="D23" s="14"/>
      <c r="E23" s="14"/>
      <c r="F23" s="14">
        <f t="shared" ca="1" si="0"/>
        <v>0.30486718547009739</v>
      </c>
      <c r="G23" s="14">
        <f t="shared" ca="1" si="1"/>
        <v>707.18887932590928</v>
      </c>
    </row>
    <row r="24" spans="1:7">
      <c r="A24" s="14">
        <v>2035</v>
      </c>
      <c r="B24" s="14">
        <v>13</v>
      </c>
      <c r="C24" s="14"/>
      <c r="D24" s="14"/>
      <c r="E24" s="14"/>
      <c r="F24" s="14">
        <f t="shared" ca="1" si="0"/>
        <v>0.33109600246301701</v>
      </c>
      <c r="G24" s="14">
        <f t="shared" ca="1" si="1"/>
        <v>769.27605898758031</v>
      </c>
    </row>
    <row r="25" spans="1:7">
      <c r="A25" s="14">
        <v>2036</v>
      </c>
      <c r="B25" s="14">
        <v>14</v>
      </c>
      <c r="C25" s="14"/>
      <c r="D25" s="14"/>
      <c r="E25" s="14"/>
      <c r="F25" s="14">
        <f t="shared" ca="1" si="0"/>
        <v>0.35568506828352969</v>
      </c>
      <c r="G25" s="14">
        <f t="shared" ca="1" si="1"/>
        <v>846.6252862348457</v>
      </c>
    </row>
    <row r="26" spans="1:7">
      <c r="A26" s="14">
        <v>2037</v>
      </c>
      <c r="B26" s="14">
        <v>15</v>
      </c>
      <c r="C26" s="14"/>
      <c r="D26" s="14"/>
      <c r="E26" s="14"/>
      <c r="F26" s="14">
        <f t="shared" ca="1" si="0"/>
        <v>0.37924231959799465</v>
      </c>
      <c r="G26" s="14">
        <f t="shared" ca="1" si="1"/>
        <v>920.6799825999185</v>
      </c>
    </row>
    <row r="27" spans="1:7">
      <c r="A27" s="14">
        <v>2038</v>
      </c>
      <c r="B27" s="14">
        <v>16</v>
      </c>
      <c r="C27" s="14"/>
      <c r="D27" s="14"/>
      <c r="E27" s="14"/>
      <c r="F27" s="14">
        <f t="shared" ca="1" si="0"/>
        <v>0.40186719740457988</v>
      </c>
      <c r="G27" s="14">
        <f t="shared" ca="1" si="1"/>
        <v>991.58047183417943</v>
      </c>
    </row>
    <row r="28" spans="1:7">
      <c r="A28" s="14">
        <v>2039</v>
      </c>
      <c r="B28" s="14">
        <v>17</v>
      </c>
      <c r="C28" s="14"/>
      <c r="D28" s="14"/>
      <c r="E28" s="14"/>
      <c r="F28" s="14">
        <f t="shared" ca="1" si="0"/>
        <v>0.42377343604344608</v>
      </c>
      <c r="G28" s="14">
        <f t="shared" ca="1" si="1"/>
        <v>1059.4611008880906</v>
      </c>
    </row>
    <row r="29" spans="1:7">
      <c r="A29" s="14">
        <v>2040</v>
      </c>
      <c r="B29" s="14">
        <v>18</v>
      </c>
      <c r="C29" s="14"/>
      <c r="D29" s="14"/>
      <c r="E29" s="14"/>
      <c r="F29" s="14">
        <f t="shared" ca="1" si="0"/>
        <v>0.44336332477191776</v>
      </c>
      <c r="G29" s="14">
        <f t="shared" ca="1" si="1"/>
        <v>1124.4504944807106</v>
      </c>
    </row>
    <row r="30" spans="1:7">
      <c r="A30" s="14">
        <v>2041</v>
      </c>
      <c r="B30" s="14">
        <v>19</v>
      </c>
      <c r="C30" s="14"/>
      <c r="D30" s="14"/>
      <c r="E30" s="14"/>
      <c r="F30" s="14">
        <f t="shared" ca="1" si="0"/>
        <v>0.46211882257378911</v>
      </c>
      <c r="G30" s="14">
        <f t="shared" ca="1" si="1"/>
        <v>1186.6717988263445</v>
      </c>
    </row>
    <row r="31" spans="1:7">
      <c r="A31" s="14">
        <v>2042</v>
      </c>
      <c r="B31" s="14">
        <v>20</v>
      </c>
      <c r="C31" s="14"/>
      <c r="D31" s="14"/>
      <c r="E31" s="14"/>
      <c r="F31" s="14">
        <f t="shared" ca="1" si="0"/>
        <v>0.48007546861051442</v>
      </c>
      <c r="G31" s="14">
        <f t="shared" ca="1" si="1"/>
        <v>1246.2429149801596</v>
      </c>
    </row>
    <row r="32" spans="1:7">
      <c r="A32" s="14">
        <v>2043</v>
      </c>
      <c r="B32" s="14">
        <v>21</v>
      </c>
      <c r="C32" s="14"/>
      <c r="D32" s="14"/>
      <c r="E32" s="14"/>
      <c r="F32" s="14">
        <f t="shared" ca="1" si="0"/>
        <v>0.49726728832622846</v>
      </c>
      <c r="G32" s="14">
        <f t="shared" ca="1" si="1"/>
        <v>1303.2767222449277</v>
      </c>
    </row>
    <row r="33" spans="1:42">
      <c r="A33" s="14">
        <v>2044</v>
      </c>
      <c r="B33" s="14">
        <v>22</v>
      </c>
      <c r="C33" s="14"/>
      <c r="D33" s="14"/>
      <c r="E33" s="14"/>
      <c r="F33" s="14">
        <f t="shared" ref="F33:G36" ca="1" si="2">M71</f>
        <v>0.51372685792141515</v>
      </c>
      <c r="G33" s="14">
        <f t="shared" ca="1" si="2"/>
        <v>1357.8812920622145</v>
      </c>
    </row>
    <row r="34" spans="1:42">
      <c r="A34" s="14">
        <v>2045</v>
      </c>
      <c r="B34" s="14">
        <v>23</v>
      </c>
      <c r="C34" s="14"/>
      <c r="D34" s="14"/>
      <c r="E34" s="14"/>
      <c r="F34" s="14">
        <f t="shared" ca="1" si="2"/>
        <v>0.52948536608045338</v>
      </c>
      <c r="G34" s="14">
        <f t="shared" ca="1" si="2"/>
        <v>1410.1600927933175</v>
      </c>
    </row>
    <row r="35" spans="1:42">
      <c r="A35" s="14">
        <v>2046</v>
      </c>
      <c r="B35" s="14">
        <v>24</v>
      </c>
      <c r="C35" s="14"/>
      <c r="D35" s="14"/>
      <c r="E35" s="14"/>
      <c r="F35" s="14">
        <f t="shared" ca="1" si="2"/>
        <v>0.54457267307000523</v>
      </c>
      <c r="G35" s="14">
        <f t="shared" ca="1" si="2"/>
        <v>1460.2121857779809</v>
      </c>
    </row>
    <row r="36" spans="1:42">
      <c r="A36" s="14">
        <v>2047</v>
      </c>
      <c r="B36" s="14">
        <v>25</v>
      </c>
      <c r="C36" s="14"/>
      <c r="D36" s="14"/>
      <c r="E36" s="14"/>
      <c r="F36" s="14">
        <f t="shared" ca="1" si="2"/>
        <v>0.55901736732023</v>
      </c>
      <c r="G36" s="14">
        <f t="shared" ca="1" si="2"/>
        <v>1508.1324130423934</v>
      </c>
    </row>
    <row r="37" spans="1:42">
      <c r="F37" s="502"/>
      <c r="G37" s="502"/>
    </row>
    <row r="38" spans="1:42">
      <c r="A38" s="503" t="s">
        <v>2298</v>
      </c>
      <c r="B38" s="503"/>
      <c r="C38" s="503"/>
      <c r="D38" s="504"/>
      <c r="E38" s="504"/>
      <c r="F38" s="504"/>
      <c r="G38" t="s">
        <v>693</v>
      </c>
    </row>
    <row r="39" spans="1:42" ht="15.75">
      <c r="A39" s="503"/>
      <c r="B39" s="503"/>
      <c r="C39" s="503"/>
      <c r="D39" s="504"/>
      <c r="E39" s="504"/>
      <c r="F39" s="504"/>
      <c r="AP39" s="69"/>
    </row>
    <row r="40" spans="1:42">
      <c r="A40" s="503" t="s">
        <v>754</v>
      </c>
      <c r="B40" s="503" t="s">
        <v>2299</v>
      </c>
      <c r="C40" s="505">
        <v>7.0599999999999996E-2</v>
      </c>
      <c r="D40" s="504"/>
      <c r="E40" s="506"/>
      <c r="F40" s="504"/>
    </row>
    <row r="41" spans="1:42">
      <c r="A41" s="503"/>
      <c r="B41" s="503" t="s">
        <v>2297</v>
      </c>
      <c r="C41" s="505">
        <v>7.0699999999999999E-2</v>
      </c>
      <c r="D41" s="504"/>
      <c r="E41" s="504"/>
      <c r="F41" s="504"/>
    </row>
    <row r="42" spans="1:42">
      <c r="A42" s="503"/>
      <c r="B42" s="503"/>
      <c r="C42" s="246"/>
      <c r="D42" s="504"/>
      <c r="E42" s="504"/>
      <c r="F42" s="504"/>
    </row>
    <row r="43" spans="1:42">
      <c r="A43" s="507" t="s">
        <v>1874</v>
      </c>
      <c r="B43" s="508" t="str" cm="1">
        <f t="array" aca="1" ref="B43" ca="1">IFERROR(
INDEX(RATECLASS[Territory],
MATCH(
_xlfn.SWITCH(APP_TYPE,"General App",M02S04F05,"New Con App",N02S03F13,"RCx App",X02S03F22,M02S04F05),
RATECLASS[Rate Schedules],
0)),
"EKM")</f>
        <v>EKM</v>
      </c>
      <c r="C43" s="504"/>
      <c r="D43" s="504"/>
      <c r="E43" s="504"/>
      <c r="F43" s="504"/>
      <c r="G43" s="504"/>
    </row>
    <row r="44" spans="1:42">
      <c r="A44" s="507" t="s">
        <v>754</v>
      </c>
      <c r="B44" s="509">
        <f ca="1">IF(B43=B40,C40,IF(B43=B41,C41,""))</f>
        <v>7.0599999999999996E-2</v>
      </c>
      <c r="D44" s="504"/>
      <c r="E44" s="504"/>
      <c r="F44" s="504"/>
    </row>
    <row r="45" spans="1:42">
      <c r="A45" s="507" t="s">
        <v>1136</v>
      </c>
      <c r="B45" s="510">
        <v>2.5000000000000001E-2</v>
      </c>
      <c r="C45" s="511"/>
      <c r="D45" s="504"/>
      <c r="E45" s="504"/>
      <c r="F45" s="504"/>
    </row>
    <row r="46" spans="1:42">
      <c r="A46" s="507" t="s">
        <v>1137</v>
      </c>
      <c r="B46" s="510">
        <v>0.03</v>
      </c>
      <c r="C46" s="504"/>
      <c r="D46" s="504"/>
      <c r="E46" s="504"/>
      <c r="F46" s="504"/>
      <c r="H46" s="504"/>
      <c r="I46" s="504"/>
      <c r="J46" s="504"/>
      <c r="K46" s="504"/>
    </row>
    <row r="47" spans="1:42">
      <c r="A47" s="507" t="s">
        <v>1138</v>
      </c>
      <c r="B47" s="512">
        <v>0</v>
      </c>
      <c r="C47" s="504" t="s">
        <v>1139</v>
      </c>
      <c r="D47" s="504"/>
      <c r="E47" s="504"/>
      <c r="F47" s="504"/>
      <c r="G47" s="504"/>
      <c r="L47" s="603" t="s">
        <v>756</v>
      </c>
      <c r="M47" s="603"/>
      <c r="N47" s="603"/>
      <c r="O47" s="603"/>
      <c r="P47" s="603"/>
      <c r="R47" s="5"/>
    </row>
    <row r="48" spans="1:42">
      <c r="A48" s="514"/>
      <c r="B48" s="515"/>
      <c r="C48" s="504"/>
      <c r="D48" s="504"/>
      <c r="E48" s="504"/>
      <c r="F48" s="504"/>
      <c r="G48" s="504"/>
      <c r="L48" s="516"/>
      <c r="M48" s="603" t="s">
        <v>758</v>
      </c>
      <c r="N48" s="603"/>
      <c r="O48" s="603" t="s">
        <v>1141</v>
      </c>
      <c r="P48" s="603"/>
    </row>
    <row r="49" spans="1:16">
      <c r="D49" s="22" t="s">
        <v>2297</v>
      </c>
      <c r="E49" s="22" t="s">
        <v>2299</v>
      </c>
      <c r="G49" s="514"/>
      <c r="H49" s="517"/>
      <c r="I49" s="513" t="s">
        <v>761</v>
      </c>
      <c r="J49" s="513" t="s">
        <v>762</v>
      </c>
      <c r="L49" s="518" t="s">
        <v>760</v>
      </c>
      <c r="M49" s="519" t="s">
        <v>691</v>
      </c>
      <c r="N49" s="519" t="s">
        <v>759</v>
      </c>
      <c r="O49" s="519" t="s">
        <v>1875</v>
      </c>
      <c r="P49" s="520" t="s">
        <v>1876</v>
      </c>
    </row>
    <row r="50" spans="1:16">
      <c r="B50" s="607" t="s">
        <v>755</v>
      </c>
      <c r="C50" s="608"/>
      <c r="D50" s="608"/>
      <c r="E50" s="608"/>
      <c r="F50" s="608"/>
      <c r="G50" s="609"/>
      <c r="H50" s="504"/>
      <c r="I50" s="7"/>
      <c r="J50" s="7"/>
      <c r="L50" s="521">
        <v>1</v>
      </c>
      <c r="M50" s="522">
        <f ca="1">C53*(1+$B$44)^-(B53-1)</f>
        <v>2.055844069634704E-2</v>
      </c>
      <c r="N50" s="523">
        <f ca="1">IF($B$43=$D$49, D53, IF($B$43=$E$49, E53, 0))
*(1+$B$44)^-(B53-1)</f>
        <v>72.370864662916901</v>
      </c>
      <c r="O50" s="522">
        <f>F53*(1+$B$46)^-(B53-1)</f>
        <v>2.055844069634704E-2</v>
      </c>
      <c r="P50" s="524">
        <f ca="1">G53*(1+$B$46)^-(B53-1)</f>
        <v>72.370864662916901</v>
      </c>
    </row>
    <row r="51" spans="1:16">
      <c r="B51" s="513"/>
      <c r="C51" s="604" t="s">
        <v>757</v>
      </c>
      <c r="D51" s="605"/>
      <c r="E51" s="606"/>
      <c r="F51" s="603" t="s">
        <v>1140</v>
      </c>
      <c r="G51" s="603"/>
      <c r="H51" s="504"/>
      <c r="I51" s="525">
        <f t="shared" ref="I51:I74" si="3">C54/C53</f>
        <v>1.0828307411124811</v>
      </c>
      <c r="J51" s="525">
        <f t="shared" ref="J51:J74" si="4">D54/D53</f>
        <v>1.0438738060627137</v>
      </c>
      <c r="L51" s="521">
        <v>2</v>
      </c>
      <c r="M51" s="522">
        <f t="shared" ref="M51:M74" ca="1" si="5">M50+C54*(1+$B$44)^-(B54-1)</f>
        <v>4.1351744988652711E-2</v>
      </c>
      <c r="N51" s="523">
        <f ca="1">N50
+IF($B$43=$D$49, D54, IF($B$43=$E$49, E54, 0))
*(1+$B$44)^-(B54-1)</f>
        <v>132.41129713669841</v>
      </c>
      <c r="O51" s="522">
        <f t="shared" ref="O51:O74" si="6">O50+F54*(1+$B$46)^-(B54-1)</f>
        <v>4.2171364555902827E-2</v>
      </c>
      <c r="P51" s="524">
        <f t="shared" ref="P51:P74" ca="1" si="7">P50+G54*(1+$B$46)^-(B54-1)</f>
        <v>134.77793942644166</v>
      </c>
    </row>
    <row r="52" spans="1:16">
      <c r="A52" s="526" t="s">
        <v>123</v>
      </c>
      <c r="B52" s="526" t="s">
        <v>760</v>
      </c>
      <c r="C52" s="513" t="s">
        <v>691</v>
      </c>
      <c r="D52" s="513" t="s">
        <v>759</v>
      </c>
      <c r="E52" s="513" t="s">
        <v>759</v>
      </c>
      <c r="F52" s="513" t="s">
        <v>691</v>
      </c>
      <c r="G52" s="513" t="s">
        <v>759</v>
      </c>
      <c r="H52" s="504"/>
      <c r="I52" s="525">
        <f t="shared" si="3"/>
        <v>1.0753823565108143</v>
      </c>
      <c r="J52" s="525">
        <f t="shared" si="4"/>
        <v>1.2000264097831634</v>
      </c>
      <c r="L52" s="521">
        <v>3</v>
      </c>
      <c r="M52" s="522">
        <f t="shared" ca="1" si="5"/>
        <v>6.2237932705359336E-2</v>
      </c>
      <c r="N52" s="523">
        <f t="shared" ref="N52:N74" ca="1" si="8">N51
+IF($B$43=$D$49, D55, IF($B$43=$E$49, E55, 0))
*(1+$B$44)^-(B55-1)</f>
        <v>189.80024736823526</v>
      </c>
      <c r="O52" s="522">
        <f t="shared" si="6"/>
        <v>6.473656551821147E-2</v>
      </c>
      <c r="P52" s="524">
        <f t="shared" ca="1" si="7"/>
        <v>196.78031212151745</v>
      </c>
    </row>
    <row r="53" spans="1:16">
      <c r="A53" s="527">
        <v>2023</v>
      </c>
      <c r="B53" s="527">
        <v>1</v>
      </c>
      <c r="C53" s="528">
        <v>2.055844069634704E-2</v>
      </c>
      <c r="D53" s="523">
        <v>63.552131029473607</v>
      </c>
      <c r="E53" s="523">
        <v>72.370864662916901</v>
      </c>
      <c r="F53" s="529">
        <f>C53+$B$47*(1+$B$45)^(B53-1)</f>
        <v>2.055844069634704E-2</v>
      </c>
      <c r="G53" s="530">
        <f ca="1">IF($B$43=$D$49, D53, IF($B$43=$E$49, E53, 0))</f>
        <v>72.370864662916901</v>
      </c>
      <c r="H53" s="531"/>
      <c r="I53" s="525">
        <f t="shared" si="3"/>
        <v>1.1096402246408155</v>
      </c>
      <c r="J53" s="525">
        <f t="shared" si="4"/>
        <v>1.0190093776713107</v>
      </c>
      <c r="L53" s="521">
        <v>4</v>
      </c>
      <c r="M53" s="522">
        <f t="shared" ca="1" si="5"/>
        <v>8.3885750779202573E-2</v>
      </c>
      <c r="N53" s="523">
        <f t="shared" ca="1" si="8"/>
        <v>244.2225135181545</v>
      </c>
      <c r="O53" s="522">
        <f t="shared" si="6"/>
        <v>8.9046521503533135E-2</v>
      </c>
      <c r="P53" s="524">
        <f t="shared" ca="1" si="7"/>
        <v>257.89515012565624</v>
      </c>
    </row>
    <row r="54" spans="1:16">
      <c r="A54" s="527">
        <v>2024</v>
      </c>
      <c r="B54" s="527">
        <v>2</v>
      </c>
      <c r="C54" s="528">
        <v>2.2261311575342457E-2</v>
      </c>
      <c r="D54" s="523">
        <v>66.340404901132899</v>
      </c>
      <c r="E54" s="523">
        <v>64.279287006430494</v>
      </c>
      <c r="F54" s="529">
        <f t="shared" ref="F54:F77" si="9">C54+$B$47*(1+$B$45)^(B54-1)</f>
        <v>2.2261311575342457E-2</v>
      </c>
      <c r="G54" s="530">
        <f ca="1">IF($B$43=$D$49, D54, IF($B$43=$E$49, E54, 0))</f>
        <v>64.279287006430494</v>
      </c>
      <c r="H54" s="531"/>
      <c r="I54" s="525">
        <f t="shared" si="3"/>
        <v>1.1177765798904753</v>
      </c>
      <c r="J54" s="525">
        <f t="shared" si="4"/>
        <v>1.4540456288916312</v>
      </c>
      <c r="L54" s="521">
        <v>5</v>
      </c>
      <c r="M54" s="522">
        <f t="shared" ca="1" si="5"/>
        <v>0.10648749190443302</v>
      </c>
      <c r="N54" s="523">
        <f t="shared" ca="1" si="8"/>
        <v>296.32677543078967</v>
      </c>
      <c r="O54" s="522">
        <f t="shared" si="6"/>
        <v>0.11542817146330094</v>
      </c>
      <c r="P54" s="524">
        <f t="shared" ca="1" si="7"/>
        <v>318.7133141589012</v>
      </c>
    </row>
    <row r="55" spans="1:16">
      <c r="A55" s="527">
        <v>2025</v>
      </c>
      <c r="B55" s="527">
        <v>3</v>
      </c>
      <c r="C55" s="528">
        <v>2.393942170091324E-2</v>
      </c>
      <c r="D55" s="523">
        <v>79.610237917067892</v>
      </c>
      <c r="E55" s="523">
        <v>65.778317192205904</v>
      </c>
      <c r="F55" s="529">
        <f t="shared" si="9"/>
        <v>2.393942170091324E-2</v>
      </c>
      <c r="G55" s="530">
        <f t="shared" ref="G55:G77" ca="1" si="10">IF($B$43=$D$49, D55, IF($B$43=$E$49, E55, 0))</f>
        <v>65.778317192205904</v>
      </c>
      <c r="H55" s="531"/>
      <c r="I55" s="525">
        <f t="shared" si="3"/>
        <v>1.1029662766282664</v>
      </c>
      <c r="J55" s="525">
        <f t="shared" si="4"/>
        <v>1.0250000000000001</v>
      </c>
      <c r="L55" s="521">
        <v>6</v>
      </c>
      <c r="M55" s="522">
        <f t="shared" ca="1" si="5"/>
        <v>0.12977252670194039</v>
      </c>
      <c r="N55" s="523">
        <f t="shared" ca="1" si="8"/>
        <v>346.21176371815289</v>
      </c>
      <c r="O55" s="522">
        <f t="shared" si="6"/>
        <v>0.14367872508217019</v>
      </c>
      <c r="P55" s="524">
        <f t="shared" ca="1" si="7"/>
        <v>379.23624438615951</v>
      </c>
    </row>
    <row r="56" spans="1:16">
      <c r="A56" s="527">
        <v>2026</v>
      </c>
      <c r="B56" s="527">
        <v>4</v>
      </c>
      <c r="C56" s="528">
        <v>2.6564145273972582E-2</v>
      </c>
      <c r="D56" s="523">
        <v>81.123578996136331</v>
      </c>
      <c r="E56" s="523">
        <v>66.781833587748565</v>
      </c>
      <c r="F56" s="529">
        <f t="shared" si="9"/>
        <v>2.6564145273972582E-2</v>
      </c>
      <c r="G56" s="530">
        <f t="shared" ca="1" si="10"/>
        <v>66.781833587748565</v>
      </c>
      <c r="H56" s="531"/>
      <c r="I56" s="525">
        <f t="shared" si="3"/>
        <v>1.2395877034173253</v>
      </c>
      <c r="J56" s="525">
        <f t="shared" si="4"/>
        <v>1.0249999999999997</v>
      </c>
      <c r="L56" s="521">
        <v>7</v>
      </c>
      <c r="M56" s="522">
        <f t="shared" ca="1" si="5"/>
        <v>0.15673296272719228</v>
      </c>
      <c r="N56" s="523">
        <f t="shared" ca="1" si="8"/>
        <v>393.97200376536688</v>
      </c>
      <c r="O56" s="522">
        <f t="shared" si="6"/>
        <v>0.1776777919566189</v>
      </c>
      <c r="P56" s="524">
        <f t="shared" ca="1" si="7"/>
        <v>439.46537398124667</v>
      </c>
    </row>
    <row r="57" spans="1:16">
      <c r="A57" s="527">
        <v>2027</v>
      </c>
      <c r="B57" s="527">
        <v>5</v>
      </c>
      <c r="C57" s="528">
        <v>2.9692779452054806E-2</v>
      </c>
      <c r="D57" s="523">
        <v>117.95738543937698</v>
      </c>
      <c r="E57" s="523">
        <v>68.451379427442291</v>
      </c>
      <c r="F57" s="529">
        <f t="shared" si="9"/>
        <v>2.9692779452054806E-2</v>
      </c>
      <c r="G57" s="530">
        <f t="shared" ca="1" si="10"/>
        <v>68.451379427442291</v>
      </c>
      <c r="H57" s="531"/>
      <c r="I57" s="525">
        <f t="shared" si="3"/>
        <v>1.3509615697227042</v>
      </c>
      <c r="J57" s="525">
        <f t="shared" si="4"/>
        <v>1.0250000000000001</v>
      </c>
      <c r="L57" s="521">
        <v>8</v>
      </c>
      <c r="M57" s="522">
        <f t="shared" ca="1" si="5"/>
        <v>0.19075361747507463</v>
      </c>
      <c r="N57" s="523">
        <f t="shared" ca="1" si="8"/>
        <v>447.9040387464284</v>
      </c>
      <c r="O57" s="522">
        <f t="shared" si="6"/>
        <v>0.2222714159894465</v>
      </c>
      <c r="P57" s="524">
        <f t="shared" ca="1" si="7"/>
        <v>510.15845467277762</v>
      </c>
    </row>
    <row r="58" spans="1:16">
      <c r="A58" s="527">
        <v>2028</v>
      </c>
      <c r="B58" s="527">
        <v>6</v>
      </c>
      <c r="C58" s="528">
        <v>3.2750134394977183E-2</v>
      </c>
      <c r="D58" s="523">
        <v>120.90632007536142</v>
      </c>
      <c r="E58" s="523">
        <v>70.162663913128341</v>
      </c>
      <c r="F58" s="529">
        <f t="shared" si="9"/>
        <v>3.2750134394977183E-2</v>
      </c>
      <c r="G58" s="530">
        <f t="shared" ca="1" si="10"/>
        <v>70.162663913128341</v>
      </c>
      <c r="H58" s="531"/>
      <c r="I58" s="525">
        <f t="shared" si="3"/>
        <v>0.97193354418907585</v>
      </c>
      <c r="J58" s="525">
        <f t="shared" si="4"/>
        <v>1.327447021521013</v>
      </c>
      <c r="L58" s="521">
        <v>9</v>
      </c>
      <c r="M58" s="522">
        <f t="shared" ca="1" si="5"/>
        <v>0.22163892995848786</v>
      </c>
      <c r="N58" s="523">
        <f t="shared" ca="1" si="8"/>
        <v>512.633157174904</v>
      </c>
      <c r="O58" s="522">
        <f t="shared" si="6"/>
        <v>0.26435106555688459</v>
      </c>
      <c r="P58" s="524">
        <f t="shared" ca="1" si="7"/>
        <v>598.34854896896593</v>
      </c>
    </row>
    <row r="59" spans="1:16">
      <c r="A59" s="527">
        <v>2029</v>
      </c>
      <c r="B59" s="527">
        <v>7</v>
      </c>
      <c r="C59" s="528">
        <v>4.059666388127852E-2</v>
      </c>
      <c r="D59" s="523">
        <v>123.92897807724543</v>
      </c>
      <c r="E59" s="523">
        <v>71.91673051095654</v>
      </c>
      <c r="F59" s="529">
        <f t="shared" si="9"/>
        <v>4.059666388127852E-2</v>
      </c>
      <c r="G59" s="530">
        <f t="shared" ca="1" si="10"/>
        <v>71.91673051095654</v>
      </c>
      <c r="H59" s="531"/>
      <c r="I59" s="525">
        <f t="shared" si="3"/>
        <v>0.99462590325303279</v>
      </c>
      <c r="J59" s="525">
        <f t="shared" si="4"/>
        <v>1.0250000000000001</v>
      </c>
      <c r="L59" s="521">
        <v>10</v>
      </c>
      <c r="M59" s="522">
        <f t="shared" ca="1" si="5"/>
        <v>0.25033249602057178</v>
      </c>
      <c r="N59" s="523">
        <f t="shared" ca="1" si="8"/>
        <v>574.60527224046302</v>
      </c>
      <c r="O59" s="522">
        <f t="shared" si="6"/>
        <v>0.30498554076036444</v>
      </c>
      <c r="P59" s="524">
        <f t="shared" ca="1" si="7"/>
        <v>686.11053601128924</v>
      </c>
    </row>
    <row r="60" spans="1:16">
      <c r="A60" s="527">
        <v>2030</v>
      </c>
      <c r="B60" s="527">
        <v>8</v>
      </c>
      <c r="C60" s="528">
        <v>5.484453276255704E-2</v>
      </c>
      <c r="D60" s="523">
        <v>127.02720252917658</v>
      </c>
      <c r="E60" s="523">
        <v>86.94357240888543</v>
      </c>
      <c r="F60" s="529">
        <f t="shared" si="9"/>
        <v>5.484453276255704E-2</v>
      </c>
      <c r="G60" s="530">
        <f t="shared" ca="1" si="10"/>
        <v>86.94357240888543</v>
      </c>
      <c r="H60" s="531"/>
      <c r="I60" s="525">
        <f t="shared" si="3"/>
        <v>1.0241539226931959</v>
      </c>
      <c r="J60" s="525">
        <f t="shared" si="4"/>
        <v>1.0249999999999997</v>
      </c>
      <c r="L60" s="521">
        <v>11</v>
      </c>
      <c r="M60" s="522">
        <f t="shared" ca="1" si="5"/>
        <v>0.27778124274067229</v>
      </c>
      <c r="N60" s="523">
        <f t="shared" ca="1" si="8"/>
        <v>642.33957733002148</v>
      </c>
      <c r="O60" s="522">
        <f t="shared" si="6"/>
        <v>0.3453893826790278</v>
      </c>
      <c r="P60" s="524">
        <f t="shared" ca="1" si="7"/>
        <v>785.81367303302261</v>
      </c>
    </row>
    <row r="61" spans="1:16">
      <c r="A61" s="527">
        <v>2031</v>
      </c>
      <c r="B61" s="527">
        <v>9</v>
      </c>
      <c r="C61" s="528">
        <v>5.3305241107305952E-2</v>
      </c>
      <c r="D61" s="523">
        <v>168.62188164950194</v>
      </c>
      <c r="E61" s="523">
        <v>111.71657292916403</v>
      </c>
      <c r="F61" s="529">
        <f t="shared" si="9"/>
        <v>5.3305241107305952E-2</v>
      </c>
      <c r="G61" s="530">
        <f t="shared" ca="1" si="10"/>
        <v>111.71657292916403</v>
      </c>
      <c r="H61" s="531"/>
      <c r="I61" s="525">
        <f t="shared" si="3"/>
        <v>1.0564493374441528</v>
      </c>
      <c r="J61" s="525">
        <f t="shared" si="4"/>
        <v>1.0249999999999999</v>
      </c>
      <c r="L61" s="521">
        <v>12</v>
      </c>
      <c r="M61" s="522">
        <f t="shared" ca="1" si="5"/>
        <v>0.30486718547009739</v>
      </c>
      <c r="N61" s="523">
        <f t="shared" ca="1" si="8"/>
        <v>707.18887932590928</v>
      </c>
      <c r="O61" s="522">
        <f t="shared" si="6"/>
        <v>0.38683075357725133</v>
      </c>
      <c r="P61" s="524">
        <f t="shared" ca="1" si="7"/>
        <v>885.03281424397085</v>
      </c>
    </row>
    <row r="62" spans="1:16">
      <c r="A62" s="527">
        <v>2032</v>
      </c>
      <c r="B62" s="527">
        <v>10</v>
      </c>
      <c r="C62" s="528">
        <v>5.3018773584474876E-2</v>
      </c>
      <c r="D62" s="523">
        <v>172.8374286907395</v>
      </c>
      <c r="E62" s="523">
        <v>114.5094872523931</v>
      </c>
      <c r="F62" s="529">
        <f t="shared" si="9"/>
        <v>5.3018773584474876E-2</v>
      </c>
      <c r="G62" s="530">
        <f t="shared" ca="1" si="10"/>
        <v>114.5094872523931</v>
      </c>
      <c r="H62" s="531"/>
      <c r="I62" s="525">
        <f t="shared" si="3"/>
        <v>1.0367212156183903</v>
      </c>
      <c r="J62" s="525">
        <f t="shared" si="4"/>
        <v>1.0250000000000001</v>
      </c>
      <c r="L62" s="521">
        <v>13</v>
      </c>
      <c r="M62" s="522">
        <f t="shared" ca="1" si="5"/>
        <v>0.33109600246301701</v>
      </c>
      <c r="N62" s="523">
        <f t="shared" ca="1" si="8"/>
        <v>769.27605898758031</v>
      </c>
      <c r="O62" s="522">
        <f t="shared" si="6"/>
        <v>0.42854254815443471</v>
      </c>
      <c r="P62" s="524">
        <f t="shared" ca="1" si="7"/>
        <v>983.7703091383612</v>
      </c>
    </row>
    <row r="63" spans="1:16">
      <c r="A63" s="527">
        <v>2033</v>
      </c>
      <c r="B63" s="527">
        <v>11</v>
      </c>
      <c r="C63" s="528">
        <v>5.4299384942922337E-2</v>
      </c>
      <c r="D63" s="523">
        <v>177.15836440800794</v>
      </c>
      <c r="E63" s="523">
        <v>133.9926789154988</v>
      </c>
      <c r="F63" s="529">
        <f t="shared" si="9"/>
        <v>5.4299384942922337E-2</v>
      </c>
      <c r="G63" s="530">
        <f t="shared" ca="1" si="10"/>
        <v>133.9926789154988</v>
      </c>
      <c r="H63" s="531"/>
      <c r="I63" s="525">
        <f t="shared" si="3"/>
        <v>1.0036691275305045</v>
      </c>
      <c r="J63" s="525">
        <f t="shared" si="4"/>
        <v>1.0250000000000001</v>
      </c>
      <c r="L63" s="521">
        <v>14</v>
      </c>
      <c r="M63" s="522">
        <f t="shared" ca="1" si="5"/>
        <v>0.35568506828352969</v>
      </c>
      <c r="N63" s="523">
        <f t="shared" ca="1" si="8"/>
        <v>846.6252862348457</v>
      </c>
      <c r="O63" s="522">
        <f t="shared" si="6"/>
        <v>0.46918802433988449</v>
      </c>
      <c r="P63" s="524">
        <f t="shared" ca="1" si="7"/>
        <v>1111.6277965675488</v>
      </c>
    </row>
    <row r="64" spans="1:16">
      <c r="A64" s="527">
        <v>2034</v>
      </c>
      <c r="B64" s="527">
        <v>12</v>
      </c>
      <c r="C64" s="528">
        <v>5.736454924657531E-2</v>
      </c>
      <c r="D64" s="523">
        <v>181.58732351820811</v>
      </c>
      <c r="E64" s="523">
        <v>137.34249588838625</v>
      </c>
      <c r="F64" s="529">
        <f t="shared" si="9"/>
        <v>5.736454924657531E-2</v>
      </c>
      <c r="G64" s="530">
        <f t="shared" ca="1" si="10"/>
        <v>137.34249588838625</v>
      </c>
      <c r="H64" s="531"/>
      <c r="I64" s="525">
        <f t="shared" si="3"/>
        <v>1.0256751289927755</v>
      </c>
      <c r="J64" s="525">
        <f t="shared" si="4"/>
        <v>1.0249999999999997</v>
      </c>
      <c r="L64" s="521">
        <v>15</v>
      </c>
      <c r="M64" s="522">
        <f t="shared" ca="1" si="5"/>
        <v>0.37924231959799465</v>
      </c>
      <c r="N64" s="523">
        <f t="shared" ca="1" si="8"/>
        <v>920.6799825999185</v>
      </c>
      <c r="O64" s="522">
        <f t="shared" si="6"/>
        <v>0.50966283407724755</v>
      </c>
      <c r="P64" s="524">
        <f t="shared" ca="1" si="7"/>
        <v>1238.8646165820314</v>
      </c>
    </row>
    <row r="65" spans="1:16">
      <c r="A65" s="527">
        <v>2035</v>
      </c>
      <c r="B65" s="527">
        <v>13</v>
      </c>
      <c r="C65" s="528">
        <v>5.9471045228310565E-2</v>
      </c>
      <c r="D65" s="523">
        <v>186.12700660616332</v>
      </c>
      <c r="E65" s="523">
        <v>140.77605828559592</v>
      </c>
      <c r="F65" s="529">
        <f t="shared" si="9"/>
        <v>5.9471045228310565E-2</v>
      </c>
      <c r="G65" s="530">
        <f t="shared" ca="1" si="10"/>
        <v>140.77605828559592</v>
      </c>
      <c r="H65" s="531"/>
      <c r="I65" s="525">
        <f t="shared" si="3"/>
        <v>1.028226674512611</v>
      </c>
      <c r="J65" s="525">
        <f t="shared" si="4"/>
        <v>1.0250000000000001</v>
      </c>
      <c r="L65" s="521">
        <v>16</v>
      </c>
      <c r="M65" s="522">
        <f t="shared" ca="1" si="5"/>
        <v>0.40186719740457988</v>
      </c>
      <c r="N65" s="523">
        <f t="shared" ca="1" si="8"/>
        <v>991.58047183417943</v>
      </c>
      <c r="O65" s="522">
        <f t="shared" si="6"/>
        <v>0.55006795933722763</v>
      </c>
      <c r="P65" s="524">
        <f t="shared" ca="1" si="7"/>
        <v>1365.4837821304243</v>
      </c>
    </row>
    <row r="66" spans="1:16">
      <c r="A66" s="527">
        <v>2036</v>
      </c>
      <c r="B66" s="527">
        <v>14</v>
      </c>
      <c r="C66" s="528">
        <v>5.968925207762564E-2</v>
      </c>
      <c r="D66" s="523">
        <v>190.78018177131742</v>
      </c>
      <c r="E66" s="523">
        <v>187.76303080697136</v>
      </c>
      <c r="F66" s="529">
        <f t="shared" si="9"/>
        <v>5.968925207762564E-2</v>
      </c>
      <c r="G66" s="530">
        <f t="shared" ca="1" si="10"/>
        <v>187.76303080697136</v>
      </c>
      <c r="H66" s="531"/>
      <c r="I66" s="525">
        <f t="shared" si="3"/>
        <v>1.0365942873708671</v>
      </c>
      <c r="J66" s="525">
        <f t="shared" si="4"/>
        <v>1.0250000000000001</v>
      </c>
      <c r="L66" s="521">
        <v>17</v>
      </c>
      <c r="M66" s="522">
        <f t="shared" ca="1" si="5"/>
        <v>0.42377343604344608</v>
      </c>
      <c r="N66" s="523">
        <f t="shared" ca="1" si="8"/>
        <v>1059.4611008880906</v>
      </c>
      <c r="O66" s="522">
        <f t="shared" si="6"/>
        <v>0.5907317671284894</v>
      </c>
      <c r="P66" s="524">
        <f t="shared" ca="1" si="7"/>
        <v>1491.4882915353785</v>
      </c>
    </row>
    <row r="67" spans="1:16">
      <c r="A67" s="527">
        <v>2037</v>
      </c>
      <c r="B67" s="527">
        <v>15</v>
      </c>
      <c r="C67" s="528">
        <v>6.1221781324200975E-2</v>
      </c>
      <c r="D67" s="523">
        <v>195.5496863156003</v>
      </c>
      <c r="E67" s="523">
        <v>192.45710657714559</v>
      </c>
      <c r="F67" s="529">
        <f t="shared" si="9"/>
        <v>6.1221781324200975E-2</v>
      </c>
      <c r="G67" s="530">
        <f t="shared" ca="1" si="10"/>
        <v>192.45710657714559</v>
      </c>
      <c r="H67" s="531"/>
      <c r="I67" s="525">
        <f t="shared" si="3"/>
        <v>0.95739552638175884</v>
      </c>
      <c r="J67" s="525">
        <f t="shared" si="4"/>
        <v>1.0249999999999997</v>
      </c>
      <c r="L67" s="521">
        <v>18</v>
      </c>
      <c r="M67" s="522">
        <f t="shared" ca="1" si="5"/>
        <v>0.44336332477191776</v>
      </c>
      <c r="N67" s="523">
        <f t="shared" ca="1" si="8"/>
        <v>1124.4504944807106</v>
      </c>
      <c r="O67" s="522">
        <f t="shared" si="6"/>
        <v>0.6285291920459668</v>
      </c>
      <c r="P67" s="524">
        <f t="shared" ca="1" si="7"/>
        <v>1616.8811285645804</v>
      </c>
    </row>
    <row r="68" spans="1:16">
      <c r="A68" s="527">
        <v>2038</v>
      </c>
      <c r="B68" s="527">
        <v>16</v>
      </c>
      <c r="C68" s="528">
        <v>6.2949868618721441E-2</v>
      </c>
      <c r="D68" s="523">
        <v>200.43842847349032</v>
      </c>
      <c r="E68" s="523">
        <v>197.26853424157429</v>
      </c>
      <c r="F68" s="529">
        <f t="shared" si="9"/>
        <v>6.2949868618721441E-2</v>
      </c>
      <c r="G68" s="530">
        <f t="shared" ca="1" si="10"/>
        <v>197.26853424157429</v>
      </c>
      <c r="H68" s="531"/>
      <c r="I68" s="525">
        <f t="shared" si="3"/>
        <v>1.0249999999999999</v>
      </c>
      <c r="J68" s="525">
        <f t="shared" si="4"/>
        <v>1.0249999999999999</v>
      </c>
      <c r="L68" s="521">
        <v>19</v>
      </c>
      <c r="M68" s="522">
        <f t="shared" ca="1" si="5"/>
        <v>0.46211882257378911</v>
      </c>
      <c r="N68" s="523">
        <f t="shared" ca="1" si="8"/>
        <v>1186.6717988263445</v>
      </c>
      <c r="O68" s="522">
        <f t="shared" si="6"/>
        <v>0.66614313431821381</v>
      </c>
      <c r="P68" s="524">
        <f t="shared" ca="1" si="7"/>
        <v>1741.6652625014076</v>
      </c>
    </row>
    <row r="69" spans="1:16">
      <c r="A69" s="527">
        <v>2039</v>
      </c>
      <c r="B69" s="527">
        <v>17</v>
      </c>
      <c r="C69" s="528">
        <v>6.5253474200913264E-2</v>
      </c>
      <c r="D69" s="523">
        <v>205.44938918532762</v>
      </c>
      <c r="E69" s="523">
        <v>202.20024759761367</v>
      </c>
      <c r="F69" s="529">
        <f t="shared" si="9"/>
        <v>6.5253474200913264E-2</v>
      </c>
      <c r="G69" s="530">
        <f t="shared" ca="1" si="10"/>
        <v>202.20024759761367</v>
      </c>
      <c r="H69" s="531"/>
      <c r="I69" s="525">
        <f t="shared" si="3"/>
        <v>1.0249999999999999</v>
      </c>
      <c r="J69" s="525">
        <f t="shared" si="4"/>
        <v>1.0249999999999999</v>
      </c>
      <c r="L69" s="521">
        <v>20</v>
      </c>
      <c r="M69" s="522">
        <f t="shared" ca="1" si="5"/>
        <v>0.48007546861051442</v>
      </c>
      <c r="N69" s="523">
        <f t="shared" ca="1" si="8"/>
        <v>1246.2429149801596</v>
      </c>
      <c r="O69" s="522">
        <f t="shared" si="6"/>
        <v>0.70357448463768291</v>
      </c>
      <c r="P69" s="524">
        <f t="shared" ca="1" si="7"/>
        <v>1865.8436482152404</v>
      </c>
    </row>
    <row r="70" spans="1:16">
      <c r="A70" s="527">
        <v>2040</v>
      </c>
      <c r="B70" s="527">
        <v>18</v>
      </c>
      <c r="C70" s="528">
        <v>6.2473384280821873E-2</v>
      </c>
      <c r="D70" s="523">
        <v>210.58562391496076</v>
      </c>
      <c r="E70" s="523">
        <v>207.25525378755393</v>
      </c>
      <c r="F70" s="529">
        <f t="shared" si="9"/>
        <v>6.2473384280821873E-2</v>
      </c>
      <c r="G70" s="530">
        <f t="shared" ca="1" si="10"/>
        <v>207.25525378755393</v>
      </c>
      <c r="H70" s="531"/>
      <c r="I70" s="525">
        <f t="shared" si="3"/>
        <v>1.0250000000000001</v>
      </c>
      <c r="J70" s="525">
        <f t="shared" si="4"/>
        <v>1.0249999999999999</v>
      </c>
      <c r="L70" s="521">
        <v>21</v>
      </c>
      <c r="M70" s="522">
        <f t="shared" ca="1" si="5"/>
        <v>0.49726728832622846</v>
      </c>
      <c r="N70" s="523">
        <f t="shared" ca="1" si="8"/>
        <v>1303.2767222449277</v>
      </c>
      <c r="O70" s="522">
        <f t="shared" si="6"/>
        <v>0.74082412937307685</v>
      </c>
      <c r="P70" s="524">
        <f t="shared" ca="1" si="7"/>
        <v>1989.4192262314332</v>
      </c>
    </row>
    <row r="71" spans="1:16">
      <c r="A71" s="527">
        <v>2041</v>
      </c>
      <c r="B71" s="527">
        <v>19</v>
      </c>
      <c r="C71" s="528">
        <v>6.4035218887842416E-2</v>
      </c>
      <c r="D71" s="523">
        <v>215.85026451283474</v>
      </c>
      <c r="E71" s="523">
        <v>212.43663513224277</v>
      </c>
      <c r="F71" s="529">
        <f t="shared" si="9"/>
        <v>6.4035218887842416E-2</v>
      </c>
      <c r="G71" s="530">
        <f t="shared" ca="1" si="10"/>
        <v>212.43663513224277</v>
      </c>
      <c r="H71" s="531"/>
      <c r="I71" s="525">
        <f t="shared" si="3"/>
        <v>1.0249999999999999</v>
      </c>
      <c r="J71" s="525">
        <f t="shared" si="4"/>
        <v>1.0249999999999999</v>
      </c>
      <c r="L71" s="521">
        <v>22</v>
      </c>
      <c r="M71" s="522">
        <f t="shared" ca="1" si="5"/>
        <v>0.51372685792141515</v>
      </c>
      <c r="N71" s="523">
        <f t="shared" ca="1" si="8"/>
        <v>1357.8812920622145</v>
      </c>
      <c r="O71" s="522">
        <f t="shared" si="6"/>
        <v>0.77789295059033781</v>
      </c>
      <c r="P71" s="524">
        <f t="shared" ca="1" si="7"/>
        <v>2112.3949228009456</v>
      </c>
    </row>
    <row r="72" spans="1:16">
      <c r="A72" s="527">
        <v>2042</v>
      </c>
      <c r="B72" s="527">
        <v>20</v>
      </c>
      <c r="C72" s="528">
        <v>6.5636099360038475E-2</v>
      </c>
      <c r="D72" s="523">
        <v>221.24652112565559</v>
      </c>
      <c r="E72" s="523">
        <v>217.74755101054879</v>
      </c>
      <c r="F72" s="529">
        <f t="shared" si="9"/>
        <v>6.5636099360038475E-2</v>
      </c>
      <c r="G72" s="530">
        <f t="shared" ca="1" si="10"/>
        <v>217.74755101054879</v>
      </c>
      <c r="H72" s="531"/>
      <c r="I72" s="525">
        <f t="shared" si="3"/>
        <v>1.0249999999999999</v>
      </c>
      <c r="J72" s="525">
        <f t="shared" si="4"/>
        <v>1.0249999999999999</v>
      </c>
      <c r="L72" s="521">
        <v>23</v>
      </c>
      <c r="M72" s="522">
        <f t="shared" ca="1" si="5"/>
        <v>0.52948536608045338</v>
      </c>
      <c r="N72" s="523">
        <f t="shared" ca="1" si="8"/>
        <v>1410.1600927933175</v>
      </c>
      <c r="O72" s="522">
        <f t="shared" si="6"/>
        <v>0.81478182607353444</v>
      </c>
      <c r="P72" s="524">
        <f t="shared" ca="1" si="7"/>
        <v>2234.7736499696348</v>
      </c>
    </row>
    <row r="73" spans="1:16">
      <c r="A73" s="527">
        <v>2043</v>
      </c>
      <c r="B73" s="527">
        <v>21</v>
      </c>
      <c r="C73" s="528">
        <v>6.7277001844039439E-2</v>
      </c>
      <c r="D73" s="523">
        <v>226.77768415379697</v>
      </c>
      <c r="E73" s="523">
        <v>223.19123978581248</v>
      </c>
      <c r="F73" s="529">
        <f t="shared" si="9"/>
        <v>6.7277001844039439E-2</v>
      </c>
      <c r="G73" s="530">
        <f t="shared" ca="1" si="10"/>
        <v>223.19123978581248</v>
      </c>
      <c r="H73" s="531"/>
      <c r="I73" s="525">
        <f t="shared" si="3"/>
        <v>1.0249999999999997</v>
      </c>
      <c r="J73" s="525">
        <f t="shared" si="4"/>
        <v>1.0249999999999999</v>
      </c>
      <c r="L73" s="521">
        <v>24</v>
      </c>
      <c r="M73" s="522">
        <f t="shared" ca="1" si="5"/>
        <v>0.54457267307000523</v>
      </c>
      <c r="N73" s="523">
        <f t="shared" ca="1" si="8"/>
        <v>1460.2121857779809</v>
      </c>
      <c r="O73" s="522">
        <f t="shared" si="6"/>
        <v>0.85149162934564759</v>
      </c>
      <c r="P73" s="524">
        <f t="shared" ca="1" si="7"/>
        <v>2356.5583056472142</v>
      </c>
    </row>
    <row r="74" spans="1:16">
      <c r="A74" s="527">
        <v>2044</v>
      </c>
      <c r="B74" s="527">
        <v>22</v>
      </c>
      <c r="C74" s="528">
        <v>6.8958926890140423E-2</v>
      </c>
      <c r="D74" s="523">
        <v>232.44712625764186</v>
      </c>
      <c r="E74" s="523">
        <v>228.7710207804578</v>
      </c>
      <c r="F74" s="529">
        <f t="shared" si="9"/>
        <v>6.8958926890140423E-2</v>
      </c>
      <c r="G74" s="530">
        <f t="shared" ca="1" si="10"/>
        <v>228.7710207804578</v>
      </c>
      <c r="H74" s="531"/>
      <c r="I74" s="525">
        <f t="shared" si="3"/>
        <v>1.0249999999999999</v>
      </c>
      <c r="J74" s="525">
        <f t="shared" si="4"/>
        <v>1.0249999999999999</v>
      </c>
      <c r="L74" s="521">
        <v>25</v>
      </c>
      <c r="M74" s="522">
        <f t="shared" ca="1" si="5"/>
        <v>0.55901736732023</v>
      </c>
      <c r="N74" s="523">
        <f t="shared" ca="1" si="8"/>
        <v>1508.1324130423934</v>
      </c>
      <c r="O74" s="522">
        <f t="shared" si="6"/>
        <v>0.88802322968925529</v>
      </c>
      <c r="P74" s="524">
        <f t="shared" ca="1" si="7"/>
        <v>2477.7517736758732</v>
      </c>
    </row>
    <row r="75" spans="1:16">
      <c r="A75" s="527">
        <v>2045</v>
      </c>
      <c r="B75" s="527">
        <v>23</v>
      </c>
      <c r="C75" s="528">
        <v>7.068290006239393E-2</v>
      </c>
      <c r="D75" s="523">
        <v>238.25830441408289</v>
      </c>
      <c r="E75" s="523">
        <v>234.4902962999692</v>
      </c>
      <c r="F75" s="529">
        <f t="shared" si="9"/>
        <v>7.068290006239393E-2</v>
      </c>
      <c r="G75" s="530">
        <f t="shared" ca="1" si="10"/>
        <v>234.4902962999692</v>
      </c>
      <c r="H75" s="531"/>
    </row>
    <row r="76" spans="1:16">
      <c r="A76" s="527">
        <v>2046</v>
      </c>
      <c r="B76" s="527">
        <v>24</v>
      </c>
      <c r="C76" s="528">
        <v>7.244997256395376E-2</v>
      </c>
      <c r="D76" s="523">
        <v>244.21476202443492</v>
      </c>
      <c r="E76" s="523">
        <v>240.35255370746842</v>
      </c>
      <c r="F76" s="529">
        <f t="shared" si="9"/>
        <v>7.244997256395376E-2</v>
      </c>
      <c r="G76" s="530">
        <f t="shared" ca="1" si="10"/>
        <v>240.35255370746842</v>
      </c>
      <c r="H76" s="531"/>
    </row>
    <row r="77" spans="1:16">
      <c r="A77" s="527">
        <v>2047</v>
      </c>
      <c r="B77" s="527">
        <v>25</v>
      </c>
      <c r="C77" s="528">
        <v>7.4261221878052591E-2</v>
      </c>
      <c r="D77" s="523">
        <v>250.32013107504579</v>
      </c>
      <c r="E77" s="523">
        <v>246.36136755015511</v>
      </c>
      <c r="F77" s="529">
        <f t="shared" si="9"/>
        <v>7.4261221878052591E-2</v>
      </c>
      <c r="G77" s="530">
        <f t="shared" ca="1" si="10"/>
        <v>246.36136755015511</v>
      </c>
      <c r="H77" s="531"/>
      <c r="J77" s="532"/>
      <c r="K77" s="15"/>
      <c r="L77" s="15"/>
      <c r="M77" s="16"/>
      <c r="N77" s="16"/>
      <c r="O77" s="16"/>
    </row>
    <row r="78" spans="1:16">
      <c r="B78" s="508" t="s">
        <v>763</v>
      </c>
      <c r="C78" s="533">
        <f ca="1">C53+NPV($B44,C54:C77)</f>
        <v>0.55901736732022989</v>
      </c>
      <c r="D78" s="534">
        <f ca="1">D53+NPV($B$44,D54:D77)</f>
        <v>1797.2854058845087</v>
      </c>
      <c r="E78" s="534"/>
      <c r="F78" s="529">
        <f>F53+NPV(B46,F54:F77)</f>
        <v>0.88802322968925484</v>
      </c>
      <c r="G78" s="534">
        <f ca="1">G53+NPV(B46,G54:G77)</f>
        <v>2477.7517736758714</v>
      </c>
      <c r="J78" s="532"/>
      <c r="K78" s="15"/>
      <c r="L78" s="15"/>
      <c r="M78" s="16"/>
      <c r="N78" s="16"/>
      <c r="O78" s="16"/>
    </row>
    <row r="81" spans="8:10">
      <c r="H81" s="63"/>
      <c r="I81" s="4"/>
      <c r="J81" s="4"/>
    </row>
  </sheetData>
  <sheetProtection algorithmName="SHA-512" hashValue="KdT4l5EARWYcZp6bLJKxRzP/yx8B7tkLDkBZTfJoQ565dFJjTBjYojDD1zhflumD38i+j0Q2QFkiUPhz38aEVQ==" saltValue="W0JIy4yEG00bq6llCVWJ3Q==" spinCount="100000" sheet="1" objects="1" scenarios="1"/>
  <mergeCells count="6">
    <mergeCell ref="L47:P47"/>
    <mergeCell ref="F51:G51"/>
    <mergeCell ref="M48:N48"/>
    <mergeCell ref="O48:P48"/>
    <mergeCell ref="C51:E51"/>
    <mergeCell ref="B50:G50"/>
  </mergeCells>
  <pageMargins left="0" right="0" top="0" bottom="0" header="0" footer="0"/>
  <pageSetup orientation="portrait" r:id="rId1"/>
  <tableParts count="2">
    <tablePart r:id="rId2"/>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tabColor theme="8" tint="0.59999389629810485"/>
    <pageSetUpPr fitToPage="1"/>
  </sheetPr>
  <dimension ref="A1:AW203"/>
  <sheetViews>
    <sheetView showGridLines="0" showRowColHeaders="0" zoomScale="85" zoomScaleNormal="85" workbookViewId="0">
      <selection activeCell="L6" sqref="L6"/>
    </sheetView>
  </sheetViews>
  <sheetFormatPr defaultColWidth="0" defaultRowHeight="15" zeroHeight="1"/>
  <cols>
    <col min="1" max="49" width="4.7109375" customWidth="1"/>
    <col min="50"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46">
        <f>INCENTOTAL</f>
        <v>0</v>
      </c>
      <c r="B4" s="646"/>
      <c r="C4" s="646"/>
      <c r="D4" s="646"/>
      <c r="E4" s="646"/>
      <c r="F4" s="377"/>
      <c r="G4" s="377"/>
      <c r="H4" s="377"/>
      <c r="I4" s="377"/>
    </row>
    <row r="5" spans="1:49" ht="15.95" customHeight="1">
      <c r="A5" s="647"/>
      <c r="B5" s="647"/>
      <c r="C5" s="647"/>
      <c r="D5" s="647"/>
      <c r="E5" s="647"/>
      <c r="F5" s="372"/>
      <c r="G5" s="372"/>
      <c r="H5" s="372"/>
      <c r="I5" s="372"/>
      <c r="AS5" s="663">
        <f ca="1">PROGRESSSTATUS</f>
        <v>0</v>
      </c>
      <c r="AT5" s="663"/>
      <c r="AU5" s="663"/>
      <c r="AV5" s="663"/>
      <c r="AW5" s="663"/>
    </row>
    <row r="6" spans="1:49" ht="15.95" customHeight="1">
      <c r="A6" s="647"/>
      <c r="B6" s="647"/>
      <c r="C6" s="647"/>
      <c r="D6" s="647"/>
      <c r="E6" s="647"/>
      <c r="F6" s="372"/>
      <c r="G6" s="372"/>
      <c r="H6" s="372"/>
      <c r="I6" s="372"/>
      <c r="L6" s="178"/>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373"/>
      <c r="G8" s="373"/>
      <c r="H8" s="373"/>
      <c r="I8" s="373"/>
      <c r="AS8" s="1338" t="str">
        <f ca="1">PROJSTATUS</f>
        <v>Enter Measures</v>
      </c>
      <c r="AT8" s="1338"/>
      <c r="AU8" s="1338"/>
      <c r="AV8" s="1338"/>
      <c r="AW8" s="1338"/>
    </row>
    <row r="9" spans="1:49" ht="15.95" customHeight="1">
      <c r="A9" s="664" t="s">
        <v>1053</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A11" s="96"/>
      <c r="B11" s="96"/>
      <c r="C11" s="96"/>
      <c r="D11" s="96"/>
      <c r="E11" s="96"/>
      <c r="AK11" s="312"/>
      <c r="AL11" s="312"/>
      <c r="AM11" s="312"/>
      <c r="AN11" s="312"/>
      <c r="AO11" s="312"/>
      <c r="AP11" s="312"/>
      <c r="AQ11" s="312"/>
      <c r="AR11" s="312"/>
    </row>
    <row r="12" spans="1:49" ht="15.95" customHeight="1">
      <c r="H12" s="1319" t="s">
        <v>1051</v>
      </c>
      <c r="I12" s="1320"/>
      <c r="J12" s="1320"/>
      <c r="K12" s="1320"/>
      <c r="L12" s="1320"/>
      <c r="M12" s="1320"/>
      <c r="N12" s="1320"/>
      <c r="O12" s="1320"/>
      <c r="P12" s="1320"/>
      <c r="Q12" s="1320"/>
      <c r="R12" s="1320"/>
      <c r="S12" s="1320"/>
      <c r="T12" s="1321"/>
      <c r="U12" s="17"/>
      <c r="V12" s="1322" t="s">
        <v>1052</v>
      </c>
      <c r="W12" s="1323"/>
      <c r="X12" s="1323"/>
      <c r="Y12" s="1323"/>
      <c r="Z12" s="1323"/>
      <c r="AA12" s="1323"/>
      <c r="AB12" s="1323"/>
      <c r="AC12" s="1323"/>
      <c r="AD12" s="1323"/>
      <c r="AE12" s="1323"/>
      <c r="AF12" s="1323"/>
      <c r="AG12" s="1323"/>
      <c r="AH12" s="1324"/>
      <c r="AJ12" s="312"/>
      <c r="AK12" s="312"/>
      <c r="AL12" s="312"/>
      <c r="AM12" s="312"/>
      <c r="AN12" s="312"/>
      <c r="AO12" s="312"/>
      <c r="AP12" s="312"/>
      <c r="AQ12" s="312"/>
      <c r="AR12" s="312"/>
    </row>
    <row r="13" spans="1:49" ht="15.95" customHeight="1">
      <c r="H13" s="155"/>
      <c r="I13" s="17"/>
      <c r="J13" s="17"/>
      <c r="K13" s="17"/>
      <c r="L13" s="17"/>
      <c r="M13" s="17"/>
      <c r="N13" s="17"/>
      <c r="O13" s="17"/>
      <c r="P13" s="17"/>
      <c r="Q13" s="17"/>
      <c r="R13" s="17"/>
      <c r="S13" s="17"/>
      <c r="T13" s="156"/>
      <c r="V13" s="155"/>
      <c r="W13" s="17"/>
      <c r="X13" s="17"/>
      <c r="Y13" s="17"/>
      <c r="Z13" s="17"/>
      <c r="AA13" s="17"/>
      <c r="AB13" s="17"/>
      <c r="AC13" s="17"/>
      <c r="AD13" s="17"/>
      <c r="AE13" s="17"/>
      <c r="AF13" s="17"/>
      <c r="AG13" s="17"/>
      <c r="AH13" s="161"/>
      <c r="AJ13" s="1336" t="s">
        <v>1988</v>
      </c>
      <c r="AK13" s="1336"/>
      <c r="AL13" s="1336"/>
      <c r="AM13" s="1336"/>
      <c r="AN13" s="1336"/>
      <c r="AO13" s="1336"/>
      <c r="AP13" s="1336"/>
      <c r="AQ13" s="1336"/>
      <c r="AR13" s="1336"/>
    </row>
    <row r="14" spans="1:49" ht="15.95" customHeight="1">
      <c r="H14" s="157" t="s">
        <v>1034</v>
      </c>
      <c r="I14" s="17" t="s">
        <v>1035</v>
      </c>
      <c r="J14" s="17"/>
      <c r="K14" s="17"/>
      <c r="L14" s="17"/>
      <c r="M14" s="17"/>
      <c r="N14" s="17"/>
      <c r="O14" s="17"/>
      <c r="P14" s="17"/>
      <c r="Q14" s="17"/>
      <c r="R14" s="17"/>
      <c r="S14" s="17"/>
      <c r="T14" s="156"/>
      <c r="V14" s="157" t="s">
        <v>1034</v>
      </c>
      <c r="W14" s="1325" t="s">
        <v>3011</v>
      </c>
      <c r="X14" s="1325"/>
      <c r="Y14" s="1325"/>
      <c r="Z14" s="1325"/>
      <c r="AA14" s="1325"/>
      <c r="AB14" s="1325"/>
      <c r="AC14" s="1325"/>
      <c r="AD14" s="1325"/>
      <c r="AE14" s="1325"/>
      <c r="AF14" s="1325"/>
      <c r="AG14" s="1325"/>
      <c r="AH14" s="1326"/>
      <c r="AJ14" s="1336"/>
      <c r="AK14" s="1336"/>
      <c r="AL14" s="1336"/>
      <c r="AM14" s="1336"/>
      <c r="AN14" s="1336"/>
      <c r="AO14" s="1336"/>
      <c r="AP14" s="1336"/>
      <c r="AQ14" s="1336"/>
      <c r="AR14" s="1336"/>
    </row>
    <row r="15" spans="1:49" ht="15.95" customHeight="1">
      <c r="H15" s="158"/>
      <c r="Q15" s="17"/>
      <c r="R15" s="17"/>
      <c r="S15" s="17"/>
      <c r="T15" s="156"/>
      <c r="V15" s="157"/>
      <c r="W15" s="1325"/>
      <c r="X15" s="1325"/>
      <c r="Y15" s="1325"/>
      <c r="Z15" s="1325"/>
      <c r="AA15" s="1325"/>
      <c r="AB15" s="1325"/>
      <c r="AC15" s="1325"/>
      <c r="AD15" s="1325"/>
      <c r="AE15" s="1325"/>
      <c r="AF15" s="1325"/>
      <c r="AG15" s="1325"/>
      <c r="AH15" s="1326"/>
      <c r="AJ15" s="1327" t="str" cm="1">
        <f t="array" aca="1" ref="AJ15" ca="1">IF(AND(ACTIVEOFFER &lt;&gt; "Yes", ACTIVECOMPL &lt;&gt; "Yes"), IF(PROJSTATUS = PROJSTATMEASURE, "Enter measure(s) before submitting", IF(PROGRESSSTATUS &gt;= 1, _xlfn.SWITCH(PROJSTATUS, "", HYPERLINK(JotForm_FT, "Submit Completed Project"), PROJSTATPREAPPROVE, HYPERLINK(JotForm_PA, "Submit Project for Pre-Approval"), "Error in application"), "Application is not complete")), "✉  Draft Email")</f>
        <v>Enter measure(s) before submitting</v>
      </c>
      <c r="AK15" s="1328"/>
      <c r="AL15" s="1328"/>
      <c r="AM15" s="1328"/>
      <c r="AN15" s="1328"/>
      <c r="AO15" s="1328"/>
      <c r="AP15" s="1328"/>
      <c r="AQ15" s="1328"/>
      <c r="AR15" s="1329"/>
    </row>
    <row r="16" spans="1:49" ht="15.95" customHeight="1">
      <c r="H16" s="157" t="s">
        <v>1036</v>
      </c>
      <c r="I16" s="17" t="s">
        <v>1037</v>
      </c>
      <c r="J16" s="17"/>
      <c r="K16" s="17"/>
      <c r="L16" s="17"/>
      <c r="M16" s="17"/>
      <c r="N16" s="17"/>
      <c r="O16" s="17"/>
      <c r="P16" s="17"/>
      <c r="Q16" s="17"/>
      <c r="R16" s="17"/>
      <c r="S16" s="17"/>
      <c r="T16" s="156"/>
      <c r="V16" s="155"/>
      <c r="W16" s="1325"/>
      <c r="X16" s="1325"/>
      <c r="Y16" s="1325"/>
      <c r="Z16" s="1325"/>
      <c r="AA16" s="1325"/>
      <c r="AB16" s="1325"/>
      <c r="AC16" s="1325"/>
      <c r="AD16" s="1325"/>
      <c r="AE16" s="1325"/>
      <c r="AF16" s="1325"/>
      <c r="AG16" s="1325"/>
      <c r="AH16" s="1326"/>
      <c r="AJ16" s="1330"/>
      <c r="AK16" s="1331"/>
      <c r="AL16" s="1331"/>
      <c r="AM16" s="1331"/>
      <c r="AN16" s="1331"/>
      <c r="AO16" s="1331"/>
      <c r="AP16" s="1331"/>
      <c r="AQ16" s="1331"/>
      <c r="AR16" s="1332"/>
    </row>
    <row r="17" spans="8:44" ht="15.95" customHeight="1">
      <c r="H17" s="157"/>
      <c r="I17" s="1339" t="s">
        <v>300</v>
      </c>
      <c r="J17" s="1339"/>
      <c r="K17" s="1339"/>
      <c r="L17" s="1339" t="s">
        <v>1038</v>
      </c>
      <c r="M17" s="1339"/>
      <c r="N17" s="1339"/>
      <c r="O17" s="1339"/>
      <c r="P17" s="1339"/>
      <c r="Q17" s="1339"/>
      <c r="R17" s="1339"/>
      <c r="S17" s="1339"/>
      <c r="T17" s="1340"/>
      <c r="U17" s="163"/>
      <c r="V17" s="157" t="s">
        <v>1036</v>
      </c>
      <c r="W17" s="1325" t="s">
        <v>1618</v>
      </c>
      <c r="X17" s="1325"/>
      <c r="Y17" s="1325"/>
      <c r="Z17" s="1325"/>
      <c r="AA17" s="1325"/>
      <c r="AB17" s="1325"/>
      <c r="AC17" s="1325"/>
      <c r="AD17" s="1325"/>
      <c r="AE17" s="1325"/>
      <c r="AF17" s="1325"/>
      <c r="AG17" s="1325"/>
      <c r="AH17" s="1326"/>
      <c r="AJ17" s="1333"/>
      <c r="AK17" s="1334"/>
      <c r="AL17" s="1334"/>
      <c r="AM17" s="1334"/>
      <c r="AN17" s="1334"/>
      <c r="AO17" s="1334"/>
      <c r="AP17" s="1334"/>
      <c r="AQ17" s="1334"/>
      <c r="AR17" s="1335"/>
    </row>
    <row r="18" spans="8:44" ht="15.95" customHeight="1">
      <c r="H18" s="157"/>
      <c r="I18" s="694" t="s">
        <v>300</v>
      </c>
      <c r="J18" s="694"/>
      <c r="K18" s="694"/>
      <c r="L18" s="694" t="s">
        <v>1039</v>
      </c>
      <c r="M18" s="694"/>
      <c r="N18" s="694"/>
      <c r="O18" s="694"/>
      <c r="P18" s="694"/>
      <c r="Q18" s="694"/>
      <c r="R18" s="694"/>
      <c r="S18" s="694"/>
      <c r="T18" s="1341"/>
      <c r="V18" s="155"/>
      <c r="W18" s="1325"/>
      <c r="X18" s="1325"/>
      <c r="Y18" s="1325"/>
      <c r="Z18" s="1325"/>
      <c r="AA18" s="1325"/>
      <c r="AB18" s="1325"/>
      <c r="AC18" s="1325"/>
      <c r="AD18" s="1325"/>
      <c r="AE18" s="1325"/>
      <c r="AF18" s="1325"/>
      <c r="AG18" s="1325"/>
      <c r="AH18" s="1326"/>
      <c r="AM18" s="600" t="s">
        <v>227</v>
      </c>
      <c r="AN18" s="600"/>
      <c r="AO18" s="600"/>
    </row>
    <row r="19" spans="8:44" ht="15.95" customHeight="1">
      <c r="H19" s="157"/>
      <c r="I19" s="694" t="s">
        <v>300</v>
      </c>
      <c r="J19" s="694"/>
      <c r="K19" s="694"/>
      <c r="L19" s="694" t="s">
        <v>1986</v>
      </c>
      <c r="M19" s="694"/>
      <c r="N19" s="694"/>
      <c r="O19" s="694"/>
      <c r="P19" s="694"/>
      <c r="Q19" s="694"/>
      <c r="R19" s="694"/>
      <c r="S19" s="694"/>
      <c r="T19" s="1341"/>
      <c r="V19" s="155"/>
      <c r="W19" s="1325"/>
      <c r="X19" s="1325"/>
      <c r="Y19" s="1325"/>
      <c r="Z19" s="1325"/>
      <c r="AA19" s="1325"/>
      <c r="AB19" s="1325"/>
      <c r="AC19" s="1325"/>
      <c r="AD19" s="1325"/>
      <c r="AE19" s="1325"/>
      <c r="AF19" s="1325"/>
      <c r="AG19" s="1325"/>
      <c r="AH19" s="1326"/>
      <c r="AM19" s="600"/>
      <c r="AN19" s="600"/>
      <c r="AO19" s="600"/>
    </row>
    <row r="20" spans="8:44" ht="15.95" customHeight="1">
      <c r="H20" s="158"/>
      <c r="I20" s="694" t="s">
        <v>1040</v>
      </c>
      <c r="J20" s="694"/>
      <c r="K20" s="694"/>
      <c r="L20" s="694" t="s">
        <v>1041</v>
      </c>
      <c r="M20" s="694"/>
      <c r="N20" s="694"/>
      <c r="O20" s="694"/>
      <c r="P20" s="694"/>
      <c r="Q20" s="694"/>
      <c r="R20" s="694"/>
      <c r="S20" s="694"/>
      <c r="T20" s="1341"/>
      <c r="V20" s="155"/>
      <c r="W20" s="1325"/>
      <c r="X20" s="1325"/>
      <c r="Y20" s="1325"/>
      <c r="Z20" s="1325"/>
      <c r="AA20" s="1325"/>
      <c r="AB20" s="1325"/>
      <c r="AC20" s="1325"/>
      <c r="AD20" s="1325"/>
      <c r="AE20" s="1325"/>
      <c r="AF20" s="1325"/>
      <c r="AG20" s="1325"/>
      <c r="AH20" s="1326"/>
      <c r="AL20" s="1337" t="s">
        <v>1987</v>
      </c>
      <c r="AM20" s="1337"/>
      <c r="AN20" s="1337"/>
      <c r="AO20" s="1337"/>
      <c r="AP20" s="1337"/>
      <c r="AQ20" s="311"/>
      <c r="AR20" s="311"/>
    </row>
    <row r="21" spans="8:44" ht="15.95" customHeight="1">
      <c r="H21" s="158"/>
      <c r="I21" s="694" t="s">
        <v>1040</v>
      </c>
      <c r="J21" s="694"/>
      <c r="K21" s="694"/>
      <c r="L21" s="694" t="s">
        <v>1042</v>
      </c>
      <c r="M21" s="694"/>
      <c r="N21" s="694"/>
      <c r="O21" s="694"/>
      <c r="P21" s="694"/>
      <c r="Q21" s="694"/>
      <c r="R21" s="694"/>
      <c r="S21" s="694"/>
      <c r="T21" s="1341"/>
      <c r="V21" s="155"/>
      <c r="W21" s="1325"/>
      <c r="X21" s="1325"/>
      <c r="Y21" s="1325"/>
      <c r="Z21" s="1325"/>
      <c r="AA21" s="1325"/>
      <c r="AB21" s="1325"/>
      <c r="AC21" s="1325"/>
      <c r="AD21" s="1325"/>
      <c r="AE21" s="1325"/>
      <c r="AF21" s="1325"/>
      <c r="AG21" s="1325"/>
      <c r="AH21" s="1326"/>
      <c r="AL21" s="1337"/>
      <c r="AM21" s="1337"/>
      <c r="AN21" s="1337"/>
      <c r="AO21" s="1337"/>
      <c r="AP21" s="1337"/>
      <c r="AQ21" s="311"/>
      <c r="AR21" s="311"/>
    </row>
    <row r="22" spans="8:44" ht="15.95" customHeight="1">
      <c r="H22" s="158"/>
      <c r="I22" s="694" t="s">
        <v>1040</v>
      </c>
      <c r="J22" s="694"/>
      <c r="K22" s="694"/>
      <c r="L22" s="694" t="s">
        <v>1043</v>
      </c>
      <c r="M22" s="694"/>
      <c r="N22" s="694"/>
      <c r="O22" s="694"/>
      <c r="P22" s="694"/>
      <c r="Q22" s="694"/>
      <c r="R22" s="694"/>
      <c r="S22" s="694"/>
      <c r="T22" s="1341"/>
      <c r="V22" s="157" t="s">
        <v>1044</v>
      </c>
      <c r="W22" s="1325" t="s">
        <v>1049</v>
      </c>
      <c r="X22" s="1325"/>
      <c r="Y22" s="1325"/>
      <c r="Z22" s="1325"/>
      <c r="AA22" s="1325"/>
      <c r="AB22" s="1325"/>
      <c r="AC22" s="1325"/>
      <c r="AD22" s="1325"/>
      <c r="AE22" s="1325"/>
      <c r="AF22" s="1325"/>
      <c r="AG22" s="1325"/>
      <c r="AH22" s="1326"/>
      <c r="AJ22" s="311"/>
      <c r="AK22" s="311"/>
      <c r="AL22" s="311"/>
      <c r="AM22" s="311"/>
      <c r="AN22" s="311"/>
      <c r="AO22" s="311"/>
      <c r="AP22" s="311"/>
      <c r="AQ22" s="311"/>
      <c r="AR22" s="311"/>
    </row>
    <row r="23" spans="8:44" ht="15.95" customHeight="1">
      <c r="H23" s="155"/>
      <c r="T23" s="156"/>
      <c r="V23" s="155"/>
      <c r="W23" s="1325"/>
      <c r="X23" s="1325"/>
      <c r="Y23" s="1325"/>
      <c r="Z23" s="1325"/>
      <c r="AA23" s="1325"/>
      <c r="AB23" s="1325"/>
      <c r="AC23" s="1325"/>
      <c r="AD23" s="1325"/>
      <c r="AE23" s="1325"/>
      <c r="AF23" s="1325"/>
      <c r="AG23" s="1325"/>
      <c r="AH23" s="1326"/>
      <c r="AJ23" s="1318" t="s">
        <v>1990</v>
      </c>
      <c r="AK23" s="1318"/>
      <c r="AL23" s="1318"/>
      <c r="AM23" s="1318"/>
      <c r="AN23" s="1318"/>
      <c r="AO23" s="1318"/>
      <c r="AP23" s="1318"/>
      <c r="AQ23" s="1318"/>
      <c r="AR23" s="1318"/>
    </row>
    <row r="24" spans="8:44" ht="15.95" customHeight="1">
      <c r="H24" s="157" t="s">
        <v>1044</v>
      </c>
      <c r="I24" s="1325" t="s">
        <v>1045</v>
      </c>
      <c r="J24" s="1325"/>
      <c r="K24" s="1325"/>
      <c r="L24" s="1325"/>
      <c r="M24" s="1325"/>
      <c r="N24" s="1325"/>
      <c r="O24" s="1325"/>
      <c r="P24" s="1325"/>
      <c r="Q24" s="1325"/>
      <c r="R24" s="1325"/>
      <c r="S24" s="1325"/>
      <c r="T24" s="1326"/>
      <c r="V24" s="157"/>
      <c r="W24" s="1325"/>
      <c r="X24" s="1325"/>
      <c r="Y24" s="1325"/>
      <c r="Z24" s="1325"/>
      <c r="AA24" s="1325"/>
      <c r="AB24" s="1325"/>
      <c r="AC24" s="1325"/>
      <c r="AD24" s="1325"/>
      <c r="AE24" s="1325"/>
      <c r="AF24" s="1325"/>
      <c r="AG24" s="1325"/>
      <c r="AH24" s="1326"/>
      <c r="AJ24" s="1318"/>
      <c r="AK24" s="1318"/>
      <c r="AL24" s="1318"/>
      <c r="AM24" s="1318"/>
      <c r="AN24" s="1318"/>
      <c r="AO24" s="1318"/>
      <c r="AP24" s="1318"/>
      <c r="AQ24" s="1318"/>
      <c r="AR24" s="1318"/>
    </row>
    <row r="25" spans="8:44" ht="15.95" customHeight="1">
      <c r="H25" s="155"/>
      <c r="I25" s="1325"/>
      <c r="J25" s="1325"/>
      <c r="K25" s="1325"/>
      <c r="L25" s="1325"/>
      <c r="M25" s="1325"/>
      <c r="N25" s="1325"/>
      <c r="O25" s="1325"/>
      <c r="P25" s="1325"/>
      <c r="Q25" s="1325"/>
      <c r="R25" s="1325"/>
      <c r="S25" s="1325"/>
      <c r="T25" s="1326"/>
      <c r="V25" s="155"/>
      <c r="W25" s="1325"/>
      <c r="X25" s="1325"/>
      <c r="Y25" s="1325"/>
      <c r="Z25" s="1325"/>
      <c r="AA25" s="1325"/>
      <c r="AB25" s="1325"/>
      <c r="AC25" s="1325"/>
      <c r="AD25" s="1325"/>
      <c r="AE25" s="1325"/>
      <c r="AF25" s="1325"/>
      <c r="AG25" s="1325"/>
      <c r="AH25" s="1326"/>
      <c r="AJ25" s="1318"/>
      <c r="AK25" s="1318"/>
      <c r="AL25" s="1318"/>
      <c r="AM25" s="1318"/>
      <c r="AN25" s="1318"/>
      <c r="AO25" s="1318"/>
      <c r="AP25" s="1318"/>
      <c r="AQ25" s="1318"/>
      <c r="AR25" s="1318"/>
    </row>
    <row r="26" spans="8:44" ht="15.95" customHeight="1">
      <c r="H26" s="157"/>
      <c r="J26" s="17"/>
      <c r="K26" s="17"/>
      <c r="L26" s="17"/>
      <c r="M26" s="17"/>
      <c r="N26" s="17"/>
      <c r="O26" s="17"/>
      <c r="P26" s="17"/>
      <c r="Q26" s="17"/>
      <c r="R26" s="17"/>
      <c r="S26" s="17"/>
      <c r="T26" s="156"/>
      <c r="V26" s="155"/>
      <c r="W26" s="1325"/>
      <c r="X26" s="1325"/>
      <c r="Y26" s="1325"/>
      <c r="Z26" s="1325"/>
      <c r="AA26" s="1325"/>
      <c r="AB26" s="1325"/>
      <c r="AC26" s="1325"/>
      <c r="AD26" s="1325"/>
      <c r="AE26" s="1325"/>
      <c r="AF26" s="1325"/>
      <c r="AG26" s="1325"/>
      <c r="AH26" s="1326"/>
      <c r="AJ26" s="224"/>
      <c r="AK26" s="224"/>
      <c r="AL26" s="224"/>
      <c r="AM26" s="224"/>
      <c r="AN26" s="224"/>
      <c r="AO26" s="224"/>
      <c r="AP26" s="224"/>
      <c r="AQ26" s="224"/>
      <c r="AR26" s="224"/>
    </row>
    <row r="27" spans="8:44" ht="15.95" customHeight="1">
      <c r="H27" s="157"/>
      <c r="T27" s="156"/>
      <c r="V27" s="157" t="s">
        <v>1046</v>
      </c>
      <c r="W27" s="1325" t="s">
        <v>1050</v>
      </c>
      <c r="X27" s="1325"/>
      <c r="Y27" s="1325"/>
      <c r="Z27" s="1325"/>
      <c r="AA27" s="1325"/>
      <c r="AB27" s="1325"/>
      <c r="AC27" s="1325"/>
      <c r="AD27" s="1325"/>
      <c r="AE27" s="1325"/>
      <c r="AF27" s="1325"/>
      <c r="AG27" s="1325"/>
      <c r="AH27" s="1326"/>
    </row>
    <row r="28" spans="8:44" ht="15.95" customHeight="1">
      <c r="H28" s="155"/>
      <c r="T28" s="156"/>
      <c r="V28" s="155"/>
      <c r="W28" s="1325"/>
      <c r="X28" s="1325"/>
      <c r="Y28" s="1325"/>
      <c r="Z28" s="1325"/>
      <c r="AA28" s="1325"/>
      <c r="AB28" s="1325"/>
      <c r="AC28" s="1325"/>
      <c r="AD28" s="1325"/>
      <c r="AE28" s="1325"/>
      <c r="AF28" s="1325"/>
      <c r="AG28" s="1325"/>
      <c r="AH28" s="1326"/>
    </row>
    <row r="29" spans="8:44" ht="15.95" customHeight="1">
      <c r="H29" s="155"/>
      <c r="T29" s="156"/>
      <c r="V29" s="155"/>
      <c r="W29" s="1325"/>
      <c r="X29" s="1325"/>
      <c r="Y29" s="1325"/>
      <c r="Z29" s="1325"/>
      <c r="AA29" s="1325"/>
      <c r="AB29" s="1325"/>
      <c r="AC29" s="1325"/>
      <c r="AD29" s="1325"/>
      <c r="AE29" s="1325"/>
      <c r="AF29" s="1325"/>
      <c r="AG29" s="1325"/>
      <c r="AH29" s="1326"/>
    </row>
    <row r="30" spans="8:44" ht="15.95" customHeight="1">
      <c r="H30" s="155"/>
      <c r="T30" s="156"/>
      <c r="V30" s="155"/>
      <c r="W30" s="1325"/>
      <c r="X30" s="1325"/>
      <c r="Y30" s="1325"/>
      <c r="Z30" s="1325"/>
      <c r="AA30" s="1325"/>
      <c r="AB30" s="1325"/>
      <c r="AC30" s="1325"/>
      <c r="AD30" s="1325"/>
      <c r="AE30" s="1325"/>
      <c r="AF30" s="1325"/>
      <c r="AG30" s="1325"/>
      <c r="AH30" s="1326"/>
    </row>
    <row r="31" spans="8:44" ht="15.95" customHeight="1">
      <c r="H31" s="158"/>
      <c r="T31" s="161"/>
      <c r="V31" s="158"/>
      <c r="W31" s="1325"/>
      <c r="X31" s="1325"/>
      <c r="Y31" s="1325"/>
      <c r="Z31" s="1325"/>
      <c r="AA31" s="1325"/>
      <c r="AB31" s="1325"/>
      <c r="AC31" s="1325"/>
      <c r="AD31" s="1325"/>
      <c r="AE31" s="1325"/>
      <c r="AF31" s="1325"/>
      <c r="AG31" s="1325"/>
      <c r="AH31" s="1326"/>
    </row>
    <row r="32" spans="8:44" ht="15.95" customHeight="1">
      <c r="H32" s="159"/>
      <c r="I32" s="265"/>
      <c r="J32" s="265"/>
      <c r="K32" s="265"/>
      <c r="L32" s="265"/>
      <c r="M32" s="265"/>
      <c r="N32" s="265"/>
      <c r="O32" s="265"/>
      <c r="P32" s="265"/>
      <c r="Q32" s="265"/>
      <c r="R32" s="265"/>
      <c r="S32" s="265"/>
      <c r="T32" s="160"/>
      <c r="V32" s="162"/>
      <c r="W32" s="1342"/>
      <c r="X32" s="1342"/>
      <c r="Y32" s="1342"/>
      <c r="Z32" s="1342"/>
      <c r="AA32" s="1342"/>
      <c r="AB32" s="1342"/>
      <c r="AC32" s="1342"/>
      <c r="AD32" s="1342"/>
      <c r="AE32" s="1342"/>
      <c r="AF32" s="1342"/>
      <c r="AG32" s="1342"/>
      <c r="AH32" s="1343"/>
    </row>
    <row r="33" spans="10:45" ht="15.95" customHeight="1"/>
    <row r="34" spans="10:45" ht="15.95" hidden="1" customHeight="1"/>
    <row r="35" spans="10:45" ht="15.95" hidden="1" customHeight="1"/>
    <row r="36" spans="10:45" ht="15.95" hidden="1" customHeight="1">
      <c r="AD36" s="17"/>
      <c r="AE36" s="17"/>
      <c r="AF36" s="17"/>
      <c r="AG36" s="17"/>
      <c r="AQ36" s="17"/>
      <c r="AR36" s="17"/>
      <c r="AS36" s="17"/>
    </row>
    <row r="37" spans="10:45" ht="15.95" hidden="1" customHeight="1">
      <c r="AD37" s="17"/>
      <c r="AE37" s="17"/>
      <c r="AF37" s="17"/>
      <c r="AG37" s="17"/>
      <c r="AH37" s="17"/>
      <c r="AI37" s="17"/>
      <c r="AJ37" s="17"/>
      <c r="AK37" s="17"/>
      <c r="AL37" s="17"/>
      <c r="AM37" s="17"/>
      <c r="AN37" s="17"/>
      <c r="AO37" s="17"/>
      <c r="AP37" s="17"/>
      <c r="AQ37" s="17"/>
      <c r="AR37" s="17"/>
      <c r="AS37" s="17"/>
    </row>
    <row r="38" spans="10:45" ht="15.95" hidden="1" customHeight="1">
      <c r="J38" s="83"/>
      <c r="K38" s="83"/>
      <c r="L38" s="83"/>
      <c r="M38" s="83"/>
      <c r="N38" s="83"/>
      <c r="O38" s="83"/>
      <c r="P38" s="83"/>
      <c r="Q38" s="83"/>
      <c r="R38" s="83"/>
      <c r="S38" s="83"/>
      <c r="T38" s="83"/>
      <c r="U38" s="83"/>
      <c r="V38" s="83"/>
      <c r="W38" s="83"/>
      <c r="X38" s="83"/>
      <c r="Y38" s="83"/>
      <c r="Z38" s="83"/>
      <c r="AA38" s="83"/>
      <c r="AB38" s="83"/>
      <c r="AC38" s="83"/>
      <c r="AD38" s="17"/>
      <c r="AE38" s="17"/>
      <c r="AF38" s="17"/>
      <c r="AG38" s="17"/>
      <c r="AH38" s="17"/>
      <c r="AI38" s="17"/>
      <c r="AJ38" s="17"/>
      <c r="AK38" s="17"/>
      <c r="AL38" s="17"/>
      <c r="AM38" s="17"/>
      <c r="AN38" s="17"/>
      <c r="AO38" s="17"/>
      <c r="AP38" s="17"/>
      <c r="AQ38" s="17"/>
      <c r="AR38" s="17"/>
      <c r="AS38" s="17"/>
    </row>
    <row r="39" spans="10:45" ht="15.95" hidden="1" customHeight="1">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0:45" ht="15.95" hidden="1" customHeight="1">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0:45" ht="15.95" hidden="1" customHeight="1">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0:45" ht="15.95" hidden="1" customHeight="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0:45" ht="15.95" hidden="1" customHeight="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0:45" ht="15.95" hidden="1" customHeight="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0:45" ht="15.95" hidden="1" customHeight="1">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0:45" ht="15.95" hidden="1" customHeight="1">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0:45" ht="15.95" hidden="1" customHeight="1">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0:45" ht="15.95" hidden="1" customHeight="1">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0:45" ht="15.95" hidden="1" customHeight="1">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0:45" ht="15.95" hidden="1" customHeight="1">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0:45" ht="15.95" hidden="1" customHeight="1">
      <c r="AD51" s="17"/>
      <c r="AE51" s="17"/>
      <c r="AF51" s="17"/>
      <c r="AG51" s="17"/>
      <c r="AH51" s="17"/>
      <c r="AI51" s="17"/>
      <c r="AJ51" s="17"/>
      <c r="AK51" s="17"/>
      <c r="AL51" s="17"/>
      <c r="AM51" s="17"/>
      <c r="AN51" s="17"/>
      <c r="AO51" s="17"/>
      <c r="AP51" s="17"/>
      <c r="AQ51" s="17"/>
      <c r="AR51" s="17"/>
      <c r="AS51" s="17"/>
    </row>
    <row r="52" spans="10:45" ht="15.95" hidden="1" customHeight="1">
      <c r="AD52" s="17"/>
    </row>
    <row r="53" spans="10:45" ht="15.95" hidden="1" customHeight="1">
      <c r="AD53" s="17"/>
    </row>
    <row r="54" spans="10:45" ht="15.95" hidden="1" customHeight="1">
      <c r="AD54" s="17"/>
    </row>
    <row r="55" spans="10:45" ht="15.95" hidden="1" customHeight="1"/>
    <row r="56" spans="10:45" ht="15.95" hidden="1" customHeight="1"/>
    <row r="57" spans="10:45" ht="15.95" hidden="1" customHeight="1"/>
    <row r="58" spans="10:45" ht="15.95" hidden="1" customHeight="1"/>
    <row r="59" spans="10:45" ht="15.95" hidden="1" customHeight="1"/>
    <row r="60" spans="10:45" ht="15.95" hidden="1" customHeight="1"/>
    <row r="61" spans="10:45" ht="15.95" hidden="1" customHeight="1"/>
    <row r="62" spans="10:45" ht="15.95" hidden="1" customHeight="1"/>
    <row r="63" spans="10:45" ht="15.95" hidden="1" customHeight="1"/>
    <row r="64" spans="1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49" ht="15.95" hidden="1" customHeight="1"/>
  </sheetData>
  <sheetProtection algorithmName="SHA-512" hashValue="e/fpEh//W7drujrpvXWmKsgLS6nUfEvq+UDurjc45ru/X3hYtg80lvDr8McoYzFKykV8cpkDNaOS2wMTgpV/Rw==" saltValue="IDCDt0MG2obP2ddr5jK5qg==" spinCount="100000" sheet="1" objects="1" scenarios="1" selectLockedCells="1"/>
  <mergeCells count="38">
    <mergeCell ref="AT1:AW3"/>
    <mergeCell ref="F1:I3"/>
    <mergeCell ref="J1:M3"/>
    <mergeCell ref="AL1:AO3"/>
    <mergeCell ref="AP1:AS3"/>
    <mergeCell ref="N1:T3"/>
    <mergeCell ref="U1:AK3"/>
    <mergeCell ref="O200:AI201"/>
    <mergeCell ref="I17:K17"/>
    <mergeCell ref="L17:T17"/>
    <mergeCell ref="I18:K18"/>
    <mergeCell ref="L18:T18"/>
    <mergeCell ref="I19:K19"/>
    <mergeCell ref="L19:T19"/>
    <mergeCell ref="I20:K20"/>
    <mergeCell ref="L20:T20"/>
    <mergeCell ref="I21:K21"/>
    <mergeCell ref="I24:T25"/>
    <mergeCell ref="I22:K22"/>
    <mergeCell ref="L22:T22"/>
    <mergeCell ref="L21:T21"/>
    <mergeCell ref="W27:AH32"/>
    <mergeCell ref="W17:AH21"/>
    <mergeCell ref="A9:AW10"/>
    <mergeCell ref="AS5:AW6"/>
    <mergeCell ref="AS7:AW7"/>
    <mergeCell ref="AS8:AW8"/>
    <mergeCell ref="A4:E6"/>
    <mergeCell ref="A7:E8"/>
    <mergeCell ref="AJ23:AR25"/>
    <mergeCell ref="H12:T12"/>
    <mergeCell ref="V12:AH12"/>
    <mergeCell ref="W14:AH16"/>
    <mergeCell ref="W22:AH26"/>
    <mergeCell ref="AJ15:AR17"/>
    <mergeCell ref="AJ13:AR14"/>
    <mergeCell ref="AM18:AO19"/>
    <mergeCell ref="AL20:AP21"/>
  </mergeCells>
  <conditionalFormatting sqref="I17">
    <cfRule type="expression" dxfId="38" priority="3">
      <formula>IF(AND(INCENTOTALPRESE&gt;0,INCENTOTALPRESE&lt;=10000,INCENTOTALCUSE=0),FALSE,TRUE)</formula>
    </cfRule>
  </conditionalFormatting>
  <conditionalFormatting sqref="L17:T17">
    <cfRule type="expression" dxfId="37" priority="5">
      <formula>IF(AND(INCENTOTALPRESE&gt;0,INCENTOTALPRESE&lt;10000,INCENTOTALCUSE=0),FALSE,TRUE)</formula>
    </cfRule>
  </conditionalFormatting>
  <conditionalFormatting sqref="AJ13:AR17 AL18:AP19">
    <cfRule type="expression" dxfId="36" priority="1">
      <formula>OR(ACTIVEOFFER= "Yes", ACTIVECOMPL = "Yes")</formula>
    </cfRule>
  </conditionalFormatting>
  <conditionalFormatting sqref="AS8:AW8">
    <cfRule type="expression" dxfId="35" priority="4">
      <formula>IF($AS$8=PROJSTATMEASURE,FALSE,TRUE)</formula>
    </cfRule>
  </conditionalFormatting>
  <hyperlinks>
    <hyperlink ref="B202" r:id="rId1" display="businessrebates@evergy.com" xr:uid="{8555F273-FA4E-4F67-B35D-FDEC1FDBA525}"/>
    <hyperlink ref="AL20:AP21" r:id="rId2" display="✉  Draft Email" xr:uid="{04175097-7BEE-44CA-A7E2-FBAD363934C7}"/>
    <hyperlink ref="J1:M3" location="'M01-S02'!J1" tooltip="Instructions" display="'M01-S02'!J1" xr:uid="{402E4A43-562A-44BF-BE65-C4CBC086BE9F}"/>
    <hyperlink ref="AP1:AS3" location="'M05-S05'!AL1" tooltip=" " display="'M05-S05'!AL1" xr:uid="{9417D9D1-1C89-409C-8370-CABC30099622}"/>
    <hyperlink ref="AL1:AO3" location="'M05-S04'!AH1" tooltip=" " display="'M05-S04'!AH1" xr:uid="{7C0BA1B7-5CD3-423F-97F4-ABA3926AC0AF}"/>
    <hyperlink ref="AT1:AW3" location="'M01-S03'!AP1" tooltip="Contact" display="'M01-S03'!AP1" xr:uid="{E46E3FE2-0FF1-4B07-B0AF-5124772363C3}"/>
  </hyperlinks>
  <printOptions horizontalCentered="1"/>
  <pageMargins left="0" right="0" top="0" bottom="0" header="0" footer="0"/>
  <pageSetup scale="43"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pageSetUpPr fitToPage="1"/>
  </sheetPr>
  <dimension ref="A1:CW202"/>
  <sheetViews>
    <sheetView showGridLines="0" showRowColHeaders="0" zoomScale="85" zoomScaleNormal="85" workbookViewId="0"/>
  </sheetViews>
  <sheetFormatPr defaultColWidth="0" defaultRowHeight="0" customHeight="1" zeroHeight="1"/>
  <cols>
    <col min="1" max="49" width="4.7109375" customWidth="1"/>
    <col min="50" max="101" width="8.85546875" hidden="1"/>
    <col min="102"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46">
        <f>INCENTOTAL</f>
        <v>0</v>
      </c>
      <c r="B4" s="646"/>
      <c r="C4" s="646"/>
      <c r="D4" s="646"/>
      <c r="E4" s="646"/>
      <c r="F4" s="377"/>
      <c r="G4" s="377"/>
      <c r="H4" s="377"/>
      <c r="I4" s="377"/>
    </row>
    <row r="5" spans="1:49" ht="15.95" customHeight="1">
      <c r="A5" s="647"/>
      <c r="B5" s="647"/>
      <c r="C5" s="647"/>
      <c r="D5" s="647"/>
      <c r="E5" s="647"/>
      <c r="F5" s="372"/>
      <c r="G5" s="372"/>
      <c r="H5" s="372"/>
      <c r="I5" s="372"/>
      <c r="AS5" s="663">
        <f ca="1">PROGRESSSTATUS</f>
        <v>0</v>
      </c>
      <c r="AT5" s="663"/>
      <c r="AU5" s="663"/>
      <c r="AV5" s="663"/>
      <c r="AW5" s="663"/>
    </row>
    <row r="6" spans="1:49" ht="15.95" customHeight="1">
      <c r="A6" s="647"/>
      <c r="B6" s="647"/>
      <c r="C6" s="647"/>
      <c r="D6" s="647"/>
      <c r="E6" s="647"/>
      <c r="F6" s="372"/>
      <c r="G6" s="372"/>
      <c r="H6" s="372"/>
      <c r="I6" s="372"/>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373"/>
      <c r="G8" s="373"/>
      <c r="H8" s="373"/>
      <c r="I8" s="373"/>
      <c r="AS8" s="661" t="str">
        <f ca="1">PROJSTATUS</f>
        <v>Enter Measures</v>
      </c>
      <c r="AT8" s="661"/>
      <c r="AU8" s="661"/>
      <c r="AV8" s="661"/>
      <c r="AW8" s="661"/>
    </row>
    <row r="9" spans="1:49" ht="15.95" customHeight="1">
      <c r="A9" s="664" t="str">
        <f>M5S3</f>
        <v>Project Summary</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A11" s="96"/>
      <c r="B11" s="96"/>
      <c r="C11" s="96"/>
      <c r="D11" s="96"/>
      <c r="E11" s="96"/>
      <c r="F11" s="96"/>
      <c r="G11" s="96"/>
      <c r="H11" s="96"/>
      <c r="I11" s="96"/>
      <c r="J11" s="96"/>
      <c r="L11" s="1345" t="s">
        <v>1675</v>
      </c>
      <c r="M11" s="1345"/>
      <c r="N11" s="1345"/>
      <c r="O11" s="1345"/>
      <c r="P11" s="1345"/>
      <c r="Q11" s="1345"/>
      <c r="R11" s="1345"/>
      <c r="S11" s="1351" t="s">
        <v>1676</v>
      </c>
      <c r="T11" s="1351"/>
      <c r="U11" s="1351"/>
      <c r="V11" s="1351"/>
      <c r="W11" s="1351"/>
      <c r="X11" s="1351"/>
      <c r="Y11" s="1351"/>
      <c r="Z11" s="1351"/>
      <c r="AA11" s="1351"/>
      <c r="AB11" s="1351"/>
      <c r="AC11" s="1351"/>
      <c r="AD11" s="1351"/>
      <c r="AE11" s="1351"/>
      <c r="AF11" s="1351"/>
      <c r="AG11" s="1351"/>
      <c r="AH11" s="1351"/>
      <c r="AI11" s="1351"/>
      <c r="AJ11" s="1351"/>
      <c r="AK11" s="1351"/>
      <c r="AL11" s="1351"/>
      <c r="AM11" s="266"/>
      <c r="AN11" s="96"/>
      <c r="AO11" s="193"/>
      <c r="AP11" s="193"/>
      <c r="AQ11" s="193"/>
      <c r="AR11" s="193"/>
    </row>
    <row r="12" spans="1:49" ht="15.95" customHeight="1">
      <c r="L12" s="1345"/>
      <c r="M12" s="1345"/>
      <c r="N12" s="1345"/>
      <c r="O12" s="1345"/>
      <c r="P12" s="1345"/>
      <c r="Q12" s="1345"/>
      <c r="R12" s="1345"/>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266"/>
      <c r="AN12" s="168"/>
      <c r="AO12" s="193"/>
      <c r="AP12" s="193"/>
      <c r="AQ12" s="193"/>
      <c r="AR12" s="193"/>
      <c r="AS12" s="17"/>
    </row>
    <row r="13" spans="1:49" ht="15.95" customHeight="1">
      <c r="L13" s="1345"/>
      <c r="M13" s="1345"/>
      <c r="N13" s="1345"/>
      <c r="O13" s="1345"/>
      <c r="P13" s="1345"/>
      <c r="Q13" s="1345"/>
      <c r="R13" s="1345"/>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266"/>
      <c r="AN13" s="168"/>
      <c r="AO13" s="260"/>
      <c r="AP13" s="260"/>
      <c r="AQ13" s="260"/>
      <c r="AR13" s="260"/>
      <c r="AS13" s="17"/>
    </row>
    <row r="14" spans="1:49" ht="15.95" customHeight="1">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row>
    <row r="15" spans="1:49" ht="15.95" customHeight="1">
      <c r="K15" s="43"/>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44"/>
      <c r="AV15" s="17"/>
    </row>
    <row r="16" spans="1:49" ht="15.95" customHeight="1">
      <c r="K16" s="28"/>
      <c r="L16" s="1346" t="s">
        <v>1232</v>
      </c>
      <c r="M16" s="1346"/>
      <c r="N16" s="1346"/>
      <c r="O16" s="1346"/>
      <c r="P16" s="1346"/>
      <c r="Q16" s="1346"/>
      <c r="R16" s="1346"/>
      <c r="S16" s="1346"/>
      <c r="T16" s="1346"/>
      <c r="U16" s="1346"/>
      <c r="V16" s="1346"/>
      <c r="W16" s="1346"/>
      <c r="X16" s="1346"/>
      <c r="Y16" s="1346"/>
      <c r="Z16" s="1346"/>
      <c r="AA16" s="1346"/>
      <c r="AB16" s="1346"/>
      <c r="AC16" s="1346"/>
      <c r="AD16" s="1346"/>
      <c r="AE16" s="205"/>
      <c r="AF16" s="206"/>
      <c r="AG16" s="206"/>
      <c r="AH16" s="207"/>
      <c r="AI16" s="207"/>
      <c r="AJ16" s="207"/>
      <c r="AK16" s="207"/>
      <c r="AL16" s="208"/>
      <c r="AM16" s="54"/>
      <c r="AN16" s="52"/>
      <c r="AV16" s="17"/>
    </row>
    <row r="17" spans="2:48" ht="15.95" customHeight="1">
      <c r="B17" s="17"/>
      <c r="C17" s="17"/>
      <c r="D17" s="17"/>
      <c r="E17" s="17"/>
      <c r="F17" s="17"/>
      <c r="K17" s="28"/>
      <c r="L17" s="1346"/>
      <c r="M17" s="1346"/>
      <c r="N17" s="1346"/>
      <c r="O17" s="1346"/>
      <c r="P17" s="1346"/>
      <c r="Q17" s="1346"/>
      <c r="R17" s="1346"/>
      <c r="S17" s="1346"/>
      <c r="T17" s="1346"/>
      <c r="U17" s="1346"/>
      <c r="V17" s="1346"/>
      <c r="W17" s="1346"/>
      <c r="X17" s="1346"/>
      <c r="Y17" s="1346"/>
      <c r="Z17" s="1346"/>
      <c r="AA17" s="1346"/>
      <c r="AB17" s="1346"/>
      <c r="AC17" s="1346"/>
      <c r="AD17" s="1346"/>
      <c r="AE17" s="209"/>
      <c r="AF17" s="275"/>
      <c r="AG17" s="275"/>
      <c r="AH17" s="276"/>
      <c r="AI17" s="276"/>
      <c r="AJ17" s="276"/>
      <c r="AK17" s="276"/>
      <c r="AL17" s="210"/>
      <c r="AM17" s="54"/>
      <c r="AN17" s="52"/>
    </row>
    <row r="18" spans="2:48" ht="15.95" customHeight="1">
      <c r="B18" s="17"/>
      <c r="C18" s="17"/>
      <c r="D18" s="17"/>
      <c r="E18" s="17"/>
      <c r="F18" s="17"/>
      <c r="K18" s="28"/>
      <c r="L18" s="1346"/>
      <c r="M18" s="1346"/>
      <c r="N18" s="1346"/>
      <c r="O18" s="1346"/>
      <c r="P18" s="1346"/>
      <c r="Q18" s="1346"/>
      <c r="R18" s="1346"/>
      <c r="S18" s="1346"/>
      <c r="T18" s="1346"/>
      <c r="U18" s="1346"/>
      <c r="V18" s="1346"/>
      <c r="W18" s="1346"/>
      <c r="X18" s="1346"/>
      <c r="Y18" s="1346"/>
      <c r="Z18" s="1346"/>
      <c r="AA18" s="1346"/>
      <c r="AB18" s="1346"/>
      <c r="AC18" s="1346"/>
      <c r="AD18" s="1346"/>
      <c r="AE18" s="209"/>
      <c r="AF18" s="275"/>
      <c r="AG18" s="275"/>
      <c r="AH18" s="276"/>
      <c r="AI18" s="276"/>
      <c r="AJ18" s="276"/>
      <c r="AK18" s="276"/>
      <c r="AL18" s="210"/>
      <c r="AM18" s="54"/>
      <c r="AN18" s="52"/>
    </row>
    <row r="19" spans="2:48" ht="15.95" customHeight="1">
      <c r="B19" s="17"/>
      <c r="C19" s="17"/>
      <c r="D19" s="17"/>
      <c r="E19" s="17"/>
      <c r="F19" s="17"/>
      <c r="K19" s="28"/>
      <c r="L19" s="1346"/>
      <c r="M19" s="1346"/>
      <c r="N19" s="1346"/>
      <c r="O19" s="1346"/>
      <c r="P19" s="1346"/>
      <c r="Q19" s="1346"/>
      <c r="R19" s="1346"/>
      <c r="S19" s="1346"/>
      <c r="T19" s="1346"/>
      <c r="U19" s="1346"/>
      <c r="V19" s="1346"/>
      <c r="W19" s="1346"/>
      <c r="X19" s="1346"/>
      <c r="Y19" s="1346"/>
      <c r="Z19" s="1346"/>
      <c r="AA19" s="1346"/>
      <c r="AB19" s="1346"/>
      <c r="AC19" s="1346"/>
      <c r="AD19" s="1346"/>
      <c r="AE19" s="211"/>
      <c r="AF19" s="212"/>
      <c r="AG19" s="212"/>
      <c r="AH19" s="213"/>
      <c r="AI19" s="213"/>
      <c r="AJ19" s="213"/>
      <c r="AK19" s="213"/>
      <c r="AL19" s="214"/>
      <c r="AM19" s="54"/>
      <c r="AN19" s="52"/>
    </row>
    <row r="20" spans="2:48" ht="15.95" customHeight="1">
      <c r="B20" s="17"/>
      <c r="C20" s="17"/>
      <c r="D20" s="17"/>
      <c r="E20" s="17"/>
      <c r="F20" s="17"/>
      <c r="K20" s="28"/>
      <c r="L20" s="1350" t="str">
        <f>IF(M02S03F01="","",M02S03F01)</f>
        <v/>
      </c>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c r="AM20" s="48"/>
    </row>
    <row r="21" spans="2:48" ht="15.95" customHeight="1">
      <c r="B21" s="17"/>
      <c r="C21" s="17"/>
      <c r="D21" s="17"/>
      <c r="E21" s="17"/>
      <c r="F21" s="17"/>
      <c r="K21" s="28"/>
      <c r="L21" s="1350"/>
      <c r="M21" s="1350"/>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c r="AL21" s="1350"/>
      <c r="AM21" s="48"/>
    </row>
    <row r="22" spans="2:48" ht="15.95" customHeight="1">
      <c r="B22" s="17"/>
      <c r="C22" s="17"/>
      <c r="D22" s="17"/>
      <c r="E22" s="17"/>
      <c r="F22" s="17"/>
      <c r="K22" s="28"/>
      <c r="L22" s="58" t="s">
        <v>1133</v>
      </c>
      <c r="M22" s="17"/>
      <c r="N22" s="17"/>
      <c r="O22" s="17"/>
      <c r="P22" s="17"/>
      <c r="Q22" s="1349" t="str">
        <f>IF(M02S04F18="","",M02S04F18)</f>
        <v/>
      </c>
      <c r="R22" s="1349"/>
      <c r="S22" s="1349"/>
      <c r="T22" s="1349"/>
      <c r="U22" s="1349"/>
      <c r="V22" s="1349"/>
      <c r="W22" s="1349"/>
      <c r="X22" s="1349"/>
      <c r="Y22" s="1349"/>
      <c r="Z22" s="1349"/>
      <c r="AA22" s="60" t="s">
        <v>1129</v>
      </c>
      <c r="AC22" s="169"/>
      <c r="AD22" s="1349" t="str">
        <f>IF(M02S02F02="","",M02S02F02)</f>
        <v/>
      </c>
      <c r="AE22" s="1349"/>
      <c r="AF22" s="1349"/>
      <c r="AG22" s="1349"/>
      <c r="AH22" s="1349"/>
      <c r="AI22" s="1349"/>
      <c r="AJ22" s="1349"/>
      <c r="AK22" s="1349"/>
      <c r="AL22" s="1349"/>
      <c r="AM22" s="48"/>
    </row>
    <row r="23" spans="2:48" ht="15.95" customHeight="1">
      <c r="B23" s="17"/>
      <c r="C23" s="17"/>
      <c r="D23" s="17"/>
      <c r="E23" s="17"/>
      <c r="F23" s="17"/>
      <c r="K23" s="28"/>
      <c r="L23" s="58" t="s">
        <v>727</v>
      </c>
      <c r="M23" s="59"/>
      <c r="N23" s="59"/>
      <c r="Q23" s="1349" t="str">
        <f>IF(OR(M02S04F08="",M02S04F09="",M02S04F10="",M02S04F11=""),"",CONCATENATE(M02S04F08,", ",M02S04F09, ", ", M02S04F10, " ", M02S04F11 ))</f>
        <v/>
      </c>
      <c r="R23" s="1349"/>
      <c r="S23" s="1349"/>
      <c r="T23" s="1349"/>
      <c r="U23" s="1349"/>
      <c r="V23" s="1349"/>
      <c r="W23" s="1349"/>
      <c r="X23" s="1349"/>
      <c r="Y23" s="1349"/>
      <c r="Z23" s="1349"/>
      <c r="AA23" s="60" t="s">
        <v>1130</v>
      </c>
      <c r="AC23" s="59"/>
      <c r="AD23" s="1349" t="str">
        <f>IF(OR(M02S02F03="",M02S02F04="",M02S02F05="",M02S02F06=""),"",CONCATENATE(M02S02F03,", ",M02S02F04, ", ", M02S02F05, " ", M02S02F06 ))</f>
        <v/>
      </c>
      <c r="AE23" s="1349"/>
      <c r="AF23" s="1349"/>
      <c r="AG23" s="1349"/>
      <c r="AH23" s="1349"/>
      <c r="AI23" s="1349"/>
      <c r="AJ23" s="1349"/>
      <c r="AK23" s="1349"/>
      <c r="AL23" s="1349"/>
      <c r="AM23" s="48"/>
    </row>
    <row r="24" spans="2:48" ht="15.95" customHeight="1">
      <c r="B24" s="17"/>
      <c r="C24" s="17"/>
      <c r="D24" s="17"/>
      <c r="E24" s="17"/>
      <c r="F24" s="17"/>
      <c r="K24" s="28"/>
      <c r="L24" s="58" t="s">
        <v>728</v>
      </c>
      <c r="Q24" s="1349" t="str">
        <f>PROPER(M02S04F12&amp;" "&amp;M02S04F13)</f>
        <v xml:space="preserve"> </v>
      </c>
      <c r="R24" s="1349"/>
      <c r="S24" s="1349"/>
      <c r="T24" s="1349"/>
      <c r="U24" s="1349"/>
      <c r="V24" s="1349"/>
      <c r="W24" s="1349"/>
      <c r="X24" s="1349"/>
      <c r="Y24" s="1349"/>
      <c r="Z24" s="1349"/>
      <c r="AA24" s="60" t="s">
        <v>728</v>
      </c>
      <c r="AC24" s="59"/>
      <c r="AD24" s="1349" t="str">
        <f>PROPER(M02S02F07&amp;" "&amp;M02S02F08)</f>
        <v xml:space="preserve"> </v>
      </c>
      <c r="AE24" s="1349"/>
      <c r="AF24" s="1349"/>
      <c r="AG24" s="1349"/>
      <c r="AH24" s="1349"/>
      <c r="AI24" s="1349"/>
      <c r="AJ24" s="1349"/>
      <c r="AK24" s="1349"/>
      <c r="AL24" s="1349"/>
      <c r="AM24" s="48"/>
    </row>
    <row r="25" spans="2:48" ht="15.95" customHeight="1">
      <c r="B25" s="17"/>
      <c r="C25" s="17"/>
      <c r="D25" s="17"/>
      <c r="E25" s="17"/>
      <c r="F25" s="17"/>
      <c r="K25" s="28"/>
      <c r="L25" s="58" t="s">
        <v>1131</v>
      </c>
      <c r="Q25" s="1344" t="str">
        <f>IF(M02S04F15="","",M02S04F15)</f>
        <v/>
      </c>
      <c r="R25" s="1344"/>
      <c r="S25" s="1344"/>
      <c r="T25" s="1344"/>
      <c r="U25" s="1344"/>
      <c r="V25" s="1344"/>
      <c r="W25" s="1344"/>
      <c r="X25" s="1344"/>
      <c r="Y25" s="1344"/>
      <c r="Z25" s="1344"/>
      <c r="AA25" s="60" t="s">
        <v>729</v>
      </c>
      <c r="AC25" s="59"/>
      <c r="AD25" s="1344">
        <f>M02S02F10</f>
        <v>0</v>
      </c>
      <c r="AE25" s="1344"/>
      <c r="AF25" s="1344"/>
      <c r="AG25" s="1344"/>
      <c r="AH25" s="1344"/>
      <c r="AI25" s="1344"/>
      <c r="AJ25" s="1344"/>
      <c r="AK25" s="1344"/>
      <c r="AL25" s="1344"/>
      <c r="AM25" s="48"/>
    </row>
    <row r="26" spans="2:48" ht="15.95" customHeight="1">
      <c r="B26" s="17"/>
      <c r="C26" s="17"/>
      <c r="D26" s="17"/>
      <c r="E26" s="17"/>
      <c r="F26" s="17"/>
      <c r="K26" s="28"/>
      <c r="L26" s="58" t="s">
        <v>1132</v>
      </c>
      <c r="Q26" s="1349" t="str">
        <f>IF(M02S04F16="","",M02S04F16)</f>
        <v/>
      </c>
      <c r="R26" s="1349"/>
      <c r="S26" s="1349"/>
      <c r="T26" s="1349"/>
      <c r="U26" s="1349"/>
      <c r="V26" s="1349"/>
      <c r="W26" s="1349"/>
      <c r="X26" s="1349"/>
      <c r="Y26" s="1349"/>
      <c r="Z26" s="1349"/>
      <c r="AA26" s="60" t="s">
        <v>734</v>
      </c>
      <c r="AB26" s="17"/>
      <c r="AC26" s="17"/>
      <c r="AD26" s="1344" t="str">
        <f>IF(M02S02F11="","",M02S02F11)</f>
        <v/>
      </c>
      <c r="AE26" s="1344"/>
      <c r="AF26" s="1344"/>
      <c r="AG26" s="1344"/>
      <c r="AH26" s="1344"/>
      <c r="AI26" s="1344"/>
      <c r="AJ26" s="1344"/>
      <c r="AK26" s="1344"/>
      <c r="AL26" s="1344"/>
      <c r="AM26" s="48"/>
    </row>
    <row r="27" spans="2:48" ht="15.95" customHeight="1">
      <c r="B27" s="17"/>
      <c r="C27" s="17"/>
      <c r="D27" s="17"/>
      <c r="E27" s="17"/>
      <c r="F27" s="17"/>
      <c r="K27" s="28"/>
      <c r="AM27" s="48"/>
      <c r="AV27" s="17"/>
    </row>
    <row r="28" spans="2:48" ht="15.95" customHeight="1" thickBot="1">
      <c r="B28" s="17"/>
      <c r="C28" s="17"/>
      <c r="D28" s="17"/>
      <c r="E28" s="17"/>
      <c r="F28" s="17"/>
      <c r="K28" s="28"/>
      <c r="AM28" s="48"/>
      <c r="AV28" s="17"/>
    </row>
    <row r="29" spans="2:48" ht="15.95" customHeight="1" thickBot="1">
      <c r="B29" s="17"/>
      <c r="C29" s="17"/>
      <c r="D29" s="17"/>
      <c r="E29" s="17"/>
      <c r="F29" s="17"/>
      <c r="K29" s="28"/>
      <c r="L29" s="215"/>
      <c r="M29" s="1352" t="s">
        <v>730</v>
      </c>
      <c r="N29" s="1353"/>
      <c r="O29" s="1353"/>
      <c r="P29" s="1353"/>
      <c r="Q29" s="1353"/>
      <c r="R29" s="1353"/>
      <c r="S29" s="1353"/>
      <c r="T29" s="1353"/>
      <c r="U29" s="1353"/>
      <c r="V29" s="1353"/>
      <c r="W29" s="1353"/>
      <c r="X29" s="1353"/>
      <c r="Y29" s="1353"/>
      <c r="Z29" s="1353"/>
      <c r="AA29" s="1353"/>
      <c r="AB29" s="1353"/>
      <c r="AC29" s="1353"/>
      <c r="AD29" s="1353"/>
      <c r="AE29" s="1353"/>
      <c r="AF29" s="1347" t="str">
        <f ca="1">IFERROR(IF(KWHSTATUS*M02S04F06=0,"---",KWHSTATUS*M02S04F06*5),"---")</f>
        <v>---</v>
      </c>
      <c r="AG29" s="1348"/>
      <c r="AH29" s="1348"/>
      <c r="AI29" s="1348"/>
      <c r="AJ29" s="1348"/>
      <c r="AK29" s="1348"/>
      <c r="AL29" s="1348"/>
      <c r="AM29" s="48"/>
      <c r="AV29" s="17"/>
    </row>
    <row r="30" spans="2:48" ht="15.95" customHeight="1" thickBot="1">
      <c r="B30" s="17"/>
      <c r="C30" s="17"/>
      <c r="D30" s="17"/>
      <c r="E30" s="17"/>
      <c r="F30" s="17"/>
      <c r="K30" s="28"/>
      <c r="L30" s="216"/>
      <c r="M30" s="1352"/>
      <c r="N30" s="1353"/>
      <c r="O30" s="1353"/>
      <c r="P30" s="1353"/>
      <c r="Q30" s="1353"/>
      <c r="R30" s="1353"/>
      <c r="S30" s="1353"/>
      <c r="T30" s="1353"/>
      <c r="U30" s="1353"/>
      <c r="V30" s="1353"/>
      <c r="W30" s="1353"/>
      <c r="X30" s="1353"/>
      <c r="Y30" s="1353"/>
      <c r="Z30" s="1353"/>
      <c r="AA30" s="1353"/>
      <c r="AB30" s="1353"/>
      <c r="AC30" s="1353"/>
      <c r="AD30" s="1353"/>
      <c r="AE30" s="1353"/>
      <c r="AF30" s="1348"/>
      <c r="AG30" s="1348"/>
      <c r="AH30" s="1348"/>
      <c r="AI30" s="1348"/>
      <c r="AJ30" s="1348"/>
      <c r="AK30" s="1348"/>
      <c r="AL30" s="1348"/>
      <c r="AM30" s="48"/>
      <c r="AV30" s="17"/>
    </row>
    <row r="31" spans="2:48" ht="15.95" customHeight="1" thickBot="1">
      <c r="B31" s="17"/>
      <c r="C31" s="17"/>
      <c r="D31" s="17"/>
      <c r="E31" s="17"/>
      <c r="F31" s="17"/>
      <c r="K31" s="28"/>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48"/>
      <c r="AV31" s="17"/>
    </row>
    <row r="32" spans="2:48" ht="15.95" customHeight="1">
      <c r="B32" s="17"/>
      <c r="C32" s="17"/>
      <c r="D32" s="17"/>
      <c r="E32" s="17"/>
      <c r="F32" s="17"/>
      <c r="K32" s="28"/>
      <c r="L32" s="1356" t="s">
        <v>69</v>
      </c>
      <c r="M32" s="1356"/>
      <c r="N32" s="1356"/>
      <c r="O32" s="1356"/>
      <c r="P32" s="1356"/>
      <c r="Q32" s="1356"/>
      <c r="R32" s="1356"/>
      <c r="S32" s="1356"/>
      <c r="T32" s="1356"/>
      <c r="U32" s="1356"/>
      <c r="V32" s="1356"/>
      <c r="W32" s="1356"/>
      <c r="X32" s="1356"/>
      <c r="Y32" s="1356"/>
      <c r="Z32" s="1356"/>
      <c r="AA32" s="1356"/>
      <c r="AB32" s="1356"/>
      <c r="AC32" s="1356"/>
      <c r="AD32" s="1356"/>
      <c r="AE32" s="1356"/>
      <c r="AF32" s="1356"/>
      <c r="AG32" s="1356"/>
      <c r="AH32" s="1356"/>
      <c r="AI32" s="1356"/>
      <c r="AJ32" s="1356"/>
      <c r="AK32" s="1356"/>
      <c r="AL32" s="1356"/>
      <c r="AM32" s="48"/>
      <c r="AV32" s="17"/>
    </row>
    <row r="33" spans="2:48" ht="15.95" customHeight="1">
      <c r="B33" s="17"/>
      <c r="C33" s="17"/>
      <c r="D33" s="17"/>
      <c r="E33" s="17"/>
      <c r="F33" s="17"/>
      <c r="K33" s="28"/>
      <c r="L33" s="1357"/>
      <c r="M33" s="1357"/>
      <c r="N33" s="1357"/>
      <c r="O33" s="1357"/>
      <c r="P33" s="1357"/>
      <c r="Q33" s="1357"/>
      <c r="R33" s="1357"/>
      <c r="S33" s="1357"/>
      <c r="T33" s="1357"/>
      <c r="U33" s="1357"/>
      <c r="V33" s="1357"/>
      <c r="W33" s="1357"/>
      <c r="X33" s="1357"/>
      <c r="Y33" s="1357"/>
      <c r="Z33" s="1357"/>
      <c r="AA33" s="1357"/>
      <c r="AB33" s="1357"/>
      <c r="AC33" s="1357"/>
      <c r="AD33" s="1357"/>
      <c r="AE33" s="1357"/>
      <c r="AF33" s="1357"/>
      <c r="AG33" s="1357"/>
      <c r="AH33" s="1357"/>
      <c r="AI33" s="1357"/>
      <c r="AJ33" s="1357"/>
      <c r="AK33" s="1357"/>
      <c r="AL33" s="1357"/>
      <c r="AM33" s="48"/>
      <c r="AV33" s="17"/>
    </row>
    <row r="34" spans="2:48" ht="15.95" customHeight="1">
      <c r="B34" s="17"/>
      <c r="C34" s="17"/>
      <c r="D34" s="17"/>
      <c r="E34" s="17"/>
      <c r="F34" s="17"/>
      <c r="K34" s="28"/>
      <c r="L34" s="17"/>
      <c r="M34" s="17"/>
      <c r="N34" s="17"/>
      <c r="O34" s="17"/>
      <c r="P34" s="17"/>
      <c r="Q34" s="17"/>
      <c r="R34" s="17"/>
      <c r="S34" s="17"/>
      <c r="T34" s="17"/>
      <c r="U34" s="17"/>
      <c r="V34" s="17"/>
      <c r="W34" s="828"/>
      <c r="X34" s="828"/>
      <c r="Y34" s="828"/>
      <c r="Z34" s="828"/>
      <c r="AA34" s="828"/>
      <c r="AB34" s="17"/>
      <c r="AC34" s="17"/>
      <c r="AD34" s="17"/>
      <c r="AE34" s="17"/>
      <c r="AF34" s="17"/>
      <c r="AG34" s="17"/>
      <c r="AH34" s="17"/>
      <c r="AI34" s="17"/>
      <c r="AJ34" s="17"/>
      <c r="AK34" s="17"/>
      <c r="AL34" s="17"/>
      <c r="AM34" s="48"/>
      <c r="AV34" s="17"/>
    </row>
    <row r="35" spans="2:48" ht="15.95" customHeight="1">
      <c r="B35" s="17"/>
      <c r="C35" s="17"/>
      <c r="D35" s="17"/>
      <c r="E35" s="17"/>
      <c r="F35" s="17"/>
      <c r="K35" s="28"/>
      <c r="L35" s="17"/>
      <c r="N35" s="17"/>
      <c r="T35" s="17"/>
      <c r="U35" s="17"/>
      <c r="V35" s="17"/>
      <c r="W35" s="828"/>
      <c r="X35" s="828"/>
      <c r="Y35" s="828"/>
      <c r="Z35" s="828"/>
      <c r="AA35" s="828"/>
      <c r="AB35" s="17"/>
      <c r="AC35" s="17"/>
      <c r="AD35" s="53"/>
      <c r="AE35" s="53"/>
      <c r="AH35" s="53"/>
      <c r="AI35" s="53"/>
      <c r="AJ35" s="53"/>
      <c r="AK35" s="53"/>
      <c r="AL35" s="17"/>
      <c r="AM35" s="48"/>
      <c r="AV35" s="17"/>
    </row>
    <row r="36" spans="2:48" ht="15.95" customHeight="1">
      <c r="B36" s="17"/>
      <c r="C36" s="17"/>
      <c r="D36" s="17"/>
      <c r="E36" s="17"/>
      <c r="F36" s="17"/>
      <c r="K36" s="28"/>
      <c r="M36" s="1355" t="str">
        <f ca="1">IFERROR(IF(KWHSTATUS*M02S04F06=0,"---",KWHSTATUS*M02S04F06),"---")</f>
        <v>---</v>
      </c>
      <c r="N36" s="1355"/>
      <c r="O36" s="1355"/>
      <c r="P36" s="1355"/>
      <c r="Q36" s="1355"/>
      <c r="R36" s="1355"/>
      <c r="S36" s="1355"/>
      <c r="T36" s="1355"/>
      <c r="U36" s="1355"/>
      <c r="V36" s="1355"/>
      <c r="W36" s="828"/>
      <c r="X36" s="828"/>
      <c r="Y36" s="828"/>
      <c r="Z36" s="828"/>
      <c r="AA36" s="828"/>
      <c r="AB36" s="1355" t="str">
        <f>IF(INCENTOTAL=0,"---",INCENTOTAL)</f>
        <v>---</v>
      </c>
      <c r="AC36" s="1355"/>
      <c r="AD36" s="1355"/>
      <c r="AE36" s="1355"/>
      <c r="AF36" s="1355"/>
      <c r="AG36" s="1355"/>
      <c r="AH36" s="1355"/>
      <c r="AI36" s="1355"/>
      <c r="AJ36" s="1355"/>
      <c r="AK36" s="1355"/>
      <c r="AM36" s="48"/>
    </row>
    <row r="37" spans="2:48" ht="15.95" customHeight="1">
      <c r="B37" s="17"/>
      <c r="C37" s="17"/>
      <c r="D37" s="17"/>
      <c r="E37" s="17"/>
      <c r="F37" s="17"/>
      <c r="K37" s="28"/>
      <c r="M37" s="1355"/>
      <c r="N37" s="1355"/>
      <c r="O37" s="1355"/>
      <c r="P37" s="1355"/>
      <c r="Q37" s="1355"/>
      <c r="R37" s="1355"/>
      <c r="S37" s="1355"/>
      <c r="T37" s="1355"/>
      <c r="U37" s="1355"/>
      <c r="V37" s="1355"/>
      <c r="W37" s="828"/>
      <c r="X37" s="828"/>
      <c r="Y37" s="828"/>
      <c r="Z37" s="828"/>
      <c r="AA37" s="828"/>
      <c r="AB37" s="1355"/>
      <c r="AC37" s="1355"/>
      <c r="AD37" s="1355"/>
      <c r="AE37" s="1355"/>
      <c r="AF37" s="1355"/>
      <c r="AG37" s="1355"/>
      <c r="AH37" s="1355"/>
      <c r="AI37" s="1355"/>
      <c r="AJ37" s="1355"/>
      <c r="AK37" s="1355"/>
      <c r="AM37" s="48"/>
    </row>
    <row r="38" spans="2:48" ht="15.95" customHeight="1">
      <c r="B38" s="17"/>
      <c r="C38" s="17"/>
      <c r="D38" s="17"/>
      <c r="E38" s="17"/>
      <c r="F38" s="17"/>
      <c r="K38" s="28"/>
      <c r="M38" s="1354" t="s">
        <v>1188</v>
      </c>
      <c r="N38" s="1354"/>
      <c r="O38" s="1354"/>
      <c r="P38" s="1354"/>
      <c r="Q38" s="1354"/>
      <c r="R38" s="1354"/>
      <c r="S38" s="1354"/>
      <c r="T38" s="1354"/>
      <c r="U38" s="1354"/>
      <c r="V38" s="1354"/>
      <c r="W38" s="828"/>
      <c r="X38" s="828"/>
      <c r="Y38" s="828"/>
      <c r="Z38" s="828"/>
      <c r="AA38" s="828"/>
      <c r="AB38" s="1354" t="s">
        <v>1231</v>
      </c>
      <c r="AC38" s="1354"/>
      <c r="AD38" s="1354"/>
      <c r="AE38" s="1354"/>
      <c r="AF38" s="1354"/>
      <c r="AG38" s="1354"/>
      <c r="AH38" s="1354"/>
      <c r="AI38" s="1354"/>
      <c r="AJ38" s="1354"/>
      <c r="AK38" s="1354"/>
      <c r="AM38" s="48"/>
    </row>
    <row r="39" spans="2:48" ht="15.95" customHeight="1">
      <c r="B39" s="17"/>
      <c r="C39" s="17"/>
      <c r="D39" s="17"/>
      <c r="E39" s="17"/>
      <c r="F39" s="17"/>
      <c r="K39" s="28"/>
      <c r="M39" s="1354"/>
      <c r="N39" s="1354"/>
      <c r="O39" s="1354"/>
      <c r="P39" s="1354"/>
      <c r="Q39" s="1354"/>
      <c r="R39" s="1354"/>
      <c r="S39" s="1354"/>
      <c r="T39" s="1354"/>
      <c r="U39" s="1354"/>
      <c r="V39" s="1354"/>
      <c r="W39" s="828"/>
      <c r="X39" s="828"/>
      <c r="Y39" s="828"/>
      <c r="Z39" s="828"/>
      <c r="AA39" s="828"/>
      <c r="AB39" s="1354"/>
      <c r="AC39" s="1354"/>
      <c r="AD39" s="1354"/>
      <c r="AE39" s="1354"/>
      <c r="AF39" s="1354"/>
      <c r="AG39" s="1354"/>
      <c r="AH39" s="1354"/>
      <c r="AI39" s="1354"/>
      <c r="AJ39" s="1354"/>
      <c r="AK39" s="1354"/>
      <c r="AM39" s="48"/>
    </row>
    <row r="40" spans="2:48" ht="15.95" customHeight="1">
      <c r="B40" s="17"/>
      <c r="C40" s="17"/>
      <c r="D40" s="17"/>
      <c r="E40" s="17"/>
      <c r="F40" s="17"/>
      <c r="K40" s="28"/>
      <c r="W40" s="828"/>
      <c r="X40" s="828"/>
      <c r="Y40" s="828"/>
      <c r="Z40" s="828"/>
      <c r="AA40" s="828"/>
      <c r="AB40" s="17"/>
      <c r="AM40" s="48"/>
    </row>
    <row r="41" spans="2:48" ht="15.95" customHeight="1">
      <c r="B41" s="17"/>
      <c r="C41" s="17"/>
      <c r="D41" s="17"/>
      <c r="E41" s="17"/>
      <c r="F41" s="17"/>
      <c r="K41" s="28"/>
      <c r="W41" s="828"/>
      <c r="X41" s="828"/>
      <c r="Y41" s="828"/>
      <c r="Z41" s="828"/>
      <c r="AA41" s="828"/>
      <c r="AB41" s="17"/>
      <c r="AM41" s="48"/>
    </row>
    <row r="42" spans="2:48" ht="15.95" customHeight="1" thickBot="1">
      <c r="B42" s="17"/>
      <c r="C42" s="17"/>
      <c r="D42" s="17"/>
      <c r="E42" s="17"/>
      <c r="F42" s="17"/>
      <c r="K42" s="28"/>
      <c r="L42" s="17"/>
      <c r="M42" s="17"/>
      <c r="N42" s="17"/>
      <c r="T42" s="17"/>
      <c r="U42" s="41"/>
      <c r="V42" s="41"/>
      <c r="W42" s="828"/>
      <c r="X42" s="828"/>
      <c r="Y42" s="828"/>
      <c r="Z42" s="828"/>
      <c r="AA42" s="828"/>
      <c r="AB42" s="41"/>
      <c r="AC42" s="41"/>
      <c r="AD42" s="53"/>
      <c r="AE42" s="53"/>
      <c r="AF42" s="53"/>
      <c r="AG42" s="53"/>
      <c r="AH42" s="53"/>
      <c r="AI42" s="53"/>
      <c r="AJ42" s="53"/>
      <c r="AK42" s="53"/>
      <c r="AL42" s="17"/>
      <c r="AM42" s="48"/>
    </row>
    <row r="43" spans="2:48" ht="18.75" customHeight="1" thickBot="1">
      <c r="B43" s="17"/>
      <c r="C43" s="17"/>
      <c r="D43" s="17"/>
      <c r="E43" s="17"/>
      <c r="F43" s="17"/>
      <c r="K43" s="28"/>
      <c r="L43" s="17"/>
      <c r="M43" s="17"/>
      <c r="N43" s="17"/>
      <c r="O43" s="17"/>
      <c r="P43" s="17"/>
      <c r="Q43" s="1377" t="s">
        <v>1233</v>
      </c>
      <c r="R43" s="1377"/>
      <c r="S43" s="1377"/>
      <c r="T43" s="1377"/>
      <c r="U43" s="1377"/>
      <c r="V43" s="1377"/>
      <c r="W43" s="1377"/>
      <c r="X43" s="1377"/>
      <c r="Y43" s="1377"/>
      <c r="Z43" s="1348" t="s">
        <v>1234</v>
      </c>
      <c r="AA43" s="1348"/>
      <c r="AB43" s="1348"/>
      <c r="AC43" s="1348"/>
      <c r="AD43" s="1348"/>
      <c r="AE43" s="1348"/>
      <c r="AF43" s="1348"/>
      <c r="AG43" s="1348"/>
      <c r="AH43" s="1348"/>
      <c r="AL43" s="40"/>
      <c r="AM43" s="48"/>
    </row>
    <row r="44" spans="2:48" ht="15.95" customHeight="1" thickBot="1">
      <c r="K44" s="28"/>
      <c r="L44" s="17"/>
      <c r="M44" s="1368" t="s">
        <v>314</v>
      </c>
      <c r="N44" s="1368"/>
      <c r="O44" s="1368"/>
      <c r="P44" s="1368"/>
      <c r="Q44" s="1378" t="str">
        <f>IF(COSTTOTALALL=0,"",COSTTOTALALL)</f>
        <v/>
      </c>
      <c r="R44" s="1378"/>
      <c r="S44" s="1378"/>
      <c r="T44" s="1378"/>
      <c r="U44" s="1378"/>
      <c r="V44" s="1378"/>
      <c r="W44" s="1378"/>
      <c r="X44" s="1378"/>
      <c r="Y44" s="1378"/>
      <c r="Z44" s="1347" t="str">
        <f>IF(COSTTOTALALL-INCENTOTAL=0,"",IF('M01-S01'!T62&lt;&gt;"","---",COSTTOTALALL-INCENTOTAL))</f>
        <v/>
      </c>
      <c r="AA44" s="1347"/>
      <c r="AB44" s="1347"/>
      <c r="AC44" s="1347"/>
      <c r="AD44" s="1347"/>
      <c r="AE44" s="1347"/>
      <c r="AF44" s="1347"/>
      <c r="AG44" s="1347"/>
      <c r="AH44" s="1347"/>
      <c r="AL44" s="40"/>
      <c r="AM44" s="48"/>
    </row>
    <row r="45" spans="2:48" ht="15.95" customHeight="1" thickBot="1">
      <c r="K45" s="28"/>
      <c r="L45" s="17"/>
      <c r="M45" s="1376"/>
      <c r="N45" s="1376"/>
      <c r="O45" s="1376"/>
      <c r="P45" s="1376"/>
      <c r="Q45" s="1378"/>
      <c r="R45" s="1378"/>
      <c r="S45" s="1378"/>
      <c r="T45" s="1378"/>
      <c r="U45" s="1378"/>
      <c r="V45" s="1378"/>
      <c r="W45" s="1378"/>
      <c r="X45" s="1378"/>
      <c r="Y45" s="1378"/>
      <c r="Z45" s="1347"/>
      <c r="AA45" s="1347"/>
      <c r="AB45" s="1347"/>
      <c r="AC45" s="1347"/>
      <c r="AD45" s="1347"/>
      <c r="AE45" s="1347"/>
      <c r="AF45" s="1347"/>
      <c r="AG45" s="1347"/>
      <c r="AH45" s="1347"/>
      <c r="AL45" s="40"/>
      <c r="AM45" s="48"/>
    </row>
    <row r="46" spans="2:48" ht="15.95" customHeight="1" thickBot="1">
      <c r="K46" s="28"/>
      <c r="L46" s="17"/>
      <c r="M46" s="1367" t="s">
        <v>750</v>
      </c>
      <c r="N46" s="1367"/>
      <c r="O46" s="1367"/>
      <c r="P46" s="1367"/>
      <c r="Q46" s="1379" t="str">
        <f ca="1">IFERROR(M36/Q44,"")</f>
        <v/>
      </c>
      <c r="R46" s="1379"/>
      <c r="S46" s="1379"/>
      <c r="T46" s="1379"/>
      <c r="U46" s="1379"/>
      <c r="V46" s="1379"/>
      <c r="W46" s="1379"/>
      <c r="X46" s="1379"/>
      <c r="Y46" s="1379"/>
      <c r="Z46" s="1375" t="str">
        <f ca="1">IFERROR(M36/Z44,"")</f>
        <v/>
      </c>
      <c r="AA46" s="1375"/>
      <c r="AB46" s="1375"/>
      <c r="AC46" s="1375"/>
      <c r="AD46" s="1375"/>
      <c r="AE46" s="1375"/>
      <c r="AF46" s="1375"/>
      <c r="AG46" s="1375"/>
      <c r="AH46" s="1375"/>
      <c r="AL46" s="40"/>
      <c r="AM46" s="48"/>
    </row>
    <row r="47" spans="2:48" ht="15.95" customHeight="1" thickBot="1">
      <c r="K47" s="28"/>
      <c r="L47" s="17"/>
      <c r="M47" s="1376"/>
      <c r="N47" s="1376"/>
      <c r="O47" s="1376"/>
      <c r="P47" s="1376"/>
      <c r="Q47" s="1379"/>
      <c r="R47" s="1379"/>
      <c r="S47" s="1379"/>
      <c r="T47" s="1379"/>
      <c r="U47" s="1379"/>
      <c r="V47" s="1379"/>
      <c r="W47" s="1379"/>
      <c r="X47" s="1379"/>
      <c r="Y47" s="1379"/>
      <c r="Z47" s="1375"/>
      <c r="AA47" s="1375"/>
      <c r="AB47" s="1375"/>
      <c r="AC47" s="1375"/>
      <c r="AD47" s="1375"/>
      <c r="AE47" s="1375"/>
      <c r="AF47" s="1375"/>
      <c r="AG47" s="1375"/>
      <c r="AH47" s="1375"/>
      <c r="AL47" s="40"/>
      <c r="AM47" s="48"/>
    </row>
    <row r="48" spans="2:48" ht="15.95" customHeight="1" thickBot="1">
      <c r="K48" s="28"/>
      <c r="L48" s="17"/>
      <c r="M48" s="1367" t="s">
        <v>325</v>
      </c>
      <c r="N48" s="1367"/>
      <c r="O48" s="1367"/>
      <c r="P48" s="1367"/>
      <c r="Q48" s="1369" t="str">
        <f ca="1">IFERROR(Q44/M36,"")</f>
        <v/>
      </c>
      <c r="R48" s="1369"/>
      <c r="S48" s="1369"/>
      <c r="T48" s="1369"/>
      <c r="U48" s="1369"/>
      <c r="V48" s="1369"/>
      <c r="W48" s="1369"/>
      <c r="X48" s="1369"/>
      <c r="Y48" s="1369"/>
      <c r="Z48" s="1366" t="str">
        <f ca="1">IFERROR(Z44/M36,"")</f>
        <v/>
      </c>
      <c r="AA48" s="1366"/>
      <c r="AB48" s="1366"/>
      <c r="AC48" s="1366"/>
      <c r="AD48" s="1366"/>
      <c r="AE48" s="1366"/>
      <c r="AF48" s="1366"/>
      <c r="AG48" s="1366"/>
      <c r="AH48" s="1366"/>
      <c r="AL48" s="40"/>
      <c r="AM48" s="48"/>
    </row>
    <row r="49" spans="7:53" ht="15.95" customHeight="1" thickBot="1">
      <c r="K49" s="28"/>
      <c r="L49" s="17"/>
      <c r="M49" s="1368"/>
      <c r="N49" s="1368"/>
      <c r="O49" s="1368"/>
      <c r="P49" s="1368"/>
      <c r="Q49" s="1369"/>
      <c r="R49" s="1369"/>
      <c r="S49" s="1369"/>
      <c r="T49" s="1369"/>
      <c r="U49" s="1369"/>
      <c r="V49" s="1369"/>
      <c r="W49" s="1369"/>
      <c r="X49" s="1369"/>
      <c r="Y49" s="1369"/>
      <c r="Z49" s="1366"/>
      <c r="AA49" s="1366"/>
      <c r="AB49" s="1366"/>
      <c r="AC49" s="1366"/>
      <c r="AD49" s="1366"/>
      <c r="AE49" s="1366"/>
      <c r="AF49" s="1366"/>
      <c r="AG49" s="1366"/>
      <c r="AH49" s="1366"/>
      <c r="AL49" s="40"/>
      <c r="AM49" s="48"/>
    </row>
    <row r="50" spans="7:53" ht="15.95" customHeight="1" thickBot="1">
      <c r="K50" s="28"/>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48"/>
    </row>
    <row r="51" spans="7:53" ht="15.95" customHeight="1">
      <c r="K51" s="28"/>
      <c r="L51" s="1356" t="s">
        <v>731</v>
      </c>
      <c r="M51" s="1356"/>
      <c r="N51" s="1356"/>
      <c r="O51" s="1356"/>
      <c r="P51" s="1356"/>
      <c r="Q51" s="1356"/>
      <c r="R51" s="1356"/>
      <c r="S51" s="1356"/>
      <c r="T51" s="1356"/>
      <c r="U51" s="1356"/>
      <c r="V51" s="1356"/>
      <c r="W51" s="1356"/>
      <c r="X51" s="1356"/>
      <c r="Y51" s="1356"/>
      <c r="Z51" s="1356"/>
      <c r="AA51" s="1356"/>
      <c r="AB51" s="1356"/>
      <c r="AC51" s="1356"/>
      <c r="AD51" s="1356"/>
      <c r="AE51" s="1356"/>
      <c r="AF51" s="1356"/>
      <c r="AG51" s="1356"/>
      <c r="AH51" s="1356"/>
      <c r="AI51" s="1356"/>
      <c r="AJ51" s="1356"/>
      <c r="AK51" s="1356"/>
      <c r="AL51" s="1356"/>
      <c r="AM51" s="48"/>
    </row>
    <row r="52" spans="7:53" ht="15.95" customHeight="1">
      <c r="K52" s="28"/>
      <c r="L52" s="1357"/>
      <c r="M52" s="1357"/>
      <c r="N52" s="1357"/>
      <c r="O52" s="1357"/>
      <c r="P52" s="1357"/>
      <c r="Q52" s="1357"/>
      <c r="R52" s="1357"/>
      <c r="S52" s="1357"/>
      <c r="T52" s="1357"/>
      <c r="U52" s="1357"/>
      <c r="V52" s="1357"/>
      <c r="W52" s="1357"/>
      <c r="X52" s="1357"/>
      <c r="Y52" s="1357"/>
      <c r="Z52" s="1357"/>
      <c r="AA52" s="1357"/>
      <c r="AB52" s="1357"/>
      <c r="AC52" s="1357"/>
      <c r="AD52" s="1357"/>
      <c r="AE52" s="1357"/>
      <c r="AF52" s="1357"/>
      <c r="AG52" s="1357"/>
      <c r="AH52" s="1357"/>
      <c r="AI52" s="1357"/>
      <c r="AJ52" s="1357"/>
      <c r="AK52" s="1357"/>
      <c r="AL52" s="1357"/>
      <c r="AM52" s="48"/>
      <c r="AY52" s="170" t="s">
        <v>1134</v>
      </c>
    </row>
    <row r="53" spans="7:53" ht="15.95" customHeight="1">
      <c r="K53" s="28"/>
      <c r="AM53" s="48"/>
      <c r="AY53" t="s">
        <v>737</v>
      </c>
      <c r="BA53">
        <v>7.7599619999999989E-4</v>
      </c>
    </row>
    <row r="54" spans="7:53" ht="15.95" customHeight="1">
      <c r="K54" s="28"/>
      <c r="AM54" s="48"/>
      <c r="AY54" t="s">
        <v>735</v>
      </c>
      <c r="BA54" s="9">
        <f>KWHTOTALALL</f>
        <v>0</v>
      </c>
    </row>
    <row r="55" spans="7:53" ht="15.95" customHeight="1">
      <c r="K55" s="28"/>
      <c r="L55" s="1381" t="s">
        <v>771</v>
      </c>
      <c r="M55" s="1381"/>
      <c r="N55" s="1381"/>
      <c r="O55" s="1381"/>
      <c r="P55" s="1381"/>
      <c r="Q55" s="1381"/>
      <c r="R55" s="1381"/>
      <c r="S55" s="1381"/>
      <c r="T55" s="1381"/>
      <c r="AM55" s="48"/>
      <c r="AY55" s="13" t="s">
        <v>738</v>
      </c>
      <c r="BA55">
        <f>BA53*BA54</f>
        <v>0</v>
      </c>
    </row>
    <row r="56" spans="7:53" ht="15.95" customHeight="1">
      <c r="G56" s="13"/>
      <c r="H56" s="13"/>
      <c r="I56" s="13"/>
      <c r="K56" s="28"/>
      <c r="L56" s="1381"/>
      <c r="M56" s="1381"/>
      <c r="N56" s="1381"/>
      <c r="O56" s="1381"/>
      <c r="P56" s="1381"/>
      <c r="Q56" s="1381"/>
      <c r="R56" s="1381"/>
      <c r="S56" s="1381"/>
      <c r="T56" s="1381"/>
      <c r="AM56" s="48"/>
      <c r="AY56" t="s">
        <v>739</v>
      </c>
      <c r="BA56">
        <v>4.67</v>
      </c>
    </row>
    <row r="57" spans="7:53" ht="15.95" customHeight="1">
      <c r="G57" s="13"/>
      <c r="H57" s="13"/>
      <c r="I57" s="13"/>
      <c r="K57" s="28"/>
      <c r="L57" s="1380">
        <f>KWHTOTALALL</f>
        <v>0</v>
      </c>
      <c r="M57" s="1380"/>
      <c r="N57" s="1380"/>
      <c r="O57" s="1380"/>
      <c r="P57" s="1380"/>
      <c r="Q57" s="1380"/>
      <c r="R57" s="1380"/>
      <c r="S57" s="1380"/>
      <c r="T57" s="1380"/>
      <c r="AM57" s="48"/>
      <c r="AY57" t="s">
        <v>741</v>
      </c>
      <c r="BA57">
        <f>6.672/12</f>
        <v>0.55599999999999994</v>
      </c>
    </row>
    <row r="58" spans="7:53" ht="15.95" customHeight="1">
      <c r="G58" s="13"/>
      <c r="H58" s="13"/>
      <c r="I58" s="13"/>
      <c r="K58" s="28"/>
      <c r="L58" s="1380"/>
      <c r="M58" s="1380"/>
      <c r="N58" s="1380"/>
      <c r="O58" s="1380"/>
      <c r="P58" s="1380"/>
      <c r="Q58" s="1380"/>
      <c r="R58" s="1380"/>
      <c r="S58" s="1380"/>
      <c r="T58" s="1380"/>
      <c r="AM58" s="48"/>
      <c r="AY58" t="s">
        <v>740</v>
      </c>
      <c r="BA58" s="27">
        <v>2.87</v>
      </c>
    </row>
    <row r="59" spans="7:53" ht="15.95" customHeight="1">
      <c r="G59" s="13"/>
      <c r="H59" s="13"/>
      <c r="I59" s="13"/>
      <c r="K59" s="28"/>
      <c r="M59" s="66"/>
      <c r="N59" s="66"/>
      <c r="O59" s="66"/>
      <c r="P59" s="66"/>
      <c r="Q59" s="66"/>
      <c r="R59" s="66"/>
      <c r="S59" s="66"/>
      <c r="T59" s="66"/>
      <c r="U59" s="66"/>
      <c r="V59" s="1382" t="s">
        <v>838</v>
      </c>
      <c r="W59" s="1382"/>
      <c r="X59" s="1382"/>
      <c r="Y59" s="1382"/>
      <c r="Z59" s="1382"/>
      <c r="AA59" s="1382"/>
      <c r="AB59" s="1382"/>
      <c r="AC59" s="66"/>
      <c r="AD59" s="66"/>
      <c r="AE59" s="66"/>
      <c r="AF59" s="66"/>
      <c r="AG59" s="66"/>
      <c r="AH59" s="66"/>
      <c r="AI59" s="66"/>
      <c r="AJ59" s="66"/>
      <c r="AK59" s="66"/>
      <c r="AL59" s="66"/>
      <c r="AM59" s="48"/>
      <c r="AY59" s="170" t="s">
        <v>1135</v>
      </c>
    </row>
    <row r="60" spans="7:53" ht="15.95" customHeight="1">
      <c r="G60" s="13"/>
      <c r="H60" s="13"/>
      <c r="I60" s="13"/>
      <c r="K60" s="28"/>
      <c r="L60" s="67"/>
      <c r="M60" s="67"/>
      <c r="N60" s="67"/>
      <c r="O60" s="67"/>
      <c r="P60" s="67"/>
      <c r="Q60" s="67"/>
      <c r="R60" s="67"/>
      <c r="S60" s="67"/>
      <c r="T60" s="67"/>
      <c r="U60" s="67"/>
      <c r="V60" s="1382"/>
      <c r="W60" s="1382"/>
      <c r="X60" s="1382"/>
      <c r="Y60" s="1382"/>
      <c r="Z60" s="1382"/>
      <c r="AA60" s="1382"/>
      <c r="AB60" s="1382"/>
      <c r="AC60" s="67"/>
      <c r="AD60" s="67"/>
      <c r="AE60" s="67"/>
      <c r="AF60" s="67"/>
      <c r="AG60" s="67"/>
      <c r="AH60" s="67"/>
      <c r="AI60" s="67"/>
      <c r="AJ60" s="67"/>
      <c r="AK60" s="67"/>
      <c r="AL60" s="67"/>
      <c r="AM60" s="48"/>
    </row>
    <row r="61" spans="7:53" ht="15.95" customHeight="1">
      <c r="G61" s="13"/>
      <c r="H61" s="13"/>
      <c r="I61" s="13"/>
      <c r="K61" s="28"/>
      <c r="V61" s="1382"/>
      <c r="W61" s="1382"/>
      <c r="X61" s="1382"/>
      <c r="Y61" s="1382"/>
      <c r="Z61" s="1382"/>
      <c r="AA61" s="1382"/>
      <c r="AB61" s="1382"/>
      <c r="AM61" s="48"/>
    </row>
    <row r="62" spans="7:53" ht="15.95" customHeight="1">
      <c r="K62" s="28"/>
      <c r="AM62" s="48"/>
    </row>
    <row r="63" spans="7:53" ht="15.95" customHeight="1">
      <c r="K63" s="28"/>
      <c r="O63" s="1371">
        <f>$BA$55/$BA$56</f>
        <v>0</v>
      </c>
      <c r="P63" s="1371"/>
      <c r="Q63" s="1371"/>
      <c r="R63" s="1371"/>
      <c r="S63" s="1371"/>
      <c r="T63" s="1371"/>
      <c r="U63" s="64"/>
      <c r="V63" s="64"/>
      <c r="X63" s="1371">
        <f>($BA$55/$BA$57)</f>
        <v>0</v>
      </c>
      <c r="Y63" s="1371"/>
      <c r="Z63" s="1371"/>
      <c r="AA63" s="1371"/>
      <c r="AB63" s="1371"/>
      <c r="AC63" s="1371"/>
      <c r="AD63" s="277"/>
      <c r="AE63" s="277"/>
      <c r="AF63" s="277"/>
      <c r="AG63" s="1371">
        <f>$BA$55/$BA$58</f>
        <v>0</v>
      </c>
      <c r="AH63" s="1371"/>
      <c r="AI63" s="1371"/>
      <c r="AJ63" s="1371"/>
      <c r="AK63" s="1371"/>
      <c r="AL63" s="1371"/>
      <c r="AM63" s="48"/>
    </row>
    <row r="64" spans="7:53" ht="15.95" customHeight="1">
      <c r="K64" s="28"/>
      <c r="O64" s="1372" t="s">
        <v>766</v>
      </c>
      <c r="P64" s="1372"/>
      <c r="Q64" s="1372"/>
      <c r="R64" s="1372"/>
      <c r="S64" s="1372"/>
      <c r="T64" s="1372"/>
      <c r="U64" s="278"/>
      <c r="V64" s="278"/>
      <c r="X64" s="1374" t="s">
        <v>768</v>
      </c>
      <c r="Y64" s="1374"/>
      <c r="Z64" s="1374"/>
      <c r="AA64" s="1374"/>
      <c r="AB64" s="1374"/>
      <c r="AC64" s="1374"/>
      <c r="AD64" s="279"/>
      <c r="AE64" s="279"/>
      <c r="AF64" s="279"/>
      <c r="AG64" s="1374" t="s">
        <v>770</v>
      </c>
      <c r="AH64" s="1374"/>
      <c r="AI64" s="1374"/>
      <c r="AJ64" s="1374"/>
      <c r="AK64" s="1374"/>
      <c r="AL64" s="1374"/>
      <c r="AM64" s="48"/>
      <c r="AN64" s="64"/>
    </row>
    <row r="65" spans="7:43" ht="15.95" customHeight="1">
      <c r="K65" s="28"/>
      <c r="O65" s="1372" t="s">
        <v>767</v>
      </c>
      <c r="P65" s="1372"/>
      <c r="Q65" s="1372"/>
      <c r="R65" s="1372"/>
      <c r="S65" s="1372"/>
      <c r="T65" s="1372"/>
      <c r="U65" s="278"/>
      <c r="V65" s="278"/>
      <c r="X65" s="1370" t="s">
        <v>769</v>
      </c>
      <c r="Y65" s="1370"/>
      <c r="Z65" s="1370"/>
      <c r="AA65" s="1370"/>
      <c r="AB65" s="1370"/>
      <c r="AC65" s="1370"/>
      <c r="AG65" s="1373" t="s">
        <v>774</v>
      </c>
      <c r="AH65" s="1373"/>
      <c r="AI65" s="1373"/>
      <c r="AJ65" s="1373"/>
      <c r="AK65" s="1373"/>
      <c r="AL65" s="1373"/>
      <c r="AM65" s="48"/>
      <c r="AN65" s="65"/>
    </row>
    <row r="66" spans="7:43" ht="15.95" customHeight="1">
      <c r="K66" s="28"/>
      <c r="AM66" s="48"/>
    </row>
    <row r="67" spans="7:43" ht="15.95" customHeight="1">
      <c r="K67" s="28"/>
      <c r="AM67" s="48"/>
    </row>
    <row r="68" spans="7:43" ht="15.95" customHeight="1" thickBot="1">
      <c r="K68" s="28"/>
      <c r="W68" s="17"/>
      <c r="X68" s="17"/>
      <c r="Y68" s="17"/>
      <c r="Z68" s="17"/>
      <c r="AA68" s="17"/>
      <c r="AB68" s="17"/>
      <c r="AM68" s="48"/>
    </row>
    <row r="69" spans="7:43" ht="15.95" customHeight="1">
      <c r="K69" s="28"/>
      <c r="L69" s="1356" t="s">
        <v>732</v>
      </c>
      <c r="M69" s="1356"/>
      <c r="N69" s="1356"/>
      <c r="O69" s="1356"/>
      <c r="P69" s="1356"/>
      <c r="Q69" s="1356"/>
      <c r="R69" s="1356"/>
      <c r="S69" s="1356"/>
      <c r="T69" s="1356"/>
      <c r="U69" s="1356"/>
      <c r="V69" s="1356"/>
      <c r="W69" s="1356"/>
      <c r="X69" s="1356"/>
      <c r="Y69" s="1356"/>
      <c r="Z69" s="1356"/>
      <c r="AA69" s="1356"/>
      <c r="AB69" s="1356"/>
      <c r="AC69" s="1356"/>
      <c r="AD69" s="1356"/>
      <c r="AE69" s="1356"/>
      <c r="AF69" s="1356"/>
      <c r="AG69" s="1356"/>
      <c r="AH69" s="1356"/>
      <c r="AI69" s="1356"/>
      <c r="AJ69" s="1356"/>
      <c r="AK69" s="1356"/>
      <c r="AL69" s="1356"/>
      <c r="AM69" s="48"/>
    </row>
    <row r="70" spans="7:43" ht="15.95" customHeight="1">
      <c r="G70" s="13"/>
      <c r="H70" s="13"/>
      <c r="I70" s="13"/>
      <c r="K70" s="28"/>
      <c r="L70" s="1357"/>
      <c r="M70" s="1357"/>
      <c r="N70" s="1357"/>
      <c r="O70" s="1357"/>
      <c r="P70" s="1357"/>
      <c r="Q70" s="1357"/>
      <c r="R70" s="1357"/>
      <c r="S70" s="1357"/>
      <c r="T70" s="1357"/>
      <c r="U70" s="1357"/>
      <c r="V70" s="1357"/>
      <c r="W70" s="1357"/>
      <c r="X70" s="1357"/>
      <c r="Y70" s="1357"/>
      <c r="Z70" s="1357"/>
      <c r="AA70" s="1357"/>
      <c r="AB70" s="1357"/>
      <c r="AC70" s="1357"/>
      <c r="AD70" s="1357"/>
      <c r="AE70" s="1357"/>
      <c r="AF70" s="1357"/>
      <c r="AG70" s="1357"/>
      <c r="AH70" s="1357"/>
      <c r="AI70" s="1357"/>
      <c r="AJ70" s="1357"/>
      <c r="AK70" s="1357"/>
      <c r="AL70" s="1357"/>
      <c r="AM70" s="48"/>
    </row>
    <row r="71" spans="7:43" ht="15.95" customHeight="1">
      <c r="G71" s="13"/>
      <c r="H71" s="13"/>
      <c r="I71" s="13"/>
      <c r="K71" s="28"/>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47"/>
      <c r="AK71" s="17"/>
      <c r="AL71" s="17"/>
      <c r="AM71" s="48"/>
    </row>
    <row r="72" spans="7:43" ht="15.95" customHeight="1">
      <c r="G72" s="13"/>
      <c r="H72" s="13"/>
      <c r="I72" s="13"/>
      <c r="K72" s="28"/>
      <c r="L72" s="1358" t="s">
        <v>742</v>
      </c>
      <c r="M72" s="1358"/>
      <c r="N72" s="1358"/>
      <c r="O72" s="1358"/>
      <c r="P72" s="1358"/>
      <c r="Q72" s="1358"/>
      <c r="R72" s="1358"/>
      <c r="S72" s="1358"/>
      <c r="T72" s="1358"/>
      <c r="U72" s="1358"/>
      <c r="V72" s="1358"/>
      <c r="W72" s="1358"/>
      <c r="X72" s="1358"/>
      <c r="Y72" s="17"/>
      <c r="AA72" s="55" t="s">
        <v>733</v>
      </c>
      <c r="AB72" s="56"/>
      <c r="AC72" s="57" t="s">
        <v>1293</v>
      </c>
      <c r="AD72" s="40"/>
      <c r="AE72" s="56"/>
      <c r="AF72" s="56"/>
      <c r="AG72" s="56"/>
      <c r="AH72" s="56"/>
      <c r="AI72" s="56"/>
      <c r="AJ72" s="56"/>
      <c r="AK72" s="56"/>
      <c r="AL72" s="56"/>
      <c r="AM72" s="48"/>
    </row>
    <row r="73" spans="7:43" ht="15.95" customHeight="1">
      <c r="G73" s="13"/>
      <c r="H73" s="13"/>
      <c r="I73" s="13"/>
      <c r="K73" s="28"/>
      <c r="L73" s="1365" t="s">
        <v>736</v>
      </c>
      <c r="M73" s="1365"/>
      <c r="N73" s="1365"/>
      <c r="O73" s="1365"/>
      <c r="P73" s="1365"/>
      <c r="Q73" s="1365"/>
      <c r="R73" s="1365"/>
      <c r="S73" s="1365"/>
      <c r="T73" s="1365"/>
      <c r="U73" s="1365"/>
      <c r="V73" s="1365"/>
      <c r="W73" s="1365"/>
      <c r="X73" s="1365"/>
      <c r="Y73" s="17"/>
      <c r="AA73" s="55" t="s">
        <v>729</v>
      </c>
      <c r="AB73" s="41"/>
      <c r="AC73" s="57" t="str">
        <f>Hotline</f>
        <v>(844)687-0229</v>
      </c>
      <c r="AD73" s="41"/>
      <c r="AE73" s="41"/>
      <c r="AF73" s="49"/>
      <c r="AG73" s="49"/>
      <c r="AH73" s="41"/>
      <c r="AI73" s="41"/>
      <c r="AJ73" s="41"/>
      <c r="AK73" s="41"/>
      <c r="AL73" s="45"/>
      <c r="AM73" s="48"/>
    </row>
    <row r="74" spans="7:43" ht="15.95" customHeight="1">
      <c r="G74" s="13"/>
      <c r="H74" s="13"/>
      <c r="I74" s="13"/>
      <c r="K74" s="28"/>
      <c r="L74" s="1365"/>
      <c r="M74" s="1365"/>
      <c r="N74" s="1365"/>
      <c r="O74" s="1365"/>
      <c r="P74" s="1365"/>
      <c r="Q74" s="1365"/>
      <c r="R74" s="1365"/>
      <c r="S74" s="1365"/>
      <c r="T74" s="1365"/>
      <c r="U74" s="1365"/>
      <c r="V74" s="1365"/>
      <c r="W74" s="1365"/>
      <c r="X74" s="1365"/>
      <c r="Y74" s="17"/>
      <c r="AA74" s="55" t="s">
        <v>734</v>
      </c>
      <c r="AB74" s="41"/>
      <c r="AC74" s="222" t="s">
        <v>3010</v>
      </c>
      <c r="AD74" s="41"/>
      <c r="AE74" s="41"/>
      <c r="AF74" s="49"/>
      <c r="AG74" s="49"/>
      <c r="AH74" s="46"/>
      <c r="AI74" s="41"/>
      <c r="AJ74" s="41"/>
      <c r="AK74" s="41"/>
      <c r="AL74" s="45"/>
      <c r="AM74" s="48"/>
    </row>
    <row r="75" spans="7:43" ht="15.95" customHeight="1">
      <c r="G75" s="13"/>
      <c r="H75" s="13"/>
      <c r="I75" s="13"/>
      <c r="K75" s="28"/>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48"/>
    </row>
    <row r="76" spans="7:43" ht="15.95" customHeight="1">
      <c r="G76" s="13"/>
      <c r="H76" s="13"/>
      <c r="I76" s="13"/>
      <c r="K76" s="28"/>
      <c r="L76" s="1359" t="s">
        <v>1292</v>
      </c>
      <c r="M76" s="1360"/>
      <c r="N76" s="1360"/>
      <c r="O76" s="1360"/>
      <c r="P76" s="1360"/>
      <c r="Q76" s="1360"/>
      <c r="R76" s="1360"/>
      <c r="S76" s="1360"/>
      <c r="T76" s="1360"/>
      <c r="U76" s="1360"/>
      <c r="V76" s="1360"/>
      <c r="W76" s="1360"/>
      <c r="X76" s="1360"/>
      <c r="Y76" s="1360"/>
      <c r="Z76" s="1360"/>
      <c r="AA76" s="1360"/>
      <c r="AB76" s="1360"/>
      <c r="AC76" s="1360"/>
      <c r="AD76" s="1360"/>
      <c r="AE76" s="1360"/>
      <c r="AF76" s="1360"/>
      <c r="AG76" s="1360"/>
      <c r="AH76" s="1360"/>
      <c r="AI76" s="1360"/>
      <c r="AJ76" s="1360"/>
      <c r="AK76" s="1360"/>
      <c r="AL76" s="1361"/>
      <c r="AM76" s="48"/>
    </row>
    <row r="77" spans="7:43" ht="15.95" customHeight="1">
      <c r="G77" s="13"/>
      <c r="H77" s="13"/>
      <c r="I77" s="13"/>
      <c r="K77" s="28"/>
      <c r="L77" s="1362"/>
      <c r="M77" s="1363"/>
      <c r="N77" s="1363"/>
      <c r="O77" s="1363"/>
      <c r="P77" s="1363"/>
      <c r="Q77" s="1363"/>
      <c r="R77" s="1363"/>
      <c r="S77" s="1363"/>
      <c r="T77" s="1363"/>
      <c r="U77" s="1363"/>
      <c r="V77" s="1363"/>
      <c r="W77" s="1363"/>
      <c r="X77" s="1363"/>
      <c r="Y77" s="1363"/>
      <c r="Z77" s="1363"/>
      <c r="AA77" s="1363"/>
      <c r="AB77" s="1363"/>
      <c r="AC77" s="1363"/>
      <c r="AD77" s="1363"/>
      <c r="AE77" s="1363"/>
      <c r="AF77" s="1363"/>
      <c r="AG77" s="1363"/>
      <c r="AH77" s="1363"/>
      <c r="AI77" s="1363"/>
      <c r="AJ77" s="1363"/>
      <c r="AK77" s="1363"/>
      <c r="AL77" s="1364"/>
      <c r="AM77" s="48"/>
    </row>
    <row r="78" spans="7:43" ht="15.95" customHeight="1">
      <c r="G78" s="13"/>
      <c r="H78" s="13"/>
      <c r="I78" s="13"/>
      <c r="K78" s="29"/>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30"/>
    </row>
    <row r="79" spans="7:43" ht="15.95" customHeight="1">
      <c r="G79" s="13"/>
      <c r="H79" s="13"/>
      <c r="I79" s="13"/>
    </row>
    <row r="80" spans="7:43" ht="15" customHeight="1">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7:43" ht="15" hidden="1" customHeight="1">
      <c r="G81" s="13"/>
      <c r="H81" s="13"/>
      <c r="I81" s="13"/>
      <c r="J81" s="13"/>
      <c r="K81" s="13"/>
      <c r="M81" s="13"/>
      <c r="AO81" s="13"/>
      <c r="AQ81" s="13"/>
    </row>
    <row r="82" spans="7:43" ht="15" hidden="1" customHeight="1">
      <c r="G82" s="13"/>
      <c r="H82" s="13"/>
      <c r="I82" s="13"/>
      <c r="J82" s="13"/>
      <c r="K82" s="13"/>
      <c r="M82" s="13"/>
      <c r="AO82" s="13"/>
      <c r="AQ82" s="13"/>
    </row>
    <row r="83" spans="7:43" ht="15" hidden="1" customHeight="1">
      <c r="G83" s="13"/>
      <c r="H83" s="13"/>
      <c r="I83" s="13"/>
      <c r="J83" s="13"/>
      <c r="K83" s="13"/>
    </row>
    <row r="84" spans="7:43" ht="15" hidden="1" customHeight="1">
      <c r="G84" s="13"/>
      <c r="H84" s="13"/>
      <c r="I84" s="13"/>
      <c r="J84" s="13"/>
      <c r="K84" s="13"/>
    </row>
    <row r="85" spans="7:43" ht="15" hidden="1" customHeight="1">
      <c r="G85" s="13"/>
      <c r="H85" s="13"/>
      <c r="I85" s="13"/>
      <c r="J85" s="13"/>
      <c r="K85" s="13"/>
    </row>
    <row r="86" spans="7:43" ht="15" hidden="1" customHeight="1">
      <c r="G86" s="13"/>
      <c r="H86" s="13"/>
      <c r="I86" s="13"/>
      <c r="J86" s="13"/>
      <c r="K86" s="13"/>
    </row>
    <row r="87" spans="7:43" ht="15" hidden="1" customHeight="1">
      <c r="G87" s="13"/>
      <c r="H87" s="13"/>
      <c r="I87" s="13"/>
      <c r="J87" s="13"/>
      <c r="K87" s="13"/>
    </row>
    <row r="88" spans="7:43" ht="15" hidden="1" customHeight="1">
      <c r="G88" s="13"/>
      <c r="H88" s="13"/>
      <c r="I88" s="13"/>
      <c r="J88" s="13"/>
      <c r="K88" s="13"/>
    </row>
    <row r="89" spans="7:43" ht="15" hidden="1" customHeight="1">
      <c r="G89" s="13"/>
      <c r="H89" s="13"/>
      <c r="I89" s="13"/>
      <c r="J89" s="13"/>
      <c r="K89" s="13"/>
    </row>
    <row r="90" spans="7:43" ht="15" hidden="1" customHeight="1">
      <c r="G90" s="13"/>
      <c r="H90" s="13"/>
      <c r="I90" s="13"/>
      <c r="J90" s="13"/>
      <c r="K90" s="13"/>
      <c r="L90" s="13"/>
    </row>
    <row r="91" spans="7:43" ht="15" hidden="1" customHeight="1">
      <c r="G91" s="13"/>
      <c r="H91" s="13"/>
      <c r="I91" s="13"/>
      <c r="J91" s="13"/>
      <c r="K91" s="13"/>
      <c r="L91" s="13"/>
    </row>
    <row r="92" spans="7:43" ht="15" hidden="1" customHeight="1"/>
    <row r="93" spans="7:43" ht="15" hidden="1" customHeight="1"/>
    <row r="94" spans="7:43" ht="15" hidden="1" customHeight="1"/>
    <row r="95" spans="7:43" ht="15" hidden="1" customHeight="1"/>
    <row r="96" spans="7:4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spans="7:19" ht="15" hidden="1" customHeight="1"/>
    <row r="162" spans="7:19" ht="15" hidden="1" customHeight="1"/>
    <row r="163" spans="7:19" ht="15" hidden="1" customHeight="1"/>
    <row r="164" spans="7:19" ht="15" hidden="1" customHeight="1"/>
    <row r="165" spans="7:19" ht="15" hidden="1" customHeight="1"/>
    <row r="166" spans="7:19" ht="15" hidden="1" customHeight="1"/>
    <row r="167" spans="7:19" ht="15" hidden="1" customHeight="1"/>
    <row r="168" spans="7:19" ht="15" hidden="1" customHeight="1"/>
    <row r="169" spans="7:19" ht="15" hidden="1" customHeight="1"/>
    <row r="170" spans="7:19" ht="15" hidden="1" customHeight="1"/>
    <row r="171" spans="7:19" ht="15" hidden="1" customHeight="1"/>
    <row r="172" spans="7:19" ht="15" hidden="1" customHeight="1"/>
    <row r="173" spans="7:19" ht="15" hidden="1" customHeight="1">
      <c r="G173" s="13"/>
      <c r="H173" s="13"/>
      <c r="I173" s="13"/>
      <c r="J173" s="13"/>
      <c r="K173" s="13"/>
      <c r="L173" s="13"/>
      <c r="N173" s="13"/>
      <c r="O173" s="13"/>
      <c r="P173" s="13"/>
      <c r="Q173" s="13"/>
      <c r="R173" s="13"/>
      <c r="S173" s="13"/>
    </row>
    <row r="174" spans="7:19" ht="15" hidden="1" customHeight="1">
      <c r="G174" s="13"/>
      <c r="H174" s="13"/>
      <c r="I174" s="13"/>
      <c r="J174" s="13"/>
      <c r="K174" s="13"/>
      <c r="L174" s="13"/>
      <c r="N174" s="13"/>
      <c r="O174" s="13"/>
      <c r="P174" s="13"/>
      <c r="Q174" s="13"/>
      <c r="R174" s="13"/>
      <c r="S174" s="13"/>
    </row>
    <row r="175" spans="7:19" ht="15" hidden="1" customHeight="1">
      <c r="G175" s="13"/>
      <c r="H175" s="13"/>
      <c r="I175" s="13"/>
      <c r="J175" s="13"/>
      <c r="K175" s="13"/>
      <c r="L175" s="13"/>
      <c r="N175" s="13"/>
      <c r="O175" s="13"/>
      <c r="P175" s="13"/>
      <c r="Q175" s="13"/>
      <c r="R175" s="13"/>
      <c r="S175" s="13"/>
    </row>
    <row r="176" spans="7:19" ht="15" hidden="1" customHeight="1">
      <c r="G176" s="13"/>
      <c r="H176" s="13"/>
      <c r="I176" s="13"/>
      <c r="J176" s="13"/>
      <c r="K176" s="13"/>
      <c r="L176" s="13"/>
      <c r="N176" s="13"/>
      <c r="O176" s="13"/>
      <c r="P176" s="13"/>
      <c r="Q176" s="13"/>
      <c r="R176" s="13"/>
      <c r="S176" s="13"/>
    </row>
    <row r="177" spans="7:19" ht="15" hidden="1" customHeight="1">
      <c r="G177" s="13"/>
      <c r="H177" s="13"/>
      <c r="I177" s="13"/>
      <c r="J177" s="13"/>
      <c r="K177" s="13"/>
      <c r="L177" s="13"/>
      <c r="N177" s="13"/>
      <c r="O177" s="13"/>
      <c r="P177" s="13"/>
      <c r="Q177" s="13"/>
      <c r="R177" s="13"/>
      <c r="S177" s="13"/>
    </row>
    <row r="178" spans="7:19" ht="15" hidden="1" customHeight="1">
      <c r="G178" s="13"/>
      <c r="H178" s="13"/>
      <c r="I178" s="13"/>
      <c r="J178" s="13"/>
      <c r="K178" s="13"/>
      <c r="L178" s="13"/>
      <c r="N178" s="13"/>
      <c r="O178" s="13"/>
      <c r="P178" s="13"/>
      <c r="Q178" s="13"/>
      <c r="R178" s="13"/>
      <c r="S178" s="13"/>
    </row>
    <row r="179" spans="7:19" ht="15" hidden="1" customHeight="1">
      <c r="G179" s="13"/>
      <c r="H179" s="13"/>
      <c r="I179" s="13"/>
      <c r="J179" s="13"/>
      <c r="K179" s="13"/>
      <c r="L179" s="13"/>
      <c r="N179" s="13"/>
      <c r="O179" s="13"/>
      <c r="P179" s="13"/>
      <c r="Q179" s="13"/>
      <c r="R179" s="13"/>
      <c r="S179" s="13"/>
    </row>
    <row r="180" spans="7:19" ht="15" hidden="1" customHeight="1">
      <c r="G180" s="13"/>
      <c r="H180" s="13"/>
      <c r="I180" s="13"/>
      <c r="J180" s="13"/>
      <c r="K180" s="13"/>
      <c r="L180" s="13"/>
      <c r="N180" s="13"/>
      <c r="O180" s="13"/>
      <c r="P180" s="13"/>
      <c r="Q180" s="13"/>
      <c r="R180" s="13"/>
      <c r="S180" s="13"/>
    </row>
    <row r="181" spans="7:19" ht="15" hidden="1" customHeight="1">
      <c r="G181" s="13"/>
      <c r="H181" s="13"/>
      <c r="I181" s="13"/>
      <c r="J181" s="13"/>
      <c r="K181" s="13"/>
      <c r="L181" s="13"/>
      <c r="N181" s="13"/>
      <c r="O181" s="13"/>
      <c r="P181" s="13"/>
      <c r="Q181" s="13"/>
      <c r="R181" s="13"/>
      <c r="S181" s="13"/>
    </row>
    <row r="182" spans="7:19" ht="15" hidden="1" customHeight="1">
      <c r="G182" s="13"/>
      <c r="H182" s="13"/>
      <c r="I182" s="13"/>
      <c r="J182" s="13"/>
      <c r="K182" s="13"/>
      <c r="L182" s="13"/>
      <c r="N182" s="13"/>
      <c r="O182" s="13"/>
      <c r="P182" s="13"/>
      <c r="Q182" s="13"/>
      <c r="R182" s="13"/>
      <c r="S182" s="13"/>
    </row>
    <row r="183" spans="7:19" ht="15" hidden="1" customHeight="1">
      <c r="G183" s="13"/>
      <c r="H183" s="13"/>
      <c r="I183" s="13"/>
      <c r="J183" s="13"/>
      <c r="K183" s="13"/>
      <c r="L183" s="13"/>
      <c r="N183" s="13"/>
      <c r="O183" s="13"/>
      <c r="P183" s="13"/>
      <c r="Q183" s="13"/>
      <c r="R183" s="13"/>
      <c r="S183" s="13"/>
    </row>
    <row r="184" spans="7:19" ht="15" hidden="1" customHeight="1">
      <c r="G184" s="13"/>
      <c r="H184" s="13"/>
      <c r="I184" s="13"/>
      <c r="J184" s="13"/>
      <c r="K184" s="13"/>
      <c r="L184" s="13"/>
      <c r="N184" s="13"/>
      <c r="O184" s="13"/>
      <c r="P184" s="13"/>
      <c r="Q184" s="13"/>
      <c r="R184" s="13"/>
      <c r="S184" s="13"/>
    </row>
    <row r="185" spans="7:19" ht="15" hidden="1" customHeight="1">
      <c r="G185" s="13"/>
      <c r="H185" s="13"/>
      <c r="I185" s="13"/>
      <c r="J185" s="13"/>
      <c r="K185" s="13"/>
      <c r="L185" s="13"/>
      <c r="N185" s="13"/>
      <c r="O185" s="13"/>
      <c r="P185" s="13"/>
      <c r="Q185" s="13"/>
      <c r="R185" s="13"/>
      <c r="S185" s="13"/>
    </row>
    <row r="186" spans="7:19" ht="15" hidden="1" customHeight="1">
      <c r="G186" s="13"/>
      <c r="H186" s="13"/>
      <c r="I186" s="13"/>
      <c r="J186" s="13"/>
      <c r="K186" s="13"/>
      <c r="L186" s="13"/>
      <c r="N186" s="13"/>
      <c r="O186" s="13"/>
      <c r="P186" s="13"/>
      <c r="Q186" s="13"/>
      <c r="R186" s="13"/>
      <c r="S186" s="13"/>
    </row>
    <row r="187" spans="7:19" ht="15" hidden="1" customHeight="1">
      <c r="G187" s="13"/>
      <c r="H187" s="13"/>
      <c r="I187" s="13"/>
      <c r="J187" s="13"/>
      <c r="K187" s="13"/>
      <c r="L187" s="13"/>
      <c r="N187" s="13"/>
      <c r="O187" s="13"/>
      <c r="P187" s="13"/>
      <c r="Q187" s="13"/>
      <c r="R187" s="13"/>
      <c r="S187" s="13"/>
    </row>
    <row r="188" spans="7:19" ht="15" hidden="1" customHeight="1">
      <c r="G188" s="13"/>
      <c r="H188" s="13"/>
      <c r="I188" s="13"/>
      <c r="J188" s="13"/>
      <c r="K188" s="13"/>
      <c r="L188" s="13"/>
      <c r="N188" s="13"/>
      <c r="O188" s="13"/>
      <c r="P188" s="13"/>
      <c r="Q188" s="13"/>
      <c r="R188" s="13"/>
      <c r="S188" s="13"/>
    </row>
    <row r="189" spans="7:19" ht="15" hidden="1" customHeight="1">
      <c r="G189" s="13"/>
      <c r="H189" s="13"/>
      <c r="I189" s="13"/>
      <c r="J189" s="13"/>
      <c r="K189" s="13"/>
      <c r="L189" s="13"/>
      <c r="N189" s="13"/>
      <c r="O189" s="13"/>
      <c r="P189" s="13"/>
      <c r="Q189" s="13"/>
      <c r="R189" s="13"/>
      <c r="S189" s="13"/>
    </row>
    <row r="190" spans="7:19" ht="15" hidden="1" customHeight="1">
      <c r="G190" s="13"/>
      <c r="H190" s="13"/>
      <c r="I190" s="13"/>
      <c r="J190" s="13"/>
      <c r="K190" s="13"/>
      <c r="L190" s="13"/>
      <c r="N190" s="13"/>
      <c r="O190" s="13"/>
      <c r="P190" s="13"/>
      <c r="Q190" s="13"/>
      <c r="R190" s="13"/>
      <c r="S190" s="13"/>
    </row>
    <row r="191" spans="7:19" ht="15" hidden="1" customHeight="1">
      <c r="G191" s="13"/>
      <c r="H191" s="13"/>
      <c r="I191" s="13"/>
      <c r="J191" s="13"/>
      <c r="K191" s="13"/>
      <c r="L191" s="13"/>
      <c r="N191" s="13"/>
      <c r="O191" s="13"/>
      <c r="P191" s="13"/>
      <c r="Q191" s="13"/>
      <c r="R191" s="13"/>
      <c r="S191" s="13"/>
    </row>
    <row r="192" spans="7:19" ht="15" hidden="1" customHeight="1">
      <c r="G192" s="13"/>
      <c r="H192" s="13"/>
      <c r="I192" s="13"/>
      <c r="J192" s="13"/>
      <c r="K192" s="13"/>
      <c r="L192" s="13"/>
      <c r="N192" s="13"/>
      <c r="O192" s="13"/>
      <c r="P192" s="13"/>
      <c r="Q192" s="13"/>
      <c r="R192" s="13"/>
      <c r="S192" s="13"/>
    </row>
    <row r="193" spans="1:49" ht="15" hidden="1" customHeight="1">
      <c r="G193" s="13"/>
      <c r="H193" s="13"/>
      <c r="I193" s="13"/>
      <c r="J193" s="13"/>
      <c r="K193" s="13"/>
      <c r="L193" s="13"/>
      <c r="N193" s="13"/>
      <c r="O193" s="13"/>
      <c r="P193" s="13"/>
      <c r="Q193" s="13"/>
      <c r="R193" s="13"/>
      <c r="S193" s="13"/>
    </row>
    <row r="194" spans="1:49" ht="15" hidden="1" customHeight="1">
      <c r="G194" s="13"/>
      <c r="H194" s="13"/>
      <c r="I194" s="13"/>
      <c r="J194" s="13"/>
      <c r="K194" s="13"/>
      <c r="L194" s="13"/>
      <c r="N194" s="13"/>
      <c r="O194" s="13"/>
      <c r="P194" s="13"/>
      <c r="Q194" s="13"/>
      <c r="R194" s="13"/>
      <c r="S194" s="13"/>
    </row>
    <row r="195" spans="1:49" ht="15" hidden="1" customHeight="1">
      <c r="G195" s="13"/>
      <c r="H195" s="13"/>
      <c r="I195" s="13"/>
      <c r="J195" s="13"/>
      <c r="K195" s="13"/>
      <c r="L195" s="13"/>
      <c r="N195" s="13"/>
      <c r="O195" s="13"/>
      <c r="P195" s="13"/>
      <c r="Q195" s="13"/>
      <c r="R195" s="13"/>
      <c r="S195" s="13"/>
    </row>
    <row r="196" spans="1:49" ht="15" hidden="1" customHeight="1">
      <c r="G196" s="13"/>
      <c r="H196" s="13"/>
      <c r="I196" s="13"/>
      <c r="J196" s="13"/>
      <c r="K196" s="13"/>
      <c r="L196" s="13"/>
      <c r="N196" s="13"/>
      <c r="O196" s="13"/>
      <c r="P196" s="13"/>
      <c r="Q196" s="13"/>
      <c r="R196" s="13"/>
      <c r="S196" s="13"/>
    </row>
    <row r="197" spans="1:49" ht="15" hidden="1" customHeight="1">
      <c r="G197" s="13"/>
      <c r="H197" s="13"/>
      <c r="I197" s="13"/>
      <c r="J197" s="13"/>
      <c r="K197" s="13"/>
      <c r="L197" s="13"/>
      <c r="N197" s="13"/>
      <c r="O197" s="13"/>
      <c r="P197" s="13"/>
      <c r="Q197" s="13"/>
      <c r="R197" s="13"/>
      <c r="S197" s="13"/>
    </row>
    <row r="198" spans="1:49" ht="15" hidden="1" customHeight="1">
      <c r="G198" s="13"/>
      <c r="H198" s="13"/>
      <c r="I198" s="13"/>
      <c r="J198" s="13"/>
      <c r="K198" s="13"/>
      <c r="L198" s="13"/>
      <c r="N198" s="13"/>
      <c r="O198" s="13"/>
      <c r="P198" s="13"/>
      <c r="Q198" s="13"/>
      <c r="R198" s="13"/>
      <c r="S198" s="13"/>
    </row>
    <row r="199" spans="1:49" ht="15" hidden="1" customHeight="1">
      <c r="G199" s="13"/>
      <c r="H199" s="13"/>
      <c r="I199" s="13"/>
      <c r="J199" s="13"/>
      <c r="K199" s="13"/>
      <c r="L199" s="13"/>
      <c r="N199" s="13"/>
      <c r="O199" s="13"/>
      <c r="P199" s="13"/>
      <c r="Q199" s="13"/>
      <c r="R199" s="13"/>
      <c r="S199" s="13"/>
    </row>
    <row r="200" spans="1:49" ht="15" customHeight="1">
      <c r="A200" s="199"/>
      <c r="B200" s="200" t="str">
        <f>FOOT1</f>
        <v>Evergy Business Energy Savings Program</v>
      </c>
      <c r="C200" s="200"/>
      <c r="D200" s="200"/>
      <c r="E200" s="200"/>
      <c r="F200" s="200"/>
      <c r="G200" s="200"/>
      <c r="H200" s="200"/>
      <c r="I200" s="200"/>
      <c r="J200" s="200"/>
      <c r="K200" s="200"/>
      <c r="L200" s="200"/>
      <c r="M200" s="200"/>
      <c r="N200" s="200"/>
      <c r="O200" s="200"/>
      <c r="P200" s="200"/>
      <c r="Q200" s="632" t="str">
        <f>FOOTDISCLAIM</f>
        <v/>
      </c>
      <c r="R200" s="632"/>
      <c r="S200" s="632"/>
      <c r="T200" s="632"/>
      <c r="U200" s="632"/>
      <c r="V200" s="632"/>
      <c r="W200" s="632"/>
      <c r="X200" s="632"/>
      <c r="Y200" s="632"/>
      <c r="Z200" s="632"/>
      <c r="AA200" s="632"/>
      <c r="AB200" s="632"/>
      <c r="AC200" s="632"/>
      <c r="AD200" s="632"/>
      <c r="AE200" s="632"/>
      <c r="AF200" s="632"/>
      <c r="AG200" s="632"/>
      <c r="AH200" s="632"/>
      <c r="AI200" s="632"/>
      <c r="AJ200" s="632"/>
      <c r="AK200" s="632"/>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200"/>
      <c r="P201" s="200"/>
      <c r="Q201" s="632"/>
      <c r="R201" s="632"/>
      <c r="S201" s="632"/>
      <c r="T201" s="632"/>
      <c r="U201" s="632"/>
      <c r="V201" s="632"/>
      <c r="W201" s="632"/>
      <c r="X201" s="632"/>
      <c r="Y201" s="632"/>
      <c r="Z201" s="632"/>
      <c r="AA201" s="632"/>
      <c r="AB201" s="632"/>
      <c r="AC201" s="632"/>
      <c r="AD201" s="632"/>
      <c r="AE201" s="632"/>
      <c r="AF201" s="632"/>
      <c r="AG201" s="632"/>
      <c r="AH201" s="632"/>
      <c r="AI201" s="632"/>
      <c r="AJ201" s="632"/>
      <c r="AK201" s="632"/>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0"/>
      <c r="P202" s="200"/>
      <c r="Q202" s="202"/>
      <c r="R202" s="200"/>
      <c r="S202" s="200"/>
      <c r="T202" s="202"/>
      <c r="U202" s="202"/>
      <c r="V202" s="202"/>
      <c r="W202" s="202"/>
      <c r="X202" s="202"/>
      <c r="Y202" s="202"/>
      <c r="Z202" s="202"/>
      <c r="AA202" s="203" t="str">
        <f>VERSION</f>
        <v>v1.2.1</v>
      </c>
      <c r="AB202" s="202"/>
      <c r="AC202" s="202"/>
      <c r="AD202" s="202"/>
      <c r="AE202" s="202"/>
      <c r="AF202" s="202"/>
      <c r="AG202" s="202"/>
      <c r="AH202" s="202"/>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ly3t3po2Cs+tXkBRyEQY0fsY/qk0WsW9+5WOY2KYf44rvpaUDHGV0/OkbZXIdA+v6vmrIsYQw2qUSaGBvAt1UA==" saltValue="k+SB4sJD6LMW3VaviIGEMg==" spinCount="100000" sheet="1" objects="1" scenarios="1" selectLockedCells="1"/>
  <mergeCells count="64">
    <mergeCell ref="L69:AL70"/>
    <mergeCell ref="L51:AL52"/>
    <mergeCell ref="Z43:AH43"/>
    <mergeCell ref="Z44:AH45"/>
    <mergeCell ref="Z46:AH47"/>
    <mergeCell ref="M46:P47"/>
    <mergeCell ref="Q43:Y43"/>
    <mergeCell ref="Q44:Y45"/>
    <mergeCell ref="Q46:Y47"/>
    <mergeCell ref="L57:T58"/>
    <mergeCell ref="L55:T56"/>
    <mergeCell ref="V59:AB61"/>
    <mergeCell ref="M44:P45"/>
    <mergeCell ref="Q200:AK201"/>
    <mergeCell ref="L72:X72"/>
    <mergeCell ref="L76:AL77"/>
    <mergeCell ref="L73:X74"/>
    <mergeCell ref="Z48:AH49"/>
    <mergeCell ref="M48:P49"/>
    <mergeCell ref="Q48:Y49"/>
    <mergeCell ref="X65:AC65"/>
    <mergeCell ref="O63:T63"/>
    <mergeCell ref="O64:T64"/>
    <mergeCell ref="O65:T65"/>
    <mergeCell ref="AG63:AL63"/>
    <mergeCell ref="AG65:AL65"/>
    <mergeCell ref="AG64:AL64"/>
    <mergeCell ref="X63:AC63"/>
    <mergeCell ref="X64:AC64"/>
    <mergeCell ref="AB38:AK39"/>
    <mergeCell ref="M38:V39"/>
    <mergeCell ref="AB36:AK37"/>
    <mergeCell ref="M36:V37"/>
    <mergeCell ref="AD26:AL26"/>
    <mergeCell ref="W34:AA42"/>
    <mergeCell ref="L32:AL33"/>
    <mergeCell ref="A4:E6"/>
    <mergeCell ref="L16:AD19"/>
    <mergeCell ref="AF29:AL30"/>
    <mergeCell ref="AD22:AL22"/>
    <mergeCell ref="Q22:Z22"/>
    <mergeCell ref="L20:AL21"/>
    <mergeCell ref="Q23:Z23"/>
    <mergeCell ref="Q24:Z24"/>
    <mergeCell ref="A7:E8"/>
    <mergeCell ref="S11:AL13"/>
    <mergeCell ref="M29:AE30"/>
    <mergeCell ref="Q26:Z26"/>
    <mergeCell ref="A9:AW10"/>
    <mergeCell ref="Q25:Z25"/>
    <mergeCell ref="AD23:AL23"/>
    <mergeCell ref="AD24:AL24"/>
    <mergeCell ref="AD25:AL25"/>
    <mergeCell ref="L11:R13"/>
    <mergeCell ref="AP1:AS3"/>
    <mergeCell ref="F1:I3"/>
    <mergeCell ref="AS5:AW6"/>
    <mergeCell ref="AS7:AW7"/>
    <mergeCell ref="AS8:AW8"/>
    <mergeCell ref="J1:M3"/>
    <mergeCell ref="AL1:AO3"/>
    <mergeCell ref="AT1:AW3"/>
    <mergeCell ref="N1:T3"/>
    <mergeCell ref="U1:AK3"/>
  </mergeCells>
  <conditionalFormatting sqref="AS8:AW8">
    <cfRule type="expression" dxfId="31" priority="1">
      <formula>IF($AS$8=PROJSTATMEASURE,FALSE,TRUE)</formula>
    </cfRule>
  </conditionalFormatting>
  <hyperlinks>
    <hyperlink ref="AC74" r:id="rId1" display="businessrebates@evergy.com" xr:uid="{00000000-0004-0000-1000-000001000000}"/>
    <hyperlink ref="AY59" r:id="rId2" xr:uid="{BB4D2701-8032-4B82-A432-61780740EEE8}"/>
    <hyperlink ref="AY52" r:id="rId3" xr:uid="{8AE24C3C-3A48-4A3C-B6D7-5A49715A57CD}"/>
    <hyperlink ref="B202" r:id="rId4" display="businessrebates@evergy.com" xr:uid="{999D9534-F787-437E-B9B6-5786524C6DCD}"/>
    <hyperlink ref="J1:M3" location="'M01-S02'!J1" tooltip="Instructions" display="'M01-S02'!J1" xr:uid="{C03B253C-B242-4CDE-9770-046A8E2DC39D}"/>
    <hyperlink ref="AP1:AS3" location="'M05-S05'!AL1" tooltip=" " display="'M05-S05'!AL1" xr:uid="{9A71C2CE-FAC7-46D6-A23D-FE582AFDD34F}"/>
    <hyperlink ref="AL1:AO3" location="'M05-S04'!AH1" tooltip=" " display="'M05-S04'!AH1" xr:uid="{DFB9FC84-5A49-4DF5-B690-738D15A58B40}"/>
    <hyperlink ref="AT1:AW3" location="'M01-S03'!AP1" tooltip="Contact" display="'M01-S03'!AP1" xr:uid="{522CC190-902F-48B3-90DE-1F6227980FF7}"/>
  </hyperlinks>
  <printOptions horizontalCentered="1"/>
  <pageMargins left="0" right="0" top="0" bottom="0" header="0" footer="0"/>
  <pageSetup scale="79" orientation="portrait" r:id="rId5"/>
  <colBreaks count="1" manualBreakCount="1">
    <brk id="40"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'M01-S01'!Q62-TODAY()&gt;=7</xm:f>
            <x14:dxf>
              <font>
                <b val="0"/>
                <i val="0"/>
                <color theme="1"/>
              </font>
            </x14:dxf>
          </x14:cfRule>
          <x14:cfRule type="expression" priority="799" id="{DF5BE1B5-151F-4191-9DDE-9812A30F0259}">
            <xm:f>AND('M01-S01'!Q62-TODAY()&lt;7,'M01-S01'!Q62-TODAY()&gt;2)</xm:f>
            <x14:dxf>
              <font>
                <b/>
                <i val="0"/>
                <color rgb="FFFF0000"/>
              </font>
            </x14:dxf>
          </x14:cfRule>
          <x14:cfRule type="expression" priority="801" id="{F6DAAC88-B8D6-415B-B7A9-77BF6AEEEEE1}">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S11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tabColor theme="8" tint="0.59999389629810485"/>
    <pageSetUpPr fitToPage="1"/>
  </sheetPr>
  <dimension ref="A1:AW202"/>
  <sheetViews>
    <sheetView showGridLines="0" showRowColHeaders="0" zoomScale="85" zoomScaleNormal="85" workbookViewId="0">
      <selection activeCell="M51" sqref="M51:Q52"/>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46">
        <f>INCENTOTAL</f>
        <v>0</v>
      </c>
      <c r="B4" s="646"/>
      <c r="C4" s="646"/>
      <c r="D4" s="646"/>
      <c r="E4" s="646"/>
      <c r="F4" s="377"/>
      <c r="G4" s="377"/>
      <c r="H4" s="377"/>
      <c r="I4" s="377"/>
    </row>
    <row r="5" spans="1:49" ht="15.95" customHeight="1">
      <c r="A5" s="647"/>
      <c r="B5" s="647"/>
      <c r="C5" s="647"/>
      <c r="D5" s="647"/>
      <c r="E5" s="647"/>
      <c r="F5" s="372"/>
      <c r="G5" s="372"/>
      <c r="H5" s="372"/>
      <c r="I5" s="372"/>
      <c r="AS5" s="663">
        <f ca="1">PROGRESSSTATUS</f>
        <v>0</v>
      </c>
      <c r="AT5" s="663"/>
      <c r="AU5" s="663"/>
      <c r="AV5" s="663"/>
      <c r="AW5" s="663"/>
    </row>
    <row r="6" spans="1:49" ht="15.95" customHeight="1">
      <c r="A6" s="647"/>
      <c r="B6" s="647"/>
      <c r="C6" s="647"/>
      <c r="D6" s="647"/>
      <c r="E6" s="647"/>
      <c r="F6" s="372"/>
      <c r="G6" s="372"/>
      <c r="H6" s="372"/>
      <c r="I6" s="372"/>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373"/>
      <c r="G8" s="373"/>
      <c r="H8" s="373"/>
      <c r="I8" s="373"/>
      <c r="AS8" s="661" t="str">
        <f ca="1">PROJSTATUS</f>
        <v>Enter Measures</v>
      </c>
      <c r="AT8" s="661"/>
      <c r="AU8" s="661"/>
      <c r="AV8" s="661"/>
      <c r="AW8" s="661"/>
    </row>
    <row r="9" spans="1:49" ht="15.95" customHeight="1">
      <c r="A9" s="664" t="str">
        <f>M5S4</f>
        <v>Offer Form</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H11" s="1392" t="s">
        <v>1025</v>
      </c>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378"/>
      <c r="AR11" s="378"/>
    </row>
    <row r="12" spans="1:49" ht="15.95" customHeight="1">
      <c r="H12" s="1392"/>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378"/>
      <c r="AR12" s="378"/>
    </row>
    <row r="13" spans="1:49" ht="15.95" customHeight="1">
      <c r="K13" s="111"/>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3"/>
    </row>
    <row r="14" spans="1:49" ht="15.95" customHeight="1">
      <c r="K14" s="114"/>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48"/>
    </row>
    <row r="15" spans="1:49" ht="15.95" customHeight="1">
      <c r="K15" s="114"/>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48"/>
    </row>
    <row r="16" spans="1:49" ht="15.95" customHeight="1">
      <c r="K16" s="114"/>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48"/>
    </row>
    <row r="17" spans="11:39" ht="15.95" customHeight="1">
      <c r="K17" s="114"/>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48"/>
    </row>
    <row r="18" spans="11:39" ht="15.95" customHeight="1">
      <c r="K18" s="114"/>
      <c r="L18" s="1390" t="s">
        <v>77</v>
      </c>
      <c r="M18" s="1390"/>
      <c r="N18" s="1390"/>
      <c r="O18" s="1390"/>
      <c r="P18" s="1390"/>
      <c r="Q18" s="1390"/>
      <c r="R18" s="1390"/>
      <c r="S18" s="1390"/>
      <c r="T18" s="1390"/>
      <c r="U18" s="1390"/>
      <c r="V18" s="1390"/>
      <c r="W18" s="1390"/>
      <c r="X18" s="1390"/>
      <c r="Y18" s="1390"/>
      <c r="Z18" s="221"/>
      <c r="AA18" s="221"/>
      <c r="AB18" s="221"/>
      <c r="AC18" s="221"/>
      <c r="AD18" s="221"/>
      <c r="AE18" s="1391" t="str">
        <f>CONCATENATE("Project # ",PROJID)</f>
        <v xml:space="preserve">Project # </v>
      </c>
      <c r="AF18" s="1391"/>
      <c r="AG18" s="1391"/>
      <c r="AH18" s="1391"/>
      <c r="AI18" s="1391"/>
      <c r="AJ18" s="1391"/>
      <c r="AK18" s="1391"/>
      <c r="AL18" s="1391"/>
      <c r="AM18" s="48"/>
    </row>
    <row r="19" spans="11:39" ht="15.95" customHeight="1">
      <c r="K19" s="114"/>
      <c r="L19" s="1390"/>
      <c r="M19" s="1390"/>
      <c r="N19" s="1390"/>
      <c r="O19" s="1390"/>
      <c r="P19" s="1390"/>
      <c r="Q19" s="1390"/>
      <c r="R19" s="1390"/>
      <c r="S19" s="1390"/>
      <c r="T19" s="1390"/>
      <c r="U19" s="1390"/>
      <c r="V19" s="1390"/>
      <c r="W19" s="1390"/>
      <c r="X19" s="1390"/>
      <c r="Y19" s="1390"/>
      <c r="Z19" s="221"/>
      <c r="AA19" s="221"/>
      <c r="AB19" s="221"/>
      <c r="AC19" s="221"/>
      <c r="AD19" s="221"/>
      <c r="AE19" s="1391"/>
      <c r="AF19" s="1391"/>
      <c r="AG19" s="1391"/>
      <c r="AH19" s="1391"/>
      <c r="AI19" s="1391"/>
      <c r="AJ19" s="1391"/>
      <c r="AK19" s="1391"/>
      <c r="AL19" s="1391"/>
      <c r="AM19" s="48"/>
    </row>
    <row r="20" spans="11:39" ht="15.95" customHeight="1">
      <c r="K20" s="114"/>
      <c r="L20" s="1390"/>
      <c r="M20" s="1390"/>
      <c r="N20" s="1390"/>
      <c r="O20" s="1390"/>
      <c r="P20" s="1390"/>
      <c r="Q20" s="1390"/>
      <c r="R20" s="1390"/>
      <c r="S20" s="1390"/>
      <c r="T20" s="1390"/>
      <c r="U20" s="1390"/>
      <c r="V20" s="1390"/>
      <c r="W20" s="1390"/>
      <c r="X20" s="1390"/>
      <c r="Y20" s="1390"/>
      <c r="Z20" s="221"/>
      <c r="AA20" s="221"/>
      <c r="AB20" s="221"/>
      <c r="AC20" s="221"/>
      <c r="AD20" s="221"/>
      <c r="AE20" s="1391"/>
      <c r="AF20" s="1391"/>
      <c r="AG20" s="1391"/>
      <c r="AH20" s="1391"/>
      <c r="AI20" s="1391"/>
      <c r="AJ20" s="1391"/>
      <c r="AK20" s="1391"/>
      <c r="AL20" s="1391"/>
      <c r="AM20" s="48"/>
    </row>
    <row r="21" spans="11:39" ht="15.95" customHeight="1">
      <c r="K21" s="114"/>
      <c r="L21" s="1383">
        <f>M02S03F01</f>
        <v>0</v>
      </c>
      <c r="M21" s="1383"/>
      <c r="N21" s="1383"/>
      <c r="O21" s="1383"/>
      <c r="P21" s="1383"/>
      <c r="Q21" s="1383"/>
      <c r="R21" s="1383"/>
      <c r="S21" s="1383"/>
      <c r="T21" s="1383"/>
      <c r="U21" s="1383"/>
      <c r="V21" s="1383"/>
      <c r="W21" s="1383"/>
      <c r="X21" s="1383"/>
      <c r="Y21" s="1383"/>
      <c r="Z21" s="1384">
        <f>M02S04F18</f>
        <v>0</v>
      </c>
      <c r="AA21" s="1384"/>
      <c r="AB21" s="1384"/>
      <c r="AC21" s="1384"/>
      <c r="AD21" s="1384"/>
      <c r="AE21" s="1384"/>
      <c r="AF21" s="1384"/>
      <c r="AG21" s="1384"/>
      <c r="AH21" s="1384"/>
      <c r="AI21" s="1384"/>
      <c r="AJ21" s="1384"/>
      <c r="AK21" s="1384"/>
      <c r="AL21" s="1384"/>
      <c r="AM21" s="48"/>
    </row>
    <row r="22" spans="11:39" ht="15.95" customHeight="1">
      <c r="K22" s="114"/>
      <c r="L22" s="1383"/>
      <c r="M22" s="1383"/>
      <c r="N22" s="1383"/>
      <c r="O22" s="1383"/>
      <c r="P22" s="1383"/>
      <c r="Q22" s="1383"/>
      <c r="R22" s="1383"/>
      <c r="S22" s="1383"/>
      <c r="T22" s="1383"/>
      <c r="U22" s="1383"/>
      <c r="V22" s="1383"/>
      <c r="W22" s="1383"/>
      <c r="X22" s="1383"/>
      <c r="Y22" s="1383"/>
      <c r="Z22" s="1384"/>
      <c r="AA22" s="1384"/>
      <c r="AB22" s="1384"/>
      <c r="AC22" s="1384"/>
      <c r="AD22" s="1384"/>
      <c r="AE22" s="1384"/>
      <c r="AF22" s="1384"/>
      <c r="AG22" s="1384"/>
      <c r="AH22" s="1384"/>
      <c r="AI22" s="1384"/>
      <c r="AJ22" s="1384"/>
      <c r="AK22" s="1384"/>
      <c r="AL22" s="1384"/>
      <c r="AM22" s="48"/>
    </row>
    <row r="23" spans="11:39" ht="15.95" customHeight="1">
      <c r="K23" s="114"/>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48"/>
    </row>
    <row r="24" spans="11:39" ht="15.95" customHeight="1">
      <c r="K24" s="114"/>
      <c r="L24" s="1385" t="s">
        <v>1009</v>
      </c>
      <c r="M24" s="1385"/>
      <c r="N24" s="1385"/>
      <c r="O24" s="1385"/>
      <c r="P24" s="1385"/>
      <c r="Q24" s="115"/>
      <c r="R24" s="1386" t="s">
        <v>1010</v>
      </c>
      <c r="S24" s="1386"/>
      <c r="T24" s="1386"/>
      <c r="U24" s="1386"/>
      <c r="V24" s="1386"/>
      <c r="W24" s="1386"/>
      <c r="X24" s="116"/>
      <c r="Y24" s="1386" t="s">
        <v>1011</v>
      </c>
      <c r="Z24" s="1386"/>
      <c r="AA24" s="1386"/>
      <c r="AB24" s="1386"/>
      <c r="AC24" s="1386"/>
      <c r="AD24" s="1386"/>
      <c r="AE24" s="116"/>
      <c r="AF24" s="1387" t="s">
        <v>2103</v>
      </c>
      <c r="AG24" s="1387"/>
      <c r="AH24" s="1387"/>
      <c r="AI24" s="1387"/>
      <c r="AJ24" s="1387"/>
      <c r="AK24" s="1387"/>
      <c r="AL24" s="116"/>
      <c r="AM24" s="48"/>
    </row>
    <row r="25" spans="11:39" ht="15.95" customHeight="1">
      <c r="K25" s="114"/>
      <c r="L25" s="1385"/>
      <c r="M25" s="1385"/>
      <c r="N25" s="1385"/>
      <c r="O25" s="1385"/>
      <c r="P25" s="1385"/>
      <c r="Q25" s="115"/>
      <c r="R25" s="1388">
        <f>M02S04F07</f>
        <v>0</v>
      </c>
      <c r="S25" s="1388"/>
      <c r="T25" s="1388"/>
      <c r="U25" s="1388"/>
      <c r="V25" s="1388"/>
      <c r="W25" s="1388"/>
      <c r="X25" s="117"/>
      <c r="Y25" s="1388" t="str">
        <f>CONCATENATE(M02S04F12," ",M02S04F13)</f>
        <v xml:space="preserve"> </v>
      </c>
      <c r="Z25" s="1388"/>
      <c r="AA25" s="1388"/>
      <c r="AB25" s="1388"/>
      <c r="AC25" s="1388"/>
      <c r="AD25" s="1388"/>
      <c r="AE25" s="117"/>
      <c r="AF25" s="1388" t="str">
        <f>CONCATENATE(M02S03F06," ",M02S03F07)</f>
        <v xml:space="preserve"> </v>
      </c>
      <c r="AG25" s="1388"/>
      <c r="AH25" s="1388"/>
      <c r="AI25" s="1388"/>
      <c r="AJ25" s="1388"/>
      <c r="AK25" s="1388"/>
      <c r="AL25" s="118"/>
      <c r="AM25" s="48"/>
    </row>
    <row r="26" spans="11:39" ht="15.95" customHeight="1">
      <c r="K26" s="114"/>
      <c r="L26" s="1385"/>
      <c r="M26" s="1385"/>
      <c r="N26" s="1385"/>
      <c r="O26" s="1385"/>
      <c r="P26" s="1385"/>
      <c r="Q26" s="115"/>
      <c r="R26" s="1388">
        <f>M02S04F08</f>
        <v>0</v>
      </c>
      <c r="S26" s="1388"/>
      <c r="T26" s="1388"/>
      <c r="U26" s="1388"/>
      <c r="V26" s="1388"/>
      <c r="W26" s="1388"/>
      <c r="X26" s="117"/>
      <c r="Y26" s="1389" t="str">
        <f>M02S04F15</f>
        <v/>
      </c>
      <c r="Z26" s="1389"/>
      <c r="AA26" s="1389"/>
      <c r="AB26" s="1389"/>
      <c r="AC26" s="1389"/>
      <c r="AD26" s="1389"/>
      <c r="AE26" s="119"/>
      <c r="AF26" s="1389">
        <f>M02S03F09</f>
        <v>0</v>
      </c>
      <c r="AG26" s="1389"/>
      <c r="AH26" s="1389"/>
      <c r="AI26" s="1389"/>
      <c r="AJ26" s="1389"/>
      <c r="AK26" s="1389"/>
      <c r="AL26" s="120"/>
      <c r="AM26" s="48"/>
    </row>
    <row r="27" spans="11:39" ht="15.95" customHeight="1">
      <c r="K27" s="114"/>
      <c r="L27" s="1385"/>
      <c r="M27" s="1385"/>
      <c r="N27" s="1385"/>
      <c r="O27" s="1385"/>
      <c r="P27" s="1385"/>
      <c r="Q27" s="115"/>
      <c r="R27" s="1388" t="str">
        <f>CONCATENATE(M02S04F09,", ",M02S04F10," ",M02S04F11)</f>
        <v xml:space="preserve">, KS </v>
      </c>
      <c r="S27" s="1388"/>
      <c r="T27" s="1388"/>
      <c r="U27" s="1388"/>
      <c r="V27" s="1388"/>
      <c r="W27" s="1388"/>
      <c r="X27" s="117"/>
      <c r="Y27" s="1388" t="str">
        <f>M02S04F16</f>
        <v/>
      </c>
      <c r="Z27" s="1388"/>
      <c r="AA27" s="1388"/>
      <c r="AB27" s="1388"/>
      <c r="AC27" s="1388"/>
      <c r="AD27" s="1388"/>
      <c r="AE27" s="117"/>
      <c r="AF27" s="1388">
        <f>M02S03F10</f>
        <v>0</v>
      </c>
      <c r="AG27" s="1388"/>
      <c r="AH27" s="1388"/>
      <c r="AI27" s="1388"/>
      <c r="AJ27" s="1388"/>
      <c r="AK27" s="1388"/>
      <c r="AL27" s="118"/>
      <c r="AM27" s="48"/>
    </row>
    <row r="28" spans="11:39" ht="15.95" customHeight="1">
      <c r="K28" s="114"/>
      <c r="L28" s="17"/>
      <c r="M28" s="17"/>
      <c r="N28" s="17"/>
      <c r="O28" s="17"/>
      <c r="P28" s="17"/>
      <c r="Q28" s="17"/>
      <c r="R28" s="121"/>
      <c r="S28" s="121"/>
      <c r="T28" s="121"/>
      <c r="U28" s="121"/>
      <c r="V28" s="121"/>
      <c r="W28" s="121"/>
      <c r="X28" s="121"/>
      <c r="Y28" s="121"/>
      <c r="Z28" s="121"/>
      <c r="AA28" s="121"/>
      <c r="AB28" s="121"/>
      <c r="AC28" s="121"/>
      <c r="AD28" s="121"/>
      <c r="AE28" s="121"/>
      <c r="AF28" s="121"/>
      <c r="AG28" s="121"/>
      <c r="AH28" s="121"/>
      <c r="AI28" s="121"/>
      <c r="AJ28" s="121"/>
      <c r="AK28" s="121"/>
      <c r="AL28" s="121"/>
      <c r="AM28" s="48"/>
    </row>
    <row r="29" spans="11:39" ht="15.95" customHeight="1">
      <c r="K29" s="114"/>
      <c r="L29" s="1396" t="s">
        <v>1012</v>
      </c>
      <c r="M29" s="1396"/>
      <c r="N29" s="1396"/>
      <c r="O29" s="1396"/>
      <c r="P29" s="1396"/>
      <c r="Q29" s="122"/>
      <c r="R29" s="1397" t="s">
        <v>76</v>
      </c>
      <c r="S29" s="1397"/>
      <c r="T29" s="1397"/>
      <c r="U29" s="1397"/>
      <c r="V29" s="1397"/>
      <c r="W29" s="1397"/>
      <c r="X29" s="123"/>
      <c r="Y29" s="1398" t="s">
        <v>79</v>
      </c>
      <c r="Z29" s="1398"/>
      <c r="AA29" s="1398"/>
      <c r="AB29" s="1398"/>
      <c r="AC29" s="1398"/>
      <c r="AD29" s="1398"/>
      <c r="AE29" s="123"/>
      <c r="AF29" s="123"/>
      <c r="AG29" s="123"/>
      <c r="AH29" s="123"/>
      <c r="AI29" s="123"/>
      <c r="AJ29" s="123"/>
      <c r="AK29" s="123"/>
      <c r="AL29" s="123"/>
      <c r="AM29" s="48"/>
    </row>
    <row r="30" spans="11:39" ht="15.95" customHeight="1">
      <c r="K30" s="114"/>
      <c r="L30" s="1396"/>
      <c r="M30" s="1396"/>
      <c r="N30" s="1396"/>
      <c r="O30" s="1396"/>
      <c r="P30" s="1396"/>
      <c r="Q30" s="122"/>
      <c r="R30" s="1399">
        <f>M02S02F02</f>
        <v>0</v>
      </c>
      <c r="S30" s="1399"/>
      <c r="T30" s="1399"/>
      <c r="U30" s="1399"/>
      <c r="V30" s="1399"/>
      <c r="W30" s="1399"/>
      <c r="X30" s="124"/>
      <c r="Y30" s="1399" t="str">
        <f>CONCATENATE(M02S02F07," ",M02S02F08)</f>
        <v xml:space="preserve"> </v>
      </c>
      <c r="Z30" s="1399"/>
      <c r="AA30" s="1399"/>
      <c r="AB30" s="1399"/>
      <c r="AC30" s="1399"/>
      <c r="AD30" s="1399"/>
      <c r="AE30" s="125"/>
      <c r="AF30" s="125"/>
      <c r="AG30" s="124"/>
      <c r="AH30" s="124"/>
      <c r="AI30" s="124"/>
      <c r="AJ30" s="124"/>
      <c r="AK30" s="124"/>
      <c r="AL30" s="126"/>
      <c r="AM30" s="48"/>
    </row>
    <row r="31" spans="11:39" ht="15.95" customHeight="1">
      <c r="K31" s="114"/>
      <c r="L31" s="1396"/>
      <c r="M31" s="1396"/>
      <c r="N31" s="1396"/>
      <c r="O31" s="1396"/>
      <c r="P31" s="1396"/>
      <c r="Q31" s="122"/>
      <c r="R31" s="1399">
        <f>M02S02F03</f>
        <v>0</v>
      </c>
      <c r="S31" s="1399"/>
      <c r="T31" s="1399"/>
      <c r="U31" s="1399"/>
      <c r="V31" s="1399"/>
      <c r="W31" s="1399"/>
      <c r="X31" s="124"/>
      <c r="Y31" s="1400">
        <f>M02S02F10</f>
        <v>0</v>
      </c>
      <c r="Z31" s="1400"/>
      <c r="AA31" s="1400"/>
      <c r="AB31" s="1400"/>
      <c r="AC31" s="1400"/>
      <c r="AD31" s="1400"/>
      <c r="AE31" s="125"/>
      <c r="AF31" s="125"/>
      <c r="AG31" s="127"/>
      <c r="AH31" s="127"/>
      <c r="AI31" s="127"/>
      <c r="AJ31" s="127"/>
      <c r="AK31" s="127"/>
      <c r="AL31" s="128"/>
      <c r="AM31" s="48"/>
    </row>
    <row r="32" spans="11:39" ht="15.95" customHeight="1">
      <c r="K32" s="114"/>
      <c r="L32" s="1396"/>
      <c r="M32" s="1396"/>
      <c r="N32" s="1396"/>
      <c r="O32" s="1396"/>
      <c r="P32" s="1396"/>
      <c r="Q32" s="122"/>
      <c r="R32" s="1399" t="str">
        <f>CONCATENATE(M02S02F04,", ",M02S02F05," ",M02S02F06)</f>
        <v xml:space="preserve">,  </v>
      </c>
      <c r="S32" s="1399"/>
      <c r="T32" s="1399"/>
      <c r="U32" s="1399"/>
      <c r="V32" s="1399"/>
      <c r="W32" s="1399"/>
      <c r="X32" s="124"/>
      <c r="Y32" s="1399">
        <f>M02S02F11</f>
        <v>0</v>
      </c>
      <c r="Z32" s="1399"/>
      <c r="AA32" s="1399"/>
      <c r="AB32" s="1399"/>
      <c r="AC32" s="1399"/>
      <c r="AD32" s="1399"/>
      <c r="AE32" s="125"/>
      <c r="AF32" s="125"/>
      <c r="AG32" s="124"/>
      <c r="AH32" s="124"/>
      <c r="AI32" s="124"/>
      <c r="AJ32" s="124"/>
      <c r="AK32" s="124"/>
      <c r="AL32" s="129"/>
      <c r="AM32" s="48"/>
    </row>
    <row r="33" spans="11:39" ht="15.95" customHeight="1">
      <c r="K33" s="114"/>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48"/>
    </row>
    <row r="34" spans="11:39" ht="15.95" customHeight="1">
      <c r="K34" s="114"/>
      <c r="L34" s="1396" t="s">
        <v>1230</v>
      </c>
      <c r="M34" s="1396"/>
      <c r="N34" s="1396"/>
      <c r="O34" s="1396"/>
      <c r="P34" s="1396"/>
      <c r="Q34" s="122"/>
      <c r="R34" s="1429" t="s">
        <v>1702</v>
      </c>
      <c r="S34" s="1429"/>
      <c r="T34" s="1429"/>
      <c r="U34" s="1429"/>
      <c r="V34" s="1393" t="s">
        <v>735</v>
      </c>
      <c r="W34" s="1393"/>
      <c r="X34" s="1393"/>
      <c r="Y34" s="1393"/>
      <c r="Z34" s="1393"/>
      <c r="AA34" s="1393" t="s">
        <v>1023</v>
      </c>
      <c r="AB34" s="1393"/>
      <c r="AC34" s="1393"/>
      <c r="AD34" s="1393"/>
      <c r="AE34" s="1393"/>
      <c r="AF34" s="1393" t="s">
        <v>1235</v>
      </c>
      <c r="AG34" s="1393"/>
      <c r="AH34" s="1393"/>
      <c r="AI34" s="1393"/>
      <c r="AJ34" s="1393"/>
      <c r="AK34" s="130"/>
      <c r="AL34" s="130"/>
      <c r="AM34" s="48"/>
    </row>
    <row r="35" spans="11:39" ht="15.95" customHeight="1">
      <c r="K35" s="114"/>
      <c r="L35" s="1396"/>
      <c r="M35" s="1396"/>
      <c r="N35" s="1396"/>
      <c r="O35" s="1396"/>
      <c r="P35" s="1396"/>
      <c r="Q35" s="122"/>
      <c r="R35" s="1404" t="s">
        <v>938</v>
      </c>
      <c r="S35" s="1405"/>
      <c r="T35" s="1405"/>
      <c r="U35" s="1405"/>
      <c r="V35" s="1401">
        <f ca="1">KWHTOTALPRESE</f>
        <v>0</v>
      </c>
      <c r="W35" s="1401"/>
      <c r="X35" s="1401"/>
      <c r="Y35" s="1401"/>
      <c r="Z35" s="1401"/>
      <c r="AA35" s="1394">
        <f ca="1">COSTTOTALPRESE</f>
        <v>0</v>
      </c>
      <c r="AB35" s="1394"/>
      <c r="AC35" s="1394"/>
      <c r="AD35" s="1394"/>
      <c r="AE35" s="1394"/>
      <c r="AF35" s="1394">
        <f>INCENTOTALPRESE</f>
        <v>0</v>
      </c>
      <c r="AG35" s="1394"/>
      <c r="AH35" s="1394"/>
      <c r="AI35" s="1394"/>
      <c r="AJ35" s="1395"/>
      <c r="AK35" s="126"/>
      <c r="AL35" s="126"/>
      <c r="AM35" s="48"/>
    </row>
    <row r="36" spans="11:39" ht="15.95" customHeight="1">
      <c r="K36" s="114"/>
      <c r="L36" s="1396"/>
      <c r="M36" s="1396"/>
      <c r="N36" s="1396"/>
      <c r="O36" s="1396"/>
      <c r="P36" s="1396"/>
      <c r="Q36" s="122"/>
      <c r="R36" s="1404" t="s">
        <v>135</v>
      </c>
      <c r="S36" s="1405"/>
      <c r="T36" s="1405"/>
      <c r="U36" s="1405"/>
      <c r="V36" s="1425">
        <f ca="1">KWHTOTALCUSE</f>
        <v>0</v>
      </c>
      <c r="W36" s="1425"/>
      <c r="X36" s="1425"/>
      <c r="Y36" s="1425"/>
      <c r="Z36" s="1425"/>
      <c r="AA36" s="1402">
        <f ca="1">COSTTOTALCUSE</f>
        <v>0</v>
      </c>
      <c r="AB36" s="1402"/>
      <c r="AC36" s="1402"/>
      <c r="AD36" s="1402"/>
      <c r="AE36" s="1402"/>
      <c r="AF36" s="1402">
        <f>INCENTOTALCUSE</f>
        <v>0</v>
      </c>
      <c r="AG36" s="1402"/>
      <c r="AH36" s="1402"/>
      <c r="AI36" s="1402"/>
      <c r="AJ36" s="1427"/>
      <c r="AK36" s="126"/>
      <c r="AL36" s="126"/>
      <c r="AM36" s="48"/>
    </row>
    <row r="37" spans="11:39" ht="15.95" customHeight="1">
      <c r="K37" s="114"/>
      <c r="L37" s="1396"/>
      <c r="M37" s="1396"/>
      <c r="N37" s="1396"/>
      <c r="O37" s="1396"/>
      <c r="P37" s="1396"/>
      <c r="Q37" s="122"/>
      <c r="R37" s="1406" t="s">
        <v>84</v>
      </c>
      <c r="S37" s="1407"/>
      <c r="T37" s="1407"/>
      <c r="U37" s="1407"/>
      <c r="V37" s="1426">
        <f ca="1">KWHTOTAL</f>
        <v>0</v>
      </c>
      <c r="W37" s="1426"/>
      <c r="X37" s="1426"/>
      <c r="Y37" s="1426"/>
      <c r="Z37" s="1426"/>
      <c r="AA37" s="1403">
        <f ca="1">COSTTOTAL</f>
        <v>0</v>
      </c>
      <c r="AB37" s="1403"/>
      <c r="AC37" s="1403"/>
      <c r="AD37" s="1403"/>
      <c r="AE37" s="1403"/>
      <c r="AF37" s="1403">
        <f>INCENTOTAL</f>
        <v>0</v>
      </c>
      <c r="AG37" s="1403"/>
      <c r="AH37" s="1403"/>
      <c r="AI37" s="1403"/>
      <c r="AJ37" s="1428"/>
      <c r="AK37" s="131"/>
      <c r="AL37" s="131"/>
      <c r="AM37" s="48"/>
    </row>
    <row r="38" spans="11:39" ht="15.95" customHeight="1">
      <c r="K38" s="114"/>
      <c r="AM38" s="48"/>
    </row>
    <row r="39" spans="11:39" ht="15.95" customHeight="1">
      <c r="K39" s="114"/>
      <c r="L39" s="1396" t="s">
        <v>1291</v>
      </c>
      <c r="M39" s="1396"/>
      <c r="N39" s="1396"/>
      <c r="O39" s="1396"/>
      <c r="P39" s="1396"/>
      <c r="Q39" s="132"/>
      <c r="R39" s="132"/>
      <c r="S39" s="132"/>
      <c r="T39" s="132"/>
      <c r="U39" s="132"/>
      <c r="V39" s="132"/>
      <c r="W39" s="132"/>
      <c r="X39" s="132"/>
      <c r="Y39" s="132"/>
      <c r="Z39" s="132"/>
      <c r="AA39" s="132"/>
      <c r="AB39" s="132"/>
      <c r="AC39" s="132"/>
      <c r="AD39" s="132"/>
      <c r="AE39" s="132"/>
      <c r="AF39" s="132"/>
      <c r="AG39" s="132"/>
      <c r="AH39" s="132"/>
      <c r="AI39" s="132"/>
      <c r="AJ39" s="133"/>
      <c r="AK39" s="133"/>
      <c r="AL39" s="133"/>
      <c r="AM39" s="48"/>
    </row>
    <row r="40" spans="11:39" ht="15.95" customHeight="1">
      <c r="K40" s="114"/>
      <c r="L40" s="1396"/>
      <c r="M40" s="1396"/>
      <c r="N40" s="1396"/>
      <c r="O40" s="1396"/>
      <c r="P40" s="1396"/>
      <c r="Q40" s="132"/>
      <c r="R40" s="132"/>
      <c r="S40" s="132"/>
      <c r="T40" s="132"/>
      <c r="U40" s="132"/>
      <c r="V40" s="132"/>
      <c r="W40" s="132"/>
      <c r="X40" s="132"/>
      <c r="Y40" s="132"/>
      <c r="Z40" s="132"/>
      <c r="AA40" s="132"/>
      <c r="AB40" s="132"/>
      <c r="AC40" s="132"/>
      <c r="AD40" s="132"/>
      <c r="AE40" s="132"/>
      <c r="AF40" s="132"/>
      <c r="AG40" s="132"/>
      <c r="AH40" s="132"/>
      <c r="AI40" s="132"/>
      <c r="AJ40" s="133"/>
      <c r="AK40" s="133"/>
      <c r="AL40" s="133"/>
      <c r="AM40" s="48"/>
    </row>
    <row r="41" spans="11:39" ht="15.95" customHeight="1">
      <c r="K41" s="114"/>
      <c r="L41" s="1396"/>
      <c r="M41" s="1396"/>
      <c r="N41" s="1396"/>
      <c r="O41" s="1396"/>
      <c r="P41" s="1396"/>
      <c r="Q41" s="125" t="s">
        <v>1013</v>
      </c>
      <c r="R41" s="124"/>
      <c r="S41" s="124"/>
      <c r="T41" s="124"/>
      <c r="U41" s="124"/>
      <c r="V41" s="124"/>
      <c r="W41" s="124"/>
      <c r="X41" s="124"/>
      <c r="Y41" s="124"/>
      <c r="Z41" s="125" t="s">
        <v>1014</v>
      </c>
      <c r="AA41" s="125"/>
      <c r="AB41" s="124"/>
      <c r="AC41" s="124"/>
      <c r="AD41" s="124"/>
      <c r="AE41" s="124"/>
      <c r="AF41" s="124"/>
      <c r="AG41" s="124"/>
      <c r="AH41" s="132"/>
      <c r="AI41" s="125" t="s">
        <v>1015</v>
      </c>
      <c r="AJ41" s="124"/>
      <c r="AK41" s="124"/>
      <c r="AL41" s="124"/>
      <c r="AM41" s="48"/>
    </row>
    <row r="42" spans="11:39" ht="15.95" customHeight="1">
      <c r="K42" s="114"/>
      <c r="L42" s="1396"/>
      <c r="M42" s="1396"/>
      <c r="N42" s="1396"/>
      <c r="O42" s="1396"/>
      <c r="P42" s="1396"/>
      <c r="Q42" s="1418"/>
      <c r="R42" s="1418"/>
      <c r="S42" s="1418"/>
      <c r="T42" s="1418"/>
      <c r="U42" s="1418"/>
      <c r="V42" s="1418"/>
      <c r="W42" s="1418"/>
      <c r="X42" s="1418"/>
      <c r="Y42" s="315"/>
      <c r="Z42" s="1422" t="str">
        <f>IF(Q42="","",Q42)</f>
        <v/>
      </c>
      <c r="AA42" s="1422"/>
      <c r="AB42" s="1422"/>
      <c r="AC42" s="1422"/>
      <c r="AD42" s="1422"/>
      <c r="AE42" s="1422"/>
      <c r="AF42" s="1422"/>
      <c r="AG42" s="1422"/>
      <c r="AH42" s="316"/>
      <c r="AI42" s="1423"/>
      <c r="AJ42" s="1423"/>
      <c r="AK42" s="1423"/>
      <c r="AL42" s="134"/>
      <c r="AM42" s="48"/>
    </row>
    <row r="43" spans="11:39" ht="15.95" customHeight="1">
      <c r="K43" s="114"/>
      <c r="L43" s="1396"/>
      <c r="M43" s="1396"/>
      <c r="N43" s="1396"/>
      <c r="O43" s="1396"/>
      <c r="P43" s="1396"/>
      <c r="Q43" s="1424" t="str">
        <f ca="1">IF(CELL("protect",Q42)=1,"eSignature Signed","")</f>
        <v>eSignature Signed</v>
      </c>
      <c r="R43" s="1424"/>
      <c r="S43" s="1424"/>
      <c r="T43" s="1424"/>
      <c r="U43" s="1424"/>
      <c r="V43" s="132"/>
      <c r="W43" s="132"/>
      <c r="X43" s="132"/>
      <c r="Y43" s="132"/>
      <c r="Z43" s="132"/>
      <c r="AA43" s="132"/>
      <c r="AB43" s="132"/>
      <c r="AC43" s="132"/>
      <c r="AD43" s="132"/>
      <c r="AE43" s="132"/>
      <c r="AF43" s="132"/>
      <c r="AG43" s="132"/>
      <c r="AH43" s="132"/>
      <c r="AI43" s="132"/>
      <c r="AJ43" s="132"/>
      <c r="AK43" s="132"/>
      <c r="AL43" s="132"/>
      <c r="AM43" s="48"/>
    </row>
    <row r="44" spans="11:39" ht="15.95" customHeight="1">
      <c r="K44" s="114"/>
      <c r="AM44" s="48"/>
    </row>
    <row r="45" spans="11:39" ht="15.95" customHeight="1">
      <c r="K45" s="114"/>
      <c r="L45" s="135"/>
      <c r="M45" s="1410" t="s">
        <v>1016</v>
      </c>
      <c r="N45" s="1410"/>
      <c r="O45" s="1410"/>
      <c r="P45" s="1410"/>
      <c r="Q45" s="1410"/>
      <c r="R45" s="1410"/>
      <c r="S45" s="1410"/>
      <c r="T45" s="1410"/>
      <c r="U45" s="1410"/>
      <c r="V45" s="1410"/>
      <c r="W45" s="1410"/>
      <c r="X45" s="136"/>
      <c r="Z45" s="135"/>
      <c r="AA45" s="1410" t="s">
        <v>1017</v>
      </c>
      <c r="AB45" s="1410"/>
      <c r="AC45" s="1410"/>
      <c r="AD45" s="1410"/>
      <c r="AE45" s="1410"/>
      <c r="AF45" s="1410"/>
      <c r="AG45" s="1410"/>
      <c r="AH45" s="1410"/>
      <c r="AI45" s="1410"/>
      <c r="AJ45" s="1410"/>
      <c r="AK45" s="1410"/>
      <c r="AL45" s="136"/>
      <c r="AM45" s="48"/>
    </row>
    <row r="46" spans="11:39" ht="15.95" customHeight="1">
      <c r="K46" s="114"/>
      <c r="L46" s="137"/>
      <c r="M46" s="1410"/>
      <c r="N46" s="1410"/>
      <c r="O46" s="1410"/>
      <c r="P46" s="1410"/>
      <c r="Q46" s="1410"/>
      <c r="R46" s="1410"/>
      <c r="S46" s="1410"/>
      <c r="T46" s="1410"/>
      <c r="U46" s="1410"/>
      <c r="V46" s="1410"/>
      <c r="W46" s="1410"/>
      <c r="X46" s="137"/>
      <c r="Z46" s="137"/>
      <c r="AA46" s="1410"/>
      <c r="AB46" s="1410"/>
      <c r="AC46" s="1410"/>
      <c r="AD46" s="1410"/>
      <c r="AE46" s="1410"/>
      <c r="AF46" s="1410"/>
      <c r="AG46" s="1410"/>
      <c r="AH46" s="1410"/>
      <c r="AI46" s="1410"/>
      <c r="AJ46" s="1410"/>
      <c r="AK46" s="1410"/>
      <c r="AL46" s="137"/>
      <c r="AM46" s="48"/>
    </row>
    <row r="47" spans="11:39" ht="15.95" customHeight="1">
      <c r="K47" s="114"/>
      <c r="L47" s="1411" t="s">
        <v>1018</v>
      </c>
      <c r="M47" s="1411"/>
      <c r="N47" s="1411"/>
      <c r="O47" s="1411"/>
      <c r="P47" s="1411"/>
      <c r="Q47" s="1411"/>
      <c r="R47" s="1411"/>
      <c r="S47" s="1411"/>
      <c r="T47" s="1411"/>
      <c r="U47" s="1411"/>
      <c r="V47" s="1411"/>
      <c r="W47" s="1411"/>
      <c r="X47" s="1411"/>
      <c r="Z47" s="1411" t="s">
        <v>1019</v>
      </c>
      <c r="AA47" s="1411"/>
      <c r="AB47" s="1411"/>
      <c r="AC47" s="1411"/>
      <c r="AD47" s="1411"/>
      <c r="AE47" s="1411"/>
      <c r="AF47" s="1411"/>
      <c r="AG47" s="1411"/>
      <c r="AH47" s="1411"/>
      <c r="AI47" s="1411"/>
      <c r="AJ47" s="1411"/>
      <c r="AK47" s="1411"/>
      <c r="AL47" s="1411"/>
      <c r="AM47" s="48"/>
    </row>
    <row r="48" spans="11:39" ht="15.95" customHeight="1">
      <c r="K48" s="114"/>
      <c r="L48" s="1411"/>
      <c r="M48" s="1411"/>
      <c r="N48" s="1411"/>
      <c r="O48" s="1411"/>
      <c r="P48" s="1411"/>
      <c r="Q48" s="1411"/>
      <c r="R48" s="1411"/>
      <c r="S48" s="1411"/>
      <c r="T48" s="1411"/>
      <c r="U48" s="1411"/>
      <c r="V48" s="1411"/>
      <c r="W48" s="1411"/>
      <c r="X48" s="1411"/>
      <c r="Z48" s="1411"/>
      <c r="AA48" s="1411"/>
      <c r="AB48" s="1411"/>
      <c r="AC48" s="1411"/>
      <c r="AD48" s="1411"/>
      <c r="AE48" s="1411"/>
      <c r="AF48" s="1411"/>
      <c r="AG48" s="1411"/>
      <c r="AH48" s="1411"/>
      <c r="AI48" s="1411"/>
      <c r="AJ48" s="1411"/>
      <c r="AK48" s="1411"/>
      <c r="AL48" s="1411"/>
      <c r="AM48" s="48"/>
    </row>
    <row r="49" spans="11:48" ht="15.95" customHeight="1">
      <c r="K49" s="114"/>
      <c r="L49" s="1411"/>
      <c r="M49" s="1411"/>
      <c r="N49" s="1411"/>
      <c r="O49" s="1411"/>
      <c r="P49" s="1411"/>
      <c r="Q49" s="1411"/>
      <c r="R49" s="1411"/>
      <c r="S49" s="1411"/>
      <c r="T49" s="1411"/>
      <c r="U49" s="1411"/>
      <c r="V49" s="1411"/>
      <c r="W49" s="1411"/>
      <c r="X49" s="1411"/>
      <c r="Z49" s="1411"/>
      <c r="AA49" s="1411"/>
      <c r="AB49" s="1411"/>
      <c r="AC49" s="1411"/>
      <c r="AD49" s="1411"/>
      <c r="AE49" s="1411"/>
      <c r="AF49" s="1411"/>
      <c r="AG49" s="1411"/>
      <c r="AH49" s="1411"/>
      <c r="AI49" s="1411"/>
      <c r="AJ49" s="1411"/>
      <c r="AK49" s="1411"/>
      <c r="AL49" s="1411"/>
      <c r="AM49" s="48"/>
    </row>
    <row r="50" spans="11:48" ht="15.95" customHeight="1">
      <c r="K50" s="114"/>
      <c r="L50" s="1411"/>
      <c r="M50" s="1411"/>
      <c r="N50" s="1411"/>
      <c r="O50" s="1411"/>
      <c r="P50" s="1411"/>
      <c r="Q50" s="1411"/>
      <c r="R50" s="1411"/>
      <c r="S50" s="1411"/>
      <c r="T50" s="1411"/>
      <c r="U50" s="1411"/>
      <c r="V50" s="1411"/>
      <c r="W50" s="1411"/>
      <c r="X50" s="1411"/>
      <c r="Z50" s="135"/>
      <c r="AA50" s="135"/>
      <c r="AB50" s="135"/>
      <c r="AC50" s="135"/>
      <c r="AD50" s="135"/>
      <c r="AE50" s="135"/>
      <c r="AF50" s="135"/>
      <c r="AG50" s="135"/>
      <c r="AH50" s="135"/>
      <c r="AI50" s="135"/>
      <c r="AJ50" s="135"/>
      <c r="AK50" s="135"/>
      <c r="AL50" s="135"/>
      <c r="AM50" s="48"/>
    </row>
    <row r="51" spans="11:48" ht="15.95" customHeight="1">
      <c r="K51" s="114"/>
      <c r="L51" s="135"/>
      <c r="M51" s="1412" t="s">
        <v>1085</v>
      </c>
      <c r="N51" s="1412"/>
      <c r="O51" s="1412"/>
      <c r="P51" s="1412"/>
      <c r="Q51" s="1412"/>
      <c r="R51" s="135"/>
      <c r="S51" s="1412" t="s">
        <v>1086</v>
      </c>
      <c r="T51" s="1412"/>
      <c r="U51" s="1412"/>
      <c r="V51" s="1412"/>
      <c r="W51" s="1412"/>
      <c r="X51" s="135"/>
      <c r="Z51" s="135"/>
      <c r="AA51" s="1414" t="s">
        <v>1020</v>
      </c>
      <c r="AB51" s="1414"/>
      <c r="AC51" s="1414"/>
      <c r="AD51" s="1414"/>
      <c r="AE51" s="1414"/>
      <c r="AF51" s="1414"/>
      <c r="AG51" s="1414"/>
      <c r="AH51" s="135"/>
      <c r="AI51" s="1412" t="s">
        <v>1015</v>
      </c>
      <c r="AJ51" s="1412"/>
      <c r="AK51" s="1412"/>
      <c r="AL51" s="135"/>
      <c r="AM51" s="48"/>
    </row>
    <row r="52" spans="11:48" ht="15.95" customHeight="1">
      <c r="K52" s="114"/>
      <c r="L52" s="135"/>
      <c r="M52" s="1413"/>
      <c r="N52" s="1413"/>
      <c r="O52" s="1413"/>
      <c r="P52" s="1413"/>
      <c r="Q52" s="1413"/>
      <c r="R52" s="135"/>
      <c r="S52" s="1413"/>
      <c r="T52" s="1413"/>
      <c r="U52" s="1413"/>
      <c r="V52" s="1413"/>
      <c r="W52" s="1413"/>
      <c r="X52" s="135"/>
      <c r="Z52" s="135"/>
      <c r="AA52" s="1415"/>
      <c r="AB52" s="1415"/>
      <c r="AC52" s="1415"/>
      <c r="AD52" s="1415"/>
      <c r="AE52" s="1415"/>
      <c r="AF52" s="1415"/>
      <c r="AG52" s="1415"/>
      <c r="AH52" s="135"/>
      <c r="AI52" s="1413"/>
      <c r="AJ52" s="1413"/>
      <c r="AK52" s="1413"/>
      <c r="AL52" s="135"/>
      <c r="AM52" s="48"/>
    </row>
    <row r="53" spans="11:48" ht="15.95" customHeight="1">
      <c r="K53" s="114"/>
      <c r="L53" s="135"/>
      <c r="M53" s="135"/>
      <c r="N53" s="135"/>
      <c r="O53" s="135"/>
      <c r="P53" s="135"/>
      <c r="Q53" s="135"/>
      <c r="R53" s="135"/>
      <c r="S53" s="135"/>
      <c r="T53" s="135"/>
      <c r="U53" s="135"/>
      <c r="V53" s="135"/>
      <c r="W53" s="135"/>
      <c r="X53" s="135"/>
      <c r="Z53" s="135"/>
      <c r="AA53" s="135"/>
      <c r="AB53" s="135"/>
      <c r="AC53" s="135"/>
      <c r="AD53" s="135"/>
      <c r="AE53" s="135"/>
      <c r="AF53" s="135"/>
      <c r="AG53" s="135"/>
      <c r="AH53" s="135"/>
      <c r="AI53" s="135"/>
      <c r="AJ53" s="135"/>
      <c r="AK53" s="135"/>
      <c r="AL53" s="135"/>
      <c r="AM53" s="48"/>
    </row>
    <row r="54" spans="11:48" ht="15.95" customHeight="1">
      <c r="K54" s="114"/>
      <c r="L54" s="135"/>
      <c r="M54" s="135"/>
      <c r="N54" s="135"/>
      <c r="O54" s="135"/>
      <c r="P54" s="135"/>
      <c r="Q54" s="135"/>
      <c r="R54" s="135"/>
      <c r="S54" s="135"/>
      <c r="T54" s="135"/>
      <c r="U54" s="135"/>
      <c r="V54" s="135"/>
      <c r="W54" s="135"/>
      <c r="X54" s="135"/>
      <c r="Z54" s="135"/>
      <c r="AA54" s="135"/>
      <c r="AB54" s="135"/>
      <c r="AC54" s="135"/>
      <c r="AD54" s="135"/>
      <c r="AE54" s="135"/>
      <c r="AF54" s="135"/>
      <c r="AG54" s="135"/>
      <c r="AH54" s="135"/>
      <c r="AI54" s="135"/>
      <c r="AJ54" s="135"/>
      <c r="AK54" s="135"/>
      <c r="AL54" s="135"/>
      <c r="AM54" s="48"/>
    </row>
    <row r="55" spans="11:48" ht="15.95" customHeight="1">
      <c r="K55" s="114"/>
      <c r="AM55" s="48"/>
    </row>
    <row r="56" spans="11:48" ht="15.95" customHeight="1">
      <c r="K56" s="114"/>
      <c r="L56" s="1408" t="s">
        <v>1021</v>
      </c>
      <c r="M56" s="1396" t="s">
        <v>1022</v>
      </c>
      <c r="N56" s="1396"/>
      <c r="O56" s="1396"/>
      <c r="P56" s="1396"/>
      <c r="Q56" s="225"/>
      <c r="R56" s="225"/>
      <c r="S56" s="225"/>
      <c r="T56" s="225"/>
      <c r="U56" s="225"/>
      <c r="V56" s="225"/>
      <c r="W56" s="225"/>
      <c r="X56" s="225"/>
      <c r="Y56" s="225"/>
      <c r="Z56" s="225"/>
      <c r="AA56" s="225"/>
      <c r="AB56" s="225"/>
      <c r="AC56" s="225"/>
      <c r="AD56" s="225"/>
      <c r="AE56" s="138"/>
      <c r="AF56" s="138"/>
      <c r="AG56" s="138"/>
      <c r="AH56" s="138"/>
      <c r="AI56" s="138"/>
      <c r="AJ56" s="138"/>
      <c r="AK56" s="138"/>
      <c r="AL56" s="138"/>
      <c r="AM56" s="48"/>
    </row>
    <row r="57" spans="11:48" ht="15.95" customHeight="1">
      <c r="K57" s="114"/>
      <c r="L57" s="1408"/>
      <c r="M57" s="1396"/>
      <c r="N57" s="1396"/>
      <c r="O57" s="1396"/>
      <c r="P57" s="1396"/>
      <c r="Q57" s="225"/>
      <c r="R57" s="1420" t="s">
        <v>1315</v>
      </c>
      <c r="S57" s="1420"/>
      <c r="T57" s="1420"/>
      <c r="U57" s="1420"/>
      <c r="V57" s="1420"/>
      <c r="W57" s="1420"/>
      <c r="X57" s="1420"/>
      <c r="Y57" s="1420"/>
      <c r="Z57" s="1420"/>
      <c r="AA57" s="1420"/>
      <c r="AB57" s="1420"/>
      <c r="AC57" s="1420"/>
      <c r="AD57" s="225"/>
      <c r="AE57" s="1421" t="s">
        <v>1283</v>
      </c>
      <c r="AF57" s="1421"/>
      <c r="AG57" s="1421"/>
      <c r="AH57" s="1421"/>
      <c r="AI57" s="1421"/>
      <c r="AJ57" s="1421"/>
      <c r="AK57" s="118"/>
      <c r="AL57" s="138"/>
      <c r="AM57" s="48"/>
    </row>
    <row r="58" spans="11:48" ht="15.95" customHeight="1">
      <c r="K58" s="114"/>
      <c r="L58" s="1408"/>
      <c r="M58" s="1396"/>
      <c r="N58" s="1396"/>
      <c r="O58" s="1396"/>
      <c r="P58" s="1396"/>
      <c r="Q58" s="225"/>
      <c r="R58" s="1420"/>
      <c r="S58" s="1420"/>
      <c r="T58" s="1420"/>
      <c r="U58" s="1420"/>
      <c r="V58" s="1420"/>
      <c r="W58" s="1420"/>
      <c r="X58" s="1420"/>
      <c r="Y58" s="1420"/>
      <c r="Z58" s="1420"/>
      <c r="AA58" s="1420"/>
      <c r="AB58" s="1420"/>
      <c r="AC58" s="1420"/>
      <c r="AD58" s="225"/>
      <c r="AE58" s="1421"/>
      <c r="AF58" s="1421"/>
      <c r="AG58" s="1421"/>
      <c r="AH58" s="1421"/>
      <c r="AI58" s="1421"/>
      <c r="AJ58" s="1421"/>
      <c r="AK58" s="118"/>
      <c r="AL58" s="135"/>
      <c r="AM58" s="48"/>
    </row>
    <row r="59" spans="11:48" ht="15.95" customHeight="1">
      <c r="K59" s="114"/>
      <c r="L59" s="1408"/>
      <c r="M59" s="1396"/>
      <c r="N59" s="1396"/>
      <c r="O59" s="1396"/>
      <c r="P59" s="1396"/>
      <c r="Q59" s="225"/>
      <c r="R59" s="1420"/>
      <c r="S59" s="1420"/>
      <c r="T59" s="1420"/>
      <c r="U59" s="1420"/>
      <c r="V59" s="1420"/>
      <c r="W59" s="1420"/>
      <c r="X59" s="1420"/>
      <c r="Y59" s="1420"/>
      <c r="Z59" s="1420"/>
      <c r="AA59" s="1420"/>
      <c r="AB59" s="1420"/>
      <c r="AC59" s="1420"/>
      <c r="AD59" s="225"/>
      <c r="AE59" s="1421"/>
      <c r="AF59" s="1421"/>
      <c r="AG59" s="1421"/>
      <c r="AH59" s="1421"/>
      <c r="AI59" s="1421"/>
      <c r="AJ59" s="1421"/>
      <c r="AK59" s="118"/>
      <c r="AL59" s="135"/>
      <c r="AM59" s="48"/>
      <c r="AO59" s="224"/>
      <c r="AP59" s="224"/>
      <c r="AQ59" s="224"/>
      <c r="AR59" s="224"/>
      <c r="AS59" s="224"/>
      <c r="AT59" s="224"/>
      <c r="AU59" s="224"/>
      <c r="AV59" s="224"/>
    </row>
    <row r="60" spans="11:48" ht="15.95" customHeight="1">
      <c r="K60" s="114"/>
      <c r="L60" s="1408"/>
      <c r="M60" s="1396"/>
      <c r="N60" s="1396"/>
      <c r="O60" s="1396"/>
      <c r="P60" s="1396"/>
      <c r="Q60" s="1419"/>
      <c r="R60" s="1419"/>
      <c r="S60" s="1419"/>
      <c r="T60" s="1419"/>
      <c r="U60" s="1419"/>
      <c r="V60" s="1419"/>
      <c r="W60" s="1419"/>
      <c r="X60" s="1419"/>
      <c r="Y60" s="1419"/>
      <c r="Z60" s="1419"/>
      <c r="AA60" s="1419"/>
      <c r="AB60" s="1419"/>
      <c r="AC60" s="1419"/>
      <c r="AD60" s="1419"/>
      <c r="AE60" s="1419"/>
      <c r="AF60" s="1419"/>
      <c r="AG60" s="1419"/>
      <c r="AH60" s="1419"/>
      <c r="AI60" s="1419"/>
      <c r="AJ60" s="1419"/>
      <c r="AK60" s="1419"/>
      <c r="AL60" s="1419"/>
      <c r="AM60" s="48"/>
      <c r="AO60" s="224"/>
      <c r="AP60" s="224"/>
      <c r="AQ60" s="224"/>
      <c r="AR60" s="224"/>
      <c r="AS60" s="224"/>
      <c r="AT60" s="224"/>
      <c r="AU60" s="224"/>
      <c r="AV60" s="224"/>
    </row>
    <row r="61" spans="11:48" ht="15.95" customHeight="1">
      <c r="K61" s="114"/>
      <c r="L61" s="1416" t="str">
        <f>"Please do not order or purchase anything before returning this signed Offer Form. For questions email or call at " &amp; Hotline &amp; "."</f>
        <v>Please do not order or purchase anything before returning this signed Offer Form. For questions email or call at (844)687-0229.</v>
      </c>
      <c r="M61" s="1416"/>
      <c r="N61" s="1416"/>
      <c r="O61" s="1416"/>
      <c r="P61" s="1416"/>
      <c r="Q61" s="1416"/>
      <c r="R61" s="1416"/>
      <c r="S61" s="1416"/>
      <c r="T61" s="1416"/>
      <c r="U61" s="1416"/>
      <c r="V61" s="1416"/>
      <c r="W61" s="1416"/>
      <c r="X61" s="1416"/>
      <c r="Y61" s="1416"/>
      <c r="Z61" s="1416"/>
      <c r="AA61" s="1416"/>
      <c r="AB61" s="1416"/>
      <c r="AC61" s="1416"/>
      <c r="AD61" s="1416"/>
      <c r="AE61" s="1416"/>
      <c r="AF61" s="1416"/>
      <c r="AG61" s="1416"/>
      <c r="AH61" s="1416"/>
      <c r="AI61" s="1416"/>
      <c r="AJ61" s="1416"/>
      <c r="AK61" s="1416"/>
      <c r="AL61" s="1416"/>
      <c r="AM61" s="48"/>
      <c r="AO61" s="224"/>
      <c r="AP61" s="224"/>
      <c r="AQ61" s="224"/>
      <c r="AR61" s="224"/>
      <c r="AS61" s="224"/>
      <c r="AT61" s="224"/>
      <c r="AU61" s="224"/>
      <c r="AV61" s="224"/>
    </row>
    <row r="62" spans="11:48" ht="15.95" customHeight="1">
      <c r="K62" s="114"/>
      <c r="L62" s="1417" t="s">
        <v>3073</v>
      </c>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c r="AJ62" s="1417"/>
      <c r="AK62" s="1417"/>
      <c r="AL62" s="1417"/>
      <c r="AM62" s="48"/>
      <c r="AO62" s="224"/>
      <c r="AP62" s="224"/>
      <c r="AQ62" s="224"/>
      <c r="AR62" s="224"/>
      <c r="AS62" s="224"/>
      <c r="AT62" s="224"/>
      <c r="AU62" s="224"/>
      <c r="AV62" s="224"/>
    </row>
    <row r="63" spans="11:48" ht="15.95" customHeight="1">
      <c r="K63" s="114"/>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c r="AJ63" s="1417"/>
      <c r="AK63" s="1417"/>
      <c r="AL63" s="1417"/>
      <c r="AM63" s="48"/>
    </row>
    <row r="64" spans="11:48" ht="15.95" customHeight="1">
      <c r="K64" s="114"/>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48"/>
    </row>
    <row r="65" spans="11:49" ht="15.95" customHeight="1">
      <c r="K65" s="114"/>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48"/>
    </row>
    <row r="66" spans="11:49" ht="15.95" customHeight="1">
      <c r="K66" s="114"/>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48"/>
    </row>
    <row r="67" spans="11:49" ht="15.95" customHeight="1">
      <c r="K67" s="114"/>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48"/>
    </row>
    <row r="68" spans="11:49" ht="15.95" customHeight="1">
      <c r="K68" s="114"/>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c r="AJ68" s="1417"/>
      <c r="AK68" s="1417"/>
      <c r="AL68" s="1417"/>
      <c r="AM68" s="48"/>
    </row>
    <row r="69" spans="11:49" ht="15.95" customHeight="1">
      <c r="K69" s="114"/>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48"/>
    </row>
    <row r="70" spans="11:49" ht="15.95" customHeight="1">
      <c r="K70" s="114"/>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48"/>
    </row>
    <row r="71" spans="11:49" ht="15.95" customHeight="1">
      <c r="K71" s="114"/>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c r="AJ71" s="1417"/>
      <c r="AK71" s="1417"/>
      <c r="AL71" s="1417"/>
      <c r="AM71" s="48"/>
    </row>
    <row r="72" spans="11:49" ht="15.95" customHeight="1">
      <c r="K72" s="114"/>
      <c r="L72" s="1409" t="str">
        <f>"Evergy Business Energy Savings Program • " &amp; Hotline &amp; " • evergy.energyefficiency@trccompanies.com"</f>
        <v>Evergy Business Energy Savings Program • (844)687-0229 • evergy.energyefficiency@trccompanies.com</v>
      </c>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c r="AL72" s="1409"/>
      <c r="AM72" s="48"/>
      <c r="AW72" s="224"/>
    </row>
    <row r="73" spans="11:49" ht="15.95" customHeight="1">
      <c r="K73" s="114"/>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09"/>
      <c r="AJ73" s="1409"/>
      <c r="AK73" s="1409"/>
      <c r="AL73" s="1409"/>
      <c r="AM73" s="48"/>
      <c r="AW73" s="224"/>
    </row>
    <row r="74" spans="11:49" ht="15.95" customHeight="1">
      <c r="K74" s="140"/>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2"/>
      <c r="AW74" s="224"/>
    </row>
    <row r="75" spans="11:49" ht="15.95" customHeight="1">
      <c r="AW75" s="224"/>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yny4WToyv4PIA2X3djBC/FLhDaX7HuhigRpSckPUuf0+nJDUU2d9XWlMfb8IOcIuIKSKX8CXKAridfbvSSwweQ==" saltValue="MHXARW/+MrsQaqFdW8mphg==" spinCount="100000" sheet="1" objects="1" scenarios="1" selectLockedCells="1"/>
  <mergeCells count="79">
    <mergeCell ref="AT1:AW3"/>
    <mergeCell ref="L39:P43"/>
    <mergeCell ref="Q42:X42"/>
    <mergeCell ref="Q60:AL60"/>
    <mergeCell ref="R57:AC59"/>
    <mergeCell ref="AE57:AJ59"/>
    <mergeCell ref="Z42:AG42"/>
    <mergeCell ref="AI42:AK42"/>
    <mergeCell ref="Q43:U43"/>
    <mergeCell ref="V36:Z36"/>
    <mergeCell ref="V37:Z37"/>
    <mergeCell ref="AF36:AJ36"/>
    <mergeCell ref="AF37:AJ37"/>
    <mergeCell ref="L34:P37"/>
    <mergeCell ref="R34:U34"/>
    <mergeCell ref="AA34:AE34"/>
    <mergeCell ref="O200:AI201"/>
    <mergeCell ref="L56:L60"/>
    <mergeCell ref="M56:P60"/>
    <mergeCell ref="L72:AL73"/>
    <mergeCell ref="M45:W46"/>
    <mergeCell ref="AA45:AK46"/>
    <mergeCell ref="L47:X50"/>
    <mergeCell ref="Z47:AL49"/>
    <mergeCell ref="M51:Q52"/>
    <mergeCell ref="S51:W52"/>
    <mergeCell ref="AA51:AG52"/>
    <mergeCell ref="L61:AL61"/>
    <mergeCell ref="L62:AL71"/>
    <mergeCell ref="AI51:AK52"/>
    <mergeCell ref="AA36:AE36"/>
    <mergeCell ref="AA37:AE37"/>
    <mergeCell ref="R35:U35"/>
    <mergeCell ref="R36:U36"/>
    <mergeCell ref="R37:U37"/>
    <mergeCell ref="AF34:AJ34"/>
    <mergeCell ref="AF35:AJ35"/>
    <mergeCell ref="V34:Z34"/>
    <mergeCell ref="L29:P32"/>
    <mergeCell ref="R29:W29"/>
    <mergeCell ref="Y29:AD29"/>
    <mergeCell ref="R30:W30"/>
    <mergeCell ref="Y30:AD30"/>
    <mergeCell ref="R31:W31"/>
    <mergeCell ref="Y31:AD31"/>
    <mergeCell ref="R32:W32"/>
    <mergeCell ref="Y32:AD32"/>
    <mergeCell ref="V35:Z35"/>
    <mergeCell ref="AA35:AE35"/>
    <mergeCell ref="A9:AW10"/>
    <mergeCell ref="L18:Y20"/>
    <mergeCell ref="AE18:AL20"/>
    <mergeCell ref="AS5:AW6"/>
    <mergeCell ref="AS7:AW7"/>
    <mergeCell ref="AS8:AW8"/>
    <mergeCell ref="A4:E6"/>
    <mergeCell ref="A7:E8"/>
    <mergeCell ref="H11:AP12"/>
    <mergeCell ref="AP1:AS3"/>
    <mergeCell ref="F1:I3"/>
    <mergeCell ref="J1:M3"/>
    <mergeCell ref="AL1:AO3"/>
    <mergeCell ref="N1:T3"/>
    <mergeCell ref="U1:AK3"/>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s>
  <conditionalFormatting sqref="M51">
    <cfRule type="containsBlanks" dxfId="27" priority="8">
      <formula>LEN(TRIM(M51))=0</formula>
    </cfRule>
    <cfRule type="expression" dxfId="26" priority="9">
      <formula>M51&lt;&gt;"project start date"</formula>
    </cfRule>
  </conditionalFormatting>
  <conditionalFormatting sqref="Q42 AI42">
    <cfRule type="containsBlanks" dxfId="25" priority="17">
      <formula>LEN(TRIM(Q42))=0</formula>
    </cfRule>
  </conditionalFormatting>
  <conditionalFormatting sqref="S51">
    <cfRule type="expression" dxfId="24" priority="6">
      <formula>S51&lt;&gt;"completion paperwork submission date"</formula>
    </cfRule>
    <cfRule type="containsBlanks" dxfId="23" priority="7">
      <formula>LEN(TRIM(S51))=0</formula>
    </cfRule>
  </conditionalFormatting>
  <conditionalFormatting sqref="AA51">
    <cfRule type="containsBlanks" dxfId="22" priority="4">
      <formula>LEN(TRIM(AA51))=0</formula>
    </cfRule>
    <cfRule type="expression" dxfId="21" priority="5">
      <formula>AA51&lt;&gt;"Customer Signature"</formula>
    </cfRule>
  </conditionalFormatting>
  <conditionalFormatting sqref="AI51">
    <cfRule type="containsBlanks" dxfId="20" priority="2">
      <formula>LEN(TRIM(AI51))=0</formula>
    </cfRule>
    <cfRule type="expression" dxfId="19" priority="3">
      <formula>AI51&lt;&gt;"Date"</formula>
    </cfRule>
  </conditionalFormatting>
  <conditionalFormatting sqref="AS8:AW8">
    <cfRule type="expression" dxfId="18" priority="1">
      <formula>IF($AS$8=PROJSTATMEASURE,FALSE,TRUE)</formula>
    </cfRule>
  </conditionalFormatting>
  <hyperlinks>
    <hyperlink ref="B202" r:id="rId1" display="businessrebates@evergy.com" xr:uid="{ABE9C549-C9FC-47CE-AE0D-7D2FF3B03001}"/>
    <hyperlink ref="AE57:AJ59" r:id="rId2" display="✉ Draft Email" xr:uid="{EB4A0270-9671-4D34-9177-4B46BAFDE71A}"/>
    <hyperlink ref="J1:M3" location="'M01-S02'!J1" tooltip="Instructions" display="'M01-S02'!J1" xr:uid="{C3EE085D-86E7-4F8C-B369-8E0A5817EE10}"/>
    <hyperlink ref="AP1:AS3" location="'M05-S05'!AL1" tooltip=" " display="'M05-S05'!AL1" xr:uid="{BE01B82D-BABB-47B4-BABD-E5DBCB2ECDA9}"/>
    <hyperlink ref="AL1:AO3" location="'M05-S04'!AH1" tooltip=" " display="'M05-S04'!AH1" xr:uid="{6B464F97-AAC9-4167-8964-E91C17986A8B}"/>
    <hyperlink ref="AT1:AW3" location="'M01-S03'!AP1" tooltip="Contact" display="'M01-S03'!AP1" xr:uid="{35672C10-40B1-4378-B7E2-3D9EE05AB634}"/>
  </hyperlinks>
  <printOptions horizontalCentered="1"/>
  <pageMargins left="0" right="0" top="0" bottom="0" header="0" footer="0"/>
  <pageSetup scale="79"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'M01-S01'!Q62-TODAY()&gt;=7</xm:f>
            <x14:dxf>
              <font>
                <b val="0"/>
                <i val="0"/>
                <color theme="1"/>
              </font>
            </x14:dxf>
          </x14:cfRule>
          <x14:cfRule type="expression" priority="11" id="{1AB1E336-16BD-4E47-8E59-7283F122EBC7}">
            <xm:f>AND('M01-S01'!Q62-TODAY()&lt;7,'M01-S01'!Q62-TODAY()&gt;2)</xm:f>
            <x14:dxf>
              <font>
                <b/>
                <i val="0"/>
                <color rgb="FFFF0000"/>
              </font>
            </x14:dxf>
          </x14:cfRule>
          <x14:cfRule type="expression" priority="12" id="{EF036CDB-59D6-4855-9AAE-3A8ACFC9B96D}">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tabColor theme="8" tint="0.59999389629810485"/>
    <pageSetUpPr fitToPage="1"/>
  </sheetPr>
  <dimension ref="A1:AW202"/>
  <sheetViews>
    <sheetView showGridLines="0" showRowColHeaders="0" zoomScale="85" zoomScaleNormal="85" workbookViewId="0">
      <selection activeCell="M58" sqref="M58:S58"/>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f>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46">
        <f>INCENTOTAL</f>
        <v>0</v>
      </c>
      <c r="B4" s="646"/>
      <c r="C4" s="646"/>
      <c r="D4" s="646"/>
      <c r="E4" s="646"/>
      <c r="F4" s="377"/>
      <c r="G4" s="377"/>
      <c r="H4" s="377"/>
      <c r="I4" s="377"/>
    </row>
    <row r="5" spans="1:49" ht="15.95" customHeight="1">
      <c r="A5" s="647"/>
      <c r="B5" s="647"/>
      <c r="C5" s="647"/>
      <c r="D5" s="647"/>
      <c r="E5" s="647"/>
      <c r="F5" s="372"/>
      <c r="G5" s="372"/>
      <c r="H5" s="372"/>
      <c r="I5" s="372"/>
      <c r="AS5" s="663">
        <f ca="1">PROGRESSSTATUS</f>
        <v>0</v>
      </c>
      <c r="AT5" s="663"/>
      <c r="AU5" s="663"/>
      <c r="AV5" s="663"/>
      <c r="AW5" s="663"/>
    </row>
    <row r="6" spans="1:49" ht="15.95" customHeight="1">
      <c r="A6" s="647"/>
      <c r="B6" s="647"/>
      <c r="C6" s="647"/>
      <c r="D6" s="647"/>
      <c r="E6" s="647"/>
      <c r="F6" s="372"/>
      <c r="G6" s="372"/>
      <c r="H6" s="372"/>
      <c r="I6" s="372"/>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373"/>
      <c r="G8" s="373"/>
      <c r="H8" s="373"/>
      <c r="I8" s="373"/>
      <c r="AS8" s="661" t="str">
        <f ca="1">PROJSTATUS</f>
        <v>Enter Measures</v>
      </c>
      <c r="AT8" s="661"/>
      <c r="AU8" s="661"/>
      <c r="AV8" s="661"/>
      <c r="AW8" s="661"/>
    </row>
    <row r="9" spans="1:49" ht="15.95" customHeight="1">
      <c r="A9" s="664" t="str">
        <f>M5S5</f>
        <v>Completion Form</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H11" s="1392" t="s">
        <v>1026</v>
      </c>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378"/>
      <c r="AR11" s="378"/>
    </row>
    <row r="12" spans="1:49" ht="15.95" customHeight="1">
      <c r="H12" s="1392"/>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378"/>
      <c r="AR12" s="378"/>
    </row>
    <row r="13" spans="1:49" ht="15.95" customHeight="1">
      <c r="K13" s="111"/>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3"/>
    </row>
    <row r="14" spans="1:49" ht="15.95" customHeight="1">
      <c r="K14" s="28"/>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144"/>
    </row>
    <row r="15" spans="1:49" ht="15.95" customHeight="1">
      <c r="K15" s="28"/>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144"/>
    </row>
    <row r="16" spans="1:49" ht="15.95" customHeight="1">
      <c r="K16" s="28"/>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144"/>
    </row>
    <row r="17" spans="11:45" ht="15.95" customHeight="1">
      <c r="K17" s="28"/>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144"/>
    </row>
    <row r="18" spans="11:45" ht="15.95" customHeight="1">
      <c r="K18" s="28"/>
      <c r="L18" s="1390" t="s">
        <v>78</v>
      </c>
      <c r="M18" s="1390"/>
      <c r="N18" s="1390"/>
      <c r="O18" s="1390"/>
      <c r="P18" s="1390"/>
      <c r="Q18" s="1390"/>
      <c r="R18" s="1390"/>
      <c r="S18" s="1390"/>
      <c r="T18" s="1390"/>
      <c r="U18" s="1390"/>
      <c r="V18" s="1390"/>
      <c r="W18" s="1390"/>
      <c r="X18" s="1390"/>
      <c r="Y18" s="1390"/>
      <c r="Z18" s="221"/>
      <c r="AA18" s="221"/>
      <c r="AB18" s="221"/>
      <c r="AC18" s="221"/>
      <c r="AD18" s="221"/>
      <c r="AE18" s="1391" t="str">
        <f>CONCATENATE("Project # ",PROJID)</f>
        <v xml:space="preserve">Project # </v>
      </c>
      <c r="AF18" s="1391"/>
      <c r="AG18" s="1391"/>
      <c r="AH18" s="1391"/>
      <c r="AI18" s="1391"/>
      <c r="AJ18" s="1391"/>
      <c r="AK18" s="1391"/>
      <c r="AL18" s="1391"/>
      <c r="AM18" s="144"/>
    </row>
    <row r="19" spans="11:45" ht="15.95" customHeight="1">
      <c r="K19" s="28"/>
      <c r="L19" s="1390"/>
      <c r="M19" s="1390"/>
      <c r="N19" s="1390"/>
      <c r="O19" s="1390"/>
      <c r="P19" s="1390"/>
      <c r="Q19" s="1390"/>
      <c r="R19" s="1390"/>
      <c r="S19" s="1390"/>
      <c r="T19" s="1390"/>
      <c r="U19" s="1390"/>
      <c r="V19" s="1390"/>
      <c r="W19" s="1390"/>
      <c r="X19" s="1390"/>
      <c r="Y19" s="1390"/>
      <c r="Z19" s="221"/>
      <c r="AA19" s="221"/>
      <c r="AB19" s="221"/>
      <c r="AC19" s="221"/>
      <c r="AD19" s="221"/>
      <c r="AE19" s="1391"/>
      <c r="AF19" s="1391"/>
      <c r="AG19" s="1391"/>
      <c r="AH19" s="1391"/>
      <c r="AI19" s="1391"/>
      <c r="AJ19" s="1391"/>
      <c r="AK19" s="1391"/>
      <c r="AL19" s="1391"/>
      <c r="AM19" s="144"/>
    </row>
    <row r="20" spans="11:45" ht="15.95" customHeight="1">
      <c r="K20" s="28"/>
      <c r="L20" s="1390"/>
      <c r="M20" s="1390"/>
      <c r="N20" s="1390"/>
      <c r="O20" s="1390"/>
      <c r="P20" s="1390"/>
      <c r="Q20" s="1390"/>
      <c r="R20" s="1390"/>
      <c r="S20" s="1390"/>
      <c r="T20" s="1390"/>
      <c r="U20" s="1390"/>
      <c r="V20" s="1390"/>
      <c r="W20" s="1390"/>
      <c r="X20" s="1390"/>
      <c r="Y20" s="1390"/>
      <c r="Z20" s="221"/>
      <c r="AA20" s="221"/>
      <c r="AB20" s="221"/>
      <c r="AC20" s="221"/>
      <c r="AD20" s="221"/>
      <c r="AE20" s="1391"/>
      <c r="AF20" s="1391"/>
      <c r="AG20" s="1391"/>
      <c r="AH20" s="1391"/>
      <c r="AI20" s="1391"/>
      <c r="AJ20" s="1391"/>
      <c r="AK20" s="1391"/>
      <c r="AL20" s="1391"/>
      <c r="AM20" s="144"/>
    </row>
    <row r="21" spans="11:45" ht="15.95" customHeight="1">
      <c r="K21" s="28"/>
      <c r="L21" s="1383">
        <f>M02S03F01</f>
        <v>0</v>
      </c>
      <c r="M21" s="1383"/>
      <c r="N21" s="1383"/>
      <c r="O21" s="1383"/>
      <c r="P21" s="1383"/>
      <c r="Q21" s="1383"/>
      <c r="R21" s="1383"/>
      <c r="S21" s="1383"/>
      <c r="T21" s="1383"/>
      <c r="U21" s="1383"/>
      <c r="V21" s="1383"/>
      <c r="W21" s="1383"/>
      <c r="X21" s="1383"/>
      <c r="Y21" s="1383"/>
      <c r="Z21" s="1384">
        <f>M02S04F18</f>
        <v>0</v>
      </c>
      <c r="AA21" s="1384"/>
      <c r="AB21" s="1384"/>
      <c r="AC21" s="1384"/>
      <c r="AD21" s="1384"/>
      <c r="AE21" s="1384"/>
      <c r="AF21" s="1384"/>
      <c r="AG21" s="1384"/>
      <c r="AH21" s="1384"/>
      <c r="AI21" s="1384"/>
      <c r="AJ21" s="1384"/>
      <c r="AK21" s="1384"/>
      <c r="AL21" s="1384"/>
      <c r="AM21" s="144"/>
    </row>
    <row r="22" spans="11:45" ht="15.95" customHeight="1">
      <c r="K22" s="28"/>
      <c r="L22" s="1383"/>
      <c r="M22" s="1383"/>
      <c r="N22" s="1383"/>
      <c r="O22" s="1383"/>
      <c r="P22" s="1383"/>
      <c r="Q22" s="1383"/>
      <c r="R22" s="1383"/>
      <c r="S22" s="1383"/>
      <c r="T22" s="1383"/>
      <c r="U22" s="1383"/>
      <c r="V22" s="1383"/>
      <c r="W22" s="1383"/>
      <c r="X22" s="1383"/>
      <c r="Y22" s="1383"/>
      <c r="Z22" s="1384"/>
      <c r="AA22" s="1384"/>
      <c r="AB22" s="1384"/>
      <c r="AC22" s="1384"/>
      <c r="AD22" s="1384"/>
      <c r="AE22" s="1384"/>
      <c r="AF22" s="1384"/>
      <c r="AG22" s="1384"/>
      <c r="AH22" s="1384"/>
      <c r="AI22" s="1384"/>
      <c r="AJ22" s="1384"/>
      <c r="AK22" s="1384"/>
      <c r="AL22" s="1384"/>
      <c r="AM22" s="144"/>
      <c r="AS22" t="s">
        <v>693</v>
      </c>
    </row>
    <row r="23" spans="11:45" ht="15.95" customHeight="1">
      <c r="K23" s="28"/>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44"/>
    </row>
    <row r="24" spans="11:45" ht="15.95" customHeight="1">
      <c r="K24" s="28"/>
      <c r="L24" s="1385" t="s">
        <v>1009</v>
      </c>
      <c r="M24" s="1385"/>
      <c r="N24" s="1385"/>
      <c r="O24" s="1385"/>
      <c r="P24" s="1385"/>
      <c r="Q24" s="115"/>
      <c r="R24" s="1386" t="s">
        <v>1010</v>
      </c>
      <c r="S24" s="1386"/>
      <c r="T24" s="1386"/>
      <c r="U24" s="1386"/>
      <c r="V24" s="1386"/>
      <c r="W24" s="1386"/>
      <c r="X24" s="116"/>
      <c r="Y24" s="1386" t="s">
        <v>1011</v>
      </c>
      <c r="Z24" s="1386"/>
      <c r="AA24" s="1386"/>
      <c r="AB24" s="1386"/>
      <c r="AC24" s="1386"/>
      <c r="AD24" s="1386"/>
      <c r="AE24" s="116"/>
      <c r="AF24" s="1387" t="s">
        <v>2103</v>
      </c>
      <c r="AG24" s="1387"/>
      <c r="AH24" s="1387"/>
      <c r="AI24" s="1387"/>
      <c r="AJ24" s="1387"/>
      <c r="AK24" s="1387"/>
      <c r="AL24" s="116"/>
      <c r="AM24" s="144"/>
    </row>
    <row r="25" spans="11:45" ht="15.95" customHeight="1">
      <c r="K25" s="28"/>
      <c r="L25" s="1385"/>
      <c r="M25" s="1385"/>
      <c r="N25" s="1385"/>
      <c r="O25" s="1385"/>
      <c r="P25" s="1385"/>
      <c r="Q25" s="115"/>
      <c r="R25" s="1388">
        <f>M02S04F07</f>
        <v>0</v>
      </c>
      <c r="S25" s="1388"/>
      <c r="T25" s="1388"/>
      <c r="U25" s="1388"/>
      <c r="V25" s="1388"/>
      <c r="W25" s="1388"/>
      <c r="X25" s="117"/>
      <c r="Y25" s="1388" t="str">
        <f>CONCATENATE(M02S04F12," ",M02S04F13)</f>
        <v xml:space="preserve"> </v>
      </c>
      <c r="Z25" s="1388"/>
      <c r="AA25" s="1388"/>
      <c r="AB25" s="1388"/>
      <c r="AC25" s="1388"/>
      <c r="AD25" s="1388"/>
      <c r="AE25" s="117"/>
      <c r="AF25" s="1388" t="str">
        <f>CONCATENATE(M02S03F06," ",M02S03F07)</f>
        <v xml:space="preserve"> </v>
      </c>
      <c r="AG25" s="1388"/>
      <c r="AH25" s="1388"/>
      <c r="AI25" s="1388"/>
      <c r="AJ25" s="1388"/>
      <c r="AK25" s="1388"/>
      <c r="AL25" s="118"/>
      <c r="AM25" s="144"/>
    </row>
    <row r="26" spans="11:45" ht="15.95" customHeight="1">
      <c r="K26" s="28"/>
      <c r="L26" s="1385"/>
      <c r="M26" s="1385"/>
      <c r="N26" s="1385"/>
      <c r="O26" s="1385"/>
      <c r="P26" s="1385"/>
      <c r="Q26" s="115"/>
      <c r="R26" s="1388">
        <f>M02S04F08</f>
        <v>0</v>
      </c>
      <c r="S26" s="1388"/>
      <c r="T26" s="1388"/>
      <c r="U26" s="1388"/>
      <c r="V26" s="1388"/>
      <c r="W26" s="1388"/>
      <c r="X26" s="117"/>
      <c r="Y26" s="1389" t="str">
        <f>M02S04F15</f>
        <v/>
      </c>
      <c r="Z26" s="1389"/>
      <c r="AA26" s="1389"/>
      <c r="AB26" s="1389"/>
      <c r="AC26" s="1389"/>
      <c r="AD26" s="1389"/>
      <c r="AE26" s="119"/>
      <c r="AF26" s="1389">
        <f>M02S03F09</f>
        <v>0</v>
      </c>
      <c r="AG26" s="1389"/>
      <c r="AH26" s="1389"/>
      <c r="AI26" s="1389"/>
      <c r="AJ26" s="1389"/>
      <c r="AK26" s="1389"/>
      <c r="AL26" s="120"/>
      <c r="AM26" s="144"/>
    </row>
    <row r="27" spans="11:45" ht="15.95" customHeight="1">
      <c r="K27" s="28"/>
      <c r="L27" s="1385"/>
      <c r="M27" s="1385"/>
      <c r="N27" s="1385"/>
      <c r="O27" s="1385"/>
      <c r="P27" s="1385"/>
      <c r="Q27" s="115"/>
      <c r="R27" s="1388" t="str">
        <f>CONCATENATE(M02S04F09,", ",M02S04F10," ",M02S04F11)</f>
        <v xml:space="preserve">, KS </v>
      </c>
      <c r="S27" s="1388"/>
      <c r="T27" s="1388"/>
      <c r="U27" s="1388"/>
      <c r="V27" s="1388"/>
      <c r="W27" s="1388"/>
      <c r="X27" s="117"/>
      <c r="Y27" s="1388" t="str">
        <f>M02S04F16</f>
        <v/>
      </c>
      <c r="Z27" s="1388"/>
      <c r="AA27" s="1388"/>
      <c r="AB27" s="1388"/>
      <c r="AC27" s="1388"/>
      <c r="AD27" s="1388"/>
      <c r="AE27" s="117"/>
      <c r="AF27" s="1388">
        <f>M02S03F10</f>
        <v>0</v>
      </c>
      <c r="AG27" s="1388"/>
      <c r="AH27" s="1388"/>
      <c r="AI27" s="1388"/>
      <c r="AJ27" s="1388"/>
      <c r="AK27" s="1388"/>
      <c r="AL27" s="118"/>
      <c r="AM27" s="144"/>
    </row>
    <row r="28" spans="11:45" ht="15.95" customHeight="1">
      <c r="K28" s="28"/>
      <c r="L28" s="17"/>
      <c r="M28" s="17"/>
      <c r="N28" s="17"/>
      <c r="O28" s="17"/>
      <c r="P28" s="17"/>
      <c r="Q28" s="17"/>
      <c r="R28" s="121"/>
      <c r="S28" s="121"/>
      <c r="T28" s="121"/>
      <c r="U28" s="121"/>
      <c r="V28" s="121"/>
      <c r="W28" s="121"/>
      <c r="X28" s="121"/>
      <c r="Y28" s="121"/>
      <c r="Z28" s="121"/>
      <c r="AA28" s="121"/>
      <c r="AB28" s="121"/>
      <c r="AC28" s="121"/>
      <c r="AD28" s="121"/>
      <c r="AE28" s="121"/>
      <c r="AF28" s="121"/>
      <c r="AG28" s="121"/>
      <c r="AH28" s="121"/>
      <c r="AI28" s="121"/>
      <c r="AJ28" s="121"/>
      <c r="AK28" s="121"/>
      <c r="AL28" s="121"/>
      <c r="AM28" s="144"/>
    </row>
    <row r="29" spans="11:45" ht="15.95" customHeight="1">
      <c r="K29" s="28"/>
      <c r="L29" s="1396" t="s">
        <v>1012</v>
      </c>
      <c r="M29" s="1396"/>
      <c r="N29" s="1396"/>
      <c r="O29" s="1396"/>
      <c r="P29" s="1396"/>
      <c r="Q29" s="122"/>
      <c r="R29" s="1397" t="s">
        <v>76</v>
      </c>
      <c r="S29" s="1397"/>
      <c r="T29" s="1397"/>
      <c r="U29" s="1397"/>
      <c r="V29" s="1397"/>
      <c r="W29" s="1397"/>
      <c r="X29" s="123"/>
      <c r="Y29" s="1398" t="s">
        <v>79</v>
      </c>
      <c r="Z29" s="1398"/>
      <c r="AA29" s="1398"/>
      <c r="AB29" s="1398"/>
      <c r="AC29" s="1398"/>
      <c r="AD29" s="1398"/>
      <c r="AE29" s="123"/>
      <c r="AF29" s="123"/>
      <c r="AG29" s="123"/>
      <c r="AH29" s="123"/>
      <c r="AI29" s="123"/>
      <c r="AJ29" s="123"/>
      <c r="AK29" s="123"/>
      <c r="AL29" s="123"/>
      <c r="AM29" s="144"/>
    </row>
    <row r="30" spans="11:45" ht="15.95" customHeight="1">
      <c r="K30" s="28"/>
      <c r="L30" s="1396"/>
      <c r="M30" s="1396"/>
      <c r="N30" s="1396"/>
      <c r="O30" s="1396"/>
      <c r="P30" s="1396"/>
      <c r="Q30" s="122"/>
      <c r="R30" s="1399">
        <f>M02S02F02</f>
        <v>0</v>
      </c>
      <c r="S30" s="1399"/>
      <c r="T30" s="1399"/>
      <c r="U30" s="1399"/>
      <c r="V30" s="1399"/>
      <c r="W30" s="1399"/>
      <c r="X30" s="124"/>
      <c r="Y30" s="1399" t="str">
        <f>CONCATENATE(M02S02F07," ",M02S02F08)</f>
        <v xml:space="preserve"> </v>
      </c>
      <c r="Z30" s="1399"/>
      <c r="AA30" s="1399"/>
      <c r="AB30" s="1399"/>
      <c r="AC30" s="1399"/>
      <c r="AD30" s="1399"/>
      <c r="AE30" s="125"/>
      <c r="AF30" s="125"/>
      <c r="AG30" s="124"/>
      <c r="AH30" s="124"/>
      <c r="AI30" s="124"/>
      <c r="AJ30" s="124"/>
      <c r="AK30" s="124"/>
      <c r="AL30" s="126"/>
      <c r="AM30" s="144"/>
    </row>
    <row r="31" spans="11:45" ht="15.95" customHeight="1">
      <c r="K31" s="28"/>
      <c r="L31" s="1396"/>
      <c r="M31" s="1396"/>
      <c r="N31" s="1396"/>
      <c r="O31" s="1396"/>
      <c r="P31" s="1396"/>
      <c r="Q31" s="122"/>
      <c r="R31" s="1399">
        <f>M02S02F03</f>
        <v>0</v>
      </c>
      <c r="S31" s="1399"/>
      <c r="T31" s="1399"/>
      <c r="U31" s="1399"/>
      <c r="V31" s="1399"/>
      <c r="W31" s="1399"/>
      <c r="X31" s="124"/>
      <c r="Y31" s="1400">
        <f>M02S02F10</f>
        <v>0</v>
      </c>
      <c r="Z31" s="1400"/>
      <c r="AA31" s="1400"/>
      <c r="AB31" s="1400"/>
      <c r="AC31" s="1400"/>
      <c r="AD31" s="1400"/>
      <c r="AE31" s="125"/>
      <c r="AF31" s="125"/>
      <c r="AG31" s="127"/>
      <c r="AH31" s="127"/>
      <c r="AI31" s="127"/>
      <c r="AJ31" s="127"/>
      <c r="AK31" s="127"/>
      <c r="AL31" s="128"/>
      <c r="AM31" s="144"/>
    </row>
    <row r="32" spans="11:45" ht="15.95" customHeight="1">
      <c r="K32" s="28"/>
      <c r="L32" s="1396"/>
      <c r="M32" s="1396"/>
      <c r="N32" s="1396"/>
      <c r="O32" s="1396"/>
      <c r="P32" s="1396"/>
      <c r="Q32" s="122"/>
      <c r="R32" s="1399" t="str">
        <f>CONCATENATE(M02S02F04,", ",M02S02F05," ",M02S02F06)</f>
        <v xml:space="preserve">,  </v>
      </c>
      <c r="S32" s="1399"/>
      <c r="T32" s="1399"/>
      <c r="U32" s="1399"/>
      <c r="V32" s="1399"/>
      <c r="W32" s="1399"/>
      <c r="X32" s="124"/>
      <c r="Y32" s="1399">
        <f>M02S02F11</f>
        <v>0</v>
      </c>
      <c r="Z32" s="1399"/>
      <c r="AA32" s="1399"/>
      <c r="AB32" s="1399"/>
      <c r="AC32" s="1399"/>
      <c r="AD32" s="1399"/>
      <c r="AE32" s="125"/>
      <c r="AF32" s="125"/>
      <c r="AG32" s="124"/>
      <c r="AH32" s="124"/>
      <c r="AI32" s="124"/>
      <c r="AJ32" s="124"/>
      <c r="AK32" s="124"/>
      <c r="AL32" s="129"/>
      <c r="AM32" s="144"/>
    </row>
    <row r="33" spans="11:39" ht="15.95" customHeight="1">
      <c r="K33" s="28"/>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44"/>
    </row>
    <row r="34" spans="11:39" ht="15.95" customHeight="1">
      <c r="K34" s="28"/>
      <c r="L34" s="1396" t="s">
        <v>1230</v>
      </c>
      <c r="M34" s="1396"/>
      <c r="N34" s="1396"/>
      <c r="O34" s="1396"/>
      <c r="P34" s="1396"/>
      <c r="Q34" s="122"/>
      <c r="R34" s="1429" t="s">
        <v>1702</v>
      </c>
      <c r="S34" s="1429"/>
      <c r="T34" s="1429"/>
      <c r="U34" s="1429"/>
      <c r="V34" s="1393" t="s">
        <v>735</v>
      </c>
      <c r="W34" s="1393"/>
      <c r="X34" s="1393"/>
      <c r="Y34" s="1393"/>
      <c r="Z34" s="1393"/>
      <c r="AA34" s="1393" t="s">
        <v>1023</v>
      </c>
      <c r="AB34" s="1393"/>
      <c r="AC34" s="1393"/>
      <c r="AD34" s="1393"/>
      <c r="AE34" s="1393"/>
      <c r="AF34" s="1393" t="s">
        <v>1235</v>
      </c>
      <c r="AG34" s="1393"/>
      <c r="AH34" s="1393"/>
      <c r="AI34" s="1393"/>
      <c r="AJ34" s="1393"/>
      <c r="AK34" s="130"/>
      <c r="AL34" s="130"/>
      <c r="AM34" s="144"/>
    </row>
    <row r="35" spans="11:39" ht="15.95" customHeight="1">
      <c r="K35" s="28"/>
      <c r="L35" s="1396"/>
      <c r="M35" s="1396"/>
      <c r="N35" s="1396"/>
      <c r="O35" s="1396"/>
      <c r="P35" s="1396"/>
      <c r="Q35" s="122"/>
      <c r="R35" s="1404" t="s">
        <v>938</v>
      </c>
      <c r="S35" s="1405"/>
      <c r="T35" s="1405"/>
      <c r="U35" s="1405"/>
      <c r="V35" s="1401">
        <f ca="1">KWHTOTALPRESE</f>
        <v>0</v>
      </c>
      <c r="W35" s="1401"/>
      <c r="X35" s="1401"/>
      <c r="Y35" s="1401"/>
      <c r="Z35" s="1401"/>
      <c r="AA35" s="1394">
        <f ca="1">COSTTOTALPRESE</f>
        <v>0</v>
      </c>
      <c r="AB35" s="1394"/>
      <c r="AC35" s="1394"/>
      <c r="AD35" s="1394"/>
      <c r="AE35" s="1394"/>
      <c r="AF35" s="1394">
        <f>INCENTOTALPRESE</f>
        <v>0</v>
      </c>
      <c r="AG35" s="1394"/>
      <c r="AH35" s="1394"/>
      <c r="AI35" s="1394"/>
      <c r="AJ35" s="1395"/>
      <c r="AK35" s="126"/>
      <c r="AL35" s="126"/>
      <c r="AM35" s="144"/>
    </row>
    <row r="36" spans="11:39" ht="15.95" customHeight="1">
      <c r="K36" s="28"/>
      <c r="L36" s="1396"/>
      <c r="M36" s="1396"/>
      <c r="N36" s="1396"/>
      <c r="O36" s="1396"/>
      <c r="P36" s="1396"/>
      <c r="Q36" s="122"/>
      <c r="R36" s="1404" t="s">
        <v>135</v>
      </c>
      <c r="S36" s="1405"/>
      <c r="T36" s="1405"/>
      <c r="U36" s="1405"/>
      <c r="V36" s="1425">
        <f ca="1">KWHTOTALCUSE</f>
        <v>0</v>
      </c>
      <c r="W36" s="1425"/>
      <c r="X36" s="1425"/>
      <c r="Y36" s="1425"/>
      <c r="Z36" s="1425"/>
      <c r="AA36" s="1402">
        <f ca="1">COSTTOTALCUSE</f>
        <v>0</v>
      </c>
      <c r="AB36" s="1402"/>
      <c r="AC36" s="1402"/>
      <c r="AD36" s="1402"/>
      <c r="AE36" s="1402"/>
      <c r="AF36" s="1402">
        <f>INCENTOTALCUSE</f>
        <v>0</v>
      </c>
      <c r="AG36" s="1402"/>
      <c r="AH36" s="1402"/>
      <c r="AI36" s="1402"/>
      <c r="AJ36" s="1427"/>
      <c r="AK36" s="126"/>
      <c r="AL36" s="126"/>
      <c r="AM36" s="144"/>
    </row>
    <row r="37" spans="11:39" ht="15.95" customHeight="1">
      <c r="K37" s="28"/>
      <c r="L37" s="1396"/>
      <c r="M37" s="1396"/>
      <c r="N37" s="1396"/>
      <c r="O37" s="1396"/>
      <c r="P37" s="1396"/>
      <c r="Q37" s="122"/>
      <c r="R37" s="1406" t="s">
        <v>84</v>
      </c>
      <c r="S37" s="1407"/>
      <c r="T37" s="1407"/>
      <c r="U37" s="1407"/>
      <c r="V37" s="1426">
        <f ca="1">KWHTOTAL</f>
        <v>0</v>
      </c>
      <c r="W37" s="1426"/>
      <c r="X37" s="1426"/>
      <c r="Y37" s="1426"/>
      <c r="Z37" s="1426"/>
      <c r="AA37" s="1403">
        <f ca="1">COSTTOTAL</f>
        <v>0</v>
      </c>
      <c r="AB37" s="1403"/>
      <c r="AC37" s="1403"/>
      <c r="AD37" s="1403"/>
      <c r="AE37" s="1403"/>
      <c r="AF37" s="1403">
        <f>INCENTOTAL</f>
        <v>0</v>
      </c>
      <c r="AG37" s="1403"/>
      <c r="AH37" s="1403"/>
      <c r="AI37" s="1403"/>
      <c r="AJ37" s="1428"/>
      <c r="AK37" s="131"/>
      <c r="AL37" s="131"/>
      <c r="AM37" s="144"/>
    </row>
    <row r="38" spans="11:39" ht="15.95" customHeight="1">
      <c r="K38" s="28"/>
      <c r="N38" s="66"/>
      <c r="O38" s="66"/>
      <c r="P38" s="66"/>
      <c r="Q38" s="66"/>
      <c r="R38" s="66"/>
      <c r="S38" s="66"/>
      <c r="T38" s="66"/>
      <c r="U38" s="66"/>
      <c r="V38" s="66"/>
      <c r="W38" s="66"/>
      <c r="X38" s="145"/>
      <c r="Y38" s="17"/>
      <c r="AB38" s="66"/>
      <c r="AC38" s="66"/>
      <c r="AD38" s="66"/>
      <c r="AE38" s="66"/>
      <c r="AF38" s="66"/>
      <c r="AG38" s="66"/>
      <c r="AH38" s="66"/>
      <c r="AI38" s="66"/>
      <c r="AJ38" s="66"/>
      <c r="AK38" s="66"/>
      <c r="AL38" s="145"/>
      <c r="AM38" s="144"/>
    </row>
    <row r="39" spans="11:39" ht="15.95" customHeight="1">
      <c r="K39" s="28"/>
      <c r="L39" s="135"/>
      <c r="M39" s="1410" t="s">
        <v>1027</v>
      </c>
      <c r="N39" s="1410"/>
      <c r="O39" s="1410"/>
      <c r="P39" s="1410"/>
      <c r="Q39" s="1410"/>
      <c r="R39" s="1410"/>
      <c r="S39" s="1410"/>
      <c r="T39" s="1410"/>
      <c r="U39" s="1410"/>
      <c r="V39" s="1410"/>
      <c r="W39" s="1410"/>
      <c r="X39" s="137"/>
      <c r="Y39" s="17"/>
      <c r="Z39" s="135"/>
      <c r="AA39" s="1410" t="s">
        <v>1028</v>
      </c>
      <c r="AB39" s="1410"/>
      <c r="AC39" s="1410"/>
      <c r="AD39" s="1410"/>
      <c r="AE39" s="1410"/>
      <c r="AF39" s="1410"/>
      <c r="AG39" s="1410"/>
      <c r="AH39" s="1410"/>
      <c r="AI39" s="1410"/>
      <c r="AJ39" s="1410"/>
      <c r="AK39" s="1410"/>
      <c r="AL39" s="137"/>
      <c r="AM39" s="144"/>
    </row>
    <row r="40" spans="11:39" ht="15.95" customHeight="1">
      <c r="K40" s="28"/>
      <c r="L40" s="137"/>
      <c r="M40" s="1410"/>
      <c r="N40" s="1410"/>
      <c r="O40" s="1410"/>
      <c r="P40" s="1410"/>
      <c r="Q40" s="1410"/>
      <c r="R40" s="1410"/>
      <c r="S40" s="1410"/>
      <c r="T40" s="1410"/>
      <c r="U40" s="1410"/>
      <c r="V40" s="1410"/>
      <c r="W40" s="1410"/>
      <c r="X40" s="137"/>
      <c r="Y40" s="17"/>
      <c r="Z40" s="137"/>
      <c r="AA40" s="1410"/>
      <c r="AB40" s="1410"/>
      <c r="AC40" s="1410"/>
      <c r="AD40" s="1410"/>
      <c r="AE40" s="1410"/>
      <c r="AF40" s="1410"/>
      <c r="AG40" s="1410"/>
      <c r="AH40" s="1410"/>
      <c r="AI40" s="1410"/>
      <c r="AJ40" s="1410"/>
      <c r="AK40" s="1410"/>
      <c r="AL40" s="137"/>
      <c r="AM40" s="144"/>
    </row>
    <row r="41" spans="11:39" ht="15.95" customHeight="1">
      <c r="K41" s="28"/>
      <c r="L41" s="1411" t="s">
        <v>1755</v>
      </c>
      <c r="M41" s="1411"/>
      <c r="N41" s="1411"/>
      <c r="O41" s="1411"/>
      <c r="P41" s="1411"/>
      <c r="Q41" s="1411"/>
      <c r="R41" s="1411"/>
      <c r="S41" s="1411"/>
      <c r="T41" s="1411"/>
      <c r="U41" s="1411"/>
      <c r="V41" s="1411"/>
      <c r="W41" s="1411"/>
      <c r="X41" s="1411"/>
      <c r="Z41" s="1411" t="s">
        <v>1029</v>
      </c>
      <c r="AA41" s="1411"/>
      <c r="AB41" s="1411"/>
      <c r="AC41" s="1411"/>
      <c r="AD41" s="1411"/>
      <c r="AE41" s="1411"/>
      <c r="AF41" s="1411"/>
      <c r="AG41" s="1411"/>
      <c r="AH41" s="1411"/>
      <c r="AI41" s="1411"/>
      <c r="AJ41" s="1411"/>
      <c r="AK41" s="1411"/>
      <c r="AL41" s="1411"/>
      <c r="AM41" s="144"/>
    </row>
    <row r="42" spans="11:39" ht="15.95" customHeight="1">
      <c r="K42" s="28"/>
      <c r="L42" s="1411"/>
      <c r="M42" s="1411"/>
      <c r="N42" s="1411"/>
      <c r="O42" s="1411"/>
      <c r="P42" s="1411"/>
      <c r="Q42" s="1411"/>
      <c r="R42" s="1411"/>
      <c r="S42" s="1411"/>
      <c r="T42" s="1411"/>
      <c r="U42" s="1411"/>
      <c r="V42" s="1411"/>
      <c r="W42" s="1411"/>
      <c r="X42" s="1411"/>
      <c r="Z42" s="1411"/>
      <c r="AA42" s="1411"/>
      <c r="AB42" s="1411"/>
      <c r="AC42" s="1411"/>
      <c r="AD42" s="1411"/>
      <c r="AE42" s="1411"/>
      <c r="AF42" s="1411"/>
      <c r="AG42" s="1411"/>
      <c r="AH42" s="1411"/>
      <c r="AI42" s="1411"/>
      <c r="AJ42" s="1411"/>
      <c r="AK42" s="1411"/>
      <c r="AL42" s="1411"/>
      <c r="AM42" s="144"/>
    </row>
    <row r="43" spans="11:39" ht="15.95" customHeight="1">
      <c r="K43" s="28"/>
      <c r="L43" s="1411"/>
      <c r="M43" s="1411"/>
      <c r="N43" s="1411"/>
      <c r="O43" s="1411"/>
      <c r="P43" s="1411"/>
      <c r="Q43" s="1411"/>
      <c r="R43" s="1411"/>
      <c r="S43" s="1411"/>
      <c r="T43" s="1411"/>
      <c r="U43" s="1411"/>
      <c r="V43" s="1411"/>
      <c r="W43" s="1411"/>
      <c r="X43" s="1411"/>
      <c r="Z43" s="123" t="s">
        <v>820</v>
      </c>
      <c r="AA43" s="135"/>
      <c r="AB43" s="123"/>
      <c r="AC43" s="123"/>
      <c r="AD43" s="1430">
        <f>M05S01F01</f>
        <v>0</v>
      </c>
      <c r="AE43" s="1430"/>
      <c r="AF43" s="1430"/>
      <c r="AG43" s="1430"/>
      <c r="AH43" s="1430" t="str">
        <f>IF(ISNUMBER(SEARCH("Bill Credit",AD43)), CONCATENATE("Account ",M05S01F14), " ")</f>
        <v xml:space="preserve"> </v>
      </c>
      <c r="AI43" s="1430"/>
      <c r="AJ43" s="1430"/>
      <c r="AK43" s="1430"/>
      <c r="AL43" s="126"/>
      <c r="AM43" s="144"/>
    </row>
    <row r="44" spans="11:39" ht="15.95" customHeight="1">
      <c r="K44" s="28"/>
      <c r="L44" s="1411"/>
      <c r="M44" s="1411"/>
      <c r="N44" s="1411"/>
      <c r="O44" s="1411"/>
      <c r="P44" s="1411"/>
      <c r="Q44" s="1411"/>
      <c r="R44" s="1411"/>
      <c r="S44" s="1411"/>
      <c r="T44" s="1411"/>
      <c r="U44" s="1411"/>
      <c r="V44" s="1411"/>
      <c r="W44" s="1411"/>
      <c r="X44" s="1411"/>
      <c r="Z44" s="123" t="s">
        <v>1087</v>
      </c>
      <c r="AA44" s="135"/>
      <c r="AB44" s="123"/>
      <c r="AC44" s="123"/>
      <c r="AD44" s="1430" t="str">
        <f>M05S01F02</f>
        <v/>
      </c>
      <c r="AE44" s="1430"/>
      <c r="AF44" s="1430"/>
      <c r="AG44" s="1430"/>
      <c r="AH44" s="1430"/>
      <c r="AI44" s="1430"/>
      <c r="AJ44" s="126"/>
      <c r="AK44" s="126"/>
      <c r="AL44" s="126"/>
      <c r="AM44" s="144"/>
    </row>
    <row r="45" spans="11:39" ht="15.95" customHeight="1">
      <c r="K45" s="28"/>
      <c r="L45" s="136"/>
      <c r="M45" s="146"/>
      <c r="N45" s="1432" t="s">
        <v>1030</v>
      </c>
      <c r="O45" s="1432"/>
      <c r="P45" s="1432"/>
      <c r="Q45" s="1432"/>
      <c r="R45" s="1432"/>
      <c r="S45" s="1432"/>
      <c r="T45" s="1432"/>
      <c r="U45" s="1432"/>
      <c r="V45" s="1432"/>
      <c r="W45" s="1432"/>
      <c r="X45" s="136"/>
      <c r="Z45" s="129"/>
      <c r="AA45" s="123"/>
      <c r="AB45" s="123"/>
      <c r="AC45" s="123"/>
      <c r="AD45" s="1433" t="str">
        <f>CONCATENATE(M05S01F07," ",M05S01F08)</f>
        <v xml:space="preserve"> </v>
      </c>
      <c r="AE45" s="1433"/>
      <c r="AF45" s="1433"/>
      <c r="AG45" s="1433"/>
      <c r="AH45" s="1433"/>
      <c r="AI45" s="1433"/>
      <c r="AJ45" s="126"/>
      <c r="AK45" s="126"/>
      <c r="AL45" s="126"/>
      <c r="AM45" s="144"/>
    </row>
    <row r="46" spans="11:39" ht="15.95" customHeight="1">
      <c r="K46" s="28"/>
      <c r="L46" s="136"/>
      <c r="M46" s="146"/>
      <c r="N46" s="1432"/>
      <c r="O46" s="1432"/>
      <c r="P46" s="1432"/>
      <c r="Q46" s="1432"/>
      <c r="R46" s="1432"/>
      <c r="S46" s="1432"/>
      <c r="T46" s="1432"/>
      <c r="U46" s="1432"/>
      <c r="V46" s="1432"/>
      <c r="W46" s="1432"/>
      <c r="X46" s="136"/>
      <c r="Z46" s="129"/>
      <c r="AA46" s="123"/>
      <c r="AB46" s="123"/>
      <c r="AC46" s="123"/>
      <c r="AD46" s="1433" t="str">
        <f>M05S01F03</f>
        <v/>
      </c>
      <c r="AE46" s="1433"/>
      <c r="AF46" s="1433"/>
      <c r="AG46" s="1433"/>
      <c r="AH46" s="1433"/>
      <c r="AI46" s="1433"/>
      <c r="AJ46" s="126"/>
      <c r="AK46" s="126"/>
      <c r="AL46" s="126"/>
      <c r="AM46" s="144"/>
    </row>
    <row r="47" spans="11:39" ht="15.95" customHeight="1">
      <c r="K47" s="28"/>
      <c r="L47" s="143"/>
      <c r="M47" s="146"/>
      <c r="N47" s="1388" t="s">
        <v>1031</v>
      </c>
      <c r="O47" s="1434"/>
      <c r="P47" s="1434"/>
      <c r="Q47" s="1434"/>
      <c r="R47" s="1434"/>
      <c r="S47" s="1434"/>
      <c r="T47" s="1434"/>
      <c r="U47" s="1434"/>
      <c r="V47" s="1434"/>
      <c r="W47" s="1434"/>
      <c r="X47" s="143"/>
      <c r="Z47" s="147"/>
      <c r="AA47" s="123"/>
      <c r="AB47" s="123"/>
      <c r="AC47" s="123"/>
      <c r="AD47" s="1433" t="str">
        <f>CONCATENATE(M05S01F04,", ",M05S01F05," ",M05S01F06)</f>
        <v xml:space="preserve">,  </v>
      </c>
      <c r="AE47" s="1433"/>
      <c r="AF47" s="1433"/>
      <c r="AG47" s="1433"/>
      <c r="AH47" s="1433"/>
      <c r="AI47" s="1433"/>
      <c r="AJ47" s="126"/>
      <c r="AK47" s="126"/>
      <c r="AL47" s="148"/>
      <c r="AM47" s="144"/>
    </row>
    <row r="48" spans="11:39" ht="15.95" customHeight="1">
      <c r="K48" s="28"/>
      <c r="L48" s="143"/>
      <c r="M48" s="146"/>
      <c r="N48" s="1434"/>
      <c r="O48" s="1434"/>
      <c r="P48" s="1434"/>
      <c r="Q48" s="1434"/>
      <c r="R48" s="1434"/>
      <c r="S48" s="1434"/>
      <c r="T48" s="1434"/>
      <c r="U48" s="1434"/>
      <c r="V48" s="1434"/>
      <c r="W48" s="1434"/>
      <c r="X48" s="143"/>
      <c r="Z48" s="123" t="s">
        <v>1088</v>
      </c>
      <c r="AA48" s="135"/>
      <c r="AB48" s="123"/>
      <c r="AC48" s="123"/>
      <c r="AD48" s="1430">
        <f>M05S01F11</f>
        <v>0</v>
      </c>
      <c r="AE48" s="1430"/>
      <c r="AF48" s="1430"/>
      <c r="AG48" s="1430"/>
      <c r="AH48" s="1430"/>
      <c r="AI48" s="1430"/>
      <c r="AJ48" s="1430" t="str">
        <f>IF(ISBLANK(M05S01F12),"",CONCATENATE(M05S01F12,"-",M05S01F13))</f>
        <v/>
      </c>
      <c r="AK48" s="1430"/>
      <c r="AL48" s="1430"/>
      <c r="AM48" s="144"/>
    </row>
    <row r="49" spans="11:39" ht="15.95" customHeight="1">
      <c r="K49" s="28"/>
      <c r="N49" s="66"/>
      <c r="O49" s="66"/>
      <c r="P49" s="66"/>
      <c r="Q49" s="66"/>
      <c r="R49" s="66"/>
      <c r="S49" s="66"/>
      <c r="T49" s="66"/>
      <c r="U49" s="66"/>
      <c r="V49" s="66"/>
      <c r="W49" s="66"/>
      <c r="X49" s="149"/>
      <c r="AB49" s="150"/>
      <c r="AC49" s="150"/>
      <c r="AD49" s="150"/>
      <c r="AE49" s="150"/>
      <c r="AF49" s="150"/>
      <c r="AG49" s="150"/>
      <c r="AH49" s="150"/>
      <c r="AI49" s="150"/>
      <c r="AJ49" s="150"/>
      <c r="AK49" s="150"/>
      <c r="AM49" s="144"/>
    </row>
    <row r="50" spans="11:39" ht="15.95" customHeight="1">
      <c r="K50" s="28"/>
      <c r="L50" s="135"/>
      <c r="M50" s="1410" t="s">
        <v>1032</v>
      </c>
      <c r="N50" s="1410"/>
      <c r="O50" s="1410"/>
      <c r="P50" s="1410"/>
      <c r="Q50" s="1410"/>
      <c r="R50" s="1410"/>
      <c r="S50" s="1410"/>
      <c r="T50" s="1410"/>
      <c r="U50" s="1410"/>
      <c r="V50" s="1410"/>
      <c r="W50" s="1410"/>
      <c r="X50" s="136"/>
      <c r="Z50" s="135"/>
      <c r="AA50" s="1431" t="s">
        <v>1033</v>
      </c>
      <c r="AB50" s="1431"/>
      <c r="AC50" s="1431"/>
      <c r="AD50" s="1431"/>
      <c r="AE50" s="1431"/>
      <c r="AF50" s="1431"/>
      <c r="AG50" s="1431"/>
      <c r="AH50" s="1431"/>
      <c r="AI50" s="1431"/>
      <c r="AJ50" s="1431"/>
      <c r="AK50" s="1431"/>
      <c r="AL50" s="135"/>
      <c r="AM50" s="144"/>
    </row>
    <row r="51" spans="11:39" ht="15.95" customHeight="1">
      <c r="K51" s="28"/>
      <c r="L51" s="137"/>
      <c r="M51" s="1410"/>
      <c r="N51" s="1410"/>
      <c r="O51" s="1410"/>
      <c r="P51" s="1410"/>
      <c r="Q51" s="1410"/>
      <c r="R51" s="1410"/>
      <c r="S51" s="1410"/>
      <c r="T51" s="1410"/>
      <c r="U51" s="1410"/>
      <c r="V51" s="1410"/>
      <c r="W51" s="1410"/>
      <c r="X51" s="137"/>
      <c r="Z51" s="135"/>
      <c r="AA51" s="1431"/>
      <c r="AB51" s="1431"/>
      <c r="AC51" s="1431"/>
      <c r="AD51" s="1431"/>
      <c r="AE51" s="1431"/>
      <c r="AF51" s="1431"/>
      <c r="AG51" s="1431"/>
      <c r="AH51" s="1431"/>
      <c r="AI51" s="1431"/>
      <c r="AJ51" s="1431"/>
      <c r="AK51" s="1431"/>
      <c r="AL51" s="135"/>
      <c r="AM51" s="144"/>
    </row>
    <row r="52" spans="11:39" ht="15.95" customHeight="1">
      <c r="K52" s="28"/>
      <c r="L52" s="1411" t="s">
        <v>1019</v>
      </c>
      <c r="M52" s="1411"/>
      <c r="N52" s="1411"/>
      <c r="O52" s="1411"/>
      <c r="P52" s="1411"/>
      <c r="Q52" s="1411"/>
      <c r="R52" s="1411"/>
      <c r="S52" s="1411"/>
      <c r="T52" s="1411"/>
      <c r="U52" s="1411"/>
      <c r="V52" s="1411"/>
      <c r="W52" s="1411"/>
      <c r="X52" s="1411"/>
      <c r="Z52" s="1411" t="s">
        <v>1310</v>
      </c>
      <c r="AA52" s="1411"/>
      <c r="AB52" s="1411"/>
      <c r="AC52" s="1411"/>
      <c r="AD52" s="1411"/>
      <c r="AE52" s="1411"/>
      <c r="AF52" s="1411"/>
      <c r="AG52" s="1411"/>
      <c r="AH52" s="1411"/>
      <c r="AI52" s="1411"/>
      <c r="AJ52" s="1411"/>
      <c r="AK52" s="1411"/>
      <c r="AL52" s="1411"/>
      <c r="AM52" s="144"/>
    </row>
    <row r="53" spans="11:39" ht="15.95" customHeight="1">
      <c r="K53" s="28"/>
      <c r="L53" s="1411"/>
      <c r="M53" s="1411"/>
      <c r="N53" s="1411"/>
      <c r="O53" s="1411"/>
      <c r="P53" s="1411"/>
      <c r="Q53" s="1411"/>
      <c r="R53" s="1411"/>
      <c r="S53" s="1411"/>
      <c r="T53" s="1411"/>
      <c r="U53" s="1411"/>
      <c r="V53" s="1411"/>
      <c r="W53" s="1411"/>
      <c r="X53" s="1411"/>
      <c r="Z53" s="1411"/>
      <c r="AA53" s="1411"/>
      <c r="AB53" s="1411"/>
      <c r="AC53" s="1411"/>
      <c r="AD53" s="1411"/>
      <c r="AE53" s="1411"/>
      <c r="AF53" s="1411"/>
      <c r="AG53" s="1411"/>
      <c r="AH53" s="1411"/>
      <c r="AI53" s="1411"/>
      <c r="AJ53" s="1411"/>
      <c r="AK53" s="1411"/>
      <c r="AL53" s="1411"/>
      <c r="AM53" s="144"/>
    </row>
    <row r="54" spans="11:39" ht="15.95" customHeight="1">
      <c r="K54" s="28"/>
      <c r="L54" s="1411"/>
      <c r="M54" s="1411"/>
      <c r="N54" s="1411"/>
      <c r="O54" s="1411"/>
      <c r="P54" s="1411"/>
      <c r="Q54" s="1411"/>
      <c r="R54" s="1411"/>
      <c r="S54" s="1411"/>
      <c r="T54" s="1411"/>
      <c r="U54" s="1411"/>
      <c r="V54" s="1411"/>
      <c r="W54" s="1411"/>
      <c r="X54" s="1411"/>
      <c r="Y54" s="150"/>
      <c r="Z54" s="136"/>
      <c r="AA54" s="136"/>
      <c r="AB54" s="136"/>
      <c r="AC54" s="136"/>
      <c r="AD54" s="136"/>
      <c r="AE54" s="136"/>
      <c r="AF54" s="136"/>
      <c r="AG54" s="136"/>
      <c r="AH54" s="136"/>
      <c r="AI54" s="136"/>
      <c r="AJ54" s="136"/>
      <c r="AK54" s="136"/>
      <c r="AL54" s="136"/>
      <c r="AM54" s="144"/>
    </row>
    <row r="55" spans="11:39" ht="15.95" customHeight="1">
      <c r="K55" s="28"/>
      <c r="L55" s="135"/>
      <c r="M55" s="135"/>
      <c r="N55" s="135"/>
      <c r="O55" s="135"/>
      <c r="P55" s="135"/>
      <c r="Q55" s="135"/>
      <c r="R55" s="135"/>
      <c r="S55" s="135"/>
      <c r="T55" s="135"/>
      <c r="U55" s="135"/>
      <c r="V55" s="135"/>
      <c r="W55" s="135"/>
      <c r="X55" s="135"/>
      <c r="Y55" s="150"/>
      <c r="Z55" s="228" t="s">
        <v>1311</v>
      </c>
      <c r="AA55" s="151" t="s">
        <v>1314</v>
      </c>
      <c r="AB55" s="226"/>
      <c r="AC55" s="226"/>
      <c r="AD55" s="226"/>
      <c r="AE55" s="226"/>
      <c r="AF55" s="226"/>
      <c r="AG55" s="226"/>
      <c r="AH55" s="226"/>
      <c r="AI55" s="226"/>
      <c r="AJ55" s="226"/>
      <c r="AK55" s="226"/>
      <c r="AL55" s="135"/>
      <c r="AM55" s="144"/>
    </row>
    <row r="56" spans="11:39" ht="15.95" customHeight="1">
      <c r="K56" s="28"/>
      <c r="L56" s="135"/>
      <c r="M56" s="135"/>
      <c r="N56" s="135"/>
      <c r="O56" s="135"/>
      <c r="P56" s="135"/>
      <c r="Q56" s="135"/>
      <c r="R56" s="135"/>
      <c r="S56" s="135"/>
      <c r="T56" s="135"/>
      <c r="U56" s="135"/>
      <c r="V56" s="135"/>
      <c r="W56" s="135"/>
      <c r="X56" s="135"/>
      <c r="Z56" s="229" t="s">
        <v>1312</v>
      </c>
      <c r="AA56" s="227" t="s">
        <v>1313</v>
      </c>
      <c r="AB56" s="226"/>
      <c r="AC56" s="226"/>
      <c r="AD56" s="226"/>
      <c r="AE56" s="226"/>
      <c r="AF56" s="226"/>
      <c r="AG56" s="226"/>
      <c r="AH56" s="226"/>
      <c r="AI56" s="226"/>
      <c r="AJ56" s="226"/>
      <c r="AK56" s="226"/>
      <c r="AL56" s="135"/>
      <c r="AM56" s="144"/>
    </row>
    <row r="57" spans="11:39" ht="15.95" customHeight="1">
      <c r="K57" s="28"/>
      <c r="L57" s="135"/>
      <c r="M57" s="135"/>
      <c r="N57" s="135"/>
      <c r="O57" s="135"/>
      <c r="P57" s="135"/>
      <c r="Q57" s="135"/>
      <c r="R57" s="135"/>
      <c r="S57" s="135"/>
      <c r="T57" s="135"/>
      <c r="U57" s="135"/>
      <c r="V57" s="135"/>
      <c r="W57" s="135"/>
      <c r="X57" s="135"/>
      <c r="Z57" s="135"/>
      <c r="AA57" s="135"/>
      <c r="AB57" s="226"/>
      <c r="AC57" s="226"/>
      <c r="AD57" s="226"/>
      <c r="AE57" s="226"/>
      <c r="AF57" s="226"/>
      <c r="AG57" s="226"/>
      <c r="AH57" s="226"/>
      <c r="AI57" s="226"/>
      <c r="AJ57" s="226"/>
      <c r="AK57" s="226"/>
      <c r="AL57" s="135"/>
      <c r="AM57" s="144"/>
    </row>
    <row r="58" spans="11:39" ht="15.95" customHeight="1">
      <c r="K58" s="28"/>
      <c r="L58" s="135"/>
      <c r="M58" s="1415" t="s">
        <v>1020</v>
      </c>
      <c r="N58" s="1415"/>
      <c r="O58" s="1415"/>
      <c r="P58" s="1415"/>
      <c r="Q58" s="1415"/>
      <c r="R58" s="1415"/>
      <c r="S58" s="1415"/>
      <c r="T58" s="135"/>
      <c r="U58" s="1413" t="s">
        <v>1015</v>
      </c>
      <c r="V58" s="1413"/>
      <c r="W58" s="1413"/>
      <c r="X58" s="135"/>
      <c r="Z58" s="135"/>
      <c r="AA58" s="151"/>
      <c r="AB58" s="226"/>
      <c r="AC58" s="1421" t="s">
        <v>1283</v>
      </c>
      <c r="AD58" s="1421"/>
      <c r="AE58" s="1421"/>
      <c r="AF58" s="1421"/>
      <c r="AG58" s="1421"/>
      <c r="AH58" s="1421"/>
      <c r="AI58" s="226"/>
      <c r="AJ58" s="226"/>
      <c r="AK58" s="226"/>
      <c r="AL58" s="135"/>
      <c r="AM58" s="144"/>
    </row>
    <row r="59" spans="11:39" ht="15.95" customHeight="1">
      <c r="K59" s="28"/>
      <c r="L59" s="135"/>
      <c r="M59" s="135"/>
      <c r="N59" s="135"/>
      <c r="O59" s="135"/>
      <c r="P59" s="135"/>
      <c r="Q59" s="135"/>
      <c r="R59" s="135"/>
      <c r="S59" s="135"/>
      <c r="T59" s="135"/>
      <c r="U59" s="135"/>
      <c r="V59" s="135"/>
      <c r="W59" s="135"/>
      <c r="X59" s="135"/>
      <c r="Z59" s="135"/>
      <c r="AA59" s="152"/>
      <c r="AB59" s="226"/>
      <c r="AC59" s="1421"/>
      <c r="AD59" s="1421"/>
      <c r="AE59" s="1421"/>
      <c r="AF59" s="1421"/>
      <c r="AG59" s="1421"/>
      <c r="AH59" s="1421"/>
      <c r="AI59" s="226"/>
      <c r="AJ59" s="226"/>
      <c r="AK59" s="226"/>
      <c r="AL59" s="135"/>
      <c r="AM59" s="144"/>
    </row>
    <row r="60" spans="11:39" ht="15.95" customHeight="1">
      <c r="K60" s="28"/>
      <c r="L60" s="135"/>
      <c r="M60" s="135"/>
      <c r="N60" s="135"/>
      <c r="O60" s="135"/>
      <c r="P60" s="135"/>
      <c r="Q60" s="135"/>
      <c r="R60" s="135"/>
      <c r="S60" s="135"/>
      <c r="T60" s="135"/>
      <c r="U60" s="135"/>
      <c r="V60" s="135"/>
      <c r="W60" s="135"/>
      <c r="X60" s="135"/>
      <c r="Z60" s="135"/>
      <c r="AA60" s="152"/>
      <c r="AB60" s="226"/>
      <c r="AC60" s="1421"/>
      <c r="AD60" s="1421"/>
      <c r="AE60" s="1421"/>
      <c r="AF60" s="1421"/>
      <c r="AG60" s="1421"/>
      <c r="AH60" s="1421"/>
      <c r="AI60" s="226"/>
      <c r="AJ60" s="226"/>
      <c r="AK60" s="226"/>
      <c r="AL60" s="135"/>
      <c r="AM60" s="144"/>
    </row>
    <row r="61" spans="11:39" ht="15.95" customHeight="1">
      <c r="K61" s="28"/>
      <c r="L61" s="135"/>
      <c r="M61" s="135"/>
      <c r="N61" s="135"/>
      <c r="O61" s="135"/>
      <c r="P61" s="135"/>
      <c r="Q61" s="135"/>
      <c r="R61" s="135"/>
      <c r="S61" s="135"/>
      <c r="T61" s="135"/>
      <c r="U61" s="135"/>
      <c r="V61" s="135"/>
      <c r="W61" s="135"/>
      <c r="X61" s="135"/>
      <c r="Y61" s="139"/>
      <c r="Z61" s="135"/>
      <c r="AA61" s="135"/>
      <c r="AB61" s="135"/>
      <c r="AC61" s="135"/>
      <c r="AD61" s="135"/>
      <c r="AE61" s="135"/>
      <c r="AF61" s="135"/>
      <c r="AG61" s="135"/>
      <c r="AH61" s="135"/>
      <c r="AI61" s="135"/>
      <c r="AJ61" s="135"/>
      <c r="AK61" s="135"/>
      <c r="AL61" s="135"/>
      <c r="AM61" s="144"/>
    </row>
    <row r="62" spans="11:39" ht="15.95" customHeight="1">
      <c r="K62" s="28"/>
      <c r="L62" s="1417" t="s">
        <v>3074</v>
      </c>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c r="AJ62" s="1417"/>
      <c r="AK62" s="1417"/>
      <c r="AL62" s="1417"/>
      <c r="AM62" s="144"/>
    </row>
    <row r="63" spans="11:39" ht="15.95" customHeight="1">
      <c r="K63" s="28"/>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c r="AJ63" s="1417"/>
      <c r="AK63" s="1417"/>
      <c r="AL63" s="1417"/>
      <c r="AM63" s="144"/>
    </row>
    <row r="64" spans="11:39" ht="15.95" customHeight="1">
      <c r="K64" s="28"/>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4"/>
    </row>
    <row r="65" spans="11:39" ht="15.95" customHeight="1">
      <c r="K65" s="28"/>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4"/>
    </row>
    <row r="66" spans="11:39" ht="15.95" customHeight="1">
      <c r="K66" s="28"/>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4"/>
    </row>
    <row r="67" spans="11:39" ht="15.95" customHeight="1">
      <c r="K67" s="28"/>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4"/>
    </row>
    <row r="68" spans="11:39" ht="15.95" customHeight="1">
      <c r="K68" s="28"/>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c r="AJ68" s="1417"/>
      <c r="AK68" s="1417"/>
      <c r="AL68" s="1417"/>
      <c r="AM68" s="144"/>
    </row>
    <row r="69" spans="11:39" ht="15.95" customHeight="1">
      <c r="K69" s="28"/>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4"/>
    </row>
    <row r="70" spans="11:39" ht="15.95" customHeight="1">
      <c r="K70" s="28"/>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4"/>
    </row>
    <row r="71" spans="11:39" ht="15.95" customHeight="1">
      <c r="K71" s="28"/>
      <c r="L71" s="1409" t="str">
        <f>"Evergy Business Energy Savings Program • " &amp; Hotline &amp; " • evergy.energyefficiency@trccompanies.com"</f>
        <v>Evergy Business Energy Savings Program • (844)687-0229 • evergy.energyefficiency@trccompanies.com</v>
      </c>
      <c r="M71" s="1409"/>
      <c r="N71" s="1409"/>
      <c r="O71" s="1409"/>
      <c r="P71" s="1409"/>
      <c r="Q71" s="1409"/>
      <c r="R71" s="1409"/>
      <c r="S71" s="1409"/>
      <c r="T71" s="1409"/>
      <c r="U71" s="1409"/>
      <c r="V71" s="1409"/>
      <c r="W71" s="1409"/>
      <c r="X71" s="1409"/>
      <c r="Y71" s="1409"/>
      <c r="Z71" s="1409"/>
      <c r="AA71" s="1409"/>
      <c r="AB71" s="1409"/>
      <c r="AC71" s="1409"/>
      <c r="AD71" s="1409"/>
      <c r="AE71" s="1409"/>
      <c r="AF71" s="1409"/>
      <c r="AG71" s="1409"/>
      <c r="AH71" s="1409"/>
      <c r="AI71" s="1409"/>
      <c r="AJ71" s="1409"/>
      <c r="AK71" s="1409"/>
      <c r="AL71" s="1409"/>
      <c r="AM71" s="144"/>
    </row>
    <row r="72" spans="11:39" ht="15.95" customHeight="1">
      <c r="K72" s="28"/>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c r="AL72" s="1409"/>
      <c r="AM72" s="144"/>
    </row>
    <row r="73" spans="11:39" ht="15.95" customHeight="1">
      <c r="K73" s="29"/>
      <c r="L73" s="153"/>
      <c r="M73" s="154"/>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30"/>
    </row>
    <row r="74" spans="11:39"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Wq3BTSodNbXzwLEj9L2SQ7ZjXnfY4Ai3HHVm8iDLD6tkE0h9Hwkq/QOyxX/mAd0tMGZpPV/9f+OlhBdzowGQxQ==" saltValue="TfNAAgJz4ffYYG+uKsCoiQ==" spinCount="100000" sheet="1" objects="1" scenarios="1" selectLockedCells="1"/>
  <mergeCells count="81">
    <mergeCell ref="H11:AP12"/>
    <mergeCell ref="AT1:AW3"/>
    <mergeCell ref="L62:AL70"/>
    <mergeCell ref="AC58:AH60"/>
    <mergeCell ref="Z52:AL53"/>
    <mergeCell ref="M39:W40"/>
    <mergeCell ref="R36:U36"/>
    <mergeCell ref="V36:Z36"/>
    <mergeCell ref="AA36:AE36"/>
    <mergeCell ref="AF36:AJ36"/>
    <mergeCell ref="AD43:AG43"/>
    <mergeCell ref="AH43:AK43"/>
    <mergeCell ref="R37:U37"/>
    <mergeCell ref="V37:Z37"/>
    <mergeCell ref="AA37:AE37"/>
    <mergeCell ref="AF37:AJ37"/>
    <mergeCell ref="O200:AI201"/>
    <mergeCell ref="L71:AL72"/>
    <mergeCell ref="R34:U34"/>
    <mergeCell ref="M58:S58"/>
    <mergeCell ref="U58:W58"/>
    <mergeCell ref="AJ48:AL48"/>
    <mergeCell ref="M50:W51"/>
    <mergeCell ref="AA50:AK51"/>
    <mergeCell ref="L52:X54"/>
    <mergeCell ref="N45:W46"/>
    <mergeCell ref="L34:P37"/>
    <mergeCell ref="AD45:AI45"/>
    <mergeCell ref="AD46:AI46"/>
    <mergeCell ref="N47:W48"/>
    <mergeCell ref="AD47:AI47"/>
    <mergeCell ref="AD48:AI48"/>
    <mergeCell ref="AA39:AK40"/>
    <mergeCell ref="L41:X44"/>
    <mergeCell ref="Z41:AL42"/>
    <mergeCell ref="AD44:AI44"/>
    <mergeCell ref="V34:Z34"/>
    <mergeCell ref="AA34:AE34"/>
    <mergeCell ref="AF34:AJ34"/>
    <mergeCell ref="R35:U35"/>
    <mergeCell ref="V35:Z35"/>
    <mergeCell ref="AA35:AE35"/>
    <mergeCell ref="AF35:AJ35"/>
    <mergeCell ref="AF27:AK27"/>
    <mergeCell ref="L29:P32"/>
    <mergeCell ref="R29:W29"/>
    <mergeCell ref="Y29:AD29"/>
    <mergeCell ref="R30:W30"/>
    <mergeCell ref="Y30:AD30"/>
    <mergeCell ref="R31:W31"/>
    <mergeCell ref="Y31:AD31"/>
    <mergeCell ref="R32:W32"/>
    <mergeCell ref="Y32:AD32"/>
    <mergeCell ref="L18:Y20"/>
    <mergeCell ref="AE18:AL20"/>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P1:AS3"/>
    <mergeCell ref="F1:I3"/>
    <mergeCell ref="J1:M3"/>
    <mergeCell ref="AL1:AO3"/>
    <mergeCell ref="A9:AW10"/>
    <mergeCell ref="AS5:AW6"/>
    <mergeCell ref="AS7:AW7"/>
    <mergeCell ref="AS8:AW8"/>
    <mergeCell ref="A4:E6"/>
    <mergeCell ref="A7:E8"/>
    <mergeCell ref="N1:T3"/>
    <mergeCell ref="U1:AK3"/>
  </mergeCells>
  <conditionalFormatting sqref="M58">
    <cfRule type="containsBlanks" dxfId="14" priority="4">
      <formula>LEN(TRIM(M58))=0</formula>
    </cfRule>
    <cfRule type="expression" dxfId="13" priority="5">
      <formula>M58&lt;&gt;"Customer Signature"</formula>
    </cfRule>
  </conditionalFormatting>
  <conditionalFormatting sqref="U58">
    <cfRule type="containsBlanks" dxfId="12" priority="2">
      <formula>LEN(TRIM(U58))=0</formula>
    </cfRule>
    <cfRule type="expression" dxfId="11" priority="3">
      <formula>U58&lt;&gt;"Date"</formula>
    </cfRule>
  </conditionalFormatting>
  <conditionalFormatting sqref="AS8:AW8">
    <cfRule type="expression" dxfId="10" priority="1">
      <formula>IF($AS$8=PROJSTATMEASURE,FALSE,TRUE)</formula>
    </cfRule>
  </conditionalFormatting>
  <hyperlinks>
    <hyperlink ref="B202" r:id="rId1" display="businessrebates@evergy.com" xr:uid="{ECC4E7AC-9D0B-48E6-B3ED-C403D65F4D66}"/>
    <hyperlink ref="AC58:AH60" r:id="rId2" display="✉ Draft Email" xr:uid="{77BD6288-C117-4F94-AEBB-023CDF36057C}"/>
    <hyperlink ref="J1:M3" location="'M01-S02'!J1" tooltip="Instructions" display="'M01-S02'!J1" xr:uid="{78A872FE-A2DF-457E-B0FF-3230DBB79E03}"/>
    <hyperlink ref="AP1:AS3" location="'M05-S05'!AL1" tooltip=" " display="'M05-S05'!AL1" xr:uid="{3FF6ABA1-6CF0-43AE-809A-C7D351AA71BA}"/>
    <hyperlink ref="AL1:AO3" location="'M05-S04'!AH1" tooltip=" " display="'M05-S04'!AH1" xr:uid="{36996E5A-B7FA-44C9-ACC8-74ADC0A33EFA}"/>
    <hyperlink ref="AT1:AW3" location="'M01-S03'!AP1" tooltip="Contact" display="'M01-S03'!AP1" xr:uid="{A2A73045-4397-4179-827A-F9475A95E4EA}"/>
  </hyperlinks>
  <printOptions horizontalCentered="1"/>
  <pageMargins left="0" right="0" top="0" bottom="0" header="0" footer="0"/>
  <pageSetup scale="7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9393" r:id="rId6" name="Review Std">
              <controlPr defaultSize="0" autoFill="0" autoLine="0" autoPict="0">
                <anchor moveWithCells="1">
                  <from>
                    <xdr:col>12</xdr:col>
                    <xdr:colOff>28575</xdr:colOff>
                    <xdr:row>44</xdr:row>
                    <xdr:rowOff>104775</xdr:rowOff>
                  </from>
                  <to>
                    <xdr:col>12</xdr:col>
                    <xdr:colOff>257175</xdr:colOff>
                    <xdr:row>45</xdr:row>
                    <xdr:rowOff>114300</xdr:rowOff>
                  </to>
                </anchor>
              </controlPr>
            </control>
          </mc:Choice>
        </mc:AlternateContent>
        <mc:AlternateContent xmlns:mc="http://schemas.openxmlformats.org/markup-compatibility/2006">
          <mc:Choice Requires="x14">
            <control shapeId="59394" r:id="rId7" name="Review: Custom">
              <controlPr defaultSize="0" autoFill="0" autoLine="0" autoPict="0">
                <anchor moveWithCells="1">
                  <from>
                    <xdr:col>12</xdr:col>
                    <xdr:colOff>28575</xdr:colOff>
                    <xdr:row>46</xdr:row>
                    <xdr:rowOff>9525</xdr:rowOff>
                  </from>
                  <to>
                    <xdr:col>12</xdr:col>
                    <xdr:colOff>257175</xdr:colOff>
                    <xdr:row>47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'M01-S01'!Q62-TODAY()&gt;=7</xm:f>
            <x14:dxf>
              <font>
                <b val="0"/>
                <i val="0"/>
                <color theme="1"/>
              </font>
            </x14:dxf>
          </x14:cfRule>
          <x14:cfRule type="expression" priority="7" id="{24AD2262-CADE-433D-B3E2-B401794218E9}">
            <xm:f>AND('M01-S01'!Q62-TODAY()&lt;7,'M01-S01'!Q62-TODAY()&gt;2)</xm:f>
            <x14:dxf>
              <font>
                <b/>
                <i val="0"/>
                <color rgb="FFFF0000"/>
              </font>
            </x14:dxf>
          </x14:cfRule>
          <x14:cfRule type="expression" priority="8" id="{81C0909E-B1E2-4DA1-9766-9AE50367F8B6}">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theme="8" tint="0.59999389629810485"/>
    <pageSetUpPr fitToPage="1"/>
  </sheetPr>
  <dimension ref="A1:CW202"/>
  <sheetViews>
    <sheetView showGridLines="0" showRowColHeaders="0" zoomScale="85" zoomScaleNormal="85" workbookViewId="0">
      <selection activeCell="AN23" sqref="AN23:AS23"/>
    </sheetView>
  </sheetViews>
  <sheetFormatPr defaultColWidth="0" defaultRowHeight="15" customHeight="1" zeroHeight="1"/>
  <cols>
    <col min="1" max="49" width="4.7109375" customWidth="1"/>
    <col min="50" max="101" width="8.85546875" hidden="1"/>
    <col min="102" max="16384" width="4.7109375" hidden="1"/>
  </cols>
  <sheetData>
    <row r="1" spans="1:49" ht="15.95" customHeight="1">
      <c r="A1" s="17"/>
      <c r="B1" s="71"/>
      <c r="C1" s="71"/>
      <c r="D1" s="71"/>
      <c r="E1" s="71"/>
      <c r="F1" s="624" t="str">
        <f>M1S1</f>
        <v>Welcome</v>
      </c>
      <c r="G1" s="625"/>
      <c r="H1" s="625"/>
      <c r="I1" s="625"/>
      <c r="J1" s="624" t="str">
        <f>M1S2</f>
        <v>Instructions</v>
      </c>
      <c r="K1" s="625"/>
      <c r="L1" s="625"/>
      <c r="M1" s="625"/>
      <c r="N1" s="627" t="str" cm="1">
        <f t="array" ref="N1">Program_Banner</f>
        <v>Business Energy Savings</v>
      </c>
      <c r="O1" s="627"/>
      <c r="P1" s="627"/>
      <c r="Q1" s="627"/>
      <c r="R1" s="627"/>
      <c r="S1" s="627"/>
      <c r="T1" s="627"/>
      <c r="U1" s="629" t="str">
        <f ca="1">EXPNOTICE</f>
        <v/>
      </c>
      <c r="V1" s="629"/>
      <c r="W1" s="629"/>
      <c r="X1" s="629"/>
      <c r="Y1" s="629"/>
      <c r="Z1" s="629"/>
      <c r="AA1" s="629"/>
      <c r="AB1" s="629"/>
      <c r="AC1" s="629"/>
      <c r="AD1" s="629"/>
      <c r="AE1" s="629"/>
      <c r="AF1" s="629"/>
      <c r="AG1" s="629"/>
      <c r="AH1" s="629"/>
      <c r="AI1" s="629"/>
      <c r="AJ1" s="629"/>
      <c r="AK1" s="629"/>
      <c r="AL1" s="617" t="str">
        <f>IF(ACTIVEOFFER="Yes","Sign Offer
Form","")</f>
        <v/>
      </c>
      <c r="AM1" s="617"/>
      <c r="AN1" s="617"/>
      <c r="AO1" s="617"/>
      <c r="AP1" s="617" t="str">
        <f>IF(ACTIVECOMPL="Yes","Sign Completion
Form","")</f>
        <v/>
      </c>
      <c r="AQ1" s="617"/>
      <c r="AR1" s="617"/>
      <c r="AS1" s="617"/>
      <c r="AT1" s="619" t="s">
        <v>1282</v>
      </c>
      <c r="AU1" s="619"/>
      <c r="AV1" s="619"/>
      <c r="AW1" s="619"/>
    </row>
    <row r="2" spans="1:49" ht="15.95" customHeight="1">
      <c r="B2" s="71"/>
      <c r="C2" s="71"/>
      <c r="D2" s="71"/>
      <c r="E2" s="71"/>
      <c r="F2" s="625"/>
      <c r="G2" s="625"/>
      <c r="H2" s="625"/>
      <c r="I2" s="625"/>
      <c r="J2" s="625"/>
      <c r="K2" s="625"/>
      <c r="L2" s="625"/>
      <c r="M2" s="625"/>
      <c r="N2" s="627"/>
      <c r="O2" s="627"/>
      <c r="P2" s="627"/>
      <c r="Q2" s="627"/>
      <c r="R2" s="627"/>
      <c r="S2" s="627"/>
      <c r="T2" s="627"/>
      <c r="U2" s="629"/>
      <c r="V2" s="629"/>
      <c r="W2" s="629"/>
      <c r="X2" s="629"/>
      <c r="Y2" s="629"/>
      <c r="Z2" s="629"/>
      <c r="AA2" s="629"/>
      <c r="AB2" s="629"/>
      <c r="AC2" s="629"/>
      <c r="AD2" s="629"/>
      <c r="AE2" s="629"/>
      <c r="AF2" s="629"/>
      <c r="AG2" s="629"/>
      <c r="AH2" s="629"/>
      <c r="AI2" s="629"/>
      <c r="AJ2" s="629"/>
      <c r="AK2" s="629"/>
      <c r="AL2" s="617"/>
      <c r="AM2" s="617"/>
      <c r="AN2" s="617"/>
      <c r="AO2" s="617"/>
      <c r="AP2" s="617"/>
      <c r="AQ2" s="617"/>
      <c r="AR2" s="617"/>
      <c r="AS2" s="617"/>
      <c r="AT2" s="619"/>
      <c r="AU2" s="619"/>
      <c r="AV2" s="619"/>
      <c r="AW2" s="619"/>
    </row>
    <row r="3" spans="1:49" ht="15.95" customHeight="1" thickBot="1">
      <c r="A3" s="432"/>
      <c r="B3" s="433"/>
      <c r="C3" s="433"/>
      <c r="D3" s="433"/>
      <c r="E3" s="433"/>
      <c r="F3" s="626"/>
      <c r="G3" s="626"/>
      <c r="H3" s="626"/>
      <c r="I3" s="626"/>
      <c r="J3" s="626"/>
      <c r="K3" s="626"/>
      <c r="L3" s="626"/>
      <c r="M3" s="626"/>
      <c r="N3" s="628"/>
      <c r="O3" s="628"/>
      <c r="P3" s="628"/>
      <c r="Q3" s="628"/>
      <c r="R3" s="628"/>
      <c r="S3" s="628"/>
      <c r="T3" s="628"/>
      <c r="U3" s="630"/>
      <c r="V3" s="630"/>
      <c r="W3" s="630"/>
      <c r="X3" s="630"/>
      <c r="Y3" s="630"/>
      <c r="Z3" s="630"/>
      <c r="AA3" s="630"/>
      <c r="AB3" s="630"/>
      <c r="AC3" s="630"/>
      <c r="AD3" s="630"/>
      <c r="AE3" s="630"/>
      <c r="AF3" s="630"/>
      <c r="AG3" s="630"/>
      <c r="AH3" s="630"/>
      <c r="AI3" s="630"/>
      <c r="AJ3" s="630"/>
      <c r="AK3" s="630"/>
      <c r="AL3" s="618"/>
      <c r="AM3" s="618"/>
      <c r="AN3" s="618"/>
      <c r="AO3" s="618"/>
      <c r="AP3" s="618"/>
      <c r="AQ3" s="618"/>
      <c r="AR3" s="618"/>
      <c r="AS3" s="618"/>
      <c r="AT3" s="620"/>
      <c r="AU3" s="620"/>
      <c r="AV3" s="620"/>
      <c r="AW3" s="620"/>
    </row>
    <row r="4" spans="1:49" ht="15.95" customHeight="1">
      <c r="A4" s="646">
        <f>INCENTOTAL</f>
        <v>0</v>
      </c>
      <c r="B4" s="646"/>
      <c r="C4" s="646"/>
      <c r="D4" s="646"/>
      <c r="E4" s="646"/>
      <c r="F4" s="377"/>
      <c r="G4" s="377"/>
      <c r="H4" s="377"/>
      <c r="I4" s="377"/>
    </row>
    <row r="5" spans="1:49" ht="15.95" customHeight="1">
      <c r="A5" s="647"/>
      <c r="B5" s="647"/>
      <c r="C5" s="647"/>
      <c r="D5" s="647"/>
      <c r="E5" s="647"/>
      <c r="F5" s="372"/>
      <c r="G5" s="372"/>
      <c r="H5" s="372"/>
      <c r="I5" s="372"/>
      <c r="AS5" s="663">
        <f ca="1">PROGRESSSTATUS</f>
        <v>0</v>
      </c>
      <c r="AT5" s="663"/>
      <c r="AU5" s="663"/>
      <c r="AV5" s="663"/>
      <c r="AW5" s="663"/>
    </row>
    <row r="6" spans="1:49" ht="15.95" customHeight="1">
      <c r="A6" s="647"/>
      <c r="B6" s="647"/>
      <c r="C6" s="647"/>
      <c r="D6" s="647"/>
      <c r="E6" s="647"/>
      <c r="F6" s="372"/>
      <c r="G6" s="372"/>
      <c r="H6" s="372"/>
      <c r="I6" s="372"/>
      <c r="AS6" s="663"/>
      <c r="AT6" s="663"/>
      <c r="AU6" s="663"/>
      <c r="AV6" s="663"/>
      <c r="AW6" s="663"/>
    </row>
    <row r="7" spans="1:49" ht="15.95" customHeight="1">
      <c r="A7" s="662" t="s">
        <v>83</v>
      </c>
      <c r="B7" s="662"/>
      <c r="C7" s="662"/>
      <c r="D7" s="662"/>
      <c r="E7" s="662"/>
      <c r="F7" s="75"/>
      <c r="G7" s="75"/>
      <c r="H7" s="75"/>
      <c r="I7" s="75"/>
      <c r="AS7" s="662" t="s">
        <v>299</v>
      </c>
      <c r="AT7" s="662"/>
      <c r="AU7" s="662"/>
      <c r="AV7" s="662"/>
      <c r="AW7" s="662"/>
    </row>
    <row r="8" spans="1:49" ht="15.95" customHeight="1" thickBot="1">
      <c r="A8" s="665"/>
      <c r="B8" s="665"/>
      <c r="C8" s="665"/>
      <c r="D8" s="665"/>
      <c r="E8" s="665"/>
      <c r="F8" s="373"/>
      <c r="G8" s="373"/>
      <c r="H8" s="373"/>
      <c r="I8" s="373"/>
      <c r="AS8" s="661" t="str">
        <f ca="1">PROJSTATUS</f>
        <v>Enter Measures</v>
      </c>
      <c r="AT8" s="661"/>
      <c r="AU8" s="661"/>
      <c r="AV8" s="661"/>
      <c r="AW8" s="661"/>
    </row>
    <row r="9" spans="1:49" ht="15.95" customHeight="1">
      <c r="B9" s="310"/>
      <c r="C9" s="274"/>
      <c r="D9" s="274"/>
      <c r="F9" s="310"/>
      <c r="G9" s="310"/>
      <c r="H9" s="310"/>
      <c r="I9" s="310"/>
      <c r="J9" s="310"/>
      <c r="K9" s="310"/>
      <c r="L9" s="310"/>
      <c r="M9" s="310"/>
      <c r="N9" s="310"/>
      <c r="O9" s="310"/>
      <c r="P9" s="310"/>
      <c r="Q9" s="310"/>
      <c r="R9" s="310"/>
      <c r="S9" s="310"/>
      <c r="T9" s="310"/>
      <c r="U9" s="664" t="str">
        <f>M5S7</f>
        <v>Summary Form</v>
      </c>
      <c r="V9" s="664"/>
      <c r="W9" s="664"/>
      <c r="X9" s="664"/>
      <c r="Y9" s="664"/>
      <c r="Z9" s="664"/>
      <c r="AA9" s="664"/>
      <c r="AB9" s="664"/>
      <c r="AC9" s="310"/>
      <c r="AD9" s="310"/>
      <c r="AE9" s="310"/>
      <c r="AF9" s="310"/>
      <c r="AG9" s="310"/>
      <c r="AH9" s="310"/>
      <c r="AI9" s="310"/>
      <c r="AJ9" s="310"/>
      <c r="AK9" s="310"/>
      <c r="AL9" s="310"/>
      <c r="AM9" s="310"/>
      <c r="AN9" s="310"/>
      <c r="AO9" s="310"/>
      <c r="AP9" s="310"/>
      <c r="AQ9" s="310"/>
      <c r="AR9" s="310"/>
      <c r="AS9" s="310"/>
      <c r="AT9" s="310"/>
      <c r="AU9" s="310"/>
      <c r="AV9" s="310"/>
      <c r="AW9" s="310"/>
    </row>
    <row r="10" spans="1:49" ht="15.95" customHeight="1" thickBot="1">
      <c r="A10" s="274"/>
      <c r="B10" s="274"/>
      <c r="C10" s="274"/>
      <c r="D10" s="274"/>
      <c r="E10" s="290" t="s">
        <v>1842</v>
      </c>
      <c r="F10" s="274"/>
      <c r="G10" s="274"/>
      <c r="H10" s="274"/>
      <c r="I10" s="274"/>
      <c r="J10" s="274"/>
      <c r="K10" s="274"/>
      <c r="L10" s="274"/>
      <c r="M10" s="274"/>
      <c r="N10" s="274"/>
      <c r="O10" s="274"/>
      <c r="P10" s="274"/>
      <c r="Q10" s="274"/>
      <c r="R10" s="274"/>
      <c r="S10" s="274"/>
      <c r="T10" s="274"/>
      <c r="U10" s="643"/>
      <c r="V10" s="643"/>
      <c r="W10" s="643"/>
      <c r="X10" s="643"/>
      <c r="Y10" s="643"/>
      <c r="Z10" s="643"/>
      <c r="AA10" s="643"/>
      <c r="AB10" s="643"/>
      <c r="AC10" s="274"/>
      <c r="AD10" s="274"/>
      <c r="AE10" s="274"/>
      <c r="AF10" s="274"/>
      <c r="AG10" s="274"/>
      <c r="AH10" s="274"/>
      <c r="AI10" s="274"/>
      <c r="AJ10" s="274"/>
      <c r="AK10" s="274"/>
      <c r="AL10" s="274"/>
      <c r="AM10" s="274"/>
      <c r="AN10" s="274"/>
      <c r="AO10" s="274"/>
      <c r="AP10" s="274"/>
      <c r="AQ10" s="274"/>
      <c r="AR10" s="274"/>
      <c r="AS10" s="274"/>
      <c r="AT10" s="274"/>
      <c r="AU10" s="274"/>
      <c r="AV10" s="274"/>
      <c r="AW10" s="274"/>
    </row>
    <row r="11" spans="1:49" ht="15.95" customHeight="1" thickBot="1">
      <c r="C11" s="376"/>
      <c r="D11" s="1582" t="s">
        <v>1827</v>
      </c>
      <c r="E11" s="1573" t="str">
        <f>_xlfn.LET(
_xlpm.BLDGTYPE,
IF(M02S04F19="Other", "Building Type is Other - Verify and update on Building Information tab. ",""),
_xlpm.OVERRIDE,
IF(OVERRIDETOTAL&gt;0," Incentive has been overridden. ",""),
_xlpm.UNIT_M4S4,
IF(NOT(ISNUMBER(M4S4UNITCHECK)),M4S4UNITCHECK,""),
_xlpm.UNIT_M4S5,
IF(NOT(ISNUMBER(M4S5UNITCHECK)),M4S5UNITCHECK,""),
_xlpm.UNIT_M4S6,
IF(NOT(ISNUMBER(M4S6UNITCHECK)),M4S6UNITCHECK,""),
_xlpm.UNIT_M4S7,
IF(NOT(ISNUMBER(M4S7UNITCHECK)),M4S7UNITCHECK,""),
_xlpm.UNIT_M4S8,
IF(NOT(ISNUMBER(M4S8UNITCHECK)),M4S8UNITCHECK,""),
_xlpm.UNIT_M4S9,
IF(NOT(ISNUMBER(M4S9UNITCHECK)),M4S9UNITCHECK,""),
_xlpm.BONUS,
IF(ACTIVEBONUS = TRUE,"Incentive increase is active. ",""),
_xlpm.SB,
IF(ISNUMBER(SEARCH("SGS", M02S04F05)), "Small Business Eligible. ", ""),
_xlpm.NP,
IF(AND( M02S03F11 = "Yes", M02S03F12 = "Yes", M02S03F13 = "Yes"), "Non-Profit Eligible. ", ""),
_xlpm.MGS,
IF(ISNUMBER(SEARCH("MGS", M02S04F05)), "Check site usage for Small Business eligibility. ", ""),
_xlpm.MSG_GEN,
_xlpm.BONUS &amp; _xlpm.SB &amp; _xlpm.NP,
_xlpm.MSG_IS,
_xlpm.BLDGTYPE &amp; _xlpm.MGS,
_xlpm.MSG_ENG,
_xlpm.OVERRIDE &amp; _xlpm.UNIT_M4S4 &amp; _xlpm.UNIT_M4S5 &amp; _xlpm.UNIT_M4S6 &amp; _xlpm.UNIT_M4S7 &amp; _xlpm.UNIT_M4S8 &amp; _xlpm.UNIT_M4S9,
IF(_xlpm.MSG_GEN &lt;&gt; "","GENERAL: " &amp; _xlpm.MSG_GEN &amp; CHAR(10),"") &amp; IF(_xlpm.MSG_IS &lt;&gt; "","IS: " &amp; _xlpm.MSG_IS &amp; CHAR(10),"") &amp; IF(_xlpm.MSG_ENG &lt;&gt; "","ENG: " &amp; _xlpm.MSG_ENG,""))</f>
        <v/>
      </c>
      <c r="F11" s="1574"/>
      <c r="G11" s="1574"/>
      <c r="H11" s="1574"/>
      <c r="I11" s="1574"/>
      <c r="J11" s="1574"/>
      <c r="K11" s="1574"/>
      <c r="L11" s="1574"/>
      <c r="M11" s="1574"/>
      <c r="N11" s="1574"/>
      <c r="O11" s="1574"/>
      <c r="P11" s="1574"/>
      <c r="Q11" s="1574"/>
      <c r="R11" s="1574"/>
      <c r="S11" s="1574"/>
      <c r="T11" s="1574"/>
      <c r="U11" s="1574"/>
      <c r="V11" s="1574"/>
      <c r="W11" s="1575"/>
      <c r="X11" s="17"/>
      <c r="Y11" s="1468" t="s">
        <v>1308</v>
      </c>
      <c r="Z11" s="1469"/>
      <c r="AA11" s="1469"/>
      <c r="AB11" s="1469"/>
      <c r="AC11" s="1469"/>
      <c r="AD11" s="1469"/>
      <c r="AE11" s="1469"/>
      <c r="AF11" s="1469"/>
      <c r="AG11" s="1469"/>
      <c r="AH11" s="1470"/>
      <c r="AI11" s="17"/>
      <c r="AJ11" s="1480" t="s">
        <v>311</v>
      </c>
      <c r="AK11" s="1481"/>
      <c r="AL11" s="1481"/>
      <c r="AM11" s="1481"/>
      <c r="AN11" s="1481"/>
      <c r="AO11" s="1481"/>
      <c r="AP11" s="1481"/>
      <c r="AQ11" s="1481"/>
      <c r="AR11" s="1481"/>
      <c r="AS11" s="1482"/>
      <c r="AT11" s="17"/>
      <c r="AU11" s="17"/>
      <c r="AV11" s="17"/>
    </row>
    <row r="12" spans="1:49" ht="15.95" customHeight="1" thickBot="1">
      <c r="C12" s="376"/>
      <c r="D12" s="1582"/>
      <c r="E12" s="1576"/>
      <c r="F12" s="1577"/>
      <c r="G12" s="1577"/>
      <c r="H12" s="1577"/>
      <c r="I12" s="1577"/>
      <c r="J12" s="1577"/>
      <c r="K12" s="1577"/>
      <c r="L12" s="1577"/>
      <c r="M12" s="1577"/>
      <c r="N12" s="1577"/>
      <c r="O12" s="1577"/>
      <c r="P12" s="1577"/>
      <c r="Q12" s="1577"/>
      <c r="R12" s="1577"/>
      <c r="S12" s="1577"/>
      <c r="T12" s="1577"/>
      <c r="U12" s="1577"/>
      <c r="V12" s="1577"/>
      <c r="W12" s="1578"/>
      <c r="Y12" s="1471"/>
      <c r="Z12" s="1472"/>
      <c r="AA12" s="1472"/>
      <c r="AB12" s="1472"/>
      <c r="AC12" s="1472"/>
      <c r="AD12" s="1472"/>
      <c r="AE12" s="1472"/>
      <c r="AF12" s="1472"/>
      <c r="AG12" s="1472"/>
      <c r="AH12" s="1473"/>
      <c r="AJ12" s="1454" t="s">
        <v>1725</v>
      </c>
      <c r="AK12" s="1455"/>
      <c r="AL12" s="1455"/>
      <c r="AM12" s="1456"/>
      <c r="AN12" s="1498"/>
      <c r="AO12" s="1499"/>
      <c r="AP12" s="1499"/>
      <c r="AQ12" s="1499"/>
      <c r="AR12" s="1499"/>
      <c r="AS12" s="1500"/>
      <c r="AT12" s="17"/>
      <c r="AU12" s="17"/>
      <c r="AV12" s="17"/>
    </row>
    <row r="13" spans="1:49" ht="15.95" customHeight="1" thickBot="1">
      <c r="C13" s="376"/>
      <c r="D13" s="1582"/>
      <c r="E13" s="1579"/>
      <c r="F13" s="1580"/>
      <c r="G13" s="1580"/>
      <c r="H13" s="1580"/>
      <c r="I13" s="1580"/>
      <c r="J13" s="1580"/>
      <c r="K13" s="1580"/>
      <c r="L13" s="1580"/>
      <c r="M13" s="1580"/>
      <c r="N13" s="1580"/>
      <c r="O13" s="1580"/>
      <c r="P13" s="1580"/>
      <c r="Q13" s="1580"/>
      <c r="R13" s="1580"/>
      <c r="S13" s="1580"/>
      <c r="T13" s="1580"/>
      <c r="U13" s="1580"/>
      <c r="V13" s="1580"/>
      <c r="W13" s="1581"/>
      <c r="Y13" s="1474"/>
      <c r="Z13" s="1475"/>
      <c r="AA13" s="1475"/>
      <c r="AB13" s="1475"/>
      <c r="AC13" s="1475"/>
      <c r="AD13" s="1475"/>
      <c r="AE13" s="1475"/>
      <c r="AF13" s="1475"/>
      <c r="AG13" s="1475"/>
      <c r="AH13" s="1476"/>
      <c r="AJ13" s="1454" t="s">
        <v>600</v>
      </c>
      <c r="AK13" s="1455"/>
      <c r="AL13" s="1455"/>
      <c r="AM13" s="1456"/>
      <c r="AN13" s="1495"/>
      <c r="AO13" s="1496"/>
      <c r="AP13" s="1496"/>
      <c r="AQ13" s="1496"/>
      <c r="AR13" s="1496"/>
      <c r="AS13" s="1497"/>
      <c r="AT13" s="17"/>
      <c r="AU13" s="17"/>
      <c r="AV13" s="17"/>
    </row>
    <row r="14" spans="1:49" ht="15.95" customHeight="1" thickBot="1">
      <c r="B14" s="17"/>
      <c r="C14" s="17"/>
      <c r="D14" s="17"/>
      <c r="Y14" s="1474"/>
      <c r="Z14" s="1475"/>
      <c r="AA14" s="1475"/>
      <c r="AB14" s="1475"/>
      <c r="AC14" s="1475"/>
      <c r="AD14" s="1475"/>
      <c r="AE14" s="1475"/>
      <c r="AF14" s="1475"/>
      <c r="AG14" s="1475"/>
      <c r="AH14" s="1476"/>
      <c r="AJ14" s="1454" t="s">
        <v>308</v>
      </c>
      <c r="AK14" s="1455"/>
      <c r="AL14" s="1455"/>
      <c r="AM14" s="1456"/>
      <c r="AN14" s="1495"/>
      <c r="AO14" s="1496"/>
      <c r="AP14" s="1496"/>
      <c r="AQ14" s="1496"/>
      <c r="AR14" s="1496"/>
      <c r="AS14" s="1497"/>
      <c r="AT14" s="17"/>
      <c r="AU14" s="17"/>
      <c r="AV14" s="17"/>
    </row>
    <row r="15" spans="1:49" ht="15.95" customHeight="1" thickBot="1">
      <c r="B15" s="17"/>
      <c r="C15" s="17"/>
      <c r="D15" s="17"/>
      <c r="E15" s="1468" t="s">
        <v>69</v>
      </c>
      <c r="F15" s="1469"/>
      <c r="G15" s="1469"/>
      <c r="H15" s="1469"/>
      <c r="I15" s="1469"/>
      <c r="J15" s="1469"/>
      <c r="K15" s="1469"/>
      <c r="L15" s="1469"/>
      <c r="M15" s="1469"/>
      <c r="N15" s="1470"/>
      <c r="P15" s="1480" t="s">
        <v>1091</v>
      </c>
      <c r="Q15" s="1481"/>
      <c r="R15" s="1481"/>
      <c r="S15" s="1481"/>
      <c r="T15" s="1481"/>
      <c r="U15" s="1481"/>
      <c r="V15" s="1481"/>
      <c r="W15" s="1482"/>
      <c r="Y15" s="1474"/>
      <c r="Z15" s="1475"/>
      <c r="AA15" s="1475"/>
      <c r="AB15" s="1475"/>
      <c r="AC15" s="1475"/>
      <c r="AD15" s="1475"/>
      <c r="AE15" s="1475"/>
      <c r="AF15" s="1475"/>
      <c r="AG15" s="1475"/>
      <c r="AH15" s="1476"/>
      <c r="AJ15" s="1454" t="s">
        <v>309</v>
      </c>
      <c r="AK15" s="1455"/>
      <c r="AL15" s="1455"/>
      <c r="AM15" s="1456"/>
      <c r="AN15" s="1495"/>
      <c r="AO15" s="1496"/>
      <c r="AP15" s="1496"/>
      <c r="AQ15" s="1496"/>
      <c r="AR15" s="1496"/>
      <c r="AS15" s="1497"/>
      <c r="AT15" s="17"/>
      <c r="AU15" s="17"/>
      <c r="AV15" s="17"/>
    </row>
    <row r="16" spans="1:49" ht="15.95" customHeight="1" thickBot="1">
      <c r="B16" s="17"/>
      <c r="C16" s="17"/>
      <c r="D16" s="17"/>
      <c r="E16" s="1463" t="s">
        <v>1113</v>
      </c>
      <c r="F16" s="1463"/>
      <c r="G16" s="1463"/>
      <c r="H16" s="1463"/>
      <c r="I16" s="1483" t="str">
        <f>PROPER(M02S04F07)</f>
        <v/>
      </c>
      <c r="J16" s="1484"/>
      <c r="K16" s="1484"/>
      <c r="L16" s="1484"/>
      <c r="M16" s="1484"/>
      <c r="N16" s="1485"/>
      <c r="P16" s="1457" t="s">
        <v>1306</v>
      </c>
      <c r="Q16" s="1458"/>
      <c r="R16" s="1458"/>
      <c r="S16" s="1459"/>
      <c r="T16" s="1486" t="str">
        <f ca="1">IF(COMPTERMS=1,"Completed",IF(COMPTERMS&gt;0.7,"Almost!","Incomplete"))</f>
        <v>Incomplete</v>
      </c>
      <c r="U16" s="1487"/>
      <c r="V16" s="1487"/>
      <c r="W16" s="1488"/>
      <c r="Y16" s="1477"/>
      <c r="Z16" s="1478"/>
      <c r="AA16" s="1478"/>
      <c r="AB16" s="1478"/>
      <c r="AC16" s="1478"/>
      <c r="AD16" s="1478"/>
      <c r="AE16" s="1478"/>
      <c r="AF16" s="1478"/>
      <c r="AG16" s="1478"/>
      <c r="AH16" s="1479"/>
      <c r="AJ16" s="1454" t="s">
        <v>310</v>
      </c>
      <c r="AK16" s="1455"/>
      <c r="AL16" s="1455"/>
      <c r="AM16" s="1456"/>
      <c r="AN16" s="1510"/>
      <c r="AO16" s="1511"/>
      <c r="AP16" s="1511"/>
      <c r="AQ16" s="1511"/>
      <c r="AR16" s="1511"/>
      <c r="AS16" s="1512"/>
      <c r="AT16" s="17"/>
      <c r="AU16" s="17"/>
      <c r="AV16" s="17"/>
    </row>
    <row r="17" spans="2:48" ht="15.95" customHeight="1" thickBot="1">
      <c r="B17" s="17"/>
      <c r="C17" s="17"/>
      <c r="D17" s="17"/>
      <c r="E17" s="1463" t="s">
        <v>1114</v>
      </c>
      <c r="F17" s="1463"/>
      <c r="G17" s="1463"/>
      <c r="H17" s="1464"/>
      <c r="I17" s="1465">
        <f>M02S04F03</f>
        <v>0</v>
      </c>
      <c r="J17" s="1466"/>
      <c r="K17" s="1466"/>
      <c r="L17" s="1466"/>
      <c r="M17" s="1466"/>
      <c r="N17" s="1467"/>
      <c r="P17" s="1457" t="s">
        <v>1305</v>
      </c>
      <c r="Q17" s="1458"/>
      <c r="R17" s="1458"/>
      <c r="S17" s="1459"/>
      <c r="T17" s="1489">
        <f>M02S01F01</f>
        <v>0</v>
      </c>
      <c r="U17" s="1490"/>
      <c r="V17" s="1490"/>
      <c r="W17" s="1491"/>
      <c r="AJ17" s="1454" t="s">
        <v>622</v>
      </c>
      <c r="AK17" s="1455"/>
      <c r="AL17" s="1455"/>
      <c r="AM17" s="1456"/>
      <c r="AN17" s="1513" t="str">
        <f>IF(ISTEXT(M02S04F24), M02S04F24, " ")</f>
        <v xml:space="preserve"> </v>
      </c>
      <c r="AO17" s="1514"/>
      <c r="AP17" s="1514"/>
      <c r="AQ17" s="1514"/>
      <c r="AR17" s="1514"/>
      <c r="AS17" s="1515"/>
      <c r="AT17" s="17"/>
      <c r="AU17" s="17"/>
      <c r="AV17" s="17"/>
    </row>
    <row r="18" spans="2:48" ht="15.95" customHeight="1" thickBot="1">
      <c r="B18" s="17"/>
      <c r="C18" s="17"/>
      <c r="D18" s="17"/>
      <c r="E18" s="1463" t="s">
        <v>1114</v>
      </c>
      <c r="F18" s="1463"/>
      <c r="G18" s="1463"/>
      <c r="H18" s="1464"/>
      <c r="I18" s="1465">
        <f>M02S04F04</f>
        <v>0</v>
      </c>
      <c r="J18" s="1466"/>
      <c r="K18" s="1466"/>
      <c r="L18" s="1466"/>
      <c r="M18" s="1466"/>
      <c r="N18" s="1467"/>
      <c r="P18" s="1457" t="s">
        <v>833</v>
      </c>
      <c r="Q18" s="1458"/>
      <c r="R18" s="1458"/>
      <c r="S18" s="1459"/>
      <c r="T18" s="1448" t="str">
        <f ca="1">IF(COMPTA=1,"Completed",IF(COMPTA&gt;0.7,"Almost!","Incomplete"))</f>
        <v>Incomplete</v>
      </c>
      <c r="U18" s="1449"/>
      <c r="V18" s="1449"/>
      <c r="W18" s="1450"/>
      <c r="Y18" s="1468" t="s">
        <v>1309</v>
      </c>
      <c r="Z18" s="1469"/>
      <c r="AA18" s="1469"/>
      <c r="AB18" s="1469"/>
      <c r="AC18" s="1469"/>
      <c r="AD18" s="1469"/>
      <c r="AE18" s="1469"/>
      <c r="AF18" s="1469"/>
      <c r="AG18" s="1469"/>
      <c r="AH18" s="1470"/>
      <c r="AT18" s="17"/>
      <c r="AU18" s="17"/>
      <c r="AV18" s="17"/>
    </row>
    <row r="19" spans="2:48" ht="15.95" customHeight="1" thickBot="1">
      <c r="B19" s="17"/>
      <c r="C19" s="17"/>
      <c r="D19" s="17"/>
      <c r="E19" s="1463" t="s">
        <v>927</v>
      </c>
      <c r="F19" s="1463"/>
      <c r="G19" s="1463"/>
      <c r="H19" s="1463"/>
      <c r="I19" s="1504" t="str">
        <f>IF(AND(INCENTOTALPRESE&gt;0,INCENTOTALCUSE&gt;0,ACTIVEBLOCK&lt;&gt;"Yes"),"Standard and Custom",IF(AND(INCENTOTALPRESE&gt;0,INCENTOTALCUSE=0,ACTIVEBLOCK&lt;&gt;"Yes"),"Standard",IF(AND(INCENTOTALPRESE=0,INCENTOTALCUSE&gt;0,ACTIVEBLOCK&lt;&gt;"Yes"),"Custom",IF(AND(INCENTOTALCUSE&gt;0,ACTIVEBLOCK="Yes"),"Block Bidding",""))))</f>
        <v/>
      </c>
      <c r="J19" s="1505"/>
      <c r="K19" s="1505"/>
      <c r="L19" s="1505"/>
      <c r="M19" s="1505"/>
      <c r="N19" s="1506"/>
      <c r="P19" s="1457" t="s">
        <v>998</v>
      </c>
      <c r="Q19" s="1458"/>
      <c r="R19" s="1458"/>
      <c r="S19" s="1459"/>
      <c r="T19" s="1492" t="str">
        <f ca="1">IF(COMPCUSTOMER=1,"Completed",IF(COMPCUSTOMER&gt;0.7,"Almost!","Incomplete"))</f>
        <v>Incomplete</v>
      </c>
      <c r="U19" s="1493"/>
      <c r="V19" s="1493"/>
      <c r="W19" s="1494"/>
      <c r="Y19" s="1471"/>
      <c r="Z19" s="1472"/>
      <c r="AA19" s="1472"/>
      <c r="AB19" s="1472"/>
      <c r="AC19" s="1472"/>
      <c r="AD19" s="1472"/>
      <c r="AE19" s="1472"/>
      <c r="AF19" s="1472"/>
      <c r="AG19" s="1472"/>
      <c r="AH19" s="1473"/>
      <c r="AJ19" s="1480" t="s">
        <v>779</v>
      </c>
      <c r="AK19" s="1481"/>
      <c r="AL19" s="1481"/>
      <c r="AM19" s="1481"/>
      <c r="AN19" s="1481"/>
      <c r="AO19" s="1481"/>
      <c r="AP19" s="1481"/>
      <c r="AQ19" s="1481"/>
      <c r="AR19" s="1481"/>
      <c r="AS19" s="1482"/>
      <c r="AT19" s="17"/>
    </row>
    <row r="20" spans="2:48" ht="15.95" customHeight="1" thickBot="1">
      <c r="B20" s="17"/>
      <c r="C20" s="17"/>
      <c r="D20" s="17"/>
      <c r="E20" s="1463" t="s">
        <v>1247</v>
      </c>
      <c r="F20" s="1463"/>
      <c r="G20" s="1463"/>
      <c r="H20" s="1463"/>
      <c r="I20" s="1507" t="str">
        <f>IF(INCENTOTAL=0,"",IF(OR(INCENTOTALPRESE&gt;INCPREAPPROVAL,INCENTOTALCUSE&gt;0,ACTIVEBLOCK="Yes"),"Pre-Approval","Fast-Track"))</f>
        <v/>
      </c>
      <c r="J20" s="1508"/>
      <c r="K20" s="1508"/>
      <c r="L20" s="1508"/>
      <c r="M20" s="1508"/>
      <c r="N20" s="1509"/>
      <c r="P20" s="1457" t="s">
        <v>1090</v>
      </c>
      <c r="Q20" s="1458"/>
      <c r="R20" s="1458"/>
      <c r="S20" s="1459"/>
      <c r="T20" s="1501" t="str">
        <f ca="1">IF(COMPBUILD=1,"Completed",IF(COMPBUILD&gt;0.7,"Almost!","Incomplete"))</f>
        <v>Incomplete</v>
      </c>
      <c r="U20" s="1502"/>
      <c r="V20" s="1502"/>
      <c r="W20" s="1503"/>
      <c r="Y20" s="1474"/>
      <c r="Z20" s="1475"/>
      <c r="AA20" s="1475"/>
      <c r="AB20" s="1475"/>
      <c r="AC20" s="1475"/>
      <c r="AD20" s="1475"/>
      <c r="AE20" s="1475"/>
      <c r="AF20" s="1475"/>
      <c r="AG20" s="1475"/>
      <c r="AH20" s="1476"/>
      <c r="AJ20" s="1454" t="s">
        <v>780</v>
      </c>
      <c r="AK20" s="1455"/>
      <c r="AL20" s="1455"/>
      <c r="AM20" s="1456"/>
      <c r="AN20" s="1451" t="s">
        <v>831</v>
      </c>
      <c r="AO20" s="1452"/>
      <c r="AP20" s="1452"/>
      <c r="AQ20" s="1452"/>
      <c r="AR20" s="1452"/>
      <c r="AS20" s="1453"/>
      <c r="AT20" s="17"/>
    </row>
    <row r="21" spans="2:48" ht="15.95" customHeight="1" thickBot="1">
      <c r="B21" s="17"/>
      <c r="C21" s="17"/>
      <c r="D21" s="17"/>
      <c r="E21" s="1463" t="s">
        <v>1115</v>
      </c>
      <c r="F21" s="1463"/>
      <c r="G21" s="1463"/>
      <c r="H21" s="1463"/>
      <c r="I21" s="1507" t="str">
        <f>VERSION</f>
        <v>v1.2.1</v>
      </c>
      <c r="J21" s="1508"/>
      <c r="K21" s="1508"/>
      <c r="L21" s="1508"/>
      <c r="M21" s="1508"/>
      <c r="N21" s="1509"/>
      <c r="P21" s="1457" t="s">
        <v>790</v>
      </c>
      <c r="Q21" s="1458"/>
      <c r="R21" s="1458"/>
      <c r="S21" s="1459"/>
      <c r="T21" s="1448" t="str">
        <f>IF(COMPMEASURE=1,"Completed",IF(COMPMEASURE&gt;0.7,"Almost!","Incomplete"))</f>
        <v>Incomplete</v>
      </c>
      <c r="U21" s="1449"/>
      <c r="V21" s="1449"/>
      <c r="W21" s="1450"/>
      <c r="Y21" s="1474"/>
      <c r="Z21" s="1475"/>
      <c r="AA21" s="1475"/>
      <c r="AB21" s="1475"/>
      <c r="AC21" s="1475"/>
      <c r="AD21" s="1475"/>
      <c r="AE21" s="1475"/>
      <c r="AF21" s="1475"/>
      <c r="AG21" s="1475"/>
      <c r="AH21" s="1476"/>
      <c r="AJ21" s="1454" t="s">
        <v>781</v>
      </c>
      <c r="AK21" s="1455"/>
      <c r="AL21" s="1455"/>
      <c r="AM21" s="1456"/>
      <c r="AN21" s="1451" t="s">
        <v>831</v>
      </c>
      <c r="AO21" s="1452"/>
      <c r="AP21" s="1452"/>
      <c r="AQ21" s="1452"/>
      <c r="AR21" s="1452"/>
      <c r="AS21" s="1453"/>
      <c r="AT21" s="17"/>
    </row>
    <row r="22" spans="2:48" ht="15.95" customHeight="1" thickBot="1">
      <c r="B22" s="17"/>
      <c r="C22" s="17"/>
      <c r="D22" s="17"/>
      <c r="E22" s="1463" t="s">
        <v>1097</v>
      </c>
      <c r="F22" s="1463"/>
      <c r="G22" s="1463"/>
      <c r="H22" s="1463"/>
      <c r="I22" s="1460">
        <f>M05S02F01</f>
        <v>0</v>
      </c>
      <c r="J22" s="1461"/>
      <c r="K22" s="1461"/>
      <c r="L22" s="1461"/>
      <c r="M22" s="1461"/>
      <c r="N22" s="1462"/>
      <c r="P22" s="1457" t="s">
        <v>775</v>
      </c>
      <c r="Q22" s="1458"/>
      <c r="R22" s="1458"/>
      <c r="S22" s="1459"/>
      <c r="T22" s="1448" t="str">
        <f ca="1">IF(COMPPAY=1,"Completed",IF(COMPPAY&gt;0.7,"Almost!","Incomplete"))</f>
        <v>Incomplete</v>
      </c>
      <c r="U22" s="1449"/>
      <c r="V22" s="1449"/>
      <c r="W22" s="1450"/>
      <c r="Y22" s="1474"/>
      <c r="Z22" s="1475"/>
      <c r="AA22" s="1475"/>
      <c r="AB22" s="1475"/>
      <c r="AC22" s="1475"/>
      <c r="AD22" s="1475"/>
      <c r="AE22" s="1475"/>
      <c r="AF22" s="1475"/>
      <c r="AG22" s="1475"/>
      <c r="AH22" s="1476"/>
      <c r="AJ22" s="1454" t="s">
        <v>1148</v>
      </c>
      <c r="AK22" s="1455"/>
      <c r="AL22" s="1455"/>
      <c r="AM22" s="1456"/>
      <c r="AN22" s="1451"/>
      <c r="AO22" s="1452"/>
      <c r="AP22" s="1452"/>
      <c r="AQ22" s="1452"/>
      <c r="AR22" s="1452"/>
      <c r="AS22" s="1453"/>
      <c r="AT22" s="17"/>
    </row>
    <row r="23" spans="2:48" ht="15.95" customHeight="1" thickBot="1">
      <c r="E23" s="1463" t="s">
        <v>1098</v>
      </c>
      <c r="F23" s="1463"/>
      <c r="G23" s="1463"/>
      <c r="H23" s="1463"/>
      <c r="I23" s="1460">
        <f>M05S02F02</f>
        <v>0</v>
      </c>
      <c r="J23" s="1461"/>
      <c r="K23" s="1461"/>
      <c r="L23" s="1461"/>
      <c r="M23" s="1461"/>
      <c r="N23" s="1462"/>
      <c r="P23" s="1535" t="s">
        <v>837</v>
      </c>
      <c r="Q23" s="1536"/>
      <c r="R23" s="1536"/>
      <c r="S23" s="1537"/>
      <c r="T23" s="1448" t="str">
        <f ca="1">IF(COMPSUMMARY=1,"Completed",IF(COMPSUMMARY&gt;0.7,"Almost!","Incomplete"))</f>
        <v>Incomplete</v>
      </c>
      <c r="U23" s="1449"/>
      <c r="V23" s="1449"/>
      <c r="W23" s="1450"/>
      <c r="Y23" s="1477"/>
      <c r="Z23" s="1478"/>
      <c r="AA23" s="1478"/>
      <c r="AB23" s="1478"/>
      <c r="AC23" s="1478"/>
      <c r="AD23" s="1478"/>
      <c r="AE23" s="1478"/>
      <c r="AF23" s="1478"/>
      <c r="AG23" s="1478"/>
      <c r="AH23" s="1479"/>
      <c r="AJ23" s="1583" t="s">
        <v>2274</v>
      </c>
      <c r="AK23" s="1584"/>
      <c r="AL23" s="1584"/>
      <c r="AM23" s="1585"/>
      <c r="AN23" s="1586"/>
      <c r="AO23" s="1587"/>
      <c r="AP23" s="1587"/>
      <c r="AQ23" s="1587"/>
      <c r="AR23" s="1587"/>
      <c r="AS23" s="1588"/>
    </row>
    <row r="24" spans="2:48" ht="15.95" customHeight="1" thickBot="1">
      <c r="B24" s="17"/>
      <c r="C24" s="17"/>
      <c r="D24" s="17"/>
      <c r="AT24" s="17"/>
      <c r="AU24" s="17"/>
      <c r="AV24" s="17"/>
    </row>
    <row r="25" spans="2:48" ht="15.95" customHeight="1" thickBot="1">
      <c r="B25" s="17"/>
      <c r="C25" s="17"/>
      <c r="D25" s="17"/>
      <c r="E25" s="1553" t="s">
        <v>1100</v>
      </c>
      <c r="F25" s="1553"/>
      <c r="G25" s="1553"/>
      <c r="H25" s="1553"/>
      <c r="I25" s="1553"/>
      <c r="J25" s="1553"/>
      <c r="K25" s="1553"/>
      <c r="L25" s="1553"/>
      <c r="M25" s="1553"/>
      <c r="N25" s="1553"/>
      <c r="O25" s="1553"/>
      <c r="P25" s="1553"/>
      <c r="Q25" s="1553"/>
      <c r="R25" s="110"/>
      <c r="S25" s="1553" t="s">
        <v>1101</v>
      </c>
      <c r="T25" s="1553"/>
      <c r="U25" s="1553"/>
      <c r="V25" s="1553"/>
      <c r="W25" s="1553"/>
      <c r="X25" s="1553"/>
      <c r="Y25" s="1553"/>
      <c r="Z25" s="1553"/>
      <c r="AA25" s="1553"/>
      <c r="AB25" s="1553"/>
      <c r="AC25" s="1553"/>
      <c r="AD25" s="1553"/>
      <c r="AE25" s="1553"/>
      <c r="AF25" s="110"/>
      <c r="AG25" s="1556" t="s">
        <v>313</v>
      </c>
      <c r="AH25" s="1557"/>
      <c r="AI25" s="1557"/>
      <c r="AJ25" s="1557"/>
      <c r="AK25" s="1557"/>
      <c r="AL25" s="1557"/>
      <c r="AM25" s="1557"/>
      <c r="AN25" s="1557"/>
      <c r="AO25" s="1557"/>
      <c r="AP25" s="1557"/>
      <c r="AQ25" s="1557"/>
      <c r="AR25" s="1557"/>
      <c r="AS25" s="1557"/>
      <c r="AT25" s="17"/>
      <c r="AU25" s="17"/>
      <c r="AV25" s="17"/>
    </row>
    <row r="26" spans="2:48" ht="15.95" customHeight="1" thickBot="1">
      <c r="B26" s="17"/>
      <c r="C26" s="17"/>
      <c r="D26" s="17"/>
      <c r="E26" s="1517" t="s">
        <v>1092</v>
      </c>
      <c r="F26" s="1517"/>
      <c r="G26" s="1517"/>
      <c r="H26" s="1517"/>
      <c r="I26" s="1518" t="str">
        <f>SUBSTITUTE(PROPER(M02S03F01),"'S","'s")</f>
        <v/>
      </c>
      <c r="J26" s="1518"/>
      <c r="K26" s="1518"/>
      <c r="L26" s="1518"/>
      <c r="M26" s="1518"/>
      <c r="N26" s="1518"/>
      <c r="O26" s="1518"/>
      <c r="P26" s="1518"/>
      <c r="Q26" s="1518"/>
      <c r="R26" s="110"/>
      <c r="S26" s="1558" t="s">
        <v>1117</v>
      </c>
      <c r="T26" s="1559"/>
      <c r="U26" s="1559"/>
      <c r="V26" s="1560"/>
      <c r="W26" s="1521" t="str">
        <f>SUBSTITUTE(PROPER(M02S04F07),"'S","'s")</f>
        <v/>
      </c>
      <c r="X26" s="1522"/>
      <c r="Y26" s="1522"/>
      <c r="Z26" s="1522"/>
      <c r="AA26" s="1522"/>
      <c r="AB26" s="1522"/>
      <c r="AC26" s="1522"/>
      <c r="AD26" s="1522"/>
      <c r="AE26" s="1523"/>
      <c r="AF26" s="110"/>
      <c r="AG26" s="1530">
        <f>M02S04F23</f>
        <v>0</v>
      </c>
      <c r="AH26" s="1530"/>
      <c r="AI26" s="1530"/>
      <c r="AJ26" s="1530"/>
      <c r="AK26" s="1530"/>
      <c r="AL26" s="1530"/>
      <c r="AM26" s="1530"/>
      <c r="AN26" s="1530"/>
      <c r="AO26" s="1530"/>
      <c r="AP26" s="1530"/>
      <c r="AQ26" s="1530"/>
      <c r="AR26" s="1530"/>
      <c r="AS26" s="1530"/>
      <c r="AT26" s="17"/>
      <c r="AU26" s="17"/>
      <c r="AV26" s="17"/>
    </row>
    <row r="27" spans="2:48" ht="15.95" customHeight="1" thickBot="1">
      <c r="B27" s="17"/>
      <c r="C27" s="17"/>
      <c r="D27" s="17"/>
      <c r="E27" s="1517" t="s">
        <v>1093</v>
      </c>
      <c r="F27" s="1517"/>
      <c r="G27" s="1517"/>
      <c r="H27" s="1517"/>
      <c r="I27" s="1518" t="str">
        <f>PROPER(M02S03F06)</f>
        <v/>
      </c>
      <c r="J27" s="1518"/>
      <c r="K27" s="1518"/>
      <c r="L27" s="1518"/>
      <c r="M27" s="1518"/>
      <c r="N27" s="1518" t="str">
        <f>PROPER(M02S03F07)</f>
        <v/>
      </c>
      <c r="O27" s="1518"/>
      <c r="P27" s="1518"/>
      <c r="Q27" s="1518"/>
      <c r="R27" s="110"/>
      <c r="S27" s="1519" t="s">
        <v>1093</v>
      </c>
      <c r="T27" s="1519"/>
      <c r="U27" s="1519"/>
      <c r="V27" s="1519"/>
      <c r="W27" s="1521" t="str">
        <f>PROPER(M02S04F12)</f>
        <v/>
      </c>
      <c r="X27" s="1522"/>
      <c r="Y27" s="1522"/>
      <c r="Z27" s="1522"/>
      <c r="AA27" s="1523"/>
      <c r="AB27" s="1521" t="str">
        <f>PROPER(M02S04F13)</f>
        <v/>
      </c>
      <c r="AC27" s="1522"/>
      <c r="AD27" s="1522"/>
      <c r="AE27" s="1523"/>
      <c r="AF27" s="110"/>
      <c r="AG27" s="1531"/>
      <c r="AH27" s="1531"/>
      <c r="AI27" s="1531"/>
      <c r="AJ27" s="1531"/>
      <c r="AK27" s="1531"/>
      <c r="AL27" s="1531"/>
      <c r="AM27" s="1531"/>
      <c r="AN27" s="1531"/>
      <c r="AO27" s="1531"/>
      <c r="AP27" s="1531"/>
      <c r="AQ27" s="1531"/>
      <c r="AR27" s="1531"/>
      <c r="AS27" s="1531"/>
      <c r="AT27" s="17"/>
      <c r="AU27" s="17"/>
      <c r="AV27" s="17"/>
    </row>
    <row r="28" spans="2:48" ht="15.95" customHeight="1" thickBot="1">
      <c r="B28" s="17"/>
      <c r="C28" s="17"/>
      <c r="D28" s="17"/>
      <c r="E28" s="1517" t="s">
        <v>1094</v>
      </c>
      <c r="F28" s="1517"/>
      <c r="G28" s="1517"/>
      <c r="H28" s="1517"/>
      <c r="I28" s="1518" t="str">
        <f>PROPER(M02S03F08)</f>
        <v/>
      </c>
      <c r="J28" s="1518"/>
      <c r="K28" s="1518"/>
      <c r="L28" s="1518"/>
      <c r="M28" s="1518"/>
      <c r="N28" s="1518"/>
      <c r="O28" s="1518"/>
      <c r="P28" s="1518"/>
      <c r="Q28" s="1518"/>
      <c r="R28" s="110"/>
      <c r="S28" s="1519" t="s">
        <v>1094</v>
      </c>
      <c r="T28" s="1519"/>
      <c r="U28" s="1519"/>
      <c r="V28" s="1519"/>
      <c r="W28" s="1520" t="str">
        <f>PROPER(M02S04F14)</f>
        <v/>
      </c>
      <c r="X28" s="1520"/>
      <c r="Y28" s="1520"/>
      <c r="Z28" s="1520"/>
      <c r="AA28" s="1520"/>
      <c r="AB28" s="1520"/>
      <c r="AC28" s="1520"/>
      <c r="AD28" s="1520"/>
      <c r="AE28" s="1520"/>
      <c r="AF28" s="110"/>
      <c r="AG28" s="1531"/>
      <c r="AH28" s="1531"/>
      <c r="AI28" s="1531"/>
      <c r="AJ28" s="1531"/>
      <c r="AK28" s="1531"/>
      <c r="AL28" s="1531"/>
      <c r="AM28" s="1531"/>
      <c r="AN28" s="1531"/>
      <c r="AO28" s="1531"/>
      <c r="AP28" s="1531"/>
      <c r="AQ28" s="1531"/>
      <c r="AR28" s="1531"/>
      <c r="AS28" s="1531"/>
      <c r="AT28" s="17"/>
      <c r="AU28" s="17"/>
      <c r="AV28" s="17"/>
    </row>
    <row r="29" spans="2:48" ht="15.95" customHeight="1" thickBot="1">
      <c r="B29" s="17"/>
      <c r="C29" s="17"/>
      <c r="D29" s="17"/>
      <c r="E29" s="1517" t="s">
        <v>287</v>
      </c>
      <c r="F29" s="1517"/>
      <c r="G29" s="1517"/>
      <c r="H29" s="1517"/>
      <c r="I29" s="1561">
        <f>M02S03F09</f>
        <v>0</v>
      </c>
      <c r="J29" s="1562"/>
      <c r="K29" s="1562"/>
      <c r="L29" s="1562"/>
      <c r="M29" s="1562"/>
      <c r="N29" s="1562"/>
      <c r="O29" s="1562"/>
      <c r="P29" s="1562"/>
      <c r="Q29" s="1563"/>
      <c r="R29" s="110"/>
      <c r="S29" s="1519" t="s">
        <v>287</v>
      </c>
      <c r="T29" s="1519"/>
      <c r="U29" s="1519"/>
      <c r="V29" s="1519"/>
      <c r="W29" s="1564" t="str">
        <f>M02S04F15</f>
        <v/>
      </c>
      <c r="X29" s="1565"/>
      <c r="Y29" s="1565"/>
      <c r="Z29" s="1565"/>
      <c r="AA29" s="1565"/>
      <c r="AB29" s="1565"/>
      <c r="AC29" s="1565"/>
      <c r="AD29" s="1565"/>
      <c r="AE29" s="1566"/>
      <c r="AF29" s="110"/>
      <c r="AG29" s="1531"/>
      <c r="AH29" s="1531"/>
      <c r="AI29" s="1531"/>
      <c r="AJ29" s="1531"/>
      <c r="AK29" s="1531"/>
      <c r="AL29" s="1531"/>
      <c r="AM29" s="1531"/>
      <c r="AN29" s="1531"/>
      <c r="AO29" s="1531"/>
      <c r="AP29" s="1531"/>
      <c r="AQ29" s="1531"/>
      <c r="AR29" s="1531"/>
      <c r="AS29" s="1531"/>
      <c r="AT29" s="17"/>
      <c r="AU29" s="17"/>
      <c r="AV29" s="17"/>
    </row>
    <row r="30" spans="2:48" ht="15.95" customHeight="1" thickBot="1">
      <c r="B30" s="17"/>
      <c r="C30" s="17"/>
      <c r="D30" s="17"/>
      <c r="E30" s="1517" t="s">
        <v>138</v>
      </c>
      <c r="F30" s="1517"/>
      <c r="G30" s="1517"/>
      <c r="H30" s="1517"/>
      <c r="I30" s="1518">
        <f>M02S03F10</f>
        <v>0</v>
      </c>
      <c r="J30" s="1518"/>
      <c r="K30" s="1518"/>
      <c r="L30" s="1518"/>
      <c r="M30" s="1518"/>
      <c r="N30" s="1518"/>
      <c r="O30" s="1518"/>
      <c r="P30" s="1518"/>
      <c r="Q30" s="1518"/>
      <c r="R30" s="110"/>
      <c r="S30" s="1519" t="s">
        <v>138</v>
      </c>
      <c r="T30" s="1519"/>
      <c r="U30" s="1519"/>
      <c r="V30" s="1519"/>
      <c r="W30" s="1520" t="str">
        <f>M02S04F16</f>
        <v/>
      </c>
      <c r="X30" s="1520"/>
      <c r="Y30" s="1520"/>
      <c r="Z30" s="1520"/>
      <c r="AA30" s="1520"/>
      <c r="AB30" s="1520"/>
      <c r="AC30" s="1520"/>
      <c r="AD30" s="1520"/>
      <c r="AE30" s="1520"/>
      <c r="AF30" s="110"/>
      <c r="AG30" s="1531"/>
      <c r="AH30" s="1531"/>
      <c r="AI30" s="1531"/>
      <c r="AJ30" s="1531"/>
      <c r="AK30" s="1531"/>
      <c r="AL30" s="1531"/>
      <c r="AM30" s="1531"/>
      <c r="AN30" s="1531"/>
      <c r="AO30" s="1531"/>
      <c r="AP30" s="1531"/>
      <c r="AQ30" s="1531"/>
      <c r="AR30" s="1531"/>
      <c r="AS30" s="1531"/>
      <c r="AT30" s="17"/>
      <c r="AU30" s="17"/>
      <c r="AV30" s="17"/>
    </row>
    <row r="31" spans="2:48" ht="15.95" customHeight="1" thickBot="1">
      <c r="B31" s="17"/>
      <c r="C31" s="17"/>
      <c r="D31" s="17"/>
      <c r="E31" s="1517" t="s">
        <v>1095</v>
      </c>
      <c r="F31" s="1517"/>
      <c r="G31" s="1517"/>
      <c r="H31" s="1517"/>
      <c r="I31" s="1518" t="str">
        <f>PROPER(M02S03F02)</f>
        <v/>
      </c>
      <c r="J31" s="1518"/>
      <c r="K31" s="1518"/>
      <c r="L31" s="1518"/>
      <c r="M31" s="1518"/>
      <c r="N31" s="1518"/>
      <c r="O31" s="1518"/>
      <c r="P31" s="1518"/>
      <c r="Q31" s="1518"/>
      <c r="R31" s="110"/>
      <c r="S31" s="1519" t="s">
        <v>1109</v>
      </c>
      <c r="T31" s="1519"/>
      <c r="U31" s="1519"/>
      <c r="V31" s="1519"/>
      <c r="W31" s="1520" t="str">
        <f>PROPER(M02S04F08)</f>
        <v/>
      </c>
      <c r="X31" s="1520"/>
      <c r="Y31" s="1520"/>
      <c r="Z31" s="1520"/>
      <c r="AA31" s="1520"/>
      <c r="AB31" s="1520"/>
      <c r="AC31" s="1520"/>
      <c r="AD31" s="1520"/>
      <c r="AE31" s="1520"/>
      <c r="AF31" s="110"/>
      <c r="AG31" s="1531"/>
      <c r="AH31" s="1531"/>
      <c r="AI31" s="1531"/>
      <c r="AJ31" s="1531"/>
      <c r="AK31" s="1531"/>
      <c r="AL31" s="1531"/>
      <c r="AM31" s="1531"/>
      <c r="AN31" s="1531"/>
      <c r="AO31" s="1531"/>
      <c r="AP31" s="1531"/>
      <c r="AQ31" s="1531"/>
      <c r="AR31" s="1531"/>
      <c r="AS31" s="1531"/>
      <c r="AT31" s="17"/>
      <c r="AU31" s="17"/>
      <c r="AV31" s="17"/>
    </row>
    <row r="32" spans="2:48" ht="15.95" customHeight="1" thickBot="1">
      <c r="B32" s="17"/>
      <c r="C32" s="17"/>
      <c r="D32" s="17"/>
      <c r="E32" s="1517" t="s">
        <v>312</v>
      </c>
      <c r="F32" s="1517"/>
      <c r="G32" s="1517"/>
      <c r="H32" s="1517"/>
      <c r="I32" s="1518" t="str">
        <f>PROPER(M02S03F03)</f>
        <v/>
      </c>
      <c r="J32" s="1518"/>
      <c r="K32" s="1518"/>
      <c r="L32" s="1518"/>
      <c r="M32" s="1518"/>
      <c r="N32" s="1518">
        <f>M02S03F04</f>
        <v>0</v>
      </c>
      <c r="O32" s="1518"/>
      <c r="P32" s="1528">
        <f>M02S03F05</f>
        <v>0</v>
      </c>
      <c r="Q32" s="1528"/>
      <c r="R32" s="110"/>
      <c r="S32" s="1519" t="s">
        <v>312</v>
      </c>
      <c r="T32" s="1519"/>
      <c r="U32" s="1519"/>
      <c r="V32" s="1519"/>
      <c r="W32" s="1521" t="str">
        <f>PROPER(M02S04F09)</f>
        <v/>
      </c>
      <c r="X32" s="1522"/>
      <c r="Y32" s="1522"/>
      <c r="Z32" s="1522"/>
      <c r="AA32" s="1523"/>
      <c r="AB32" s="1520" t="str">
        <f>M02S04F10</f>
        <v>KS</v>
      </c>
      <c r="AC32" s="1520"/>
      <c r="AD32" s="1571">
        <f>M02S04F11</f>
        <v>0</v>
      </c>
      <c r="AE32" s="1571"/>
      <c r="AF32" s="110"/>
      <c r="AG32" s="1531"/>
      <c r="AH32" s="1531"/>
      <c r="AI32" s="1531"/>
      <c r="AJ32" s="1531"/>
      <c r="AK32" s="1531"/>
      <c r="AL32" s="1531"/>
      <c r="AM32" s="1531"/>
      <c r="AN32" s="1531"/>
      <c r="AO32" s="1531"/>
      <c r="AP32" s="1531"/>
      <c r="AQ32" s="1531"/>
      <c r="AR32" s="1531"/>
      <c r="AS32" s="1531"/>
      <c r="AT32" s="17"/>
      <c r="AU32" s="17"/>
      <c r="AV32" s="17"/>
    </row>
    <row r="33" spans="2:48" ht="15.95" customHeight="1" thickBot="1">
      <c r="B33" s="17"/>
      <c r="C33" s="17"/>
      <c r="D33" s="17"/>
      <c r="AT33" s="17"/>
      <c r="AU33" s="17"/>
      <c r="AV33" s="17"/>
    </row>
    <row r="34" spans="2:48" ht="15.95" customHeight="1" thickBot="1">
      <c r="B34" s="17"/>
      <c r="C34" s="17"/>
      <c r="D34" s="17"/>
      <c r="E34" s="1553" t="s">
        <v>81</v>
      </c>
      <c r="F34" s="1553"/>
      <c r="G34" s="1553"/>
      <c r="H34" s="1553"/>
      <c r="I34" s="1553"/>
      <c r="J34" s="1553"/>
      <c r="K34" s="1553"/>
      <c r="L34" s="1553"/>
      <c r="M34" s="1553"/>
      <c r="N34" s="1553"/>
      <c r="O34" s="1553"/>
      <c r="P34" s="1553"/>
      <c r="Q34" s="1553"/>
      <c r="R34" s="110"/>
      <c r="S34" s="1553" t="s">
        <v>1102</v>
      </c>
      <c r="T34" s="1553"/>
      <c r="U34" s="1553"/>
      <c r="V34" s="1553"/>
      <c r="W34" s="1553"/>
      <c r="X34" s="1553"/>
      <c r="Y34" s="1553"/>
      <c r="Z34" s="1553"/>
      <c r="AA34" s="1553"/>
      <c r="AB34" s="1553"/>
      <c r="AC34" s="1553"/>
      <c r="AD34" s="1553"/>
      <c r="AE34" s="1553"/>
      <c r="AG34" s="1553" t="s">
        <v>313</v>
      </c>
      <c r="AH34" s="1553"/>
      <c r="AI34" s="1553"/>
      <c r="AJ34" s="1553"/>
      <c r="AK34" s="1553"/>
      <c r="AL34" s="1553"/>
      <c r="AM34" s="1553"/>
      <c r="AN34" s="1553"/>
      <c r="AO34" s="1553"/>
      <c r="AP34" s="1553"/>
      <c r="AQ34" s="1553"/>
      <c r="AR34" s="1553"/>
      <c r="AS34" s="1553"/>
      <c r="AT34" s="17"/>
      <c r="AU34" s="17"/>
      <c r="AV34" s="17"/>
    </row>
    <row r="35" spans="2:48" ht="15.95" customHeight="1" thickBot="1">
      <c r="B35" s="17"/>
      <c r="C35" s="17"/>
      <c r="D35" s="17"/>
      <c r="E35" s="1525" t="s">
        <v>1118</v>
      </c>
      <c r="F35" s="1525"/>
      <c r="G35" s="1525"/>
      <c r="H35" s="1525"/>
      <c r="I35" s="1524">
        <f>M02S04F18</f>
        <v>0</v>
      </c>
      <c r="J35" s="1524"/>
      <c r="K35" s="1524"/>
      <c r="L35" s="1524"/>
      <c r="M35" s="1524"/>
      <c r="N35" s="1524"/>
      <c r="O35" s="1524"/>
      <c r="P35" s="1524"/>
      <c r="Q35" s="1524"/>
      <c r="R35" s="110"/>
      <c r="S35" s="1526" t="s">
        <v>1108</v>
      </c>
      <c r="T35" s="1526"/>
      <c r="U35" s="1526"/>
      <c r="V35" s="1526"/>
      <c r="W35" s="1539">
        <f>M05S01F01</f>
        <v>0</v>
      </c>
      <c r="X35" s="1539"/>
      <c r="Y35" s="1539"/>
      <c r="Z35" s="1539"/>
      <c r="AA35" s="1539"/>
      <c r="AB35" s="1539"/>
      <c r="AC35" s="1539"/>
      <c r="AD35" s="1539"/>
      <c r="AE35" s="1539"/>
      <c r="AG35" s="1534" t="s">
        <v>83</v>
      </c>
      <c r="AH35" s="1534"/>
      <c r="AI35" s="1534"/>
      <c r="AJ35" s="1534"/>
      <c r="AK35" s="1532">
        <f>SUM(EXPORT!AA4:AA324)</f>
        <v>0</v>
      </c>
      <c r="AL35" s="1532"/>
      <c r="AM35" s="1532"/>
      <c r="AN35" s="1532"/>
      <c r="AO35" s="1532"/>
      <c r="AP35" s="1532"/>
      <c r="AQ35" s="1532"/>
      <c r="AR35" s="1532"/>
      <c r="AS35" s="1532"/>
      <c r="AT35" s="17"/>
      <c r="AU35" s="17"/>
      <c r="AV35" s="17"/>
    </row>
    <row r="36" spans="2:48" ht="15.95" customHeight="1" thickBot="1">
      <c r="B36" s="17"/>
      <c r="C36" s="17"/>
      <c r="D36" s="17"/>
      <c r="E36" s="1435" t="s">
        <v>1096</v>
      </c>
      <c r="F36" s="1436"/>
      <c r="G36" s="1436"/>
      <c r="H36" s="1437"/>
      <c r="I36" s="1524">
        <f>M02S04F25</f>
        <v>0</v>
      </c>
      <c r="J36" s="1524"/>
      <c r="K36" s="1524"/>
      <c r="L36" s="1524"/>
      <c r="M36" s="1524"/>
      <c r="N36" s="1524"/>
      <c r="O36" s="1524"/>
      <c r="P36" s="1524"/>
      <c r="Q36" s="1524"/>
      <c r="R36" s="110"/>
      <c r="S36" s="1526" t="s">
        <v>1103</v>
      </c>
      <c r="T36" s="1526"/>
      <c r="U36" s="1526"/>
      <c r="V36" s="1526"/>
      <c r="W36" s="1539" t="str">
        <f>SUBSTITUTE(PROPER(M05S01F02),"S","s")</f>
        <v/>
      </c>
      <c r="X36" s="1539"/>
      <c r="Y36" s="1539"/>
      <c r="Z36" s="1539"/>
      <c r="AA36" s="1539"/>
      <c r="AB36" s="1539"/>
      <c r="AC36" s="1539"/>
      <c r="AD36" s="1539"/>
      <c r="AE36" s="1539"/>
      <c r="AF36" s="17"/>
      <c r="AG36" s="1534" t="s">
        <v>735</v>
      </c>
      <c r="AH36" s="1534"/>
      <c r="AI36" s="1534"/>
      <c r="AJ36" s="1534"/>
      <c r="AK36" s="1533">
        <f>SUMIF(EXPORT!L4:L324,"=Deemed",EXPORT!AI4:AI324)+SUMIF(EXPORT!L4:L324,"=Calculated",EXPORT!AJ4:AJ324)</f>
        <v>0</v>
      </c>
      <c r="AL36" s="1533"/>
      <c r="AM36" s="1533"/>
      <c r="AN36" s="1533"/>
      <c r="AO36" s="1533"/>
      <c r="AP36" s="1533"/>
      <c r="AQ36" s="1533"/>
      <c r="AR36" s="1533"/>
      <c r="AS36" s="1533"/>
      <c r="AT36" s="17"/>
      <c r="AU36" s="17"/>
      <c r="AV36" s="17"/>
    </row>
    <row r="37" spans="2:48" ht="15.95" customHeight="1" thickBot="1">
      <c r="B37" s="17"/>
      <c r="C37" s="17"/>
      <c r="D37" s="17"/>
      <c r="E37" s="1525" t="s">
        <v>177</v>
      </c>
      <c r="F37" s="1525"/>
      <c r="G37" s="1525"/>
      <c r="H37" s="1525"/>
      <c r="I37" s="1524">
        <f>M02S04F19</f>
        <v>0</v>
      </c>
      <c r="J37" s="1524"/>
      <c r="K37" s="1524"/>
      <c r="L37" s="1524"/>
      <c r="M37" s="1524"/>
      <c r="N37" s="1524"/>
      <c r="O37" s="1524"/>
      <c r="P37" s="1524"/>
      <c r="Q37" s="1524"/>
      <c r="R37" s="110"/>
      <c r="S37" s="1526" t="s">
        <v>1104</v>
      </c>
      <c r="T37" s="1526"/>
      <c r="U37" s="1526"/>
      <c r="V37" s="1526"/>
      <c r="W37" s="1539" t="str">
        <f>PROPER(M05S01F07)</f>
        <v/>
      </c>
      <c r="X37" s="1539"/>
      <c r="Y37" s="1539"/>
      <c r="Z37" s="1539"/>
      <c r="AA37" s="1539"/>
      <c r="AB37" s="1539" t="str">
        <f>PROPER(M05S01F08)</f>
        <v/>
      </c>
      <c r="AC37" s="1539"/>
      <c r="AD37" s="1539"/>
      <c r="AE37" s="1539"/>
      <c r="AF37" s="17"/>
      <c r="AG37" s="1534" t="s">
        <v>1024</v>
      </c>
      <c r="AH37" s="1534"/>
      <c r="AI37" s="1534"/>
      <c r="AJ37" s="1534"/>
      <c r="AK37" s="1533">
        <f>SUMIF(EXPORT!L4:L324,"=Deemed",EXPORT!AK4:AK324)+SUMIF(EXPORT!L4:L324,"=Calculated",EXPORT!AL4:AL324)</f>
        <v>0</v>
      </c>
      <c r="AL37" s="1533"/>
      <c r="AM37" s="1533"/>
      <c r="AN37" s="1533"/>
      <c r="AO37" s="1533"/>
      <c r="AP37" s="1533"/>
      <c r="AQ37" s="1533"/>
      <c r="AR37" s="1533"/>
      <c r="AS37" s="1533"/>
      <c r="AT37" s="17"/>
      <c r="AU37" s="17"/>
      <c r="AV37" s="17"/>
    </row>
    <row r="38" spans="2:48" ht="15.95" customHeight="1" thickBot="1">
      <c r="B38" s="17"/>
      <c r="C38" s="17"/>
      <c r="D38" s="17"/>
      <c r="E38" s="1435" t="s">
        <v>1111</v>
      </c>
      <c r="F38" s="1436"/>
      <c r="G38" s="1436"/>
      <c r="H38" s="1437"/>
      <c r="I38" s="1524">
        <f>M02S04F20</f>
        <v>0</v>
      </c>
      <c r="J38" s="1524"/>
      <c r="K38" s="1524"/>
      <c r="L38" s="1524"/>
      <c r="M38" s="1524"/>
      <c r="N38" s="1524"/>
      <c r="O38" s="1524"/>
      <c r="P38" s="1524"/>
      <c r="Q38" s="1524"/>
      <c r="R38" s="110"/>
      <c r="S38" s="1526" t="s">
        <v>1106</v>
      </c>
      <c r="T38" s="1526"/>
      <c r="U38" s="1526"/>
      <c r="V38" s="1526"/>
      <c r="W38" s="1538" t="str">
        <f>M05S01F09</f>
        <v/>
      </c>
      <c r="X38" s="1538"/>
      <c r="Y38" s="1538"/>
      <c r="Z38" s="1538"/>
      <c r="AA38" s="1538"/>
      <c r="AB38" s="1538"/>
      <c r="AC38" s="1538"/>
      <c r="AD38" s="1538"/>
      <c r="AE38" s="1538"/>
      <c r="AF38" s="17"/>
      <c r="AG38" s="1534" t="s">
        <v>433</v>
      </c>
      <c r="AH38" s="1534"/>
      <c r="AI38" s="1534"/>
      <c r="AJ38" s="1534"/>
      <c r="AK38" s="1554">
        <f>SUM(EXPORT!U4:U324)</f>
        <v>0</v>
      </c>
      <c r="AL38" s="1554"/>
      <c r="AM38" s="1554"/>
      <c r="AN38" s="1554"/>
      <c r="AO38" s="1554"/>
      <c r="AP38" s="1554"/>
      <c r="AQ38" s="1554"/>
      <c r="AR38" s="1554"/>
      <c r="AS38" s="1554"/>
      <c r="AT38" s="17"/>
      <c r="AU38" s="17"/>
      <c r="AV38" s="17"/>
    </row>
    <row r="39" spans="2:48" ht="15.95" customHeight="1" thickBot="1">
      <c r="B39" s="17"/>
      <c r="C39" s="17"/>
      <c r="D39" s="17"/>
      <c r="E39" s="1435" t="s">
        <v>1110</v>
      </c>
      <c r="F39" s="1436"/>
      <c r="G39" s="1436"/>
      <c r="H39" s="1437"/>
      <c r="I39" s="1547">
        <f>M02S04F21</f>
        <v>0</v>
      </c>
      <c r="J39" s="1548"/>
      <c r="K39" s="1548"/>
      <c r="L39" s="1548"/>
      <c r="M39" s="1548"/>
      <c r="N39" s="1548"/>
      <c r="O39" s="1548"/>
      <c r="P39" s="1548"/>
      <c r="Q39" s="1549"/>
      <c r="R39" s="110"/>
      <c r="S39" s="1526" t="s">
        <v>1107</v>
      </c>
      <c r="T39" s="1526"/>
      <c r="U39" s="1526"/>
      <c r="V39" s="1526"/>
      <c r="W39" s="1539" t="str">
        <f>M05S01F10</f>
        <v/>
      </c>
      <c r="X39" s="1539"/>
      <c r="Y39" s="1539"/>
      <c r="Z39" s="1539"/>
      <c r="AA39" s="1539"/>
      <c r="AB39" s="1539"/>
      <c r="AC39" s="1539"/>
      <c r="AD39" s="1539"/>
      <c r="AE39" s="1539"/>
      <c r="AF39" s="17"/>
      <c r="AG39" s="1534" t="s">
        <v>1112</v>
      </c>
      <c r="AH39" s="1534"/>
      <c r="AI39" s="1534"/>
      <c r="AJ39" s="1534"/>
      <c r="AK39" s="1532">
        <f ca="1">SUM(EXPORT!AC4:AC324)</f>
        <v>0</v>
      </c>
      <c r="AL39" s="1532"/>
      <c r="AM39" s="1532"/>
      <c r="AN39" s="1532"/>
      <c r="AO39" s="1532"/>
      <c r="AP39" s="1532"/>
      <c r="AQ39" s="1532"/>
      <c r="AR39" s="1532"/>
      <c r="AS39" s="1532"/>
      <c r="AT39" s="17"/>
      <c r="AU39" s="17"/>
      <c r="AV39" s="17"/>
    </row>
    <row r="40" spans="2:48" ht="15.95" customHeight="1" thickBot="1">
      <c r="B40" s="17"/>
      <c r="C40" s="17"/>
      <c r="D40" s="17"/>
      <c r="E40" s="1435" t="s">
        <v>1121</v>
      </c>
      <c r="F40" s="1436"/>
      <c r="G40" s="1436"/>
      <c r="H40" s="1437"/>
      <c r="I40" s="1524">
        <f>M02S04F22</f>
        <v>0</v>
      </c>
      <c r="J40" s="1524"/>
      <c r="K40" s="1524"/>
      <c r="L40" s="1524"/>
      <c r="M40" s="1524"/>
      <c r="N40" s="1524"/>
      <c r="O40" s="1524"/>
      <c r="P40" s="1524"/>
      <c r="Q40" s="1524"/>
      <c r="R40" s="110"/>
      <c r="S40" s="1526" t="s">
        <v>1105</v>
      </c>
      <c r="T40" s="1526"/>
      <c r="U40" s="1526"/>
      <c r="V40" s="1526"/>
      <c r="W40" s="1539" t="str">
        <f>PROPER(M05S01F03)</f>
        <v/>
      </c>
      <c r="X40" s="1539"/>
      <c r="Y40" s="1539"/>
      <c r="Z40" s="1539"/>
      <c r="AA40" s="1539"/>
      <c r="AB40" s="1539"/>
      <c r="AC40" s="1539"/>
      <c r="AD40" s="1539"/>
      <c r="AE40" s="1539"/>
      <c r="AF40" s="17"/>
      <c r="AG40" s="1442" t="s">
        <v>595</v>
      </c>
      <c r="AH40" s="1443"/>
      <c r="AI40" s="1443"/>
      <c r="AJ40" s="1444"/>
      <c r="AK40" s="1445">
        <f ca="1">SUM(EXPORT!AD4:AD324)</f>
        <v>0</v>
      </c>
      <c r="AL40" s="1446"/>
      <c r="AM40" s="1446"/>
      <c r="AN40" s="1446"/>
      <c r="AO40" s="1446"/>
      <c r="AP40" s="1446"/>
      <c r="AQ40" s="1446"/>
      <c r="AR40" s="1446"/>
      <c r="AS40" s="1447"/>
      <c r="AT40" s="17"/>
      <c r="AU40" s="17"/>
      <c r="AV40" s="17"/>
    </row>
    <row r="41" spans="2:48" ht="15.95" customHeight="1" thickBot="1">
      <c r="B41" s="17"/>
      <c r="C41" s="17"/>
      <c r="D41" s="17"/>
      <c r="E41" s="1435" t="s">
        <v>1116</v>
      </c>
      <c r="F41" s="1436"/>
      <c r="G41" s="1436"/>
      <c r="H41" s="1437"/>
      <c r="I41" s="1524">
        <f>M02S04F05</f>
        <v>0</v>
      </c>
      <c r="J41" s="1524"/>
      <c r="K41" s="1524"/>
      <c r="L41" s="1524"/>
      <c r="M41" s="1524"/>
      <c r="N41" s="1524"/>
      <c r="O41" s="1524"/>
      <c r="P41" s="1524"/>
      <c r="Q41" s="1524"/>
      <c r="R41" s="110"/>
      <c r="S41" s="1526" t="s">
        <v>312</v>
      </c>
      <c r="T41" s="1526"/>
      <c r="U41" s="1526"/>
      <c r="V41" s="1526"/>
      <c r="W41" s="1539" t="str">
        <f>PROPER(M05S01F04)</f>
        <v/>
      </c>
      <c r="X41" s="1539"/>
      <c r="Y41" s="1539"/>
      <c r="Z41" s="1539"/>
      <c r="AA41" s="1539"/>
      <c r="AB41" s="1539" t="str">
        <f>M05S01F05</f>
        <v/>
      </c>
      <c r="AC41" s="1539"/>
      <c r="AD41" s="1567" t="str">
        <f>M05S01F06</f>
        <v/>
      </c>
      <c r="AE41" s="1567"/>
      <c r="AF41" s="17"/>
      <c r="AG41" s="1442" t="s">
        <v>923</v>
      </c>
      <c r="AH41" s="1443"/>
      <c r="AI41" s="1443"/>
      <c r="AJ41" s="1444"/>
      <c r="AK41" s="1445">
        <f ca="1">SUM(EXPORT!AE4:AE324) + SUMIFS(EXPORT!AG4:AG324, EXPORT!AE4:AE324, "")</f>
        <v>0</v>
      </c>
      <c r="AL41" s="1446"/>
      <c r="AM41" s="1446"/>
      <c r="AN41" s="1446"/>
      <c r="AO41" s="1446"/>
      <c r="AP41" s="1446"/>
      <c r="AQ41" s="1446"/>
      <c r="AR41" s="1446"/>
      <c r="AS41" s="1447"/>
      <c r="AT41" s="17"/>
      <c r="AU41" s="17"/>
      <c r="AV41" s="17"/>
    </row>
    <row r="42" spans="2:48" ht="15.95" customHeight="1" thickBot="1">
      <c r="B42" s="17"/>
      <c r="C42" s="17"/>
      <c r="D42" s="17"/>
      <c r="E42" s="1435" t="s">
        <v>1099</v>
      </c>
      <c r="F42" s="1436"/>
      <c r="G42" s="1436"/>
      <c r="H42" s="1437"/>
      <c r="I42" s="1524" t="str">
        <f>M02S04F06</f>
        <v/>
      </c>
      <c r="J42" s="1524"/>
      <c r="K42" s="1524"/>
      <c r="L42" s="1524"/>
      <c r="M42" s="1524"/>
      <c r="N42" s="1524"/>
      <c r="O42" s="1524"/>
      <c r="P42" s="1524"/>
      <c r="Q42" s="1524"/>
      <c r="R42" s="110"/>
      <c r="S42" s="1526" t="s">
        <v>1307</v>
      </c>
      <c r="T42" s="1526"/>
      <c r="U42" s="1526"/>
      <c r="V42" s="1526"/>
      <c r="W42" s="1540">
        <f>M05S01F11</f>
        <v>0</v>
      </c>
      <c r="X42" s="1541"/>
      <c r="Y42" s="1541"/>
      <c r="Z42" s="1541"/>
      <c r="AA42" s="1542"/>
      <c r="AB42" s="1540" t="str">
        <f>CONCATENATE(M05S01F12,"-",M05S01F13)</f>
        <v>-</v>
      </c>
      <c r="AC42" s="1541"/>
      <c r="AD42" s="1541"/>
      <c r="AE42" s="1542"/>
      <c r="AF42" s="17"/>
      <c r="AG42" s="1442"/>
      <c r="AH42" s="1443"/>
      <c r="AI42" s="1443"/>
      <c r="AJ42" s="1444"/>
      <c r="AK42" s="1445"/>
      <c r="AL42" s="1446"/>
      <c r="AM42" s="1446"/>
      <c r="AN42" s="1446"/>
      <c r="AO42" s="1446"/>
      <c r="AP42" s="1446"/>
      <c r="AQ42" s="1446"/>
      <c r="AR42" s="1446"/>
      <c r="AS42" s="1447"/>
      <c r="AT42" s="17"/>
      <c r="AU42" s="17"/>
      <c r="AV42" s="17"/>
    </row>
    <row r="43" spans="2:48" ht="15.95" customHeight="1" thickBot="1">
      <c r="B43" s="17"/>
      <c r="C43" s="17"/>
      <c r="D43" s="17"/>
      <c r="E43" s="1435" t="s">
        <v>1709</v>
      </c>
      <c r="F43" s="1436"/>
      <c r="G43" s="1436"/>
      <c r="H43" s="1436"/>
      <c r="I43" s="1438" t="e" cm="1">
        <f t="array" ref="I43">CODE_CITY_M</f>
        <v>#N/A</v>
      </c>
      <c r="J43" s="1439"/>
      <c r="K43" s="1439"/>
      <c r="L43" s="1439"/>
      <c r="M43" s="1439"/>
      <c r="N43" s="1439"/>
      <c r="O43" s="1439"/>
      <c r="P43" s="1439"/>
      <c r="Q43" s="1440"/>
      <c r="R43" s="110"/>
      <c r="S43" s="1526" t="s">
        <v>1302</v>
      </c>
      <c r="T43" s="1526"/>
      <c r="U43" s="1526"/>
      <c r="V43" s="1526"/>
      <c r="W43" s="1539" t="str">
        <f>M05S01F14</f>
        <v/>
      </c>
      <c r="X43" s="1539"/>
      <c r="Y43" s="1539"/>
      <c r="Z43" s="1539"/>
      <c r="AA43" s="1539"/>
      <c r="AB43" s="1539"/>
      <c r="AC43" s="1539"/>
      <c r="AD43" s="1539"/>
      <c r="AE43" s="1539"/>
      <c r="AF43" s="17"/>
      <c r="AG43" s="1442" t="s">
        <v>1242</v>
      </c>
      <c r="AH43" s="1443"/>
      <c r="AI43" s="1443"/>
      <c r="AJ43" s="1444"/>
      <c r="AK43" s="1533">
        <f>SUMIF(EXPORT!L4:L324,"=Deemed",EXPORT!AX4:AX324)+SUMIF(EXPORT!L4:L324,"=Calculated",EXPORT!AY4:AY324)</f>
        <v>0</v>
      </c>
      <c r="AL43" s="1533"/>
      <c r="AM43" s="1533"/>
      <c r="AN43" s="1533"/>
      <c r="AO43" s="1533"/>
      <c r="AP43" s="1533"/>
      <c r="AQ43" s="1533"/>
      <c r="AR43" s="1533"/>
      <c r="AS43" s="1533"/>
      <c r="AT43" s="17"/>
      <c r="AU43" s="17"/>
      <c r="AV43" s="17"/>
    </row>
    <row r="44" spans="2:48" ht="15.95" customHeight="1" thickBot="1">
      <c r="B44" s="17"/>
      <c r="C44" s="17"/>
      <c r="D44" s="17"/>
      <c r="E44" s="1435" t="s">
        <v>1710</v>
      </c>
      <c r="F44" s="1436"/>
      <c r="G44" s="1436"/>
      <c r="H44" s="1437"/>
      <c r="I44" s="1438" t="e" cm="1">
        <f t="array" aca="1" ref="I44" ca="1">CODE_COUNTY_M</f>
        <v>#N/A</v>
      </c>
      <c r="J44" s="1439"/>
      <c r="K44" s="1439"/>
      <c r="L44" s="1439"/>
      <c r="M44" s="1439"/>
      <c r="N44" s="1439"/>
      <c r="O44" s="1439"/>
      <c r="P44" s="1439"/>
      <c r="Q44" s="1440"/>
      <c r="S44" s="1441"/>
      <c r="T44" s="1441"/>
      <c r="U44" s="1441"/>
      <c r="V44" s="1441"/>
      <c r="W44" s="1441"/>
      <c r="X44" s="1441"/>
      <c r="Y44" s="1441"/>
      <c r="Z44" s="1441"/>
      <c r="AA44" s="1441"/>
      <c r="AB44" s="1441"/>
      <c r="AC44" s="1441"/>
      <c r="AD44" s="1441"/>
      <c r="AE44" s="1441"/>
      <c r="AG44" s="1442" t="s">
        <v>1243</v>
      </c>
      <c r="AH44" s="1443"/>
      <c r="AI44" s="1443"/>
      <c r="AJ44" s="1444"/>
      <c r="AK44" s="1533">
        <f>SUMIF(EXPORT!L4:L324,"=Deemed",EXPORT!AZ4:AZ324)+SUMIF(EXPORT!L4:L324,"=Calculated",EXPORT!BA4:BA324)</f>
        <v>0</v>
      </c>
      <c r="AL44" s="1533"/>
      <c r="AM44" s="1533"/>
      <c r="AN44" s="1533"/>
      <c r="AO44" s="1533"/>
      <c r="AP44" s="1533"/>
      <c r="AQ44" s="1533"/>
      <c r="AR44" s="1533"/>
      <c r="AS44" s="1533"/>
      <c r="AT44" s="17"/>
      <c r="AU44" s="17"/>
      <c r="AV44" s="17"/>
    </row>
    <row r="45" spans="2:48" ht="15.95" customHeight="1" thickBot="1">
      <c r="B45" s="17"/>
      <c r="C45" s="17"/>
      <c r="D45" s="17"/>
      <c r="AG45" s="1442" t="s">
        <v>1244</v>
      </c>
      <c r="AH45" s="1443"/>
      <c r="AI45" s="1443"/>
      <c r="AJ45" s="1444"/>
      <c r="AK45" s="1554">
        <f ca="1">SUM(EXPORT!AW4:AW324)</f>
        <v>0</v>
      </c>
      <c r="AL45" s="1554"/>
      <c r="AM45" s="1554"/>
      <c r="AN45" s="1554"/>
      <c r="AO45" s="1554"/>
      <c r="AP45" s="1554"/>
      <c r="AQ45" s="1554"/>
      <c r="AR45" s="1554"/>
      <c r="AS45" s="1554"/>
      <c r="AT45" s="17"/>
      <c r="AU45" s="17"/>
      <c r="AV45" s="17"/>
    </row>
    <row r="46" spans="2:48" ht="15.95" customHeight="1" thickBot="1">
      <c r="B46" s="17"/>
      <c r="C46" s="17"/>
      <c r="D46" s="17"/>
      <c r="E46" s="1553" t="s">
        <v>1965</v>
      </c>
      <c r="F46" s="1553"/>
      <c r="G46" s="1553"/>
      <c r="H46" s="1553"/>
      <c r="I46" s="1553"/>
      <c r="J46" s="1553"/>
      <c r="K46" s="1553"/>
      <c r="L46" s="1553"/>
      <c r="M46" s="1553"/>
      <c r="N46" s="1553"/>
      <c r="O46" s="1553"/>
      <c r="P46" s="1553"/>
      <c r="Q46" s="1553"/>
      <c r="S46" s="1553" t="s">
        <v>1964</v>
      </c>
      <c r="T46" s="1553"/>
      <c r="U46" s="1553"/>
      <c r="V46" s="1553"/>
      <c r="W46" s="1553"/>
      <c r="X46" s="1553"/>
      <c r="Y46" s="1553"/>
      <c r="Z46" s="1553"/>
      <c r="AA46" s="1553"/>
      <c r="AB46" s="1553"/>
      <c r="AC46" s="1553"/>
      <c r="AD46" s="1553"/>
      <c r="AE46" s="1553"/>
      <c r="AG46" s="1442" t="s">
        <v>1245</v>
      </c>
      <c r="AH46" s="1443"/>
      <c r="AI46" s="1443"/>
      <c r="AJ46" s="1444"/>
      <c r="AK46" s="1532">
        <f ca="1">SUM(EXPORT!AP4:AP324)</f>
        <v>0</v>
      </c>
      <c r="AL46" s="1532"/>
      <c r="AM46" s="1532"/>
      <c r="AN46" s="1532"/>
      <c r="AO46" s="1532"/>
      <c r="AP46" s="1532"/>
      <c r="AQ46" s="1532"/>
      <c r="AR46" s="1532"/>
      <c r="AS46" s="1532"/>
      <c r="AT46" s="17"/>
      <c r="AU46" s="17"/>
      <c r="AV46" s="17"/>
    </row>
    <row r="47" spans="2:48" ht="15.95" customHeight="1" thickBot="1">
      <c r="B47" s="17"/>
      <c r="C47" s="17"/>
      <c r="D47" s="17"/>
      <c r="E47" s="1516" t="s">
        <v>1120</v>
      </c>
      <c r="F47" s="1516"/>
      <c r="G47" s="1516"/>
      <c r="H47" s="1516"/>
      <c r="I47" s="1527" t="str">
        <f>SUBSTITUTE(PROPER(M02S02F02),"'S","'s")</f>
        <v/>
      </c>
      <c r="J47" s="1527"/>
      <c r="K47" s="1527"/>
      <c r="L47" s="1527"/>
      <c r="M47" s="1527"/>
      <c r="N47" s="1527"/>
      <c r="O47" s="1527"/>
      <c r="P47" s="1527"/>
      <c r="Q47" s="1527"/>
      <c r="S47" s="1543" t="s">
        <v>1120</v>
      </c>
      <c r="T47" s="1543"/>
      <c r="U47" s="1543"/>
      <c r="V47" s="1543"/>
      <c r="W47" s="1555" t="str">
        <f>SUBSTITUTE(PROPER(M02S02F02),"'S","'s")</f>
        <v/>
      </c>
      <c r="X47" s="1555"/>
      <c r="Y47" s="1555"/>
      <c r="Z47" s="1555"/>
      <c r="AA47" s="1555"/>
      <c r="AB47" s="1555"/>
      <c r="AC47" s="1555"/>
      <c r="AD47" s="1555"/>
      <c r="AE47" s="1555"/>
      <c r="AG47" s="1442" t="s">
        <v>1246</v>
      </c>
      <c r="AH47" s="1443"/>
      <c r="AI47" s="1443"/>
      <c r="AJ47" s="1444"/>
      <c r="AK47" s="1445">
        <f ca="1">SUM(EXPORT!AQ4:AQ324)</f>
        <v>0</v>
      </c>
      <c r="AL47" s="1446"/>
      <c r="AM47" s="1446"/>
      <c r="AN47" s="1446"/>
      <c r="AO47" s="1446"/>
      <c r="AP47" s="1446"/>
      <c r="AQ47" s="1446"/>
      <c r="AR47" s="1446"/>
      <c r="AS47" s="1447"/>
      <c r="AT47" s="17"/>
      <c r="AU47" s="17"/>
      <c r="AV47" s="17"/>
    </row>
    <row r="48" spans="2:48" ht="15.95" customHeight="1" thickBot="1">
      <c r="B48" s="17"/>
      <c r="C48" s="17"/>
      <c r="D48" s="17"/>
      <c r="E48" s="1516" t="s">
        <v>1093</v>
      </c>
      <c r="F48" s="1516"/>
      <c r="G48" s="1516"/>
      <c r="H48" s="1516"/>
      <c r="I48" s="1527" t="str">
        <f>PROPER(M02S02F07)</f>
        <v/>
      </c>
      <c r="J48" s="1527"/>
      <c r="K48" s="1527"/>
      <c r="L48" s="1527"/>
      <c r="M48" s="1527"/>
      <c r="N48" s="1527" t="str">
        <f>PROPER(M02S02F08)</f>
        <v/>
      </c>
      <c r="O48" s="1527"/>
      <c r="P48" s="1527"/>
      <c r="Q48" s="1527"/>
      <c r="S48" s="1543" t="s">
        <v>1093</v>
      </c>
      <c r="T48" s="1543"/>
      <c r="U48" s="1543"/>
      <c r="V48" s="1543"/>
      <c r="W48" s="1555" t="str">
        <f>PROPER(M02S02F13)</f>
        <v/>
      </c>
      <c r="X48" s="1555"/>
      <c r="Y48" s="1555"/>
      <c r="Z48" s="1555"/>
      <c r="AA48" s="1555"/>
      <c r="AB48" s="1555" t="str">
        <f>PROPER(M02S02F14)</f>
        <v/>
      </c>
      <c r="AC48" s="1555"/>
      <c r="AD48" s="1555"/>
      <c r="AE48" s="1555"/>
      <c r="AG48" s="1442" t="s">
        <v>1064</v>
      </c>
      <c r="AH48" s="1443"/>
      <c r="AI48" s="1443"/>
      <c r="AJ48" s="1444"/>
      <c r="AK48" s="1445">
        <f ca="1">SUM(EXPORT!AR11:AR331) + SUMIFS(EXPORT!AT11:AT331, EXPORT!AR11:AR331, "")</f>
        <v>0</v>
      </c>
      <c r="AL48" s="1446"/>
      <c r="AM48" s="1446"/>
      <c r="AN48" s="1446"/>
      <c r="AO48" s="1446"/>
      <c r="AP48" s="1446"/>
      <c r="AQ48" s="1446"/>
      <c r="AR48" s="1446"/>
      <c r="AS48" s="1447"/>
      <c r="AT48" s="17"/>
      <c r="AU48" s="17"/>
      <c r="AV48" s="17"/>
    </row>
    <row r="49" spans="2:48" ht="15.95" customHeight="1" thickBot="1">
      <c r="B49" s="17"/>
      <c r="C49" s="17"/>
      <c r="D49" s="17"/>
      <c r="E49" s="1516" t="s">
        <v>1094</v>
      </c>
      <c r="F49" s="1516"/>
      <c r="G49" s="1516"/>
      <c r="H49" s="1516"/>
      <c r="I49" s="1527" t="str">
        <f>PROPER(M02S02F09)</f>
        <v/>
      </c>
      <c r="J49" s="1527"/>
      <c r="K49" s="1527"/>
      <c r="L49" s="1527"/>
      <c r="M49" s="1527"/>
      <c r="N49" s="1527"/>
      <c r="O49" s="1527"/>
      <c r="P49" s="1527"/>
      <c r="Q49" s="1527"/>
      <c r="S49" s="1543" t="s">
        <v>1094</v>
      </c>
      <c r="T49" s="1543"/>
      <c r="U49" s="1543"/>
      <c r="V49" s="1543"/>
      <c r="W49" s="1555" t="str">
        <f>PROPER(M02S02F15)</f>
        <v/>
      </c>
      <c r="X49" s="1555"/>
      <c r="Y49" s="1555"/>
      <c r="Z49" s="1555"/>
      <c r="AA49" s="1555"/>
      <c r="AB49" s="1555"/>
      <c r="AC49" s="1555"/>
      <c r="AD49" s="1555"/>
      <c r="AE49" s="1555"/>
      <c r="AG49" s="1442"/>
      <c r="AH49" s="1443"/>
      <c r="AI49" s="1443"/>
      <c r="AJ49" s="1444"/>
      <c r="AK49" s="1445"/>
      <c r="AL49" s="1446"/>
      <c r="AM49" s="1446"/>
      <c r="AN49" s="1446"/>
      <c r="AO49" s="1446"/>
      <c r="AP49" s="1446"/>
      <c r="AQ49" s="1446"/>
      <c r="AR49" s="1446"/>
      <c r="AS49" s="1447"/>
      <c r="AT49" s="17"/>
      <c r="AU49" s="17"/>
      <c r="AV49" s="17"/>
    </row>
    <row r="50" spans="2:48" ht="15.95" customHeight="1" thickBot="1">
      <c r="B50" s="17"/>
      <c r="C50" s="17"/>
      <c r="D50" s="17"/>
      <c r="E50" s="1516" t="s">
        <v>287</v>
      </c>
      <c r="F50" s="1516"/>
      <c r="G50" s="1516"/>
      <c r="H50" s="1516"/>
      <c r="I50" s="1550">
        <f>M02S02F10</f>
        <v>0</v>
      </c>
      <c r="J50" s="1551"/>
      <c r="K50" s="1551"/>
      <c r="L50" s="1551"/>
      <c r="M50" s="1551"/>
      <c r="N50" s="1551"/>
      <c r="O50" s="1551"/>
      <c r="P50" s="1551"/>
      <c r="Q50" s="1552"/>
      <c r="S50" s="1543" t="s">
        <v>287</v>
      </c>
      <c r="T50" s="1543"/>
      <c r="U50" s="1543"/>
      <c r="V50" s="1543"/>
      <c r="W50" s="1544">
        <f>M02S02F16</f>
        <v>0</v>
      </c>
      <c r="X50" s="1545"/>
      <c r="Y50" s="1545"/>
      <c r="Z50" s="1545"/>
      <c r="AA50" s="1545"/>
      <c r="AB50" s="1545"/>
      <c r="AC50" s="1545"/>
      <c r="AD50" s="1545"/>
      <c r="AE50" s="1546"/>
      <c r="AG50" s="1442" t="s">
        <v>1280</v>
      </c>
      <c r="AH50" s="1443"/>
      <c r="AI50" s="1443"/>
      <c r="AJ50" s="1444"/>
      <c r="AK50" s="1533">
        <f>SUM(EXPORT!AM4:AM324)</f>
        <v>0</v>
      </c>
      <c r="AL50" s="1533"/>
      <c r="AM50" s="1533"/>
      <c r="AN50" s="1533"/>
      <c r="AO50" s="1533"/>
      <c r="AP50" s="1533"/>
      <c r="AQ50" s="1533"/>
      <c r="AR50" s="1533"/>
      <c r="AS50" s="1533"/>
      <c r="AT50" s="17"/>
      <c r="AU50" s="17"/>
      <c r="AV50" s="17"/>
    </row>
    <row r="51" spans="2:48" ht="15.95" customHeight="1" thickBot="1">
      <c r="B51" s="17"/>
      <c r="C51" s="17"/>
      <c r="D51" s="17"/>
      <c r="E51" s="1516" t="s">
        <v>138</v>
      </c>
      <c r="F51" s="1516"/>
      <c r="G51" s="1516"/>
      <c r="H51" s="1516"/>
      <c r="I51" s="1527">
        <f>M02S02F11</f>
        <v>0</v>
      </c>
      <c r="J51" s="1527"/>
      <c r="K51" s="1527"/>
      <c r="L51" s="1527"/>
      <c r="M51" s="1527"/>
      <c r="N51" s="1527"/>
      <c r="O51" s="1527"/>
      <c r="P51" s="1527"/>
      <c r="Q51" s="1527"/>
      <c r="S51" s="1543" t="s">
        <v>138</v>
      </c>
      <c r="T51" s="1543"/>
      <c r="U51" s="1543"/>
      <c r="V51" s="1543"/>
      <c r="W51" s="1555">
        <f>M02S02F17</f>
        <v>0</v>
      </c>
      <c r="X51" s="1555"/>
      <c r="Y51" s="1555"/>
      <c r="Z51" s="1555"/>
      <c r="AA51" s="1555"/>
      <c r="AB51" s="1555"/>
      <c r="AC51" s="1555"/>
      <c r="AD51" s="1555"/>
      <c r="AE51" s="1555"/>
      <c r="AG51" s="1442" t="s">
        <v>1281</v>
      </c>
      <c r="AH51" s="1443"/>
      <c r="AI51" s="1443"/>
      <c r="AJ51" s="1444"/>
      <c r="AK51" s="1533">
        <f ca="1">SUM(EXPORT!AN4:AN324)</f>
        <v>0</v>
      </c>
      <c r="AL51" s="1533"/>
      <c r="AM51" s="1533"/>
      <c r="AN51" s="1533"/>
      <c r="AO51" s="1533"/>
      <c r="AP51" s="1533"/>
      <c r="AQ51" s="1533"/>
      <c r="AR51" s="1533"/>
      <c r="AS51" s="1533"/>
      <c r="AT51" s="17"/>
      <c r="AU51" s="17"/>
      <c r="AV51" s="17"/>
    </row>
    <row r="52" spans="2:48" ht="15.95" customHeight="1" thickBot="1">
      <c r="B52" s="17"/>
      <c r="C52" s="17"/>
      <c r="D52" s="17"/>
      <c r="E52" s="1516" t="s">
        <v>1119</v>
      </c>
      <c r="F52" s="1516"/>
      <c r="G52" s="1516"/>
      <c r="H52" s="1516"/>
      <c r="I52" s="1527" t="str">
        <f>PROPER(M02S02F03)</f>
        <v/>
      </c>
      <c r="J52" s="1527"/>
      <c r="K52" s="1527"/>
      <c r="L52" s="1527"/>
      <c r="M52" s="1527"/>
      <c r="N52" s="1527"/>
      <c r="O52" s="1527"/>
      <c r="P52" s="1527"/>
      <c r="Q52" s="1527"/>
      <c r="S52" s="1543" t="s">
        <v>1119</v>
      </c>
      <c r="T52" s="1543"/>
      <c r="U52" s="1543"/>
      <c r="V52" s="1543"/>
      <c r="W52" s="1555" t="str">
        <f>PROPER(M02S02F03)</f>
        <v/>
      </c>
      <c r="X52" s="1555"/>
      <c r="Y52" s="1555"/>
      <c r="Z52" s="1555"/>
      <c r="AA52" s="1555"/>
      <c r="AB52" s="1555"/>
      <c r="AC52" s="1555"/>
      <c r="AD52" s="1555"/>
      <c r="AE52" s="1555"/>
      <c r="AG52" s="1442"/>
      <c r="AH52" s="1443"/>
      <c r="AI52" s="1443"/>
      <c r="AJ52" s="1444"/>
      <c r="AK52" s="1445"/>
      <c r="AL52" s="1446"/>
      <c r="AM52" s="1446"/>
      <c r="AN52" s="1446"/>
      <c r="AO52" s="1446"/>
      <c r="AP52" s="1446"/>
      <c r="AQ52" s="1446"/>
      <c r="AR52" s="1446"/>
      <c r="AS52" s="1447"/>
      <c r="AT52" s="17"/>
      <c r="AU52" s="17"/>
      <c r="AV52" s="17"/>
    </row>
    <row r="53" spans="2:48" ht="15.95" customHeight="1" thickBot="1">
      <c r="B53" s="17"/>
      <c r="C53" s="17"/>
      <c r="D53" s="17"/>
      <c r="E53" s="1516" t="s">
        <v>312</v>
      </c>
      <c r="F53" s="1516"/>
      <c r="G53" s="1516"/>
      <c r="H53" s="1516"/>
      <c r="I53" s="1527" t="str">
        <f>PROPER(M02S02F04)</f>
        <v/>
      </c>
      <c r="J53" s="1527"/>
      <c r="K53" s="1527"/>
      <c r="L53" s="1527"/>
      <c r="M53" s="1527"/>
      <c r="N53" s="1527">
        <f>M02S02F05</f>
        <v>0</v>
      </c>
      <c r="O53" s="1527"/>
      <c r="P53" s="1529">
        <f>M02S02F06</f>
        <v>0</v>
      </c>
      <c r="Q53" s="1529"/>
      <c r="S53" s="1543" t="s">
        <v>312</v>
      </c>
      <c r="T53" s="1543"/>
      <c r="U53" s="1543"/>
      <c r="V53" s="1543"/>
      <c r="W53" s="1555" t="str">
        <f>PROPER(M02S02F04)</f>
        <v/>
      </c>
      <c r="X53" s="1555"/>
      <c r="Y53" s="1555"/>
      <c r="Z53" s="1555"/>
      <c r="AA53" s="1555"/>
      <c r="AB53" s="1555">
        <f>M02S02F05</f>
        <v>0</v>
      </c>
      <c r="AC53" s="1555"/>
      <c r="AD53" s="1572">
        <f>M02S02F06</f>
        <v>0</v>
      </c>
      <c r="AE53" s="1572"/>
      <c r="AG53" s="1454" t="s">
        <v>1711</v>
      </c>
      <c r="AH53" s="1455"/>
      <c r="AI53" s="1455"/>
      <c r="AJ53" s="1456"/>
      <c r="AK53" s="1568" t="str" cm="1">
        <f t="array" aca="1" ref="AK53" ca="1">"IECC " &amp; MAX( 2012,
IFERROR(IF(CODE_CITY_M = "", 0, RIGHT(CODE_CITY_M, 4)), 0),
IFERROR(IF(CODE_COUNTY_M = "", 0, RIGHT(CODE_COUNTY_M, 4)), 0))</f>
        <v>IECC 2012</v>
      </c>
      <c r="AL53" s="1569"/>
      <c r="AM53" s="1569"/>
      <c r="AN53" s="1569"/>
      <c r="AO53" s="1569"/>
      <c r="AP53" s="1569"/>
      <c r="AQ53" s="1569"/>
      <c r="AR53" s="1569"/>
      <c r="AS53" s="1570"/>
      <c r="AT53" s="17"/>
      <c r="AU53" s="17"/>
      <c r="AV53" s="17"/>
    </row>
    <row r="54" spans="2:48" ht="15.95" customHeight="1">
      <c r="B54" s="17"/>
      <c r="C54" s="17"/>
      <c r="D54" s="17"/>
      <c r="AV54" s="17"/>
    </row>
    <row r="55" spans="2:48" ht="15.95" hidden="1" customHeight="1">
      <c r="B55" s="17"/>
      <c r="C55" s="17"/>
      <c r="D55" s="17"/>
      <c r="AV55" s="17"/>
    </row>
    <row r="56" spans="2:48" ht="15.95" hidden="1" customHeight="1">
      <c r="B56" s="17"/>
      <c r="C56" s="17"/>
      <c r="D56" s="17"/>
      <c r="AV56" s="17"/>
    </row>
    <row r="57" spans="2:48" ht="15.95" hidden="1" customHeight="1">
      <c r="B57" s="17"/>
      <c r="C57" s="17"/>
      <c r="D57" s="17"/>
      <c r="AV57" s="17"/>
    </row>
    <row r="58" spans="2:48" ht="15.95" hidden="1" customHeight="1">
      <c r="B58" s="17"/>
      <c r="C58" s="17"/>
      <c r="D58" s="17"/>
      <c r="AV58" s="17"/>
    </row>
    <row r="59" spans="2:48" ht="15.95" hidden="1" customHeight="1">
      <c r="B59" s="17"/>
      <c r="C59" s="17"/>
      <c r="D59" s="17"/>
      <c r="AV59" s="17"/>
    </row>
    <row r="60" spans="2:48" ht="15.95" hidden="1" customHeight="1">
      <c r="B60" s="17"/>
      <c r="C60" s="17"/>
      <c r="D60" s="17"/>
      <c r="AV60" s="17"/>
    </row>
    <row r="61" spans="2:48" ht="15.95" hidden="1" customHeight="1"/>
    <row r="62" spans="2:48" ht="15.95" hidden="1" customHeight="1"/>
    <row r="63" spans="2:48" ht="15.95" hidden="1" customHeight="1"/>
    <row r="64" spans="2:48"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2.7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7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32" t="str">
        <f>FOOTDISCLAIM</f>
        <v/>
      </c>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v1.2.1</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ccmvF2opknStOlOn0yAFyySQeS/AIA01g6WKQav1fflj8u4BkjO4T0ddFqh/MPahkW297aqOYJXWO6bm4ljtFg==" saltValue="4DX4wJOUueP4erJYoIZHvg==" spinCount="100000" sheet="1" objects="1" scenarios="1"/>
  <mergeCells count="235">
    <mergeCell ref="AT1:AW3"/>
    <mergeCell ref="U9:AB10"/>
    <mergeCell ref="E11:W13"/>
    <mergeCell ref="D11:D13"/>
    <mergeCell ref="W51:AE51"/>
    <mergeCell ref="S52:V52"/>
    <mergeCell ref="W52:AE52"/>
    <mergeCell ref="E22:H22"/>
    <mergeCell ref="W26:AE26"/>
    <mergeCell ref="AP1:AS3"/>
    <mergeCell ref="F1:I3"/>
    <mergeCell ref="J1:M3"/>
    <mergeCell ref="AL1:AO3"/>
    <mergeCell ref="AS5:AW6"/>
    <mergeCell ref="AS7:AW7"/>
    <mergeCell ref="AS8:AW8"/>
    <mergeCell ref="E23:H23"/>
    <mergeCell ref="E25:Q25"/>
    <mergeCell ref="S25:AE25"/>
    <mergeCell ref="E26:H26"/>
    <mergeCell ref="I26:Q26"/>
    <mergeCell ref="AJ23:AM23"/>
    <mergeCell ref="AN23:AS23"/>
    <mergeCell ref="E28:H28"/>
    <mergeCell ref="AK53:AS53"/>
    <mergeCell ref="W40:AE40"/>
    <mergeCell ref="AG41:AJ41"/>
    <mergeCell ref="S34:AE34"/>
    <mergeCell ref="AB32:AC32"/>
    <mergeCell ref="AD32:AE32"/>
    <mergeCell ref="S42:V42"/>
    <mergeCell ref="AG34:AS34"/>
    <mergeCell ref="AK35:AS35"/>
    <mergeCell ref="S46:AE46"/>
    <mergeCell ref="S47:V47"/>
    <mergeCell ref="S53:V53"/>
    <mergeCell ref="W53:AA53"/>
    <mergeCell ref="AB53:AC53"/>
    <mergeCell ref="AD53:AE53"/>
    <mergeCell ref="S51:V51"/>
    <mergeCell ref="AG42:AJ42"/>
    <mergeCell ref="AK36:AS36"/>
    <mergeCell ref="AK37:AS37"/>
    <mergeCell ref="AB42:AE42"/>
    <mergeCell ref="W41:AA41"/>
    <mergeCell ref="I43:Q43"/>
    <mergeCell ref="S40:V40"/>
    <mergeCell ref="W30:AE30"/>
    <mergeCell ref="W36:AE36"/>
    <mergeCell ref="E40:H40"/>
    <mergeCell ref="I40:Q40"/>
    <mergeCell ref="I35:Q35"/>
    <mergeCell ref="E35:H35"/>
    <mergeCell ref="E34:Q34"/>
    <mergeCell ref="S41:V41"/>
    <mergeCell ref="W37:AA37"/>
    <mergeCell ref="AB37:AE37"/>
    <mergeCell ref="S35:V35"/>
    <mergeCell ref="W35:AE35"/>
    <mergeCell ref="AB41:AC41"/>
    <mergeCell ref="AD41:AE41"/>
    <mergeCell ref="AG25:AS25"/>
    <mergeCell ref="S26:V26"/>
    <mergeCell ref="I28:Q28"/>
    <mergeCell ref="E31:H31"/>
    <mergeCell ref="I31:Q31"/>
    <mergeCell ref="E30:H30"/>
    <mergeCell ref="I30:Q30"/>
    <mergeCell ref="E29:H29"/>
    <mergeCell ref="I29:Q29"/>
    <mergeCell ref="S28:V28"/>
    <mergeCell ref="S29:V29"/>
    <mergeCell ref="W29:AE29"/>
    <mergeCell ref="S31:V31"/>
    <mergeCell ref="W31:AE31"/>
    <mergeCell ref="I48:M48"/>
    <mergeCell ref="S37:V37"/>
    <mergeCell ref="S50:V50"/>
    <mergeCell ref="AG49:AJ49"/>
    <mergeCell ref="AK49:AS49"/>
    <mergeCell ref="W50:AE50"/>
    <mergeCell ref="S43:V43"/>
    <mergeCell ref="W43:AE43"/>
    <mergeCell ref="I41:Q41"/>
    <mergeCell ref="I39:Q39"/>
    <mergeCell ref="I50:Q50"/>
    <mergeCell ref="E46:Q46"/>
    <mergeCell ref="AK45:AS45"/>
    <mergeCell ref="AK46:AS46"/>
    <mergeCell ref="AK38:AS38"/>
    <mergeCell ref="AG44:AJ44"/>
    <mergeCell ref="AK44:AS44"/>
    <mergeCell ref="W47:AE47"/>
    <mergeCell ref="S48:V48"/>
    <mergeCell ref="W48:AA48"/>
    <mergeCell ref="AB48:AE48"/>
    <mergeCell ref="S49:V49"/>
    <mergeCell ref="W49:AE49"/>
    <mergeCell ref="E43:H43"/>
    <mergeCell ref="I51:Q51"/>
    <mergeCell ref="S38:V38"/>
    <mergeCell ref="W38:AE38"/>
    <mergeCell ref="AG35:AJ35"/>
    <mergeCell ref="O200:AI201"/>
    <mergeCell ref="E47:H47"/>
    <mergeCell ref="E48:H48"/>
    <mergeCell ref="E42:H42"/>
    <mergeCell ref="E53:H53"/>
    <mergeCell ref="E49:H49"/>
    <mergeCell ref="I42:Q42"/>
    <mergeCell ref="S39:V39"/>
    <mergeCell ref="W39:AE39"/>
    <mergeCell ref="AG36:AJ36"/>
    <mergeCell ref="AG37:AJ37"/>
    <mergeCell ref="AG53:AJ53"/>
    <mergeCell ref="E51:H51"/>
    <mergeCell ref="E41:H41"/>
    <mergeCell ref="E39:H39"/>
    <mergeCell ref="AG45:AJ45"/>
    <mergeCell ref="AG46:AJ46"/>
    <mergeCell ref="AG40:AJ40"/>
    <mergeCell ref="AG39:AJ39"/>
    <mergeCell ref="W42:AA42"/>
    <mergeCell ref="T23:W23"/>
    <mergeCell ref="I53:M53"/>
    <mergeCell ref="N53:O53"/>
    <mergeCell ref="P53:Q53"/>
    <mergeCell ref="AG26:AS32"/>
    <mergeCell ref="AK39:AS39"/>
    <mergeCell ref="AG50:AJ50"/>
    <mergeCell ref="AK50:AS50"/>
    <mergeCell ref="AG51:AJ51"/>
    <mergeCell ref="AK51:AS51"/>
    <mergeCell ref="AK48:AS48"/>
    <mergeCell ref="AG38:AJ38"/>
    <mergeCell ref="I52:Q52"/>
    <mergeCell ref="I47:Q47"/>
    <mergeCell ref="AK40:AS40"/>
    <mergeCell ref="AK41:AS41"/>
    <mergeCell ref="AG43:AJ43"/>
    <mergeCell ref="AK43:AS43"/>
    <mergeCell ref="AK42:AS42"/>
    <mergeCell ref="AG47:AJ47"/>
    <mergeCell ref="AK47:AS47"/>
    <mergeCell ref="AG48:AJ48"/>
    <mergeCell ref="P23:S23"/>
    <mergeCell ref="I49:Q49"/>
    <mergeCell ref="E52:H52"/>
    <mergeCell ref="E50:H50"/>
    <mergeCell ref="E27:H27"/>
    <mergeCell ref="I27:M27"/>
    <mergeCell ref="N27:Q27"/>
    <mergeCell ref="S27:V27"/>
    <mergeCell ref="W28:AE28"/>
    <mergeCell ref="W27:AA27"/>
    <mergeCell ref="AB27:AE27"/>
    <mergeCell ref="E38:H38"/>
    <mergeCell ref="I37:Q37"/>
    <mergeCell ref="E37:H37"/>
    <mergeCell ref="E36:H36"/>
    <mergeCell ref="I36:Q36"/>
    <mergeCell ref="S36:V36"/>
    <mergeCell ref="S30:V30"/>
    <mergeCell ref="I38:Q38"/>
    <mergeCell ref="N48:Q48"/>
    <mergeCell ref="E32:H32"/>
    <mergeCell ref="I32:M32"/>
    <mergeCell ref="N32:O32"/>
    <mergeCell ref="P32:Q32"/>
    <mergeCell ref="S32:V32"/>
    <mergeCell ref="W32:AA32"/>
    <mergeCell ref="E18:H18"/>
    <mergeCell ref="I19:N19"/>
    <mergeCell ref="I20:N20"/>
    <mergeCell ref="I21:N21"/>
    <mergeCell ref="AN16:AS16"/>
    <mergeCell ref="AN17:AS17"/>
    <mergeCell ref="AJ16:AM16"/>
    <mergeCell ref="AJ17:AM17"/>
    <mergeCell ref="AJ19:AS19"/>
    <mergeCell ref="E20:H20"/>
    <mergeCell ref="P19:S19"/>
    <mergeCell ref="P20:S20"/>
    <mergeCell ref="P21:S21"/>
    <mergeCell ref="P22:S22"/>
    <mergeCell ref="P15:W15"/>
    <mergeCell ref="T16:W16"/>
    <mergeCell ref="T17:W17"/>
    <mergeCell ref="T18:W18"/>
    <mergeCell ref="T19:W19"/>
    <mergeCell ref="Y12:AH16"/>
    <mergeCell ref="Y18:AH18"/>
    <mergeCell ref="AN14:AS14"/>
    <mergeCell ref="AN12:AS12"/>
    <mergeCell ref="AN13:AS13"/>
    <mergeCell ref="AN15:AS15"/>
    <mergeCell ref="AN20:AS20"/>
    <mergeCell ref="AN21:AS21"/>
    <mergeCell ref="T20:W20"/>
    <mergeCell ref="T21:W21"/>
    <mergeCell ref="N1:T3"/>
    <mergeCell ref="U1:AK3"/>
    <mergeCell ref="E15:N15"/>
    <mergeCell ref="P16:S16"/>
    <mergeCell ref="P17:S17"/>
    <mergeCell ref="AJ11:AS11"/>
    <mergeCell ref="AJ12:AM12"/>
    <mergeCell ref="AJ13:AM13"/>
    <mergeCell ref="AJ14:AM14"/>
    <mergeCell ref="AJ15:AM15"/>
    <mergeCell ref="I16:N16"/>
    <mergeCell ref="E44:H44"/>
    <mergeCell ref="I44:Q44"/>
    <mergeCell ref="S44:V44"/>
    <mergeCell ref="W44:AE44"/>
    <mergeCell ref="AG52:AJ52"/>
    <mergeCell ref="AK52:AS52"/>
    <mergeCell ref="T22:W22"/>
    <mergeCell ref="A4:E6"/>
    <mergeCell ref="A7:E8"/>
    <mergeCell ref="AN22:AS22"/>
    <mergeCell ref="AJ20:AM20"/>
    <mergeCell ref="P18:S18"/>
    <mergeCell ref="I23:N23"/>
    <mergeCell ref="E17:H17"/>
    <mergeCell ref="E19:H19"/>
    <mergeCell ref="E21:H21"/>
    <mergeCell ref="I22:N22"/>
    <mergeCell ref="E16:H16"/>
    <mergeCell ref="I18:N18"/>
    <mergeCell ref="I17:N17"/>
    <mergeCell ref="AJ21:AM21"/>
    <mergeCell ref="AJ22:AM22"/>
    <mergeCell ref="Y11:AH11"/>
    <mergeCell ref="Y19:AH23"/>
  </mergeCells>
  <conditionalFormatting sqref="C11:D11">
    <cfRule type="expression" dxfId="9" priority="993">
      <formula>IF($E$11="",TRUE,FALSE)</formula>
    </cfRule>
  </conditionalFormatting>
  <conditionalFormatting sqref="E10">
    <cfRule type="expression" dxfId="8" priority="994">
      <formula>IF($E$11="",TRUE,FALSE)</formula>
    </cfRule>
  </conditionalFormatting>
  <conditionalFormatting sqref="T16:T23">
    <cfRule type="containsText" dxfId="7" priority="13" operator="containsText" text="Incomplete">
      <formula>NOT(ISERROR(SEARCH("Incomplete",T16)))</formula>
    </cfRule>
    <cfRule type="containsText" dxfId="6" priority="14" operator="containsText" text="Almost">
      <formula>NOT(ISERROR(SEARCH("Almost",T16)))</formula>
    </cfRule>
  </conditionalFormatting>
  <conditionalFormatting sqref="Y12">
    <cfRule type="containsBlanks" dxfId="5" priority="8">
      <formula>LEN(TRIM(Y12))=0</formula>
    </cfRule>
  </conditionalFormatting>
  <conditionalFormatting sqref="Y19">
    <cfRule type="containsBlanks" dxfId="4" priority="7">
      <formula>LEN(TRIM(Y19))=0</formula>
    </cfRule>
  </conditionalFormatting>
  <conditionalFormatting sqref="AK53">
    <cfRule type="containsBlanks" dxfId="3" priority="1">
      <formula>LEN(TRIM(AK53))=0</formula>
    </cfRule>
  </conditionalFormatting>
  <conditionalFormatting sqref="AN12:AN17">
    <cfRule type="containsBlanks" dxfId="2" priority="104">
      <formula>LEN(TRIM(AN12))=0</formula>
    </cfRule>
  </conditionalFormatting>
  <conditionalFormatting sqref="AN20:AN23">
    <cfRule type="containsBlanks" dxfId="1" priority="16">
      <formula>LEN(TRIM(AN20))=0</formula>
    </cfRule>
  </conditionalFormatting>
  <conditionalFormatting sqref="AS8:AW8">
    <cfRule type="expression" dxfId="0" priority="10">
      <formula>IF($AS$8=PROJSTATMEASURE,FALSE,TRUE)</formula>
    </cfRule>
  </conditionalFormatting>
  <dataValidations count="9">
    <dataValidation type="list" allowBlank="1" showInputMessage="1" sqref="AN13" xr:uid="{00000000-0002-0000-1200-000000000000}">
      <formula1>IMPLSPECNAME</formula1>
    </dataValidation>
    <dataValidation type="list" allowBlank="1" showInputMessage="1" sqref="I19" xr:uid="{CC8CFAB9-EC50-43A9-983E-E3B83E8E928F}">
      <formula1>PROJECTTYPELIST</formula1>
    </dataValidation>
    <dataValidation type="list" allowBlank="1" showInputMessage="1" sqref="AN14" xr:uid="{00000000-0002-0000-1200-000001000000}">
      <formula1>ENGNRSNAMES</formula1>
    </dataValidation>
    <dataValidation type="list" allowBlank="1" showInputMessage="1" showErrorMessage="1" sqref="AN15" xr:uid="{00000000-0002-0000-1200-000002000000}">
      <formula1>"SUBMITTED,REVIEWED,FINAL"</formula1>
    </dataValidation>
    <dataValidation type="list" allowBlank="1" showInputMessage="1" sqref="AN17" xr:uid="{00000000-0002-0000-1200-000004000000}">
      <formula1>BUSDEVELNAME</formula1>
    </dataValidation>
    <dataValidation type="list" allowBlank="1" showInputMessage="1" showErrorMessage="1" sqref="AN22" xr:uid="{A81A12AD-D259-4081-932E-94D6A040F40C}">
      <formula1>YESNOLIST</formula1>
    </dataValidation>
    <dataValidation type="list" allowBlank="1" showInputMessage="1" showErrorMessage="1" sqref="AN20:AN21" xr:uid="{7B606C93-B337-41E6-92D8-66E561EE1F67}">
      <formula1>"Yes, No"</formula1>
    </dataValidation>
    <dataValidation type="list" allowBlank="1" showInputMessage="1" showErrorMessage="1" sqref="AN23:AS23" xr:uid="{E482D404-A7AD-46A2-B648-570C096B0969}">
      <formula1>"Business Energy Savings, Small Business / Non-Profit"</formula1>
    </dataValidation>
    <dataValidation type="list" allowBlank="1" showInputMessage="1" showErrorMessage="1" sqref="AK53" xr:uid="{F81178E6-4204-4A3F-98A7-1345597EB70C}">
      <formula1>ENERGYCODESLIST</formula1>
    </dataValidation>
  </dataValidations>
  <hyperlinks>
    <hyperlink ref="B202" r:id="rId1" display="businessrebates@evergy.com" xr:uid="{57437073-5CDF-4ECD-BC4A-4231A757EB75}"/>
    <hyperlink ref="J1:M3" location="'M01-S02'!J1" tooltip="Instructions" display="'M01-S02'!J1" xr:uid="{EBF3ECD0-EEAD-4D48-90F4-0CC33F9B9590}"/>
    <hyperlink ref="AP1:AS3" location="'M05-S05'!AL1" tooltip=" " display="'M05-S05'!AL1" xr:uid="{E0C74C4B-316F-4DCF-9AE0-79BE76F1A726}"/>
    <hyperlink ref="AL1:AO3" location="'M05-S04'!AH1" tooltip=" " display="'M05-S04'!AH1" xr:uid="{64B8DC88-625C-4E5F-BFCD-7A0022667AEB}"/>
    <hyperlink ref="AT1:AW3" location="'M01-S03'!AP1" tooltip="Contact" display="'M01-S03'!AP1" xr:uid="{8D87E023-2F69-4D9F-AF90-DB147C0C9385}"/>
  </hyperlinks>
  <printOptions horizontalCentered="1"/>
  <pageMargins left="0" right="0" top="0" bottom="0" header="0" footer="0"/>
  <pageSetup scale="52"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AS169"/>
  <sheetViews>
    <sheetView zoomScale="85" zoomScaleNormal="85" workbookViewId="0">
      <selection activeCell="F42" sqref="F42"/>
    </sheetView>
  </sheetViews>
  <sheetFormatPr defaultColWidth="0" defaultRowHeight="15"/>
  <cols>
    <col min="1" max="1" width="23.85546875" bestFit="1" customWidth="1"/>
    <col min="2" max="2" width="63.42578125" bestFit="1" customWidth="1"/>
    <col min="3" max="3" width="10.28515625" customWidth="1"/>
    <col min="4" max="4" width="9.140625" bestFit="1" customWidth="1"/>
    <col min="5" max="5" width="11.7109375" bestFit="1" customWidth="1"/>
    <col min="6" max="6" width="12.28515625" bestFit="1" customWidth="1"/>
    <col min="7" max="7" width="28.140625" bestFit="1" customWidth="1"/>
    <col min="8" max="8" width="14.85546875" bestFit="1" customWidth="1"/>
    <col min="9" max="9" width="11.5703125" bestFit="1" customWidth="1"/>
    <col min="10" max="10" width="8.7109375" bestFit="1" customWidth="1"/>
    <col min="11" max="11" width="10.140625" bestFit="1" customWidth="1"/>
    <col min="12" max="12" width="9.28515625" bestFit="1" customWidth="1"/>
    <col min="13" max="13" width="16.42578125" bestFit="1" customWidth="1"/>
    <col min="14" max="14" width="15.28515625" bestFit="1" customWidth="1"/>
    <col min="15" max="15" width="16.28515625" bestFit="1" customWidth="1"/>
    <col min="16" max="16" width="11.140625" bestFit="1" customWidth="1"/>
    <col min="17" max="17" width="17.85546875" bestFit="1" customWidth="1"/>
    <col min="18" max="18" width="22.42578125" bestFit="1" customWidth="1"/>
    <col min="19" max="19" width="8.28515625" bestFit="1" customWidth="1"/>
    <col min="20" max="20" width="8.140625" bestFit="1" customWidth="1"/>
    <col min="21" max="45" width="4.7109375" customWidth="1"/>
    <col min="46" max="16384" width="4.7109375" hidden="1"/>
  </cols>
  <sheetData>
    <row r="1" spans="1:40">
      <c r="A1" s="332" t="s">
        <v>66</v>
      </c>
      <c r="B1" s="333" t="str">
        <f>VERSION</f>
        <v>v1.2.1</v>
      </c>
      <c r="G1" s="334" t="s">
        <v>143</v>
      </c>
      <c r="H1" s="7">
        <f ca="1">IF(EXPIRATION&lt;&gt;"","---",IF(I30=0,0,I30))</f>
        <v>0</v>
      </c>
    </row>
    <row r="2" spans="1:40" ht="15.75" customHeight="1">
      <c r="A2" s="332" t="s">
        <v>0</v>
      </c>
      <c r="B2" s="333" t="str">
        <f>PNAME</f>
        <v>Evergy KS</v>
      </c>
      <c r="G2" s="334" t="s">
        <v>144</v>
      </c>
      <c r="H2" s="7" t="str">
        <f ca="1">IF(EXPIRATION&lt;&gt;"","---",IF(L30=0,"---",IF(PAYALL&lt;=2,"---",IF(CBALL&lt;1,"---",INCENTOTAL))))</f>
        <v>---</v>
      </c>
    </row>
    <row r="3" spans="1:40" ht="15" customHeight="1">
      <c r="A3" s="332" t="s">
        <v>1801</v>
      </c>
      <c r="B3" s="335" t="str">
        <f ca="1">APP_TYPE</f>
        <v>General App</v>
      </c>
      <c r="G3" s="334" t="s">
        <v>298</v>
      </c>
      <c r="H3" s="7" t="str">
        <f ca="1">IF(EXPIRATION&lt;&gt;"", PROJSTATEXP,
IF(MEASTOTALALL=0, PROJSTATMEASURE,
IF(AND(ACTIVECOMPL &lt;&gt; "Yes", OR(INCENTOTALPRESE&gt;INCPREAPPROVAL,MEASTOTALCUSPA&gt;0)),PROJSTATPREAPPROVE, "")))</f>
        <v>Enter Measures</v>
      </c>
      <c r="AN3" s="69"/>
    </row>
    <row r="4" spans="1:40" ht="15.75" customHeight="1">
      <c r="A4" s="332" t="s">
        <v>1089</v>
      </c>
      <c r="B4" s="7" t="str">
        <f>TRANSFERID</f>
        <v>Evergy</v>
      </c>
      <c r="G4" s="334" t="s">
        <v>304</v>
      </c>
      <c r="H4" s="336">
        <f ca="1">SUM(C77,C83,C103,C116,C144,C149,C167)/SUM(D77,D83,D103,D116,D144,D149,D167)</f>
        <v>0</v>
      </c>
    </row>
    <row r="5" spans="1:40">
      <c r="A5" s="332" t="s">
        <v>1802</v>
      </c>
      <c r="B5" s="337">
        <f>EXPIRATION_DATE</f>
        <v>46022</v>
      </c>
      <c r="G5" s="334" t="s">
        <v>2151</v>
      </c>
      <c r="H5" s="7"/>
    </row>
    <row r="6" spans="1:40">
      <c r="A6" s="332" t="s">
        <v>1803</v>
      </c>
      <c r="B6" s="337" t="str">
        <f ca="1">EXPIRATION</f>
        <v/>
      </c>
    </row>
    <row r="8" spans="1:40">
      <c r="A8" s="338" t="s">
        <v>1</v>
      </c>
      <c r="B8" s="339" t="s">
        <v>2</v>
      </c>
      <c r="G8" s="340" t="str">
        <f>MAIN3</f>
        <v>Equipment Input</v>
      </c>
      <c r="H8" s="340" t="s">
        <v>1122</v>
      </c>
      <c r="I8" s="340" t="s">
        <v>611</v>
      </c>
      <c r="J8" s="340" t="s">
        <v>612</v>
      </c>
      <c r="K8" s="340" t="s">
        <v>923</v>
      </c>
      <c r="L8" s="340" t="s">
        <v>83</v>
      </c>
      <c r="M8" s="340" t="s">
        <v>618</v>
      </c>
      <c r="N8" s="340" t="s">
        <v>619</v>
      </c>
      <c r="O8" s="340" t="s">
        <v>620</v>
      </c>
      <c r="P8" s="340" t="s">
        <v>1619</v>
      </c>
      <c r="Q8" s="340" t="s">
        <v>1833</v>
      </c>
      <c r="R8" s="340" t="s">
        <v>1701</v>
      </c>
    </row>
    <row r="9" spans="1:40">
      <c r="A9" s="341" t="s">
        <v>35</v>
      </c>
      <c r="B9" s="342"/>
      <c r="G9" s="343" t="str">
        <f>B28</f>
        <v>Equipment Type</v>
      </c>
      <c r="H9" s="344"/>
      <c r="I9" s="344"/>
      <c r="J9" s="345"/>
      <c r="K9" s="346"/>
      <c r="L9" s="346"/>
      <c r="M9" s="7"/>
      <c r="N9" s="345"/>
      <c r="O9" s="346"/>
      <c r="P9" s="346"/>
      <c r="Q9" s="346"/>
      <c r="R9" s="344"/>
    </row>
    <row r="10" spans="1:40">
      <c r="A10" s="347" t="s">
        <v>3</v>
      </c>
      <c r="B10" s="348" t="s">
        <v>329</v>
      </c>
      <c r="G10" s="343" t="str">
        <f t="shared" ref="G10:G17" si="0">B29</f>
        <v>Lighting</v>
      </c>
      <c r="H10" s="344">
        <f>COUNT('M03-S02'!$AO$18:$AQ$199)</f>
        <v>0</v>
      </c>
      <c r="I10" s="345">
        <f>IF(R10="Deemed",SUM('M03-S02'!$BH$18:$BH$199),IF(R10="Calculated",SUM('M03-S02'!$BE$18:$BE$199),""))</f>
        <v>0</v>
      </c>
      <c r="J10" s="345">
        <f>IF(R10="Deemed",SUM('M03-S02'!$BI$18:$BI$199),IF(R10="Calculated",SUM('M03-S02'!$BF$18:$BF$199),""))</f>
        <v>0</v>
      </c>
      <c r="K10" s="346">
        <f>SUM('M03-S02'!BL18:BL199)</f>
        <v>0</v>
      </c>
      <c r="L10" s="346">
        <f>SUM('M03-S02'!AR18:AU199)</f>
        <v>0</v>
      </c>
      <c r="M10" s="345">
        <f ca="1">IF(R10="Deemed",SUMIF('M03-S02'!$AR$18:$AU$199,"&gt;0",'M03-S02'!$BH$18:$BH$199),IF(R10="Calculated",SUMIF('M03-S02'!$AR$18:$AU$199,"&gt;0",'M03-S02'!$BE$18:$BE$199),""))</f>
        <v>0</v>
      </c>
      <c r="N10" s="345">
        <f ca="1">SUMIF('M03-S02'!$AR$18:$AU$199,"&gt;0",'M03-S02'!BF18:BF199)</f>
        <v>0</v>
      </c>
      <c r="O10" s="346">
        <f ca="1">SUMIF('M03-S02'!$AR$18:$AU$199,"&gt;0",'M03-S02'!BL18:BL199)</f>
        <v>0</v>
      </c>
      <c r="P10" s="346">
        <f>SUM('M03-S02'!BK18:BK199)</f>
        <v>0</v>
      </c>
      <c r="Q10" s="346">
        <f>SUM('M03-S02'!BP18:BP47)</f>
        <v>0</v>
      </c>
      <c r="R10" s="344" t="s">
        <v>873</v>
      </c>
    </row>
    <row r="11" spans="1:40">
      <c r="A11" s="347" t="s">
        <v>4</v>
      </c>
      <c r="B11" s="348" t="s">
        <v>776</v>
      </c>
      <c r="G11" s="343" t="str">
        <f t="shared" si="0"/>
        <v>Lighting Controls</v>
      </c>
      <c r="H11" s="344">
        <f>COUNT('M03-S03'!$AO$18:$AQ$199)</f>
        <v>0</v>
      </c>
      <c r="I11" s="345">
        <f>IF(R11="Deemed",SUM('M03-S03'!$BH$18:$BH$199),IF(R11="Calculated",SUM('M03-S03'!$BE$18:$BE$199),""))</f>
        <v>0</v>
      </c>
      <c r="J11" s="345">
        <f>IF(R11="Deemed",SUM('M03-S03'!$BI$18:$BI$199),IF(R11="Calculated",SUM('M03-S03'!$BF$18:$BF$199),""))</f>
        <v>0</v>
      </c>
      <c r="K11" s="346">
        <f>SUM('M03-S03'!BL18:BL199)</f>
        <v>0</v>
      </c>
      <c r="L11" s="346">
        <f>SUM('M03-S03'!AR18:AU199)</f>
        <v>0</v>
      </c>
      <c r="M11" s="345">
        <f ca="1">SUMIF('M03-S03'!$AR$18:$AU$199,"&gt;0",'M03-S03'!$AO$18:$AQ$199)</f>
        <v>0</v>
      </c>
      <c r="N11" s="345">
        <f ca="1">SUMIF('M03-S03'!$AR$18:$AU$199,"&gt;0",'M03-S03'!BF18:BF199)</f>
        <v>0</v>
      </c>
      <c r="O11" s="346">
        <f ca="1">SUMIF('M03-S03'!$AR$18:$AU$199,"&gt;0",'M03-S03'!BL18:BL199)</f>
        <v>0</v>
      </c>
      <c r="P11" s="346">
        <f>SUM('M03-S03'!BK18:BK199)</f>
        <v>0</v>
      </c>
      <c r="Q11" s="346">
        <f>SUM('M03-S03'!BP18:BP37)</f>
        <v>0</v>
      </c>
      <c r="R11" s="344" t="s">
        <v>873</v>
      </c>
    </row>
    <row r="12" spans="1:40">
      <c r="A12" s="347" t="s">
        <v>5</v>
      </c>
      <c r="B12" s="348" t="s">
        <v>79</v>
      </c>
      <c r="G12" s="343" t="str">
        <f t="shared" si="0"/>
        <v>Refrigeration</v>
      </c>
      <c r="H12" s="344">
        <f>COUNT('M03-S04'!$AO$18:$AQ$199)</f>
        <v>0</v>
      </c>
      <c r="I12" s="345">
        <f>IF(R12="Deemed",SUM('M03-S04'!$BH$18:$BH$199),IF(R12="Calculated",SUM('M03-S04'!$BE$18:$BE$199),""))</f>
        <v>0</v>
      </c>
      <c r="J12" s="345">
        <f>IF(R12="Deemed",SUM('M03-S04'!$BI$18:$BI$199),IF(R12="Calculated",SUM('M03-S04'!$BF$18:$BF$199),""))</f>
        <v>0</v>
      </c>
      <c r="K12" s="346">
        <f>SUM('M03-S04'!BL18:BL199)</f>
        <v>0</v>
      </c>
      <c r="L12" s="346">
        <f>SUM('M03-S04'!AR18:AU199)</f>
        <v>0</v>
      </c>
      <c r="M12" s="345">
        <f ca="1">SUMIF('M03-S04'!$AR$18:$AU$199,"&gt;0",'M03-S04'!$AO$18:$AQ$199)</f>
        <v>0</v>
      </c>
      <c r="N12" s="345">
        <f ca="1">SUMIF('M03-S04'!$AR$18:$AU$199,"&gt;0",'M03-S04'!BI18:BI199)</f>
        <v>0</v>
      </c>
      <c r="O12" s="346">
        <f ca="1">SUMIF('M03-S04'!$AR$18:$AU$199,"&gt;0",'M03-S04'!BL18:BL199)</f>
        <v>0</v>
      </c>
      <c r="P12" s="346">
        <f>SUM('M03-S04'!BK18:BK199)</f>
        <v>0</v>
      </c>
      <c r="Q12" s="346">
        <f>SUM('M03-S04'!BP18:BP37)</f>
        <v>0</v>
      </c>
      <c r="R12" s="344" t="s">
        <v>873</v>
      </c>
    </row>
    <row r="13" spans="1:40">
      <c r="A13" s="347" t="s">
        <v>6</v>
      </c>
      <c r="B13" s="348"/>
      <c r="G13" s="457" t="str">
        <f t="shared" si="0"/>
        <v>HVAC</v>
      </c>
      <c r="H13" s="458"/>
      <c r="I13" s="459"/>
      <c r="J13" s="459"/>
      <c r="K13" s="460"/>
      <c r="L13" s="460"/>
      <c r="M13" s="459"/>
      <c r="N13" s="459"/>
      <c r="O13" s="460"/>
      <c r="P13" s="460"/>
      <c r="Q13" s="460"/>
      <c r="R13" s="458"/>
    </row>
    <row r="14" spans="1:40">
      <c r="A14" s="347" t="s">
        <v>7</v>
      </c>
      <c r="B14" s="348"/>
      <c r="G14" s="343" t="str">
        <f t="shared" si="0"/>
        <v>Compressed Air / Process</v>
      </c>
      <c r="H14" s="344">
        <f>COUNT('M03-S06'!$AO$18:$AQ$199)</f>
        <v>0</v>
      </c>
      <c r="I14" s="345">
        <f>IF(R14="Deemed",SUM('M03-S06'!$BH$18:$BH$199),IF(R14="Calculated",SUM('M03-S06'!$BE$18:$BE$199),""))</f>
        <v>0</v>
      </c>
      <c r="J14" s="345">
        <f>IF(R14="Deemed",SUM('M03-S06'!$BI$18:$BI$199),IF(R14="Calculated",SUM('M03-S06'!$BF$18:$BF$199),""))</f>
        <v>0</v>
      </c>
      <c r="K14" s="346">
        <f>SUM('M03-S06'!BL18:BL199)</f>
        <v>0</v>
      </c>
      <c r="L14" s="346">
        <f>SUM('M03-S06'!AR18:AU199)</f>
        <v>0</v>
      </c>
      <c r="M14" s="345">
        <f ca="1">SUMIF('M03-S06'!$AR$18:$AU$199,"&gt;0",'M03-S06'!$AO$18:$AQ$199)</f>
        <v>0</v>
      </c>
      <c r="N14" s="345">
        <f ca="1">SUMIF('M03-S06'!$AR$18:$AU$199,"&gt;0",'M03-S06'!BI18:BI199)</f>
        <v>0</v>
      </c>
      <c r="O14" s="346">
        <f ca="1">SUMIF('M03-S06'!$AR$18:$AU$199,"&gt;0",'M03-S06'!BL18:BL199)</f>
        <v>0</v>
      </c>
      <c r="P14" s="346">
        <f>SUM('M03-S06'!BK18:BK199)</f>
        <v>0</v>
      </c>
      <c r="Q14" s="346">
        <f>SUM('M03-S06'!BP18:BP37)</f>
        <v>0</v>
      </c>
      <c r="R14" s="344" t="s">
        <v>873</v>
      </c>
    </row>
    <row r="15" spans="1:40">
      <c r="A15" s="347" t="s">
        <v>8</v>
      </c>
      <c r="B15" s="348"/>
      <c r="G15" s="343" t="str">
        <f t="shared" si="0"/>
        <v>Water Heating / Food Services</v>
      </c>
      <c r="H15" s="344">
        <f>COUNT('M03-S07'!$AO$18:$AQ$199)</f>
        <v>0</v>
      </c>
      <c r="I15" s="345">
        <f>IF(R15="Deemed",SUM('M03-S07'!$BH$18:$BH$199),IF(R15="Calculated",SUM('M03-S07'!$BE$18:$BE$199),""))</f>
        <v>0</v>
      </c>
      <c r="J15" s="345">
        <f>IF(R15="Deemed",SUM('M03-S07'!$BI$18:$BI$199),IF(R15="Calculated",SUM('M03-S07'!$BF$18:$BF$199),""))</f>
        <v>0</v>
      </c>
      <c r="K15" s="346">
        <f>SUM('M03-S07'!BL18:BL199)</f>
        <v>0</v>
      </c>
      <c r="L15" s="346">
        <f>SUM('M03-S07'!AR18:AU199)</f>
        <v>0</v>
      </c>
      <c r="M15" s="345">
        <f ca="1">SUMIF('M03-S07'!$AR$18:$AU$199,"&gt;0",'M03-S07'!$AO$18:$AQ$199)</f>
        <v>0</v>
      </c>
      <c r="N15" s="345">
        <f ca="1">SUMIF('M03-S07'!$AR$18:$AU$199,"&gt;0",'M03-S07'!BI18:BI199)</f>
        <v>0</v>
      </c>
      <c r="O15" s="346">
        <f ca="1">SUMIF('M03-S07'!$AR$18:$AU$199,"&gt;0",'M03-S07'!BL18:BL199)</f>
        <v>0</v>
      </c>
      <c r="P15" s="346">
        <f>SUM('M03-S07'!BK18:BK199)</f>
        <v>0</v>
      </c>
      <c r="Q15" s="346">
        <f>SUM('M03-S07'!BP18:BP37)</f>
        <v>0</v>
      </c>
      <c r="R15" s="344" t="s">
        <v>873</v>
      </c>
    </row>
    <row r="16" spans="1:40">
      <c r="A16" s="347" t="s">
        <v>9</v>
      </c>
      <c r="B16" s="348"/>
      <c r="G16" s="343" t="str">
        <f t="shared" si="0"/>
        <v>Motors and Drives</v>
      </c>
      <c r="H16" s="344">
        <f>COUNT('M03-S08'!$AO$18:$AQ$199)</f>
        <v>0</v>
      </c>
      <c r="I16" s="345">
        <f>IF(R16="Deemed",SUM('M03-S08'!$BH$18:$BH$199),IF(R16="Calculated",SUM('M03-S08'!$BE$18:$BE$199),""))</f>
        <v>0</v>
      </c>
      <c r="J16" s="345">
        <f>IF(R16="Deemed",SUM('M03-S08'!$BI$18:$BI$199),IF(R16="Calculated",SUM('M03-S08'!$BF$18:$BF$199),""))</f>
        <v>0</v>
      </c>
      <c r="K16" s="346">
        <f>SUM('M03-S08'!BL18:BL199)</f>
        <v>0</v>
      </c>
      <c r="L16" s="346">
        <f>SUM('M03-S08'!AR18:AU199)</f>
        <v>0</v>
      </c>
      <c r="M16" s="345">
        <f ca="1">SUMIF('M03-S08'!$AR$18:$AU$199,"&gt;0",'M03-S08'!$AO$18:$AQ$199)</f>
        <v>0</v>
      </c>
      <c r="N16" s="345">
        <f ca="1">SUMIF('M03-S08'!$AR$18:$AU$199,"&gt;0",'M03-S08'!BI18:BI199)</f>
        <v>0</v>
      </c>
      <c r="O16" s="346">
        <f ca="1">SUMIF('M03-S08'!$AR$18:$AU$199,"&gt;0",'M03-S08'!BL18:BL199)</f>
        <v>0</v>
      </c>
      <c r="P16" s="346">
        <f>SUM('M03-S08'!BK18:BK199)</f>
        <v>0</v>
      </c>
      <c r="Q16" s="346">
        <f>SUM('M03-S08'!BP18:BP37)</f>
        <v>0</v>
      </c>
      <c r="R16" s="344" t="s">
        <v>873</v>
      </c>
    </row>
    <row r="17" spans="1:20">
      <c r="A17" s="360" t="s">
        <v>10</v>
      </c>
      <c r="B17" s="349"/>
      <c r="G17" s="340">
        <f t="shared" si="0"/>
        <v>0</v>
      </c>
      <c r="H17" s="344"/>
      <c r="I17" s="345"/>
      <c r="J17" s="345"/>
      <c r="K17" s="346"/>
      <c r="L17" s="346"/>
      <c r="M17" s="345"/>
      <c r="N17" s="345"/>
      <c r="O17" s="346"/>
      <c r="P17" s="346"/>
      <c r="Q17" s="346"/>
      <c r="R17" s="344"/>
    </row>
    <row r="18" spans="1:20">
      <c r="A18" s="341" t="s">
        <v>36</v>
      </c>
      <c r="B18" s="342"/>
      <c r="G18" s="343" t="str">
        <f t="shared" ref="G18:G25" si="1">B38</f>
        <v>Lighting</v>
      </c>
      <c r="H18" s="344">
        <f>COUNT('M04-S02'!$BN$18:$BN$199) + COUNT('M04-S10'!$BN$18:$BN$199)</f>
        <v>0</v>
      </c>
      <c r="I18" s="345">
        <f>SUM('M04-S02'!AO18:AQ199) + SUM('M04-S10'!AO18:AQ199)</f>
        <v>0</v>
      </c>
      <c r="J18" s="345">
        <f>SUM('M04-S02'!BG18:BG199) + SUM('M04-S10'!BG18:BG199)</f>
        <v>0</v>
      </c>
      <c r="K18" s="346">
        <f>SUM('M04-S02'!AL18:AN199) + SUM('M04-S10'!BL18:BL199)</f>
        <v>0</v>
      </c>
      <c r="L18" s="346">
        <f>SUM('M04-S02'!AR18:AU199) + SUM('M04-S10'!AR18:AU199)</f>
        <v>0</v>
      </c>
      <c r="M18" s="345">
        <f ca="1">SUMIF('M04-S02'!$AR$18:$AU$199,"&gt;0",'M04-S02'!$AO$18:$AQ$199) + SUMIF('M04-S10'!$AR$18:$AU$199,"&gt;0",'M04-S10'!$AO$18:$AQ$199)</f>
        <v>0</v>
      </c>
      <c r="N18" s="345">
        <f ca="1">SUMIF('M04-S02'!$AR$18:$AU$199,"&gt;0",'M04-S02'!BG18:BG199) + SUMIF('M04-S10'!$AR$18:$AU$199,"&gt;0",'M04-S10'!BG18:BG199)</f>
        <v>0</v>
      </c>
      <c r="O18" s="346">
        <f ca="1">SUMIF('M04-S02'!$AR$18:$AU$199,"&gt;0",'M04-S02'!AL18:AN199) + SUMIF('M04-S10'!$AR$18:$AU$199,"&gt;0",'M04-S10'!$BL$18:$BL$199)</f>
        <v>0</v>
      </c>
      <c r="P18" s="346">
        <f>SUM('M04-S02'!BK18:BK199) + SUM('M04-S10'!BK18:BK199)</f>
        <v>0</v>
      </c>
      <c r="Q18" s="346">
        <f>SUM('M04-S02'!BP18:BP199) + SUM('M04-S10'!BP18:BP199)</f>
        <v>0</v>
      </c>
      <c r="R18" s="344" t="s">
        <v>874</v>
      </c>
    </row>
    <row r="19" spans="1:20">
      <c r="A19" s="347" t="s">
        <v>11</v>
      </c>
      <c r="B19" s="348" t="s">
        <v>68</v>
      </c>
      <c r="G19" s="343" t="str">
        <f t="shared" si="1"/>
        <v>Lighting Controls</v>
      </c>
      <c r="H19" s="344">
        <f>COUNT('M04-S03'!$BN$18:$BN$199)</f>
        <v>0</v>
      </c>
      <c r="I19" s="345">
        <f>SUM('M04-S03'!AO18:AQ199)</f>
        <v>0</v>
      </c>
      <c r="J19" s="345">
        <f>SUM('M04-S03'!BG18:BG199)</f>
        <v>0</v>
      </c>
      <c r="K19" s="346">
        <f>SUM('M04-S03'!AL18:AN199)</f>
        <v>0</v>
      </c>
      <c r="L19" s="346">
        <f>SUM('M04-S03'!AR18:AU199)</f>
        <v>0</v>
      </c>
      <c r="M19" s="345">
        <f ca="1">SUMIF('M04-S03'!$AR$18:$AU$199,"&gt;0",'M04-S03'!$AO$18:$AQ$199)</f>
        <v>0</v>
      </c>
      <c r="N19" s="345">
        <f ca="1">SUMIF('M04-S03'!$AR$18:$AU$199,"&gt;0",'M04-S03'!BG18:BG199)</f>
        <v>0</v>
      </c>
      <c r="O19" s="346">
        <f ca="1">SUMIF('M04-S03'!$AR$18:$AU$199,"&gt;0",'M04-S03'!AL18:AN199)</f>
        <v>0</v>
      </c>
      <c r="P19" s="346">
        <f>SUM('M04-S03'!BK18:BK199)</f>
        <v>0</v>
      </c>
      <c r="Q19" s="346">
        <f>SUM('M04-S03'!BP18:BP99)</f>
        <v>0</v>
      </c>
      <c r="R19" s="344" t="s">
        <v>874</v>
      </c>
    </row>
    <row r="20" spans="1:20">
      <c r="A20" s="347" t="s">
        <v>12</v>
      </c>
      <c r="B20" s="348" t="s">
        <v>1316</v>
      </c>
      <c r="G20" s="343" t="str">
        <f t="shared" si="1"/>
        <v>Refrigeration</v>
      </c>
      <c r="H20" s="344">
        <f>COUNT('M04-S04'!$BN$18:$BN$199)</f>
        <v>0</v>
      </c>
      <c r="I20" s="345">
        <f>SUM('M04-S04'!AO18:AQ199)</f>
        <v>0</v>
      </c>
      <c r="J20" s="345">
        <f>SUM('M04-S04'!BG18:BG199)</f>
        <v>0</v>
      </c>
      <c r="K20" s="346">
        <f>SUM('M04-S04'!AL18:AN199)</f>
        <v>0</v>
      </c>
      <c r="L20" s="346">
        <f>SUM('M04-S04'!AR18:AU199)</f>
        <v>0</v>
      </c>
      <c r="M20" s="345">
        <f ca="1">SUMIF('M04-S04'!$AR$18:$AU$199,"&gt;0",'M04-S04'!$AO$18:$AQ$199)</f>
        <v>0</v>
      </c>
      <c r="N20" s="345">
        <f ca="1">SUMIF('M04-S04'!$AR$18:$AU$199,"&gt;0",'M04-S04'!BG18:BG199)</f>
        <v>0</v>
      </c>
      <c r="O20" s="346">
        <f ca="1">SUMIF('M04-S04'!$AR$18:$AU$199,"&gt;0",'M04-S04'!AL18:AN199)</f>
        <v>0</v>
      </c>
      <c r="P20" s="346">
        <f>SUM('M04-S04'!BK18:BK199)</f>
        <v>0</v>
      </c>
      <c r="Q20" s="346">
        <f>SUM('M04-S04'!BP18:BP99)</f>
        <v>0</v>
      </c>
      <c r="R20" s="344" t="s">
        <v>874</v>
      </c>
    </row>
    <row r="21" spans="1:20">
      <c r="A21" s="347" t="s">
        <v>13</v>
      </c>
      <c r="B21" s="348" t="s">
        <v>777</v>
      </c>
      <c r="G21" s="343" t="str">
        <f t="shared" si="1"/>
        <v>HVAC</v>
      </c>
      <c r="H21" s="344">
        <f>COUNT('M04-S05'!$BN$18:$BN$199) + COUNT('M04-S13'!$BN$18:$BN$199)</f>
        <v>0</v>
      </c>
      <c r="I21" s="345">
        <f>SUM('M04-S05'!AO18:AQ199) + SUM('M04-S13'!AO18:AQ199)</f>
        <v>0</v>
      </c>
      <c r="J21" s="345">
        <f>SUM('M04-S05'!BG18:BG199) + SUM('M04-S13'!BF18:BF199)</f>
        <v>0</v>
      </c>
      <c r="K21" s="346">
        <f>SUM('M04-S05'!AL18:AN199) + SUM('M04-S13'!BL18:BL199)</f>
        <v>0</v>
      </c>
      <c r="L21" s="346">
        <f>SUM('M04-S05'!AR18:AU199) + SUM('M04-S13'!AR18:AU199)</f>
        <v>0</v>
      </c>
      <c r="M21" s="345">
        <f ca="1">SUMIF('M04-S05'!$AR$18:$AU$199,"&gt;0",'M04-S05'!$AO$18:$AQ$199) + SUMIF('M04-S13'!$AR$18:$AU$199,"&gt;0",'M04-S13'!$AO$18:$AQ$199)</f>
        <v>0</v>
      </c>
      <c r="N21" s="345">
        <f ca="1">SUMIF('M04-S05'!$AR$18:$AU$199,"&gt;0",'M04-S05'!BG18:BG199) + SUMIF('M04-S13'!$AR$18:$AU$199,"&gt;0",'M04-S13'!BF18:BF199)</f>
        <v>0</v>
      </c>
      <c r="O21" s="346">
        <f ca="1">SUMIF('M04-S05'!$AR$18:$AU$199,"&gt;0",'M04-S05'!AL18:AN199) + SUMIF('M04-S13'!$AR$18:$AU$199,"&gt;0",'M04-S13'!BL18:BL199)</f>
        <v>0</v>
      </c>
      <c r="P21" s="346">
        <f>SUM('M04-S05'!BK18:BK199) + SUM('M04-S13'!BK18:BK199)</f>
        <v>0</v>
      </c>
      <c r="Q21" s="346">
        <f>SUM('M04-S05'!BP18:BP99) + SUM('M04-S13'!BP18:BP99)</f>
        <v>0</v>
      </c>
      <c r="R21" s="344" t="s">
        <v>874</v>
      </c>
    </row>
    <row r="22" spans="1:20">
      <c r="A22" s="347" t="s">
        <v>14</v>
      </c>
      <c r="B22" s="348" t="s">
        <v>778</v>
      </c>
      <c r="G22" s="343" t="str">
        <f t="shared" si="1"/>
        <v>Compressed Air / Process</v>
      </c>
      <c r="H22" s="344">
        <f>COUNT('M04-S06'!$BN$18:$BN$199)</f>
        <v>0</v>
      </c>
      <c r="I22" s="345">
        <f>SUM('M04-S06'!AO18:AQ199)</f>
        <v>0</v>
      </c>
      <c r="J22" s="345">
        <f>SUM('M04-S06'!BJ18:BJ199)</f>
        <v>0</v>
      </c>
      <c r="K22" s="346">
        <f>SUM('M04-S06'!AL18:AN199)</f>
        <v>0</v>
      </c>
      <c r="L22" s="346">
        <f>SUM('M04-S06'!AR18:AU199)</f>
        <v>0</v>
      </c>
      <c r="M22" s="345">
        <f ca="1">SUMIF('M04-S06'!$AR$18:$AU$199,"&gt;0",'M04-S06'!$AO$18:$AQ$199)</f>
        <v>0</v>
      </c>
      <c r="N22" s="345">
        <f ca="1">SUMIF('M04-S06'!$AR$18:$AU$199,"&gt;0",'M04-S06'!BJ18:BJ199)</f>
        <v>0</v>
      </c>
      <c r="O22" s="346">
        <f ca="1">SUMIF('M04-S06'!$AR$18:$AU$199,"&gt;0",'M04-S06'!AL18:AN199)</f>
        <v>0</v>
      </c>
      <c r="P22" s="346">
        <f>SUM('M04-S06'!BK18:BK199)</f>
        <v>0</v>
      </c>
      <c r="Q22" s="346">
        <f>SUM('M04-S06'!BP18:BP99)</f>
        <v>0</v>
      </c>
      <c r="R22" s="344" t="s">
        <v>874</v>
      </c>
    </row>
    <row r="23" spans="1:20">
      <c r="A23" s="347" t="s">
        <v>15</v>
      </c>
      <c r="B23" s="361"/>
      <c r="G23" s="343" t="str">
        <f t="shared" si="1"/>
        <v>Water Heating / Food Services</v>
      </c>
      <c r="H23" s="344">
        <f>COUNT('M04-S07'!$BN$18:$BN$199)</f>
        <v>0</v>
      </c>
      <c r="I23" s="345">
        <f>SUM('M04-S07'!AO18:AQ199)</f>
        <v>0</v>
      </c>
      <c r="J23" s="345">
        <f>SUM('M04-S07'!BJ18:BJ199)</f>
        <v>0</v>
      </c>
      <c r="K23" s="346">
        <f>SUM('M04-S07'!AL18:AN199)</f>
        <v>0</v>
      </c>
      <c r="L23" s="346">
        <f>SUM('M04-S07'!AR18:AU199)</f>
        <v>0</v>
      </c>
      <c r="M23" s="345">
        <f ca="1">SUMIF('M04-S07'!$AR$18:$AU$199,"&gt;0",'M04-S07'!$AO$18:$AQ$199)</f>
        <v>0</v>
      </c>
      <c r="N23" s="345">
        <f ca="1">SUMIF('M04-S07'!$AR$18:$AU$199,"&gt;0",'M04-S07'!BJ18:BJ199)</f>
        <v>0</v>
      </c>
      <c r="O23" s="346">
        <f ca="1">SUMIF('M04-S07'!$AR$18:$AU$199,"&gt;0",'M04-S07'!AL18:AN199)</f>
        <v>0</v>
      </c>
      <c r="P23" s="346">
        <f>SUM('M04-S07'!BK18:BK199)</f>
        <v>0</v>
      </c>
      <c r="Q23" s="346">
        <f>SUM('M04-S07'!BP18:BP99)</f>
        <v>0</v>
      </c>
      <c r="R23" s="344" t="s">
        <v>874</v>
      </c>
    </row>
    <row r="24" spans="1:20">
      <c r="A24" s="347" t="s">
        <v>16</v>
      </c>
      <c r="B24" s="348"/>
      <c r="G24" s="343" t="str">
        <f t="shared" si="1"/>
        <v>Motors and Drives</v>
      </c>
      <c r="H24" s="344">
        <f>COUNT('M04-S08'!$BN$18:$BN$199)</f>
        <v>0</v>
      </c>
      <c r="I24" s="345">
        <f>SUM('M04-S08'!AO18:AQ199)</f>
        <v>0</v>
      </c>
      <c r="J24" s="345">
        <f>SUM('M04-S08'!BG18:BG199)</f>
        <v>0</v>
      </c>
      <c r="K24" s="346">
        <f>SUM('M04-S08'!AL18:AN199)</f>
        <v>0</v>
      </c>
      <c r="L24" s="346">
        <f>SUM('M04-S08'!AR18:AU199)</f>
        <v>0</v>
      </c>
      <c r="M24" s="345">
        <f ca="1">SUMIF('M04-S08'!$AR$18:$AU$199,"&gt;0",'M04-S08'!$AO$18:$AQ$199)</f>
        <v>0</v>
      </c>
      <c r="N24" s="345">
        <f ca="1">SUMIF('M04-S08'!$AR$18:$AU$199,"&gt;0",'M04-S08'!BG18:BG199)</f>
        <v>0</v>
      </c>
      <c r="O24" s="346">
        <f ca="1">SUMIF('M04-S08'!$AR$18:$AU$199,"&gt;0",'M04-S08'!AL18:AN199)</f>
        <v>0</v>
      </c>
      <c r="P24" s="346">
        <f>SUM('M04-S08'!BK18:BK199)</f>
        <v>0</v>
      </c>
      <c r="Q24" s="346">
        <f>SUM('M04-S08'!BP18:BP99)</f>
        <v>0</v>
      </c>
      <c r="R24" s="344" t="s">
        <v>874</v>
      </c>
    </row>
    <row r="25" spans="1:20">
      <c r="A25" s="347" t="s">
        <v>17</v>
      </c>
      <c r="B25" s="348"/>
      <c r="G25" s="343" t="str">
        <f t="shared" si="1"/>
        <v>Miscellaneous</v>
      </c>
      <c r="H25" s="344">
        <f>COUNT('M04-S09'!$BN$18:$BN$25)</f>
        <v>0</v>
      </c>
      <c r="I25" s="345">
        <f>SUM('M04-S09'!AO18:AQ25)</f>
        <v>0</v>
      </c>
      <c r="J25" s="345">
        <f>SUM('M04-S09'!BG18:BG25)</f>
        <v>0</v>
      </c>
      <c r="K25" s="346">
        <f>SUM('M04-S09'!AL18:AN25)</f>
        <v>0</v>
      </c>
      <c r="L25" s="346">
        <f>SUM('M04-S09'!AR18:AU25)</f>
        <v>0</v>
      </c>
      <c r="M25" s="345">
        <f ca="1">SUMIF('M04-S09'!$AR$18:$AU$25,"&gt;0",'M04-S09'!$AO$18:$AQ$25)</f>
        <v>0</v>
      </c>
      <c r="N25" s="345">
        <f ca="1">SUMIF('M04-S09'!$AR$18:$AU$25,"&gt;0",'M04-S09'!BG18:BG25)</f>
        <v>0</v>
      </c>
      <c r="O25" s="346">
        <f ca="1">SUMIF('M04-S09'!$AR$18:$AU$25,"&gt;0",'M04-S09'!AL18:AN25)</f>
        <v>0</v>
      </c>
      <c r="P25" s="346">
        <f>SUM('M04-S09'!BK18:BK25)</f>
        <v>0</v>
      </c>
      <c r="Q25" s="346">
        <f>SUM('M04-S09'!BP18:BP25)</f>
        <v>0</v>
      </c>
      <c r="R25" s="344" t="s">
        <v>874</v>
      </c>
    </row>
    <row r="26" spans="1:20">
      <c r="A26" s="360" t="s">
        <v>18</v>
      </c>
      <c r="B26" s="349"/>
      <c r="G26" s="343" t="str">
        <f>B45&amp;" - Peak Shift"</f>
        <v>Miscellaneous - Peak Shift</v>
      </c>
      <c r="H26" s="344">
        <f>COUNT('M04-S09'!$BN$30:$BN$31)</f>
        <v>0</v>
      </c>
      <c r="I26" s="345">
        <f>SUM('M04-S09'!AO30:AO31)</f>
        <v>0</v>
      </c>
      <c r="J26" s="345">
        <f>SUM('M04-S09'!BG30:BG31)</f>
        <v>0</v>
      </c>
      <c r="K26" s="346">
        <f>SUM('M04-S09'!AL30:AN31)</f>
        <v>0</v>
      </c>
      <c r="L26" s="346">
        <f>SUM('M04-S09'!AR30:AU31)</f>
        <v>0</v>
      </c>
      <c r="M26" s="345">
        <f ca="1">SUMIF('M04-S09'!$AR$30:$AU$31,"&gt;0",'M04-S09'!$AO$30:$AQ$31)</f>
        <v>0</v>
      </c>
      <c r="N26" s="345">
        <f ca="1">SUMIF('M04-S09'!$AR$30:$AU$31,"&gt;0",'M04-S09'!BG30:BG31)</f>
        <v>0</v>
      </c>
      <c r="O26" s="346">
        <f ca="1">SUMIF('M04-S09'!$AR$30:$AU$31,"&gt;0",'M04-S09'!AL30:AN31)</f>
        <v>0</v>
      </c>
      <c r="P26" s="346">
        <f>SUM('M04-S09'!BK30:BK31)</f>
        <v>0</v>
      </c>
      <c r="Q26" s="346">
        <f>SUM('M04-S09'!BP30:BP31)</f>
        <v>0</v>
      </c>
      <c r="R26" s="344" t="s">
        <v>874</v>
      </c>
    </row>
    <row r="27" spans="1:20">
      <c r="A27" s="341" t="s">
        <v>61</v>
      </c>
      <c r="B27" s="362" t="s">
        <v>790</v>
      </c>
      <c r="G27" s="343" t="str">
        <f>B45&amp;" - Transformers"</f>
        <v>Miscellaneous - Transformers</v>
      </c>
      <c r="H27" s="344">
        <f>COUNT('M04-S09'!$BN$36:$BN$199)</f>
        <v>0</v>
      </c>
      <c r="I27" s="345">
        <f>SUM('M04-S09'!AO36:AO199)</f>
        <v>0</v>
      </c>
      <c r="J27" s="345">
        <f>SUM('M04-S09'!BG36:BG199)</f>
        <v>0</v>
      </c>
      <c r="K27" s="346">
        <f>SUM('M04-S09'!AL36:AN199)</f>
        <v>0</v>
      </c>
      <c r="L27" s="346">
        <f>SUM('M04-S09'!AR31:AU200)</f>
        <v>0</v>
      </c>
      <c r="M27" s="345">
        <f ca="1">SUMIF('M04-S09'!$AR$36:$AU$199,"&gt;0",'M04-S09'!$AO$36:$AQ$199)</f>
        <v>0</v>
      </c>
      <c r="N27" s="345">
        <f ca="1">SUMIF('M04-S09'!$AR$36:$AU$199,"&gt;0",'M04-S09'!BG36:BG199)</f>
        <v>0</v>
      </c>
      <c r="O27" s="346">
        <f ca="1">SUMIF('M04-S09'!$AR$36:$AU$199,"&gt;0",'M04-S09'!AL36:AN199)</f>
        <v>0</v>
      </c>
      <c r="P27" s="346">
        <f>SUM('M04-S09'!BK36:BK199)</f>
        <v>0</v>
      </c>
      <c r="Q27" s="346">
        <f>SUM('M04-S09'!BP36:BP199)</f>
        <v>0</v>
      </c>
      <c r="R27" s="344" t="s">
        <v>874</v>
      </c>
      <c r="S27" s="350" t="s">
        <v>132</v>
      </c>
      <c r="T27" s="350" t="s">
        <v>325</v>
      </c>
    </row>
    <row r="28" spans="1:20">
      <c r="A28" s="347" t="s">
        <v>19</v>
      </c>
      <c r="B28" s="363" t="s">
        <v>785</v>
      </c>
      <c r="G28" s="350" t="s">
        <v>140</v>
      </c>
      <c r="H28" s="351">
        <f>SUM(H9:H17)</f>
        <v>0</v>
      </c>
      <c r="I28" s="352">
        <f t="shared" ref="I28:P28" si="2">SUM(I9:I17)</f>
        <v>0</v>
      </c>
      <c r="J28" s="352">
        <f t="shared" si="2"/>
        <v>0</v>
      </c>
      <c r="K28" s="353">
        <f t="shared" si="2"/>
        <v>0</v>
      </c>
      <c r="L28" s="353">
        <f t="shared" si="2"/>
        <v>0</v>
      </c>
      <c r="M28" s="352">
        <f t="shared" ca="1" si="2"/>
        <v>0</v>
      </c>
      <c r="N28" s="352">
        <f t="shared" ca="1" si="2"/>
        <v>0</v>
      </c>
      <c r="O28" s="353">
        <f t="shared" ca="1" si="2"/>
        <v>0</v>
      </c>
      <c r="P28" s="353">
        <f t="shared" si="2"/>
        <v>0</v>
      </c>
      <c r="Q28" s="346">
        <f>SUM(Q10:Q16)</f>
        <v>0</v>
      </c>
      <c r="R28" s="344"/>
      <c r="S28" s="354" t="str">
        <f>IFERROR(ROUND(P28/COSTTOTALALLPRESE,2),"NA")</f>
        <v>NA</v>
      </c>
      <c r="T28" s="364" t="str">
        <f>IFERROR(ROUND(COSTTOTALALLPRESE/M02S04F06/KWHTOTALALLPRESE,2),"NA")</f>
        <v>NA</v>
      </c>
    </row>
    <row r="29" spans="1:20">
      <c r="A29" s="347" t="s">
        <v>20</v>
      </c>
      <c r="B29" s="363" t="s">
        <v>89</v>
      </c>
      <c r="G29" s="350" t="s">
        <v>141</v>
      </c>
      <c r="H29" s="351">
        <f>SUM(H18:H27)</f>
        <v>0</v>
      </c>
      <c r="I29" s="352">
        <f t="shared" ref="I29:Q29" si="3">SUM(I18:I27)</f>
        <v>0</v>
      </c>
      <c r="J29" s="352">
        <f t="shared" si="3"/>
        <v>0</v>
      </c>
      <c r="K29" s="353">
        <f t="shared" si="3"/>
        <v>0</v>
      </c>
      <c r="L29" s="353">
        <f t="shared" si="3"/>
        <v>0</v>
      </c>
      <c r="M29" s="352">
        <f t="shared" ca="1" si="3"/>
        <v>0</v>
      </c>
      <c r="N29" s="352">
        <f t="shared" ca="1" si="3"/>
        <v>0</v>
      </c>
      <c r="O29" s="353">
        <f t="shared" ca="1" si="3"/>
        <v>0</v>
      </c>
      <c r="P29" s="353">
        <f t="shared" si="3"/>
        <v>0</v>
      </c>
      <c r="Q29" s="346">
        <f t="shared" si="3"/>
        <v>0</v>
      </c>
      <c r="R29" s="344"/>
      <c r="S29" s="354" t="str">
        <f>IFERROR(ROUND((P29/COSTTOTALALLCUSE),2),"NA")</f>
        <v>NA</v>
      </c>
      <c r="T29" s="364" t="str">
        <f>IFERROR(ROUND(COSTTOTALALLCUSE/M02S04F06/KWHTOTALALLCUSE,2),"NA")</f>
        <v>NA</v>
      </c>
    </row>
    <row r="30" spans="1:20">
      <c r="A30" s="347" t="s">
        <v>21</v>
      </c>
      <c r="B30" s="363" t="s">
        <v>320</v>
      </c>
      <c r="G30" s="350" t="s">
        <v>142</v>
      </c>
      <c r="H30" s="351">
        <f>SUM(H28:H29)</f>
        <v>0</v>
      </c>
      <c r="I30" s="352">
        <f t="shared" ref="I30:P30" si="4">SUM(I9:I25)</f>
        <v>0</v>
      </c>
      <c r="J30" s="352">
        <f t="shared" si="4"/>
        <v>0</v>
      </c>
      <c r="K30" s="353">
        <f t="shared" si="4"/>
        <v>0</v>
      </c>
      <c r="L30" s="353">
        <f t="shared" si="4"/>
        <v>0</v>
      </c>
      <c r="M30" s="352">
        <f t="shared" ca="1" si="4"/>
        <v>0</v>
      </c>
      <c r="N30" s="352">
        <f t="shared" ca="1" si="4"/>
        <v>0</v>
      </c>
      <c r="O30" s="353">
        <f t="shared" ca="1" si="4"/>
        <v>0</v>
      </c>
      <c r="P30" s="353">
        <f t="shared" si="4"/>
        <v>0</v>
      </c>
      <c r="Q30" s="346">
        <f>SUM(Q28:Q29)</f>
        <v>0</v>
      </c>
      <c r="R30" s="344"/>
      <c r="S30" s="354" t="str">
        <f>IFERROR(ROUND(P30/COSTTOTALALL,2),"NA")</f>
        <v>NA</v>
      </c>
      <c r="T30" s="364" t="str">
        <f>IFERROR(ROUND(COSTTOTALALL/M02S04F06/KWHTOTALALL,2),"NA")</f>
        <v>NA</v>
      </c>
    </row>
    <row r="31" spans="1:20">
      <c r="A31" s="347" t="s">
        <v>22</v>
      </c>
      <c r="B31" s="363" t="s">
        <v>96</v>
      </c>
    </row>
    <row r="32" spans="1:20">
      <c r="A32" s="347" t="s">
        <v>23</v>
      </c>
      <c r="B32" s="365" t="s">
        <v>94</v>
      </c>
      <c r="G32" s="350" t="s">
        <v>3002</v>
      </c>
      <c r="H32" s="26">
        <f>SUM(H19:H27) + COUNT('M04-S02'!$BN$18:$BN$199)</f>
        <v>0</v>
      </c>
    </row>
    <row r="33" spans="1:2">
      <c r="A33" s="347" t="s">
        <v>24</v>
      </c>
      <c r="B33" s="363" t="s">
        <v>442</v>
      </c>
    </row>
    <row r="34" spans="1:2">
      <c r="A34" s="347" t="s">
        <v>25</v>
      </c>
      <c r="B34" s="363" t="s">
        <v>1331</v>
      </c>
    </row>
    <row r="35" spans="1:2">
      <c r="A35" s="360" t="s">
        <v>26</v>
      </c>
      <c r="B35" s="366" t="s">
        <v>772</v>
      </c>
    </row>
    <row r="36" spans="1:2">
      <c r="A36" s="341" t="s">
        <v>62</v>
      </c>
      <c r="B36" s="342"/>
    </row>
    <row r="37" spans="1:2">
      <c r="A37" s="347" t="s">
        <v>27</v>
      </c>
      <c r="B37" s="348"/>
    </row>
    <row r="38" spans="1:2">
      <c r="A38" s="347" t="s">
        <v>28</v>
      </c>
      <c r="B38" s="348" t="s">
        <v>89</v>
      </c>
    </row>
    <row r="39" spans="1:2">
      <c r="A39" s="347" t="s">
        <v>29</v>
      </c>
      <c r="B39" s="348" t="s">
        <v>320</v>
      </c>
    </row>
    <row r="40" spans="1:2">
      <c r="A40" s="347" t="s">
        <v>30</v>
      </c>
      <c r="B40" s="361" t="s">
        <v>96</v>
      </c>
    </row>
    <row r="41" spans="1:2">
      <c r="A41" s="347" t="s">
        <v>31</v>
      </c>
      <c r="B41" s="361" t="s">
        <v>94</v>
      </c>
    </row>
    <row r="42" spans="1:2">
      <c r="A42" s="347" t="s">
        <v>32</v>
      </c>
      <c r="B42" s="348" t="s">
        <v>442</v>
      </c>
    </row>
    <row r="43" spans="1:2">
      <c r="A43" s="347" t="s">
        <v>33</v>
      </c>
      <c r="B43" s="348" t="s">
        <v>1331</v>
      </c>
    </row>
    <row r="44" spans="1:2">
      <c r="A44" s="347" t="s">
        <v>34</v>
      </c>
      <c r="B44" s="361" t="s">
        <v>772</v>
      </c>
    </row>
    <row r="45" spans="1:2">
      <c r="A45" s="347" t="s">
        <v>786</v>
      </c>
      <c r="B45" s="348" t="s">
        <v>319</v>
      </c>
    </row>
    <row r="46" spans="1:2">
      <c r="A46" s="347" t="s">
        <v>2771</v>
      </c>
      <c r="B46" s="348" t="str">
        <f>M4S2</f>
        <v>Lighting</v>
      </c>
    </row>
    <row r="47" spans="1:2">
      <c r="A47" s="347" t="s">
        <v>2772</v>
      </c>
      <c r="B47" s="348" t="str">
        <f>M4S5</f>
        <v>HVAC</v>
      </c>
    </row>
    <row r="48" spans="1:2">
      <c r="A48" s="341" t="s">
        <v>63</v>
      </c>
      <c r="B48" s="342" t="s">
        <v>805</v>
      </c>
    </row>
    <row r="49" spans="1:2">
      <c r="A49" s="347" t="s">
        <v>37</v>
      </c>
      <c r="B49" s="348" t="s">
        <v>775</v>
      </c>
    </row>
    <row r="50" spans="1:2">
      <c r="A50" s="347" t="s">
        <v>38</v>
      </c>
      <c r="B50" s="348" t="s">
        <v>837</v>
      </c>
    </row>
    <row r="51" spans="1:2">
      <c r="A51" s="347" t="s">
        <v>39</v>
      </c>
      <c r="B51" s="348" t="s">
        <v>69</v>
      </c>
    </row>
    <row r="52" spans="1:2">
      <c r="A52" s="347" t="s">
        <v>40</v>
      </c>
      <c r="B52" s="348" t="s">
        <v>77</v>
      </c>
    </row>
    <row r="53" spans="1:2">
      <c r="A53" s="347" t="s">
        <v>41</v>
      </c>
      <c r="B53" s="348" t="s">
        <v>78</v>
      </c>
    </row>
    <row r="54" spans="1:2">
      <c r="A54" s="347" t="s">
        <v>42</v>
      </c>
      <c r="B54" s="348" t="s">
        <v>137</v>
      </c>
    </row>
    <row r="55" spans="1:2">
      <c r="A55" s="347" t="s">
        <v>43</v>
      </c>
      <c r="B55" s="348" t="s">
        <v>591</v>
      </c>
    </row>
    <row r="56" spans="1:2">
      <c r="A56" s="360" t="s">
        <v>44</v>
      </c>
      <c r="B56" s="349"/>
    </row>
    <row r="57" spans="1:2">
      <c r="A57" s="341" t="s">
        <v>64</v>
      </c>
      <c r="B57" s="342"/>
    </row>
    <row r="58" spans="1:2">
      <c r="A58" s="347" t="s">
        <v>45</v>
      </c>
      <c r="B58" s="348"/>
    </row>
    <row r="59" spans="1:2">
      <c r="A59" s="347" t="s">
        <v>46</v>
      </c>
      <c r="B59" s="348"/>
    </row>
    <row r="60" spans="1:2">
      <c r="A60" s="347" t="s">
        <v>47</v>
      </c>
      <c r="B60" s="348"/>
    </row>
    <row r="61" spans="1:2">
      <c r="A61" s="347" t="s">
        <v>48</v>
      </c>
      <c r="B61" s="348"/>
    </row>
    <row r="62" spans="1:2">
      <c r="A62" s="347" t="s">
        <v>49</v>
      </c>
      <c r="B62" s="348"/>
    </row>
    <row r="63" spans="1:2">
      <c r="A63" s="347" t="s">
        <v>50</v>
      </c>
      <c r="B63" s="348"/>
    </row>
    <row r="64" spans="1:2">
      <c r="A64" s="347" t="s">
        <v>51</v>
      </c>
      <c r="B64" s="348"/>
    </row>
    <row r="65" spans="1:6">
      <c r="A65" s="360" t="s">
        <v>52</v>
      </c>
      <c r="B65" s="349"/>
    </row>
    <row r="66" spans="1:6">
      <c r="A66" s="341" t="s">
        <v>65</v>
      </c>
      <c r="B66" s="342"/>
    </row>
    <row r="67" spans="1:6">
      <c r="A67" s="347" t="s">
        <v>53</v>
      </c>
      <c r="B67" s="348"/>
    </row>
    <row r="68" spans="1:6">
      <c r="A68" s="347" t="s">
        <v>54</v>
      </c>
      <c r="B68" s="348"/>
    </row>
    <row r="69" spans="1:6">
      <c r="A69" s="347" t="s">
        <v>55</v>
      </c>
      <c r="B69" s="348"/>
    </row>
    <row r="70" spans="1:6">
      <c r="A70" s="347" t="s">
        <v>56</v>
      </c>
      <c r="B70" s="348"/>
    </row>
    <row r="71" spans="1:6">
      <c r="A71" s="347" t="s">
        <v>57</v>
      </c>
      <c r="B71" s="348"/>
    </row>
    <row r="72" spans="1:6">
      <c r="A72" s="347" t="s">
        <v>58</v>
      </c>
      <c r="B72" s="348"/>
    </row>
    <row r="73" spans="1:6">
      <c r="A73" s="347" t="s">
        <v>59</v>
      </c>
      <c r="B73" s="348"/>
    </row>
    <row r="74" spans="1:6">
      <c r="A74" s="360" t="s">
        <v>60</v>
      </c>
      <c r="B74" s="349"/>
    </row>
    <row r="76" spans="1:6">
      <c r="A76" s="355"/>
      <c r="C76" t="s">
        <v>84</v>
      </c>
      <c r="D76" t="s">
        <v>300</v>
      </c>
      <c r="E76" t="s">
        <v>804</v>
      </c>
    </row>
    <row r="77" spans="1:6">
      <c r="A77" s="356" t="s">
        <v>1991</v>
      </c>
      <c r="B77" s="356" t="str">
        <f>M2S1</f>
        <v>Terms &amp; Conditions</v>
      </c>
      <c r="C77" s="356">
        <f ca="1">SUMIF(D78:D80, 1, C78:C80)</f>
        <v>0</v>
      </c>
      <c r="D77" s="356">
        <f ca="1">SUM(D78:D80)</f>
        <v>3</v>
      </c>
      <c r="E77" s="357">
        <f ca="1">IFERROR(C77/D77, 1)</f>
        <v>0</v>
      </c>
      <c r="F77" s="62" t="s">
        <v>1153</v>
      </c>
    </row>
    <row r="78" spans="1:6">
      <c r="A78" s="358" t="s">
        <v>566</v>
      </c>
      <c r="B78" s="358" t="str">
        <f ca="1">OFFSET(INDIRECT(A78),-1,0)</f>
        <v>Electronic Signature (Account Owner or Authorized Representative)*</v>
      </c>
      <c r="C78" s="368">
        <f t="shared" ref="C78:C80" ca="1" si="5">IF(INDIRECT($A78)="",0,1)</f>
        <v>0</v>
      </c>
      <c r="D78" s="358">
        <f ca="1">IFERROR(IF(SEARCH("~*", B78), 1), 0)</f>
        <v>1</v>
      </c>
    </row>
    <row r="79" spans="1:6">
      <c r="A79" s="358" t="s">
        <v>567</v>
      </c>
      <c r="B79" s="358" t="str">
        <f ca="1">OFFSET(INDIRECT(A79),-1,0)</f>
        <v>Signatory Title*</v>
      </c>
      <c r="C79" s="368">
        <f t="shared" ca="1" si="5"/>
        <v>0</v>
      </c>
      <c r="D79" s="358">
        <f t="shared" ref="D79:D80" ca="1" si="6">IFERROR(IF(SEARCH("~*", B79), 1), 0)</f>
        <v>1</v>
      </c>
    </row>
    <row r="80" spans="1:6">
      <c r="A80" s="358" t="s">
        <v>568</v>
      </c>
      <c r="B80" s="358" t="str">
        <f ca="1">OFFSET(INDIRECT(A80),-1,0)</f>
        <v>Date Signed*</v>
      </c>
      <c r="C80" s="368">
        <f t="shared" ca="1" si="5"/>
        <v>0</v>
      </c>
      <c r="D80" s="358">
        <f t="shared" ca="1" si="6"/>
        <v>1</v>
      </c>
    </row>
    <row r="82" spans="1:6">
      <c r="C82" t="s">
        <v>84</v>
      </c>
      <c r="D82" t="s">
        <v>300</v>
      </c>
      <c r="E82" t="s">
        <v>804</v>
      </c>
    </row>
    <row r="83" spans="1:6">
      <c r="A83" s="356" t="s">
        <v>1991</v>
      </c>
      <c r="B83" s="356" t="str">
        <f>M2S2</f>
        <v>Trade Ally / Contractor Information</v>
      </c>
      <c r="C83" s="356">
        <f ca="1">SUMIF(D84:D100, 1, C84:C100)</f>
        <v>0</v>
      </c>
      <c r="D83" s="356">
        <f ca="1">SUM(D84:D100)</f>
        <v>12</v>
      </c>
      <c r="E83" s="357">
        <f ca="1">IFERROR(C83/D83, 1)</f>
        <v>0</v>
      </c>
      <c r="F83" s="62" t="s">
        <v>1152</v>
      </c>
    </row>
    <row r="84" spans="1:6">
      <c r="A84" s="358" t="s">
        <v>139</v>
      </c>
      <c r="B84" s="358" t="str">
        <f ca="1">OFFSET(INDIRECT(A84),0,-14)</f>
        <v xml:space="preserve">Is there a Trade Ally (TA) or contractor involved with this project?*  </v>
      </c>
      <c r="C84" s="368">
        <f ca="1">IF(INDIRECT($A84)="",0,1)</f>
        <v>0</v>
      </c>
      <c r="D84" s="358">
        <f ca="1">IFERROR(IF(SEARCH("~*", B84), 1), 0)</f>
        <v>1</v>
      </c>
    </row>
    <row r="85" spans="1:6">
      <c r="A85" s="358" t="s">
        <v>146</v>
      </c>
      <c r="B85" s="358" t="str">
        <f t="shared" ref="B85:B94" ca="1" si="7">OFFSET(INDIRECT(A85),-1,0)</f>
        <v>TA / Contractor Company*</v>
      </c>
      <c r="C85" s="368">
        <f t="shared" ref="C85:C100" ca="1" si="8">IF(INDIRECT($A85)="",0,1)</f>
        <v>0</v>
      </c>
      <c r="D85" s="358">
        <f t="shared" ref="D85:D94" ca="1" si="9">IF( M02S02F01 = "No", 0, IFERROR(IF(SEARCH("~*", B85), 1), 0))</f>
        <v>1</v>
      </c>
    </row>
    <row r="86" spans="1:6">
      <c r="A86" s="358" t="s">
        <v>147</v>
      </c>
      <c r="B86" s="358" t="str">
        <f t="shared" ca="1" si="7"/>
        <v>Mailing Address*</v>
      </c>
      <c r="C86" s="368">
        <f t="shared" ca="1" si="8"/>
        <v>0</v>
      </c>
      <c r="D86" s="358">
        <f t="shared" ca="1" si="9"/>
        <v>1</v>
      </c>
    </row>
    <row r="87" spans="1:6">
      <c r="A87" s="358" t="s">
        <v>148</v>
      </c>
      <c r="B87" s="358" t="str">
        <f t="shared" ca="1" si="7"/>
        <v>City*</v>
      </c>
      <c r="C87" s="368">
        <f t="shared" ca="1" si="8"/>
        <v>0</v>
      </c>
      <c r="D87" s="358">
        <f t="shared" ca="1" si="9"/>
        <v>1</v>
      </c>
    </row>
    <row r="88" spans="1:6">
      <c r="A88" s="358" t="s">
        <v>149</v>
      </c>
      <c r="B88" s="358" t="str">
        <f t="shared" ca="1" si="7"/>
        <v>State*</v>
      </c>
      <c r="C88" s="368">
        <f t="shared" ca="1" si="8"/>
        <v>0</v>
      </c>
      <c r="D88" s="358">
        <f t="shared" ca="1" si="9"/>
        <v>1</v>
      </c>
    </row>
    <row r="89" spans="1:6">
      <c r="A89" s="358" t="s">
        <v>150</v>
      </c>
      <c r="B89" s="358" t="str">
        <f t="shared" ca="1" si="7"/>
        <v>Zip Code*</v>
      </c>
      <c r="C89" s="368">
        <f t="shared" ca="1" si="8"/>
        <v>0</v>
      </c>
      <c r="D89" s="358">
        <f t="shared" ca="1" si="9"/>
        <v>1</v>
      </c>
    </row>
    <row r="90" spans="1:6">
      <c r="A90" s="358" t="s">
        <v>151</v>
      </c>
      <c r="B90" s="358" t="str">
        <f t="shared" ca="1" si="7"/>
        <v>Contact First Name*</v>
      </c>
      <c r="C90" s="368">
        <f t="shared" ca="1" si="8"/>
        <v>0</v>
      </c>
      <c r="D90" s="358">
        <f t="shared" ca="1" si="9"/>
        <v>1</v>
      </c>
    </row>
    <row r="91" spans="1:6">
      <c r="A91" s="358" t="s">
        <v>152</v>
      </c>
      <c r="B91" s="358" t="str">
        <f t="shared" ca="1" si="7"/>
        <v>Last Name*</v>
      </c>
      <c r="C91" s="368">
        <f t="shared" ca="1" si="8"/>
        <v>0</v>
      </c>
      <c r="D91" s="358">
        <f t="shared" ca="1" si="9"/>
        <v>1</v>
      </c>
    </row>
    <row r="92" spans="1:6">
      <c r="A92" s="358" t="s">
        <v>153</v>
      </c>
      <c r="B92" s="358" t="str">
        <f t="shared" ca="1" si="7"/>
        <v>Title*</v>
      </c>
      <c r="C92" s="368">
        <f t="shared" ca="1" si="8"/>
        <v>0</v>
      </c>
      <c r="D92" s="358">
        <f t="shared" ca="1" si="9"/>
        <v>1</v>
      </c>
    </row>
    <row r="93" spans="1:6">
      <c r="A93" s="358" t="s">
        <v>154</v>
      </c>
      <c r="B93" s="358" t="str">
        <f t="shared" ca="1" si="7"/>
        <v>Primary Phone*</v>
      </c>
      <c r="C93" s="368">
        <f t="shared" ca="1" si="8"/>
        <v>0</v>
      </c>
      <c r="D93" s="358">
        <f t="shared" ca="1" si="9"/>
        <v>1</v>
      </c>
    </row>
    <row r="94" spans="1:6">
      <c r="A94" s="358" t="s">
        <v>155</v>
      </c>
      <c r="B94" s="358" t="str">
        <f t="shared" ca="1" si="7"/>
        <v>Email*</v>
      </c>
      <c r="C94" s="368">
        <f t="shared" ca="1" si="8"/>
        <v>0</v>
      </c>
      <c r="D94" s="358">
        <f t="shared" ca="1" si="9"/>
        <v>1</v>
      </c>
    </row>
    <row r="95" spans="1:6">
      <c r="A95" s="358" t="s">
        <v>1321</v>
      </c>
      <c r="B95" s="358" t="str">
        <f ca="1">OFFSET(INDIRECT(A95),0,-13)</f>
        <v>Who will install/installed the equipment for this project?*</v>
      </c>
      <c r="C95" s="368">
        <f t="shared" ca="1" si="8"/>
        <v>0</v>
      </c>
      <c r="D95" s="358">
        <f ca="1">IFERROR(IF(SEARCH("~*", B95), 1), 0)</f>
        <v>1</v>
      </c>
    </row>
    <row r="96" spans="1:6">
      <c r="A96" s="358" t="s">
        <v>1669</v>
      </c>
      <c r="B96" s="358" t="str">
        <f ca="1">OFFSET(INDIRECT(A96),-1,0)</f>
        <v>Contact First Name</v>
      </c>
      <c r="C96" s="368">
        <f t="shared" ca="1" si="8"/>
        <v>0</v>
      </c>
      <c r="D96" s="358">
        <f t="shared" ref="D96:D100" ca="1" si="10">IFERROR(IF(SEARCH("~*", B96), 1), 0)</f>
        <v>0</v>
      </c>
    </row>
    <row r="97" spans="1:6">
      <c r="A97" s="358" t="s">
        <v>1670</v>
      </c>
      <c r="B97" s="358" t="str">
        <f ca="1">OFFSET(INDIRECT(A97),-1,0)</f>
        <v>Last Name</v>
      </c>
      <c r="C97" s="368">
        <f t="shared" ca="1" si="8"/>
        <v>0</v>
      </c>
      <c r="D97" s="358">
        <f t="shared" ca="1" si="10"/>
        <v>0</v>
      </c>
    </row>
    <row r="98" spans="1:6">
      <c r="A98" s="358" t="s">
        <v>1671</v>
      </c>
      <c r="B98" s="358" t="str">
        <f ca="1">OFFSET(INDIRECT(A98),-1,0)</f>
        <v>Title</v>
      </c>
      <c r="C98" s="368">
        <f t="shared" ca="1" si="8"/>
        <v>0</v>
      </c>
      <c r="D98" s="358">
        <f t="shared" ca="1" si="10"/>
        <v>0</v>
      </c>
    </row>
    <row r="99" spans="1:6">
      <c r="A99" s="358" t="s">
        <v>1672</v>
      </c>
      <c r="B99" s="358" t="str">
        <f ca="1">OFFSET(INDIRECT(A99),-1,0)</f>
        <v>Primary Phone</v>
      </c>
      <c r="C99" s="368">
        <f t="shared" ca="1" si="8"/>
        <v>0</v>
      </c>
      <c r="D99" s="358">
        <f t="shared" ca="1" si="10"/>
        <v>0</v>
      </c>
    </row>
    <row r="100" spans="1:6">
      <c r="A100" s="358" t="s">
        <v>1673</v>
      </c>
      <c r="B100" s="358" t="str">
        <f ca="1">OFFSET(INDIRECT(A100),-1,0)</f>
        <v>Email</v>
      </c>
      <c r="C100" s="368">
        <f t="shared" ca="1" si="8"/>
        <v>0</v>
      </c>
      <c r="D100" s="358">
        <f t="shared" ca="1" si="10"/>
        <v>0</v>
      </c>
    </row>
    <row r="102" spans="1:6">
      <c r="A102" s="359"/>
      <c r="C102" t="s">
        <v>84</v>
      </c>
      <c r="D102" t="s">
        <v>300</v>
      </c>
      <c r="E102" t="s">
        <v>804</v>
      </c>
    </row>
    <row r="103" spans="1:6">
      <c r="A103" s="356" t="s">
        <v>1991</v>
      </c>
      <c r="B103" s="356" t="str">
        <f>M2S3</f>
        <v>Customer Information</v>
      </c>
      <c r="C103" s="356">
        <f ca="1">SUMIF(D104:D113, 1, C104:C113)</f>
        <v>0</v>
      </c>
      <c r="D103" s="356">
        <f ca="1">SUM(D104:D113)</f>
        <v>10</v>
      </c>
      <c r="E103" s="357">
        <f ca="1">IFERROR(C103/D103, 1)</f>
        <v>0</v>
      </c>
      <c r="F103" s="62" t="s">
        <v>2146</v>
      </c>
    </row>
    <row r="104" spans="1:6">
      <c r="A104" s="358" t="s">
        <v>145</v>
      </c>
      <c r="B104" s="358" t="str">
        <f t="shared" ref="B104:B113" ca="1" si="11">OFFSET(INDIRECT(A104),-1,0)</f>
        <v>Legal Company Name*</v>
      </c>
      <c r="C104" s="368">
        <f t="shared" ref="C104:C113" ca="1" si="12">IF(INDIRECT($A104)="",0,1)</f>
        <v>0</v>
      </c>
      <c r="D104" s="358">
        <f ca="1">IFERROR(IF(SEARCH("~*", B104), 1), 0)</f>
        <v>1</v>
      </c>
    </row>
    <row r="105" spans="1:6">
      <c r="A105" s="358" t="s">
        <v>156</v>
      </c>
      <c r="B105" s="358" t="str">
        <f t="shared" ca="1" si="11"/>
        <v>Company Address*</v>
      </c>
      <c r="C105" s="368">
        <f t="shared" ca="1" si="12"/>
        <v>0</v>
      </c>
      <c r="D105" s="358">
        <f t="shared" ref="D105:D113" ca="1" si="13">IFERROR(IF(SEARCH("~*", B105), 1), 0)</f>
        <v>1</v>
      </c>
    </row>
    <row r="106" spans="1:6">
      <c r="A106" s="358" t="s">
        <v>157</v>
      </c>
      <c r="B106" s="358" t="str">
        <f t="shared" ca="1" si="11"/>
        <v>City*</v>
      </c>
      <c r="C106" s="368">
        <f t="shared" ca="1" si="12"/>
        <v>0</v>
      </c>
      <c r="D106" s="358">
        <f t="shared" ca="1" si="13"/>
        <v>1</v>
      </c>
    </row>
    <row r="107" spans="1:6">
      <c r="A107" s="358" t="s">
        <v>158</v>
      </c>
      <c r="B107" s="358" t="str">
        <f t="shared" ca="1" si="11"/>
        <v>State*</v>
      </c>
      <c r="C107" s="368">
        <f t="shared" ca="1" si="12"/>
        <v>0</v>
      </c>
      <c r="D107" s="358">
        <f t="shared" ca="1" si="13"/>
        <v>1</v>
      </c>
    </row>
    <row r="108" spans="1:6">
      <c r="A108" s="358" t="s">
        <v>159</v>
      </c>
      <c r="B108" s="358" t="str">
        <f t="shared" ca="1" si="11"/>
        <v>Zip Code*</v>
      </c>
      <c r="C108" s="368">
        <f t="shared" ca="1" si="12"/>
        <v>0</v>
      </c>
      <c r="D108" s="358">
        <f t="shared" ca="1" si="13"/>
        <v>1</v>
      </c>
    </row>
    <row r="109" spans="1:6">
      <c r="A109" s="358" t="s">
        <v>160</v>
      </c>
      <c r="B109" s="358" t="str">
        <f t="shared" ca="1" si="11"/>
        <v>Contact First Name*</v>
      </c>
      <c r="C109" s="368">
        <f t="shared" ca="1" si="12"/>
        <v>0</v>
      </c>
      <c r="D109" s="358">
        <f t="shared" ca="1" si="13"/>
        <v>1</v>
      </c>
    </row>
    <row r="110" spans="1:6">
      <c r="A110" s="358" t="s">
        <v>161</v>
      </c>
      <c r="B110" s="358" t="str">
        <f t="shared" ca="1" si="11"/>
        <v>Last Name*</v>
      </c>
      <c r="C110" s="368">
        <f t="shared" ca="1" si="12"/>
        <v>0</v>
      </c>
      <c r="D110" s="358">
        <f t="shared" ca="1" si="13"/>
        <v>1</v>
      </c>
    </row>
    <row r="111" spans="1:6">
      <c r="A111" s="358" t="s">
        <v>162</v>
      </c>
      <c r="B111" s="358" t="str">
        <f t="shared" ca="1" si="11"/>
        <v>Title*</v>
      </c>
      <c r="C111" s="368">
        <f t="shared" ca="1" si="12"/>
        <v>0</v>
      </c>
      <c r="D111" s="358">
        <f t="shared" ca="1" si="13"/>
        <v>1</v>
      </c>
    </row>
    <row r="112" spans="1:6">
      <c r="A112" s="358" t="s">
        <v>163</v>
      </c>
      <c r="B112" s="358" t="str">
        <f t="shared" ca="1" si="11"/>
        <v>Primary Phone*</v>
      </c>
      <c r="C112" s="368">
        <f t="shared" ca="1" si="12"/>
        <v>0</v>
      </c>
      <c r="D112" s="358">
        <f t="shared" ca="1" si="13"/>
        <v>1</v>
      </c>
    </row>
    <row r="113" spans="1:6">
      <c r="A113" s="358" t="s">
        <v>164</v>
      </c>
      <c r="B113" s="358" t="str">
        <f t="shared" ca="1" si="11"/>
        <v>Email*</v>
      </c>
      <c r="C113" s="368">
        <f t="shared" ca="1" si="12"/>
        <v>0</v>
      </c>
      <c r="D113" s="358">
        <f t="shared" ca="1" si="13"/>
        <v>1</v>
      </c>
    </row>
    <row r="115" spans="1:6">
      <c r="A115" s="359"/>
      <c r="C115" t="s">
        <v>84</v>
      </c>
      <c r="D115" t="s">
        <v>300</v>
      </c>
      <c r="E115" t="s">
        <v>804</v>
      </c>
    </row>
    <row r="116" spans="1:6">
      <c r="A116" s="356" t="s">
        <v>1991</v>
      </c>
      <c r="B116" s="356" t="str">
        <f>M2S4</f>
        <v>Building Information</v>
      </c>
      <c r="C116" s="356">
        <f ca="1">SUMIF(D117:D141, 1, C117:C141)</f>
        <v>0</v>
      </c>
      <c r="D116" s="356">
        <f ca="1">SUM(D117:D141)</f>
        <v>20</v>
      </c>
      <c r="E116" s="357">
        <f ca="1">IFERROR(C116/D116, 1)</f>
        <v>0</v>
      </c>
      <c r="F116" s="62" t="s">
        <v>2147</v>
      </c>
    </row>
    <row r="117" spans="1:6">
      <c r="A117" s="358" t="s">
        <v>165</v>
      </c>
      <c r="B117" s="358" t="str">
        <f ca="1">OFFSET(INDIRECT(A117),0,-12)</f>
        <v>Is the Site address the same as the Company address?</v>
      </c>
      <c r="C117" s="368">
        <f t="shared" ref="C117:C141" ca="1" si="14">IF(INDIRECT($A117)="",0,1)</f>
        <v>0</v>
      </c>
      <c r="D117" s="358">
        <f ca="1">IFERROR(IF(SEARCH("~*", B117), 1), 0)</f>
        <v>0</v>
      </c>
    </row>
    <row r="118" spans="1:6">
      <c r="A118" s="358" t="s">
        <v>166</v>
      </c>
      <c r="B118" s="358">
        <f ca="1">OFFSET(INDIRECT(A118),0,-12)</f>
        <v>0</v>
      </c>
      <c r="C118" s="368">
        <f t="shared" ca="1" si="14"/>
        <v>0</v>
      </c>
      <c r="D118" s="358">
        <f t="shared" ref="D118:D141" ca="1" si="15">IFERROR(IF(SEARCH("~*", B118), 1), 0)</f>
        <v>0</v>
      </c>
    </row>
    <row r="119" spans="1:6">
      <c r="A119" s="358" t="s">
        <v>167</v>
      </c>
      <c r="B119" s="358" t="str">
        <f t="shared" ref="B119:B141" ca="1" si="16">OFFSET(INDIRECT(A119),-1,0)</f>
        <v>Account Number 1*</v>
      </c>
      <c r="C119" s="368">
        <f t="shared" ca="1" si="14"/>
        <v>0</v>
      </c>
      <c r="D119" s="358">
        <f t="shared" ca="1" si="15"/>
        <v>1</v>
      </c>
    </row>
    <row r="120" spans="1:6">
      <c r="A120" s="358" t="s">
        <v>168</v>
      </c>
      <c r="B120" s="358" t="str">
        <f t="shared" ca="1" si="16"/>
        <v>Account Number 2</v>
      </c>
      <c r="C120" s="368">
        <f t="shared" ca="1" si="14"/>
        <v>0</v>
      </c>
      <c r="D120" s="358">
        <f t="shared" ca="1" si="15"/>
        <v>0</v>
      </c>
    </row>
    <row r="121" spans="1:6">
      <c r="A121" s="358" t="s">
        <v>169</v>
      </c>
      <c r="B121" s="358" t="str">
        <f t="shared" ca="1" si="16"/>
        <v>Utility Rate Code*</v>
      </c>
      <c r="C121" s="368">
        <f t="shared" ca="1" si="14"/>
        <v>0</v>
      </c>
      <c r="D121" s="358">
        <f t="shared" ca="1" si="15"/>
        <v>1</v>
      </c>
    </row>
    <row r="122" spans="1:6">
      <c r="A122" s="358" t="s">
        <v>170</v>
      </c>
      <c r="B122" s="358" t="str">
        <f t="shared" ca="1" si="16"/>
        <v>Utility Electric Rate* ($/kWh)</v>
      </c>
      <c r="C122" s="368">
        <f t="shared" ca="1" si="14"/>
        <v>0</v>
      </c>
      <c r="D122" s="358">
        <f t="shared" ca="1" si="15"/>
        <v>1</v>
      </c>
    </row>
    <row r="123" spans="1:6">
      <c r="A123" s="358" t="s">
        <v>171</v>
      </c>
      <c r="B123" s="358" t="str">
        <f t="shared" ca="1" si="16"/>
        <v>Site Name*</v>
      </c>
      <c r="C123" s="368">
        <f t="shared" ca="1" si="14"/>
        <v>0</v>
      </c>
      <c r="D123" s="358">
        <f t="shared" ca="1" si="15"/>
        <v>1</v>
      </c>
    </row>
    <row r="124" spans="1:6">
      <c r="A124" s="358" t="s">
        <v>172</v>
      </c>
      <c r="B124" s="358" t="str">
        <f t="shared" ca="1" si="16"/>
        <v>Site Address*</v>
      </c>
      <c r="C124" s="368">
        <f t="shared" ca="1" si="14"/>
        <v>0</v>
      </c>
      <c r="D124" s="358">
        <f t="shared" ca="1" si="15"/>
        <v>1</v>
      </c>
    </row>
    <row r="125" spans="1:6">
      <c r="A125" s="358" t="s">
        <v>173</v>
      </c>
      <c r="B125" s="358" t="str">
        <f t="shared" ca="1" si="16"/>
        <v>City*</v>
      </c>
      <c r="C125" s="368">
        <f t="shared" ca="1" si="14"/>
        <v>0</v>
      </c>
      <c r="D125" s="358">
        <f t="shared" ca="1" si="15"/>
        <v>1</v>
      </c>
    </row>
    <row r="126" spans="1:6">
      <c r="A126" s="358" t="s">
        <v>174</v>
      </c>
      <c r="B126" s="358" t="str">
        <f t="shared" ca="1" si="16"/>
        <v>State</v>
      </c>
      <c r="C126" s="368">
        <f t="shared" ca="1" si="14"/>
        <v>1</v>
      </c>
      <c r="D126" s="358">
        <f t="shared" ca="1" si="15"/>
        <v>0</v>
      </c>
    </row>
    <row r="127" spans="1:6">
      <c r="A127" s="358" t="s">
        <v>175</v>
      </c>
      <c r="B127" s="358" t="str">
        <f t="shared" ca="1" si="16"/>
        <v>Zip Code*</v>
      </c>
      <c r="C127" s="368">
        <f t="shared" ca="1" si="14"/>
        <v>0</v>
      </c>
      <c r="D127" s="358">
        <f t="shared" ca="1" si="15"/>
        <v>1</v>
      </c>
    </row>
    <row r="128" spans="1:6">
      <c r="A128" s="358" t="s">
        <v>176</v>
      </c>
      <c r="B128" s="358" t="str">
        <f t="shared" ca="1" si="16"/>
        <v>Contact First Name*</v>
      </c>
      <c r="C128" s="368">
        <f t="shared" ca="1" si="14"/>
        <v>0</v>
      </c>
      <c r="D128" s="358">
        <f t="shared" ca="1" si="15"/>
        <v>1</v>
      </c>
    </row>
    <row r="129" spans="1:6">
      <c r="A129" s="358" t="s">
        <v>793</v>
      </c>
      <c r="B129" s="358" t="str">
        <f t="shared" ca="1" si="16"/>
        <v>Last Name*</v>
      </c>
      <c r="C129" s="368">
        <f t="shared" ca="1" si="14"/>
        <v>0</v>
      </c>
      <c r="D129" s="358">
        <f t="shared" ca="1" si="15"/>
        <v>1</v>
      </c>
    </row>
    <row r="130" spans="1:6">
      <c r="A130" s="358" t="s">
        <v>794</v>
      </c>
      <c r="B130" s="358" t="str">
        <f t="shared" ca="1" si="16"/>
        <v>Title*</v>
      </c>
      <c r="C130" s="368">
        <f t="shared" ca="1" si="14"/>
        <v>0</v>
      </c>
      <c r="D130" s="358">
        <f t="shared" ca="1" si="15"/>
        <v>1</v>
      </c>
    </row>
    <row r="131" spans="1:6">
      <c r="A131" s="358" t="s">
        <v>795</v>
      </c>
      <c r="B131" s="358" t="str">
        <f t="shared" ca="1" si="16"/>
        <v>Primary Phone*</v>
      </c>
      <c r="C131" s="368">
        <f t="shared" ca="1" si="14"/>
        <v>0</v>
      </c>
      <c r="D131" s="358">
        <f t="shared" ca="1" si="15"/>
        <v>1</v>
      </c>
    </row>
    <row r="132" spans="1:6">
      <c r="A132" s="358" t="s">
        <v>796</v>
      </c>
      <c r="B132" s="358" t="str">
        <f t="shared" ca="1" si="16"/>
        <v>Email*</v>
      </c>
      <c r="C132" s="368">
        <f t="shared" ca="1" si="14"/>
        <v>0</v>
      </c>
      <c r="D132" s="358">
        <f t="shared" ca="1" si="15"/>
        <v>1</v>
      </c>
    </row>
    <row r="133" spans="1:6">
      <c r="A133" s="358" t="s">
        <v>797</v>
      </c>
      <c r="B133" s="358" t="str">
        <f t="shared" ca="1" si="16"/>
        <v>Project Type</v>
      </c>
      <c r="C133" s="368">
        <f t="shared" ca="1" si="14"/>
        <v>0</v>
      </c>
      <c r="D133" s="358">
        <f t="shared" ca="1" si="15"/>
        <v>0</v>
      </c>
    </row>
    <row r="134" spans="1:6">
      <c r="A134" s="358" t="s">
        <v>798</v>
      </c>
      <c r="B134" s="358" t="str">
        <f t="shared" ca="1" si="16"/>
        <v>Project Name / ID*</v>
      </c>
      <c r="C134" s="368">
        <f t="shared" ca="1" si="14"/>
        <v>0</v>
      </c>
      <c r="D134" s="358">
        <f t="shared" ca="1" si="15"/>
        <v>1</v>
      </c>
    </row>
    <row r="135" spans="1:6">
      <c r="A135" s="358" t="s">
        <v>799</v>
      </c>
      <c r="B135" s="358" t="str">
        <f t="shared" ca="1" si="16"/>
        <v>Building Type*</v>
      </c>
      <c r="C135" s="368">
        <f t="shared" ca="1" si="14"/>
        <v>0</v>
      </c>
      <c r="D135" s="358">
        <f t="shared" ca="1" si="15"/>
        <v>1</v>
      </c>
    </row>
    <row r="136" spans="1:6">
      <c r="A136" s="358" t="s">
        <v>800</v>
      </c>
      <c r="B136" s="358" t="str">
        <f t="shared" ca="1" si="16"/>
        <v>Annual Operating Hours*</v>
      </c>
      <c r="C136" s="368">
        <f t="shared" ca="1" si="14"/>
        <v>0</v>
      </c>
      <c r="D136" s="358">
        <f t="shared" ca="1" si="15"/>
        <v>1</v>
      </c>
    </row>
    <row r="137" spans="1:6">
      <c r="A137" s="358" t="s">
        <v>801</v>
      </c>
      <c r="B137" s="358" t="str">
        <f t="shared" ca="1" si="16"/>
        <v>Square Footage*</v>
      </c>
      <c r="C137" s="368">
        <f t="shared" ca="1" si="14"/>
        <v>0</v>
      </c>
      <c r="D137" s="358">
        <f t="shared" ca="1" si="15"/>
        <v>1</v>
      </c>
    </row>
    <row r="138" spans="1:6">
      <c r="A138" s="358" t="s">
        <v>802</v>
      </c>
      <c r="B138" s="358" t="str">
        <f t="shared" ca="1" si="16"/>
        <v>Space Conditioning Type*</v>
      </c>
      <c r="C138" s="368">
        <f t="shared" ca="1" si="14"/>
        <v>0</v>
      </c>
      <c r="D138" s="358">
        <f t="shared" ca="1" si="15"/>
        <v>1</v>
      </c>
    </row>
    <row r="139" spans="1:6">
      <c r="A139" s="358" t="s">
        <v>803</v>
      </c>
      <c r="B139" s="358" t="str">
        <f t="shared" ca="1" si="16"/>
        <v>Project Description*</v>
      </c>
      <c r="C139" s="368">
        <f t="shared" ca="1" si="14"/>
        <v>0</v>
      </c>
      <c r="D139" s="358">
        <f t="shared" ca="1" si="15"/>
        <v>1</v>
      </c>
    </row>
    <row r="140" spans="1:6">
      <c r="A140" s="358" t="s">
        <v>1125</v>
      </c>
      <c r="B140" s="358" t="str">
        <f t="shared" ca="1" si="16"/>
        <v>Evergy Contact*</v>
      </c>
      <c r="C140" s="368">
        <f t="shared" ca="1" si="14"/>
        <v>0</v>
      </c>
      <c r="D140" s="358">
        <f t="shared" ca="1" si="15"/>
        <v>1</v>
      </c>
    </row>
    <row r="141" spans="1:6">
      <c r="A141" s="358" t="s">
        <v>1126</v>
      </c>
      <c r="B141" s="358" t="str">
        <f t="shared" ca="1" si="16"/>
        <v>How did you hear about the Program?*</v>
      </c>
      <c r="C141" s="368">
        <f t="shared" ca="1" si="14"/>
        <v>0</v>
      </c>
      <c r="D141" s="358">
        <f t="shared" ca="1" si="15"/>
        <v>1</v>
      </c>
    </row>
    <row r="143" spans="1:6">
      <c r="C143" t="s">
        <v>84</v>
      </c>
      <c r="D143" t="s">
        <v>300</v>
      </c>
      <c r="E143" t="s">
        <v>804</v>
      </c>
    </row>
    <row r="144" spans="1:6">
      <c r="A144" s="356" t="s">
        <v>1991</v>
      </c>
      <c r="B144" s="356" t="s">
        <v>301</v>
      </c>
      <c r="C144" s="356">
        <f>MIN( SUM(C145:C146), 1)</f>
        <v>0</v>
      </c>
      <c r="D144" s="356">
        <v>1</v>
      </c>
      <c r="E144" s="357">
        <f>IFERROR(MIN(1, C144/D144), 1)</f>
        <v>0</v>
      </c>
      <c r="F144" s="62" t="s">
        <v>2148</v>
      </c>
    </row>
    <row r="145" spans="1:6">
      <c r="A145" s="358" t="s">
        <v>302</v>
      </c>
      <c r="B145" s="358" t="s">
        <v>140</v>
      </c>
      <c r="C145" s="368">
        <f>IF(SUM(H10:H16)&gt;0,1,0)</f>
        <v>0</v>
      </c>
      <c r="D145" s="358">
        <v>0</v>
      </c>
    </row>
    <row r="146" spans="1:6">
      <c r="A146" s="358" t="s">
        <v>303</v>
      </c>
      <c r="B146" s="358" t="s">
        <v>141</v>
      </c>
      <c r="C146" s="368">
        <f>IF(SUM(H18:H27)&gt;0,1,0)</f>
        <v>0</v>
      </c>
      <c r="D146" s="358">
        <v>0</v>
      </c>
    </row>
    <row r="148" spans="1:6">
      <c r="C148" t="s">
        <v>84</v>
      </c>
      <c r="D148" t="s">
        <v>300</v>
      </c>
      <c r="E148" t="s">
        <v>804</v>
      </c>
    </row>
    <row r="149" spans="1:6">
      <c r="A149" s="356" t="s">
        <v>1991</v>
      </c>
      <c r="B149" s="356" t="str">
        <f>M5S1</f>
        <v>Payment</v>
      </c>
      <c r="C149" s="356">
        <f ca="1">SUMIF(D150:D163, 1, C150:C163) + IF(PayeeChckBox, 1)</f>
        <v>0</v>
      </c>
      <c r="D149" s="356">
        <f ca="1">SUM(D150:D164)</f>
        <v>14</v>
      </c>
      <c r="E149" s="357">
        <f ca="1">IFERROR(C149/D149, 1)</f>
        <v>0</v>
      </c>
      <c r="F149" s="62" t="s">
        <v>2149</v>
      </c>
    </row>
    <row r="150" spans="1:6">
      <c r="A150" s="358" t="s">
        <v>806</v>
      </c>
      <c r="B150" s="358" t="str">
        <f ca="1">OFFSET(INDIRECT(A150),0,-5)</f>
        <v>Payment Type*</v>
      </c>
      <c r="C150" s="368">
        <f t="shared" ref="C150:C163" ca="1" si="17">IF(INDIRECT($A150)="",0,1)</f>
        <v>0</v>
      </c>
      <c r="D150" s="358">
        <f ca="1">IFERROR(IF(SEARCH("~*", B150), 1), 0)</f>
        <v>1</v>
      </c>
    </row>
    <row r="151" spans="1:6">
      <c r="A151" s="358" t="s">
        <v>807</v>
      </c>
      <c r="B151" s="358" t="str">
        <f t="shared" ref="B151:B161" ca="1" si="18">OFFSET(INDIRECT(A151),-1,0)</f>
        <v>Payee Company Name"</v>
      </c>
      <c r="C151" s="368">
        <f t="shared" ca="1" si="17"/>
        <v>0</v>
      </c>
      <c r="D151" s="358">
        <f t="shared" ref="D151:D164" ca="1" si="19">IFERROR(IF(SEARCH("~*", B151), 1), 0)</f>
        <v>0</v>
      </c>
    </row>
    <row r="152" spans="1:6">
      <c r="A152" s="358" t="s">
        <v>808</v>
      </c>
      <c r="B152" s="358" t="str">
        <f t="shared" ca="1" si="18"/>
        <v>Mailing Address*</v>
      </c>
      <c r="C152" s="368">
        <f t="shared" ca="1" si="17"/>
        <v>0</v>
      </c>
      <c r="D152" s="358">
        <f t="shared" ca="1" si="19"/>
        <v>1</v>
      </c>
    </row>
    <row r="153" spans="1:6">
      <c r="A153" s="358" t="s">
        <v>809</v>
      </c>
      <c r="B153" s="358" t="str">
        <f t="shared" ca="1" si="18"/>
        <v>City*</v>
      </c>
      <c r="C153" s="368">
        <f t="shared" ca="1" si="17"/>
        <v>0</v>
      </c>
      <c r="D153" s="358">
        <f t="shared" ca="1" si="19"/>
        <v>1</v>
      </c>
    </row>
    <row r="154" spans="1:6">
      <c r="A154" s="358" t="s">
        <v>810</v>
      </c>
      <c r="B154" s="358" t="str">
        <f t="shared" ca="1" si="18"/>
        <v>State*</v>
      </c>
      <c r="C154" s="368">
        <f t="shared" ca="1" si="17"/>
        <v>0</v>
      </c>
      <c r="D154" s="358">
        <f t="shared" ca="1" si="19"/>
        <v>1</v>
      </c>
    </row>
    <row r="155" spans="1:6">
      <c r="A155" s="358" t="s">
        <v>811</v>
      </c>
      <c r="B155" s="358" t="str">
        <f t="shared" ca="1" si="18"/>
        <v>Zip Code*</v>
      </c>
      <c r="C155" s="368">
        <f t="shared" ca="1" si="17"/>
        <v>0</v>
      </c>
      <c r="D155" s="358">
        <f t="shared" ca="1" si="19"/>
        <v>1</v>
      </c>
    </row>
    <row r="156" spans="1:6">
      <c r="A156" s="358" t="s">
        <v>812</v>
      </c>
      <c r="B156" s="358" t="str">
        <f t="shared" ca="1" si="18"/>
        <v>Payee First Name*</v>
      </c>
      <c r="C156" s="368">
        <f t="shared" ca="1" si="17"/>
        <v>0</v>
      </c>
      <c r="D156" s="358">
        <f t="shared" ca="1" si="19"/>
        <v>1</v>
      </c>
    </row>
    <row r="157" spans="1:6">
      <c r="A157" s="358" t="s">
        <v>813</v>
      </c>
      <c r="B157" s="358" t="str">
        <f t="shared" ca="1" si="18"/>
        <v>Payee Last Name*</v>
      </c>
      <c r="C157" s="368">
        <f t="shared" ca="1" si="17"/>
        <v>0</v>
      </c>
      <c r="D157" s="358">
        <f t="shared" ca="1" si="19"/>
        <v>1</v>
      </c>
    </row>
    <row r="158" spans="1:6">
      <c r="A158" s="358" t="s">
        <v>814</v>
      </c>
      <c r="B158" s="358" t="str">
        <f t="shared" ca="1" si="18"/>
        <v>Phone Number*</v>
      </c>
      <c r="C158" s="368">
        <f t="shared" ca="1" si="17"/>
        <v>0</v>
      </c>
      <c r="D158" s="358">
        <f t="shared" ca="1" si="19"/>
        <v>1</v>
      </c>
    </row>
    <row r="159" spans="1:6">
      <c r="A159" s="358" t="s">
        <v>815</v>
      </c>
      <c r="B159" s="358" t="str">
        <f t="shared" ca="1" si="18"/>
        <v>Email*</v>
      </c>
      <c r="C159" s="368">
        <f t="shared" ca="1" si="17"/>
        <v>0</v>
      </c>
      <c r="D159" s="358">
        <f t="shared" ca="1" si="19"/>
        <v>1</v>
      </c>
    </row>
    <row r="160" spans="1:6">
      <c r="A160" s="358" t="s">
        <v>816</v>
      </c>
      <c r="B160" s="358" t="str">
        <f t="shared" ca="1" si="18"/>
        <v>Tax Entity*</v>
      </c>
      <c r="C160" s="368">
        <f t="shared" ca="1" si="17"/>
        <v>0</v>
      </c>
      <c r="D160" s="358">
        <f t="shared" ca="1" si="19"/>
        <v>1</v>
      </c>
    </row>
    <row r="161" spans="1:7">
      <c r="A161" s="358" t="s">
        <v>817</v>
      </c>
      <c r="B161" s="358" t="str">
        <f t="shared" ca="1" si="18"/>
        <v>Federal Tax ID Number*</v>
      </c>
      <c r="C161" s="368">
        <f t="shared" ca="1" si="17"/>
        <v>0</v>
      </c>
      <c r="D161" s="358">
        <f t="shared" ca="1" si="19"/>
        <v>1</v>
      </c>
    </row>
    <row r="162" spans="1:7">
      <c r="A162" s="358" t="s">
        <v>830</v>
      </c>
      <c r="B162" s="358" t="str">
        <f ca="1">OFFSET(INDIRECT(A162),-1,-2)</f>
        <v>Federal Tax ID Number*</v>
      </c>
      <c r="C162" s="368">
        <f t="shared" ca="1" si="17"/>
        <v>0</v>
      </c>
      <c r="D162" s="358">
        <f t="shared" ca="1" si="19"/>
        <v>1</v>
      </c>
    </row>
    <row r="163" spans="1:7">
      <c r="A163" s="358" t="s">
        <v>1301</v>
      </c>
      <c r="B163" s="358" t="str">
        <f ca="1">OFFSET(INDIRECT(A163),-1,0)</f>
        <v>Bill Credit Account*</v>
      </c>
      <c r="C163" s="368">
        <f t="shared" ca="1" si="17"/>
        <v>0</v>
      </c>
      <c r="D163" s="358">
        <f t="shared" ca="1" si="19"/>
        <v>1</v>
      </c>
      <c r="G163" t="s">
        <v>2187</v>
      </c>
    </row>
    <row r="164" spans="1:7">
      <c r="A164" s="358" t="s">
        <v>828</v>
      </c>
      <c r="B164" s="358" t="s">
        <v>1992</v>
      </c>
      <c r="C164" s="368" t="b">
        <v>0</v>
      </c>
      <c r="D164" s="358">
        <f t="shared" si="19"/>
        <v>1</v>
      </c>
    </row>
    <row r="166" spans="1:7">
      <c r="A166" s="359"/>
      <c r="C166" t="s">
        <v>84</v>
      </c>
      <c r="D166" t="s">
        <v>300</v>
      </c>
      <c r="E166" t="s">
        <v>804</v>
      </c>
    </row>
    <row r="167" spans="1:7">
      <c r="A167" s="356" t="s">
        <v>1991</v>
      </c>
      <c r="B167" s="356" t="str">
        <f>M5S2</f>
        <v>Project Review</v>
      </c>
      <c r="C167" s="356">
        <f ca="1">SUMIF(D168:D169, 1, C168:C169)</f>
        <v>0</v>
      </c>
      <c r="D167" s="356">
        <f ca="1">SUM(D168:D169)</f>
        <v>2</v>
      </c>
      <c r="E167" s="357">
        <f ca="1">IFERROR(C167/D167, 1)</f>
        <v>0</v>
      </c>
      <c r="F167" s="62" t="s">
        <v>2150</v>
      </c>
    </row>
    <row r="168" spans="1:7">
      <c r="A168" s="358" t="s">
        <v>305</v>
      </c>
      <c r="B168" s="358" t="str">
        <f ca="1">OFFSET(INDIRECT(A168),-1,0)</f>
        <v>Invoice Date*</v>
      </c>
      <c r="C168" s="368">
        <f ca="1">IF(INDIRECT($A168)="",0,1)</f>
        <v>0</v>
      </c>
      <c r="D168" s="358">
        <f ca="1">IFERROR(IF(AND(SEARCH("~*", B168), OR(AND(MEASTOTALCUSPA = 0, INCENTOTAL &lt; INCPREAPPROVAL), ACTIVECOMPL = "Yes")), 1, 0), 0)</f>
        <v>1</v>
      </c>
    </row>
    <row r="169" spans="1:7">
      <c r="A169" s="358" t="s">
        <v>306</v>
      </c>
      <c r="B169" s="358" t="str">
        <f ca="1">OFFSET(INDIRECT(A169),-1,0)</f>
        <v>Installed Date*</v>
      </c>
      <c r="C169" s="368">
        <f ca="1">IF(INDIRECT($A169)="",0,1)</f>
        <v>0</v>
      </c>
      <c r="D169" s="358">
        <f ca="1">IFERROR(IF(AND(SEARCH("~*", B169), OR(AND(MEASTOTALCUSPA = 0, INCENTOTAL &lt; INCPREAPPROVAL), ACTIVECOMPL = "Yes")), 1, 0), 0)</f>
        <v>1</v>
      </c>
    </row>
  </sheetData>
  <sheetProtection algorithmName="SHA-512" hashValue="F4w14LduTCqMJ2CX/qiqaxRpjB74OPkG0XLGTiUNITN4fG8CzwWP4b5fDqna5sKOeISoekQlPK8qQtTVOl24zA==" saltValue="1csKJnu9BxFqWylACD6v+w==" spinCount="100000" sheet="1" objects="1" scenarios="1"/>
  <conditionalFormatting sqref="H9:R27">
    <cfRule type="containsBlanks" dxfId="155" priority="3">
      <formula>LEN(TRIM(H9))=0</formula>
    </cfRule>
  </conditionalFormatting>
  <conditionalFormatting sqref="Q28:R30">
    <cfRule type="containsBlanks" dxfId="154" priority="28">
      <formula>LEN(TRIM(Q28))=0</formula>
    </cfRule>
  </conditionalFormatting>
  <dataValidations disablePrompts="1" count="1">
    <dataValidation type="list" allowBlank="1" showInputMessage="1" showErrorMessage="1" sqref="H5" xr:uid="{97D8165D-7150-40CF-8CE7-2EB501FC354E}">
      <formula1>"TRUE, FALSE"</formula1>
    </dataValidation>
  </dataValidations>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C30" display="'M04-S09'!C30" xr:uid="{5D050FF6-67C2-482B-BDDB-0DCA0757B50E}"/>
    <hyperlink ref="G27" location="'M04-S09'!C36" display="'M04-S09'!C36" xr:uid="{3915DD91-D6CC-416D-885F-0305323BF541}"/>
  </hyperlink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tint="0.59999389629810485"/>
  </sheetPr>
  <dimension ref="A1:AS187"/>
  <sheetViews>
    <sheetView zoomScale="70" zoomScaleNormal="70" workbookViewId="0">
      <pane ySplit="1" topLeftCell="A98" activePane="bottomLeft" state="frozen"/>
      <selection pane="bottomLeft" activeCell="B1" sqref="B1"/>
    </sheetView>
  </sheetViews>
  <sheetFormatPr defaultColWidth="0" defaultRowHeight="14.25" customHeight="1"/>
  <cols>
    <col min="1" max="1" width="12.42578125" customWidth="1"/>
    <col min="2" max="2" width="21.28515625" bestFit="1" customWidth="1"/>
    <col min="3" max="3" width="80.28515625" customWidth="1"/>
    <col min="4" max="4" width="17" customWidth="1"/>
    <col min="5" max="5" width="48.7109375" customWidth="1"/>
    <col min="6" max="6" width="98" customWidth="1"/>
    <col min="7" max="7" width="23.28515625" customWidth="1"/>
    <col min="8" max="8" width="16.5703125" customWidth="1"/>
    <col min="9" max="9" width="21.140625" customWidth="1"/>
    <col min="10" max="10" width="23.140625" customWidth="1"/>
    <col min="11" max="11" width="43.5703125" customWidth="1"/>
    <col min="12" max="12" width="36.28515625" customWidth="1"/>
    <col min="13" max="13" width="45" bestFit="1" customWidth="1"/>
    <col min="14" max="14" width="41.7109375" customWidth="1"/>
    <col min="15" max="15" width="58.5703125" customWidth="1"/>
    <col min="16" max="16" width="30.28515625" customWidth="1"/>
    <col min="17" max="17" width="38.28515625" customWidth="1"/>
    <col min="18" max="18" width="29.42578125" customWidth="1"/>
    <col min="19" max="19" width="24.7109375" customWidth="1"/>
    <col min="20" max="20" width="27.140625" style="246" bestFit="1" customWidth="1"/>
    <col min="21" max="22" width="28" bestFit="1" customWidth="1"/>
    <col min="23" max="23" width="28.28515625" customWidth="1"/>
    <col min="24" max="24" width="25.42578125" bestFit="1" customWidth="1"/>
    <col min="25" max="25" width="25.85546875" bestFit="1" customWidth="1"/>
    <col min="26" max="26" width="22.42578125" customWidth="1"/>
    <col min="27" max="27" width="24.28515625" bestFit="1" customWidth="1"/>
    <col min="28" max="28" width="29.5703125" bestFit="1" customWidth="1"/>
    <col min="29" max="29" width="42.28515625" bestFit="1" customWidth="1"/>
    <col min="30" max="30" width="20.28515625" bestFit="1" customWidth="1"/>
    <col min="31" max="31" width="37.42578125" bestFit="1" customWidth="1"/>
    <col min="32" max="32" width="10.7109375" customWidth="1"/>
    <col min="33" max="33" width="9.5703125" customWidth="1"/>
    <col min="34" max="34" width="19.28515625" bestFit="1" customWidth="1"/>
    <col min="35" max="37" width="8.7109375" bestFit="1" customWidth="1"/>
    <col min="38" max="38" width="9.7109375" bestFit="1" customWidth="1"/>
    <col min="39" max="39" width="8.7109375" bestFit="1" customWidth="1"/>
    <col min="40" max="45" width="4.7109375" customWidth="1"/>
    <col min="46" max="16384" width="4.7109375" hidden="1"/>
  </cols>
  <sheetData>
    <row r="1" spans="1:35" ht="15">
      <c r="A1" s="398" t="s">
        <v>2206</v>
      </c>
      <c r="B1" s="481" t="s">
        <v>2785</v>
      </c>
      <c r="C1" s="62"/>
      <c r="D1" s="62" t="s">
        <v>840</v>
      </c>
      <c r="F1" s="62" t="s">
        <v>839</v>
      </c>
      <c r="G1" s="62" t="s">
        <v>0</v>
      </c>
      <c r="H1" s="62"/>
      <c r="I1" s="62" t="s">
        <v>2204</v>
      </c>
      <c r="J1" s="62"/>
      <c r="K1" s="62"/>
      <c r="L1" s="62"/>
      <c r="M1" s="62" t="s">
        <v>843</v>
      </c>
      <c r="N1" s="62" t="s">
        <v>844</v>
      </c>
      <c r="O1" s="62" t="s">
        <v>845</v>
      </c>
      <c r="P1" s="62" t="s">
        <v>846</v>
      </c>
      <c r="Q1" s="62" t="s">
        <v>2205</v>
      </c>
      <c r="R1" s="62" t="s">
        <v>847</v>
      </c>
      <c r="S1" s="62" t="s">
        <v>848</v>
      </c>
      <c r="T1" s="62" t="s">
        <v>849</v>
      </c>
      <c r="U1" s="62" t="s">
        <v>850</v>
      </c>
      <c r="V1" s="397"/>
      <c r="X1" t="s">
        <v>1899</v>
      </c>
    </row>
    <row r="2" spans="1:35" ht="14.25" customHeight="1">
      <c r="A2" s="562"/>
      <c r="B2" s="234" t="s">
        <v>85</v>
      </c>
      <c r="C2" s="234" t="s">
        <v>839</v>
      </c>
      <c r="D2" s="399" t="s">
        <v>3077</v>
      </c>
      <c r="E2" s="399" t="s">
        <v>3078</v>
      </c>
      <c r="F2" s="399" t="s">
        <v>857</v>
      </c>
      <c r="G2" s="399" t="s">
        <v>0</v>
      </c>
      <c r="H2" s="234" t="s">
        <v>841</v>
      </c>
      <c r="I2" s="400" t="s">
        <v>842</v>
      </c>
      <c r="J2" s="235" t="s">
        <v>2765</v>
      </c>
      <c r="K2" s="235" t="s">
        <v>2764</v>
      </c>
      <c r="L2" s="235" t="s">
        <v>1276</v>
      </c>
      <c r="M2" s="399" t="s">
        <v>843</v>
      </c>
      <c r="N2" s="399" t="s">
        <v>3079</v>
      </c>
      <c r="O2" s="399" t="s">
        <v>3082</v>
      </c>
      <c r="P2" s="399" t="s">
        <v>3081</v>
      </c>
      <c r="Q2" s="399" t="s">
        <v>3080</v>
      </c>
      <c r="R2" s="399" t="s">
        <v>846</v>
      </c>
      <c r="S2" s="399" t="s">
        <v>1350</v>
      </c>
      <c r="T2" s="399" t="s">
        <v>847</v>
      </c>
      <c r="U2" s="399" t="s">
        <v>848</v>
      </c>
      <c r="V2" s="399" t="s">
        <v>849</v>
      </c>
      <c r="W2" s="399" t="s">
        <v>850</v>
      </c>
      <c r="X2" s="234" t="s">
        <v>336</v>
      </c>
      <c r="Y2" s="234" t="s">
        <v>1701</v>
      </c>
      <c r="Z2" s="234" t="s">
        <v>1397</v>
      </c>
      <c r="AA2" s="234" t="s">
        <v>1398</v>
      </c>
      <c r="AB2" s="234" t="s">
        <v>1404</v>
      </c>
      <c r="AC2" s="234" t="s">
        <v>1179</v>
      </c>
      <c r="AD2" s="234" t="s">
        <v>1180</v>
      </c>
      <c r="AE2" s="234" t="s">
        <v>1458</v>
      </c>
      <c r="AF2" s="234" t="s">
        <v>1459</v>
      </c>
      <c r="AG2" s="258" t="s">
        <v>1539</v>
      </c>
      <c r="AH2" s="302" t="s">
        <v>860</v>
      </c>
      <c r="AI2" s="302" t="s">
        <v>1547</v>
      </c>
    </row>
    <row r="3" spans="1:35" ht="14.25" customHeight="1">
      <c r="A3" t="s">
        <v>2786</v>
      </c>
      <c r="B3" s="230" t="str" cm="1">
        <f t="array" ref="B3">LEFT(A3, 2) &amp; IF(Program_Banner= "Business Energy Savings", 2, IF(Program_Banner="Small Business / Non-Profit", 3, "#")) &amp; RIGHT(A3,6)</f>
        <v>112115001</v>
      </c>
      <c r="C3" s="1" t="s">
        <v>1934</v>
      </c>
      <c r="D3" s="27">
        <v>585.20000000000005</v>
      </c>
      <c r="E3" s="27">
        <v>585.20000000000005</v>
      </c>
      <c r="F3" t="s">
        <v>2012</v>
      </c>
      <c r="G3" t="s">
        <v>938</v>
      </c>
      <c r="H3" t="s">
        <v>1623</v>
      </c>
      <c r="I3" t="s">
        <v>91</v>
      </c>
      <c r="J3" s="42">
        <v>55</v>
      </c>
      <c r="K3" s="42">
        <v>85</v>
      </c>
      <c r="L3" s="405"/>
      <c r="M3" s="42">
        <v>123.81</v>
      </c>
      <c r="N3" s="379">
        <v>378.56180000000001</v>
      </c>
      <c r="O3" s="379">
        <v>378.56180000000001</v>
      </c>
      <c r="P3" s="379">
        <v>0</v>
      </c>
      <c r="Q3" s="379">
        <v>0</v>
      </c>
      <c r="R3">
        <v>16</v>
      </c>
      <c r="S3" t="s">
        <v>2034</v>
      </c>
      <c r="T3" s="246">
        <v>57.6</v>
      </c>
      <c r="U3" t="s">
        <v>2046</v>
      </c>
      <c r="V3" s="246">
        <v>146.30000000000001</v>
      </c>
      <c r="W3" s="197"/>
      <c r="X3" s="259">
        <v>1</v>
      </c>
      <c r="Y3" s="246" t="s">
        <v>873</v>
      </c>
      <c r="Z3" t="s">
        <v>1352</v>
      </c>
      <c r="AA3" s="196" t="s">
        <v>1922</v>
      </c>
      <c r="AB3" s="26" t="s">
        <v>1911</v>
      </c>
      <c r="AC3" s="26">
        <v>1</v>
      </c>
      <c r="AD3" s="26">
        <v>210</v>
      </c>
      <c r="AE3" s="26">
        <v>1</v>
      </c>
      <c r="AF3" s="26">
        <v>9999</v>
      </c>
      <c r="AG3" s="26"/>
      <c r="AH3" s="26"/>
      <c r="AI3" s="26"/>
    </row>
    <row r="4" spans="1:35" ht="14.25" customHeight="1">
      <c r="A4" t="s">
        <v>2787</v>
      </c>
      <c r="B4" s="230" t="str" cm="1">
        <f t="array" ref="B4">LEFT(A4, 2) &amp; IF(Program_Banner= "Business Energy Savings", 2, IF(Program_Banner="Small Business / Non-Profit", 3, "#")) &amp; RIGHT(A4,6)</f>
        <v>112115003</v>
      </c>
      <c r="C4" s="1" t="s">
        <v>1951</v>
      </c>
      <c r="D4" s="27">
        <v>586.20000000000005</v>
      </c>
      <c r="E4" s="27">
        <v>586.20000000000005</v>
      </c>
      <c r="F4" t="s">
        <v>2013</v>
      </c>
      <c r="G4" t="s">
        <v>938</v>
      </c>
      <c r="H4" t="s">
        <v>1623</v>
      </c>
      <c r="I4" t="s">
        <v>91</v>
      </c>
      <c r="J4" s="42">
        <v>80</v>
      </c>
      <c r="K4" s="42">
        <v>120</v>
      </c>
      <c r="L4" s="405"/>
      <c r="M4" s="42">
        <v>134.35</v>
      </c>
      <c r="N4" s="379">
        <v>807.48479999999995</v>
      </c>
      <c r="O4" s="379">
        <v>807.48479999999995</v>
      </c>
      <c r="P4" s="379">
        <v>0</v>
      </c>
      <c r="Q4" s="379">
        <v>0</v>
      </c>
      <c r="R4">
        <v>16</v>
      </c>
      <c r="S4" t="s">
        <v>2034</v>
      </c>
      <c r="T4" s="246">
        <v>94.9</v>
      </c>
      <c r="U4" t="s">
        <v>2047</v>
      </c>
      <c r="V4" s="246">
        <v>284.10000000000002</v>
      </c>
      <c r="W4" s="197"/>
      <c r="X4" s="259">
        <v>2</v>
      </c>
      <c r="Y4" s="246" t="s">
        <v>873</v>
      </c>
      <c r="Z4" t="s">
        <v>1352</v>
      </c>
      <c r="AA4" s="196" t="s">
        <v>1932</v>
      </c>
      <c r="AB4" s="26" t="s">
        <v>1912</v>
      </c>
      <c r="AC4" s="26">
        <v>176</v>
      </c>
      <c r="AD4" s="26">
        <v>300</v>
      </c>
      <c r="AE4" s="26">
        <v>1</v>
      </c>
      <c r="AF4" s="26">
        <v>9999</v>
      </c>
      <c r="AG4" s="26"/>
      <c r="AH4" s="26"/>
      <c r="AI4" s="26"/>
    </row>
    <row r="5" spans="1:35" ht="14.25" customHeight="1">
      <c r="A5" t="s">
        <v>2788</v>
      </c>
      <c r="B5" s="230" t="str" cm="1">
        <f t="array" ref="B5">LEFT(A5, 2) &amp; IF(Program_Banner= "Business Energy Savings", 2, IF(Program_Banner="Small Business / Non-Profit", 3, "#")) &amp; RIGHT(A5,6)</f>
        <v>112115004</v>
      </c>
      <c r="C5" s="1" t="s">
        <v>1952</v>
      </c>
      <c r="D5" s="27">
        <v>587.20000000000005</v>
      </c>
      <c r="E5" s="27">
        <v>587.20000000000005</v>
      </c>
      <c r="F5" t="s">
        <v>2014</v>
      </c>
      <c r="G5" t="s">
        <v>938</v>
      </c>
      <c r="H5" t="s">
        <v>1623</v>
      </c>
      <c r="I5" t="s">
        <v>91</v>
      </c>
      <c r="J5" s="42">
        <v>105</v>
      </c>
      <c r="K5" s="42">
        <v>160</v>
      </c>
      <c r="L5" s="405"/>
      <c r="M5" s="42">
        <v>196.16</v>
      </c>
      <c r="N5" s="379">
        <v>1251.3453</v>
      </c>
      <c r="O5" s="379">
        <v>1251.3453</v>
      </c>
      <c r="P5" s="379">
        <v>0</v>
      </c>
      <c r="Q5" s="379">
        <v>0</v>
      </c>
      <c r="R5">
        <v>16</v>
      </c>
      <c r="S5" t="s">
        <v>2034</v>
      </c>
      <c r="T5" s="246">
        <v>161.30000000000001</v>
      </c>
      <c r="U5" t="s">
        <v>2048</v>
      </c>
      <c r="V5" s="246">
        <v>454.5</v>
      </c>
      <c r="W5" s="197"/>
      <c r="X5" s="259">
        <v>3</v>
      </c>
      <c r="Y5" s="246" t="s">
        <v>873</v>
      </c>
      <c r="Z5" t="s">
        <v>1352</v>
      </c>
      <c r="AA5" s="196" t="s">
        <v>1933</v>
      </c>
      <c r="AB5" s="26" t="s">
        <v>1913</v>
      </c>
      <c r="AC5" s="26">
        <v>251</v>
      </c>
      <c r="AD5" s="26">
        <v>500</v>
      </c>
      <c r="AE5" s="26">
        <v>1</v>
      </c>
      <c r="AF5" s="26">
        <v>9999</v>
      </c>
      <c r="AG5" s="26"/>
      <c r="AH5" s="26"/>
      <c r="AI5" s="26"/>
    </row>
    <row r="6" spans="1:35" ht="14.25" customHeight="1">
      <c r="A6" t="s">
        <v>2789</v>
      </c>
      <c r="B6" s="230" t="str" cm="1">
        <f t="array" ref="B6">LEFT(A6, 2) &amp; IF(Program_Banner= "Business Energy Savings", 2, IF(Program_Banner="Small Business / Non-Profit", 3, "#")) &amp; RIGHT(A6,6)</f>
        <v>112115002</v>
      </c>
      <c r="C6" s="1" t="s">
        <v>1935</v>
      </c>
      <c r="D6" s="27">
        <v>588.20000000000005</v>
      </c>
      <c r="E6" s="27">
        <v>588.20000000000005</v>
      </c>
      <c r="F6" t="s">
        <v>2015</v>
      </c>
      <c r="G6" t="s">
        <v>938</v>
      </c>
      <c r="H6" t="s">
        <v>1623</v>
      </c>
      <c r="I6" t="s">
        <v>91</v>
      </c>
      <c r="J6" s="42">
        <v>270</v>
      </c>
      <c r="K6" s="42">
        <v>410</v>
      </c>
      <c r="L6" s="405"/>
      <c r="M6" s="42">
        <v>319.31</v>
      </c>
      <c r="N6" s="379">
        <v>2697.3065000000001</v>
      </c>
      <c r="O6" s="379">
        <v>2697.3065000000001</v>
      </c>
      <c r="P6" s="379">
        <v>0</v>
      </c>
      <c r="Q6" s="379">
        <v>0</v>
      </c>
      <c r="R6">
        <v>16</v>
      </c>
      <c r="S6" t="s">
        <v>2034</v>
      </c>
      <c r="T6" s="246">
        <v>319.60000000000002</v>
      </c>
      <c r="U6" t="s">
        <v>2049</v>
      </c>
      <c r="V6" s="246">
        <v>951.6</v>
      </c>
      <c r="W6" s="197"/>
      <c r="X6" s="259">
        <v>4</v>
      </c>
      <c r="Y6" s="246" t="s">
        <v>873</v>
      </c>
      <c r="Z6" t="s">
        <v>1352</v>
      </c>
      <c r="AA6" s="196" t="s">
        <v>1601</v>
      </c>
      <c r="AB6" s="26" t="s">
        <v>1910</v>
      </c>
      <c r="AC6" s="26">
        <v>400</v>
      </c>
      <c r="AD6" s="26">
        <v>9999</v>
      </c>
      <c r="AE6" s="26">
        <v>1</v>
      </c>
      <c r="AF6" s="26">
        <v>9999</v>
      </c>
      <c r="AG6" s="26"/>
      <c r="AH6" s="26"/>
      <c r="AI6" s="26"/>
    </row>
    <row r="7" spans="1:35" ht="14.25" customHeight="1">
      <c r="A7" t="s">
        <v>2790</v>
      </c>
      <c r="B7" s="230" t="str" cm="1">
        <f t="array" ref="B7">LEFT(A7, 2) &amp; IF(Program_Banner= "Business Energy Savings", 2, IF(Program_Banner="Small Business / Non-Profit", 3, "#")) &amp; RIGHT(A7,6)</f>
        <v>112116006</v>
      </c>
      <c r="C7" s="1" t="s">
        <v>1960</v>
      </c>
      <c r="D7" s="27">
        <v>568.20000000000005</v>
      </c>
      <c r="E7" s="27">
        <v>568.20000000000005</v>
      </c>
      <c r="F7" t="s">
        <v>2022</v>
      </c>
      <c r="G7" t="s">
        <v>938</v>
      </c>
      <c r="H7" t="s">
        <v>751</v>
      </c>
      <c r="I7" t="s">
        <v>91</v>
      </c>
      <c r="J7" s="42">
        <v>15</v>
      </c>
      <c r="K7" s="42">
        <v>22.5</v>
      </c>
      <c r="L7" s="405"/>
      <c r="M7" s="42">
        <v>48</v>
      </c>
      <c r="N7" s="379">
        <v>102.1323</v>
      </c>
      <c r="O7" s="379">
        <v>102.1323</v>
      </c>
      <c r="P7" s="379">
        <v>2.3300000000000001E-2</v>
      </c>
      <c r="Q7" s="379">
        <v>2.3300000000000001E-2</v>
      </c>
      <c r="R7">
        <v>15</v>
      </c>
      <c r="S7" t="s">
        <v>2031</v>
      </c>
      <c r="T7" s="246">
        <v>29.7</v>
      </c>
      <c r="U7" t="s">
        <v>2084</v>
      </c>
      <c r="V7" s="246">
        <v>57</v>
      </c>
      <c r="W7" s="197"/>
      <c r="X7" s="259">
        <v>5</v>
      </c>
      <c r="Y7" s="246" t="s">
        <v>873</v>
      </c>
      <c r="Z7" t="s">
        <v>1457</v>
      </c>
      <c r="AA7" s="196" t="s">
        <v>1845</v>
      </c>
      <c r="AB7" s="26" t="s">
        <v>1663</v>
      </c>
      <c r="AC7" s="26">
        <v>1</v>
      </c>
      <c r="AD7" s="26">
        <v>9999</v>
      </c>
      <c r="AE7" s="26">
        <v>1</v>
      </c>
      <c r="AF7" s="26">
        <v>9999</v>
      </c>
      <c r="AG7" s="26"/>
      <c r="AH7" s="26"/>
      <c r="AI7" s="26"/>
    </row>
    <row r="8" spans="1:35" ht="14.25" customHeight="1">
      <c r="A8" t="s">
        <v>2790</v>
      </c>
      <c r="B8" s="230" t="str" cm="1">
        <f t="array" ref="B8">LEFT(A8, 2) &amp; IF(Program_Banner= "Business Energy Savings", 2, IF(Program_Banner="Small Business / Non-Profit", 3, "#")) &amp; RIGHT(A8,6)</f>
        <v>112116006</v>
      </c>
      <c r="C8" s="1" t="s">
        <v>2086</v>
      </c>
      <c r="D8" s="27">
        <v>568.20000000000005</v>
      </c>
      <c r="E8" s="27">
        <v>568.20000000000005</v>
      </c>
      <c r="F8" t="s">
        <v>2022</v>
      </c>
      <c r="G8" t="s">
        <v>938</v>
      </c>
      <c r="H8" t="s">
        <v>751</v>
      </c>
      <c r="I8" t="s">
        <v>91</v>
      </c>
      <c r="J8" s="42">
        <v>15</v>
      </c>
      <c r="K8" s="42">
        <v>22.5</v>
      </c>
      <c r="L8" s="405"/>
      <c r="M8" s="42">
        <v>48</v>
      </c>
      <c r="N8" s="379">
        <v>102.1323</v>
      </c>
      <c r="O8" s="379">
        <v>102.1323</v>
      </c>
      <c r="P8" s="379">
        <v>2.3300000000000001E-2</v>
      </c>
      <c r="Q8" s="379">
        <v>2.3300000000000001E-2</v>
      </c>
      <c r="R8">
        <v>15</v>
      </c>
      <c r="S8" t="s">
        <v>2031</v>
      </c>
      <c r="T8" s="246">
        <v>29.7</v>
      </c>
      <c r="U8" t="s">
        <v>2085</v>
      </c>
      <c r="V8" s="246">
        <v>57</v>
      </c>
      <c r="W8" s="197"/>
      <c r="X8" s="259">
        <v>6</v>
      </c>
      <c r="Y8" s="246" t="s">
        <v>873</v>
      </c>
      <c r="Z8" t="s">
        <v>1457</v>
      </c>
      <c r="AA8" s="196" t="s">
        <v>1460</v>
      </c>
      <c r="AB8" s="26" t="s">
        <v>1926</v>
      </c>
      <c r="AC8" s="26">
        <v>1</v>
      </c>
      <c r="AD8" s="26">
        <v>9999</v>
      </c>
      <c r="AE8" s="26">
        <v>1</v>
      </c>
      <c r="AF8" s="26">
        <v>9999</v>
      </c>
      <c r="AG8" s="26"/>
      <c r="AH8" s="26"/>
      <c r="AI8" s="26"/>
    </row>
    <row r="9" spans="1:35" ht="14.25" customHeight="1">
      <c r="A9" t="s">
        <v>2791</v>
      </c>
      <c r="B9" s="230" t="str" cm="1">
        <f t="array" ref="B9">LEFT(A9, 2) &amp; IF(Program_Banner= "Business Energy Savings", 2, IF(Program_Banner="Small Business / Non-Profit", 3, "#")) &amp; RIGHT(A9,6)</f>
        <v>112116003</v>
      </c>
      <c r="C9" s="1" t="s">
        <v>2088</v>
      </c>
      <c r="D9" s="27">
        <v>565.20000000000005</v>
      </c>
      <c r="E9" s="27">
        <v>565.20000000000005</v>
      </c>
      <c r="F9" t="s">
        <v>2019</v>
      </c>
      <c r="G9" t="s">
        <v>938</v>
      </c>
      <c r="H9" t="s">
        <v>751</v>
      </c>
      <c r="I9" t="s">
        <v>91</v>
      </c>
      <c r="J9" s="42">
        <v>30</v>
      </c>
      <c r="K9" s="42">
        <v>45</v>
      </c>
      <c r="L9" s="405"/>
      <c r="M9" s="42">
        <v>52</v>
      </c>
      <c r="N9" s="379">
        <v>108.49209999999999</v>
      </c>
      <c r="O9" s="379">
        <v>108.49209999999999</v>
      </c>
      <c r="P9" s="379">
        <v>2.47E-2</v>
      </c>
      <c r="Q9" s="379">
        <v>2.47E-2</v>
      </c>
      <c r="R9">
        <v>15</v>
      </c>
      <c r="S9" t="s">
        <v>2031</v>
      </c>
      <c r="T9" s="246">
        <v>28</v>
      </c>
      <c r="U9" t="s">
        <v>2037</v>
      </c>
      <c r="V9" s="246">
        <v>57</v>
      </c>
      <c r="W9" s="197"/>
      <c r="X9" s="259">
        <v>7</v>
      </c>
      <c r="Y9" s="246" t="s">
        <v>873</v>
      </c>
      <c r="Z9" t="s">
        <v>1457</v>
      </c>
      <c r="AA9" s="196" t="s">
        <v>1460</v>
      </c>
      <c r="AB9" s="26" t="s">
        <v>1858</v>
      </c>
      <c r="AC9" s="26">
        <v>1</v>
      </c>
      <c r="AD9" s="26">
        <v>9999</v>
      </c>
      <c r="AE9" s="26">
        <v>1</v>
      </c>
      <c r="AF9" s="26">
        <v>9999</v>
      </c>
      <c r="AG9" s="26"/>
      <c r="AH9" s="26"/>
      <c r="AI9" s="26"/>
    </row>
    <row r="10" spans="1:35" ht="14.25" customHeight="1">
      <c r="A10" t="s">
        <v>2792</v>
      </c>
      <c r="B10" s="230" t="str" cm="1">
        <f t="array" ref="B10">LEFT(A10, 2) &amp; IF(Program_Banner= "Business Energy Savings", 2, IF(Program_Banner="Small Business / Non-Profit", 3, "#")) &amp; RIGHT(A10,6)</f>
        <v>112116010</v>
      </c>
      <c r="C10" s="1" t="s">
        <v>2089</v>
      </c>
      <c r="D10" s="27">
        <v>566.20000000000005</v>
      </c>
      <c r="E10" s="27">
        <v>566.20000000000005</v>
      </c>
      <c r="F10" t="s">
        <v>2020</v>
      </c>
      <c r="G10" t="s">
        <v>938</v>
      </c>
      <c r="H10" t="s">
        <v>751</v>
      </c>
      <c r="I10" t="s">
        <v>91</v>
      </c>
      <c r="J10" s="42">
        <v>55</v>
      </c>
      <c r="K10" s="42">
        <v>85</v>
      </c>
      <c r="L10" s="405"/>
      <c r="M10" s="42">
        <v>78</v>
      </c>
      <c r="N10" s="379">
        <v>169.47219999999999</v>
      </c>
      <c r="O10" s="379">
        <v>169.47219999999999</v>
      </c>
      <c r="P10" s="379">
        <v>3.8600000000000002E-2</v>
      </c>
      <c r="Q10" s="379">
        <v>3.8600000000000002E-2</v>
      </c>
      <c r="R10">
        <v>15</v>
      </c>
      <c r="S10" t="s">
        <v>2031</v>
      </c>
      <c r="T10" s="246">
        <v>39.200000000000003</v>
      </c>
      <c r="U10" t="s">
        <v>2038</v>
      </c>
      <c r="V10" s="246">
        <v>84.5</v>
      </c>
      <c r="W10" s="197"/>
      <c r="X10" s="259">
        <v>8</v>
      </c>
      <c r="Y10" s="246" t="s">
        <v>873</v>
      </c>
      <c r="Z10" t="s">
        <v>1457</v>
      </c>
      <c r="AA10" s="196" t="s">
        <v>1460</v>
      </c>
      <c r="AB10" s="26" t="s">
        <v>1859</v>
      </c>
      <c r="AC10" s="26">
        <v>1</v>
      </c>
      <c r="AD10" s="26">
        <v>9999</v>
      </c>
      <c r="AE10" s="26">
        <v>1</v>
      </c>
      <c r="AF10" s="26">
        <v>9999</v>
      </c>
      <c r="AG10" s="26"/>
      <c r="AH10" s="26"/>
      <c r="AI10" s="26"/>
    </row>
    <row r="11" spans="1:35" ht="14.25" customHeight="1">
      <c r="A11" t="s">
        <v>2793</v>
      </c>
      <c r="B11" s="230" t="str" cm="1">
        <f t="array" ref="B11">LEFT(A11, 2) &amp; IF(Program_Banner= "Business Energy Savings", 2, IF(Program_Banner="Small Business / Non-Profit", 3, "#")) &amp; RIGHT(A11,6)</f>
        <v>112116004</v>
      </c>
      <c r="C11" s="1" t="s">
        <v>2090</v>
      </c>
      <c r="D11" s="27">
        <v>569.1</v>
      </c>
      <c r="E11" s="27">
        <v>569.1</v>
      </c>
      <c r="F11" t="s">
        <v>2023</v>
      </c>
      <c r="G11" t="s">
        <v>938</v>
      </c>
      <c r="H11" t="s">
        <v>751</v>
      </c>
      <c r="I11" t="s">
        <v>91</v>
      </c>
      <c r="J11" s="42">
        <v>40</v>
      </c>
      <c r="K11" s="42">
        <v>60</v>
      </c>
      <c r="L11" s="405"/>
      <c r="M11" s="42">
        <v>18</v>
      </c>
      <c r="N11" s="379">
        <v>60.606000000000002</v>
      </c>
      <c r="O11" s="379">
        <v>60.606000000000002</v>
      </c>
      <c r="P11" s="379">
        <v>1.38E-2</v>
      </c>
      <c r="Q11" s="379">
        <v>1.38E-2</v>
      </c>
      <c r="R11">
        <v>15</v>
      </c>
      <c r="S11" t="s">
        <v>2031</v>
      </c>
      <c r="T11" s="246">
        <v>12.9</v>
      </c>
      <c r="U11" t="s">
        <v>2040</v>
      </c>
      <c r="V11" s="246">
        <v>29.1</v>
      </c>
      <c r="W11" s="197"/>
      <c r="X11" s="259">
        <v>9</v>
      </c>
      <c r="Y11" s="246" t="s">
        <v>873</v>
      </c>
      <c r="Z11" t="s">
        <v>1457</v>
      </c>
      <c r="AA11" s="196" t="s">
        <v>1880</v>
      </c>
      <c r="AB11" s="26" t="s">
        <v>1858</v>
      </c>
      <c r="AC11" s="26">
        <v>1</v>
      </c>
      <c r="AD11" s="26">
        <v>9999</v>
      </c>
      <c r="AE11" s="26">
        <v>1</v>
      </c>
      <c r="AF11" s="26">
        <v>9999</v>
      </c>
      <c r="AG11" s="26"/>
      <c r="AH11" s="26"/>
      <c r="AI11" s="26"/>
    </row>
    <row r="12" spans="1:35" ht="14.25" customHeight="1">
      <c r="A12" t="s">
        <v>2794</v>
      </c>
      <c r="B12" s="230" t="str" cm="1">
        <f t="array" ref="B12">LEFT(A12, 2) &amp; IF(Program_Banner= "Business Energy Savings", 2, IF(Program_Banner="Small Business / Non-Profit", 3, "#")) &amp; RIGHT(A12,6)</f>
        <v>112116012</v>
      </c>
      <c r="C12" s="1" t="s">
        <v>2091</v>
      </c>
      <c r="D12" s="27">
        <v>570.20000000000005</v>
      </c>
      <c r="E12" s="27">
        <v>570.20000000000005</v>
      </c>
      <c r="F12" t="s">
        <v>2024</v>
      </c>
      <c r="G12" t="s">
        <v>938</v>
      </c>
      <c r="H12" t="s">
        <v>751</v>
      </c>
      <c r="I12" t="s">
        <v>91</v>
      </c>
      <c r="J12" s="42">
        <v>80</v>
      </c>
      <c r="K12" s="42">
        <v>120</v>
      </c>
      <c r="L12" s="405"/>
      <c r="M12" s="42">
        <v>61.17</v>
      </c>
      <c r="N12" s="379">
        <v>656.56449999999995</v>
      </c>
      <c r="O12" s="379">
        <v>656.56449999999995</v>
      </c>
      <c r="P12" s="379">
        <v>0.1497</v>
      </c>
      <c r="Q12" s="379">
        <v>0.1497</v>
      </c>
      <c r="R12">
        <v>15</v>
      </c>
      <c r="S12" t="s">
        <v>2031</v>
      </c>
      <c r="T12" s="246">
        <v>118.5</v>
      </c>
      <c r="U12" t="s">
        <v>2041</v>
      </c>
      <c r="V12" s="246">
        <v>294</v>
      </c>
      <c r="W12" s="197"/>
      <c r="X12" s="259">
        <v>10</v>
      </c>
      <c r="Y12" s="246" t="s">
        <v>873</v>
      </c>
      <c r="Z12" t="s">
        <v>1457</v>
      </c>
      <c r="AA12" s="196" t="s">
        <v>1880</v>
      </c>
      <c r="AB12" s="26" t="s">
        <v>1859</v>
      </c>
      <c r="AC12" s="26">
        <v>1</v>
      </c>
      <c r="AD12" s="26">
        <v>9999</v>
      </c>
      <c r="AE12" s="26">
        <v>1</v>
      </c>
      <c r="AF12" s="26">
        <v>9999</v>
      </c>
      <c r="AG12" s="26"/>
      <c r="AH12" s="26"/>
      <c r="AI12" s="26"/>
    </row>
    <row r="13" spans="1:35" ht="14.25" customHeight="1">
      <c r="A13" t="s">
        <v>2795</v>
      </c>
      <c r="B13" s="230" t="str" cm="1">
        <f t="array" ref="B13">LEFT(A13, 2) &amp; IF(Program_Banner= "Business Energy Savings", 2, IF(Program_Banner="Small Business / Non-Profit", 3, "#")) &amp; RIGHT(A13,6)</f>
        <v>112116011</v>
      </c>
      <c r="C13" s="1" t="s">
        <v>1961</v>
      </c>
      <c r="D13" s="27">
        <v>567.20000000000005</v>
      </c>
      <c r="E13" s="27">
        <v>567.20000000000005</v>
      </c>
      <c r="F13" t="s">
        <v>2021</v>
      </c>
      <c r="G13" t="s">
        <v>938</v>
      </c>
      <c r="H13" t="s">
        <v>751</v>
      </c>
      <c r="I13" t="s">
        <v>91</v>
      </c>
      <c r="J13" s="42">
        <v>65</v>
      </c>
      <c r="K13" s="42">
        <v>100</v>
      </c>
      <c r="L13" s="405"/>
      <c r="M13" s="42">
        <v>173</v>
      </c>
      <c r="N13" s="379">
        <v>334.45510000000002</v>
      </c>
      <c r="O13" s="379">
        <v>334.45510000000002</v>
      </c>
      <c r="P13" s="379">
        <v>7.6200000000000004E-2</v>
      </c>
      <c r="Q13" s="379">
        <v>7.6200000000000004E-2</v>
      </c>
      <c r="R13">
        <v>15</v>
      </c>
      <c r="S13" t="s">
        <v>2031</v>
      </c>
      <c r="T13" s="246">
        <v>90.6</v>
      </c>
      <c r="U13" t="s">
        <v>2039</v>
      </c>
      <c r="V13" s="246">
        <v>180</v>
      </c>
      <c r="W13" s="197"/>
      <c r="X13" s="259">
        <v>11</v>
      </c>
      <c r="Y13" s="246" t="s">
        <v>873</v>
      </c>
      <c r="Z13" t="s">
        <v>1457</v>
      </c>
      <c r="AA13" s="196" t="s">
        <v>1460</v>
      </c>
      <c r="AB13" s="26" t="s">
        <v>1664</v>
      </c>
      <c r="AC13" s="26">
        <v>1</v>
      </c>
      <c r="AD13" s="26">
        <v>9999</v>
      </c>
      <c r="AE13" s="26">
        <v>1</v>
      </c>
      <c r="AF13" s="26">
        <v>9999</v>
      </c>
      <c r="AG13" s="26"/>
      <c r="AH13" s="26"/>
      <c r="AI13" s="26"/>
    </row>
    <row r="14" spans="1:35" ht="14.25" customHeight="1">
      <c r="A14" t="s">
        <v>2796</v>
      </c>
      <c r="B14" s="230" t="str" cm="1">
        <f t="array" ref="B14">LEFT(A14, 2) &amp; IF(Program_Banner= "Business Energy Savings", 2, IF(Program_Banner="Small Business / Non-Profit", 3, "#")) &amp; RIGHT(A14,6)</f>
        <v>112116013</v>
      </c>
      <c r="C14" s="1" t="s">
        <v>1905</v>
      </c>
      <c r="D14" s="27">
        <v>167.6</v>
      </c>
      <c r="E14" s="27">
        <v>167.6</v>
      </c>
      <c r="F14" t="s">
        <v>2002</v>
      </c>
      <c r="G14" t="s">
        <v>938</v>
      </c>
      <c r="H14" t="s">
        <v>751</v>
      </c>
      <c r="I14" t="s">
        <v>2239</v>
      </c>
      <c r="J14" s="42">
        <v>2</v>
      </c>
      <c r="K14" s="42">
        <v>3</v>
      </c>
      <c r="L14" s="405"/>
      <c r="M14" s="42">
        <v>13</v>
      </c>
      <c r="N14" s="379">
        <v>23.943100000000001</v>
      </c>
      <c r="O14" s="379">
        <v>23.943100000000001</v>
      </c>
      <c r="P14" s="379">
        <v>5.4999999999999997E-3</v>
      </c>
      <c r="Q14" s="379">
        <v>5.4999999999999997E-3</v>
      </c>
      <c r="R14">
        <v>15</v>
      </c>
      <c r="S14" t="s">
        <v>1624</v>
      </c>
      <c r="T14" s="246">
        <v>8.6</v>
      </c>
      <c r="U14" t="s">
        <v>1625</v>
      </c>
      <c r="V14" s="246">
        <v>15</v>
      </c>
      <c r="W14" s="197"/>
      <c r="X14" s="259">
        <v>12</v>
      </c>
      <c r="Y14" s="246" t="s">
        <v>873</v>
      </c>
      <c r="Z14" t="s">
        <v>865</v>
      </c>
      <c r="AA14" s="196" t="s">
        <v>1845</v>
      </c>
      <c r="AB14" s="26" t="s">
        <v>1415</v>
      </c>
      <c r="AC14" s="26">
        <v>1</v>
      </c>
      <c r="AD14" s="26">
        <v>9999</v>
      </c>
      <c r="AE14" s="26">
        <v>1</v>
      </c>
      <c r="AF14" s="26">
        <v>9999</v>
      </c>
      <c r="AG14" s="26"/>
      <c r="AH14" s="26"/>
      <c r="AI14" s="26"/>
    </row>
    <row r="15" spans="1:35" ht="14.25" customHeight="1">
      <c r="A15" t="s">
        <v>2797</v>
      </c>
      <c r="B15" s="230" t="str" cm="1">
        <f t="array" ref="B15">LEFT(A15, 2) &amp; IF(Program_Banner= "Business Energy Savings", 2, IF(Program_Banner="Small Business / Non-Profit", 3, "#")) &amp; RIGHT(A15,6)</f>
        <v>112116014</v>
      </c>
      <c r="C15" s="1" t="s">
        <v>3098</v>
      </c>
      <c r="D15" s="27">
        <v>166.7</v>
      </c>
      <c r="E15" s="27">
        <v>166.7</v>
      </c>
      <c r="F15" t="s">
        <v>3097</v>
      </c>
      <c r="G15" t="s">
        <v>938</v>
      </c>
      <c r="H15" t="s">
        <v>751</v>
      </c>
      <c r="I15" t="s">
        <v>2239</v>
      </c>
      <c r="J15" s="42">
        <v>3</v>
      </c>
      <c r="K15" s="42">
        <v>4.5</v>
      </c>
      <c r="L15" s="405"/>
      <c r="M15" s="42">
        <v>15</v>
      </c>
      <c r="N15" s="379">
        <v>54.246099999999998</v>
      </c>
      <c r="O15" s="379">
        <v>54.246099999999998</v>
      </c>
      <c r="P15" s="379">
        <v>1.24E-2</v>
      </c>
      <c r="Q15" s="379">
        <v>1.24E-2</v>
      </c>
      <c r="R15">
        <v>15</v>
      </c>
      <c r="S15" t="s">
        <v>1626</v>
      </c>
      <c r="T15" s="246">
        <v>13.7</v>
      </c>
      <c r="U15" t="s">
        <v>1627</v>
      </c>
      <c r="V15" s="246">
        <v>28.2</v>
      </c>
      <c r="W15" s="197"/>
      <c r="X15" s="259">
        <v>13</v>
      </c>
      <c r="Y15" s="246" t="s">
        <v>873</v>
      </c>
      <c r="Z15" t="s">
        <v>865</v>
      </c>
      <c r="AA15" s="196" t="s">
        <v>1845</v>
      </c>
      <c r="AB15" s="26" t="s">
        <v>1416</v>
      </c>
      <c r="AC15" s="26">
        <v>1</v>
      </c>
      <c r="AD15" s="26">
        <v>9999</v>
      </c>
      <c r="AE15" s="26">
        <v>1</v>
      </c>
      <c r="AF15" s="26">
        <v>9999</v>
      </c>
      <c r="AG15" s="26"/>
      <c r="AH15" s="26"/>
      <c r="AI15" s="26"/>
    </row>
    <row r="16" spans="1:35" ht="14.25" customHeight="1">
      <c r="A16" t="s">
        <v>2798</v>
      </c>
      <c r="B16" s="230" t="str" cm="1">
        <f t="array" ref="B16">LEFT(A16, 2) &amp; IF(Program_Banner= "Business Energy Savings", 2, IF(Program_Banner="Small Business / Non-Profit", 3, "#")) &amp; RIGHT(A16,6)</f>
        <v>112116005</v>
      </c>
      <c r="C16" s="1" t="s">
        <v>1962</v>
      </c>
      <c r="D16" s="27">
        <v>574.20000000000005</v>
      </c>
      <c r="E16" s="27">
        <v>574.20000000000005</v>
      </c>
      <c r="F16" t="s">
        <v>2028</v>
      </c>
      <c r="G16" t="s">
        <v>938</v>
      </c>
      <c r="H16" t="s">
        <v>751</v>
      </c>
      <c r="I16" t="s">
        <v>2240</v>
      </c>
      <c r="J16" s="42">
        <v>15</v>
      </c>
      <c r="K16" s="42">
        <v>22.5</v>
      </c>
      <c r="L16" s="405"/>
      <c r="M16" s="42">
        <v>48</v>
      </c>
      <c r="N16" s="379">
        <v>43.0227</v>
      </c>
      <c r="O16" s="379">
        <v>43.0227</v>
      </c>
      <c r="P16" s="379">
        <v>9.7999999999999997E-3</v>
      </c>
      <c r="Q16" s="379">
        <v>9.7999999999999997E-3</v>
      </c>
      <c r="R16">
        <v>15</v>
      </c>
      <c r="S16" t="s">
        <v>2032</v>
      </c>
      <c r="T16" s="246">
        <v>17.600000000000001</v>
      </c>
      <c r="U16" t="s">
        <v>2084</v>
      </c>
      <c r="V16" s="246">
        <v>29.1</v>
      </c>
      <c r="W16" s="197"/>
      <c r="X16" s="259">
        <v>14</v>
      </c>
      <c r="Y16" s="246" t="s">
        <v>873</v>
      </c>
      <c r="Z16" t="s">
        <v>1948</v>
      </c>
      <c r="AA16" s="196" t="s">
        <v>1845</v>
      </c>
      <c r="AB16" s="26" t="s">
        <v>1663</v>
      </c>
      <c r="AC16" s="26">
        <v>1</v>
      </c>
      <c r="AD16" s="26">
        <v>9999</v>
      </c>
      <c r="AE16" s="26">
        <v>1</v>
      </c>
      <c r="AF16" s="26">
        <v>9999</v>
      </c>
      <c r="AG16" s="26"/>
      <c r="AH16" s="26"/>
      <c r="AI16" s="26"/>
    </row>
    <row r="17" spans="1:35" ht="14.25" customHeight="1">
      <c r="A17" t="s">
        <v>2798</v>
      </c>
      <c r="B17" s="230" t="str" cm="1">
        <f t="array" ref="B17">LEFT(A17, 2) &amp; IF(Program_Banner= "Business Energy Savings", 2, IF(Program_Banner="Small Business / Non-Profit", 3, "#")) &amp; RIGHT(A17,6)</f>
        <v>112116005</v>
      </c>
      <c r="C17" s="1" t="s">
        <v>2087</v>
      </c>
      <c r="D17" s="27">
        <v>574.20000000000005</v>
      </c>
      <c r="E17" s="27">
        <v>574.20000000000005</v>
      </c>
      <c r="F17" t="s">
        <v>2028</v>
      </c>
      <c r="G17" t="s">
        <v>938</v>
      </c>
      <c r="H17" t="s">
        <v>751</v>
      </c>
      <c r="I17" t="s">
        <v>2240</v>
      </c>
      <c r="J17" s="42">
        <v>15</v>
      </c>
      <c r="K17" s="42">
        <v>22.5</v>
      </c>
      <c r="L17" s="405"/>
      <c r="M17" s="42">
        <v>48</v>
      </c>
      <c r="N17" s="379">
        <v>43.0227</v>
      </c>
      <c r="O17" s="379">
        <v>43.0227</v>
      </c>
      <c r="P17" s="379">
        <v>9.7999999999999997E-3</v>
      </c>
      <c r="Q17" s="379">
        <v>9.7999999999999997E-3</v>
      </c>
      <c r="R17">
        <v>15</v>
      </c>
      <c r="S17" t="s">
        <v>2032</v>
      </c>
      <c r="T17" s="246">
        <v>17.600000000000001</v>
      </c>
      <c r="U17" t="s">
        <v>2085</v>
      </c>
      <c r="V17" s="246">
        <v>29.1</v>
      </c>
      <c r="W17" s="197"/>
      <c r="X17" s="259">
        <v>15</v>
      </c>
      <c r="Y17" s="246" t="s">
        <v>873</v>
      </c>
      <c r="Z17" t="s">
        <v>1948</v>
      </c>
      <c r="AA17" s="196" t="s">
        <v>1460</v>
      </c>
      <c r="AB17" s="26" t="s">
        <v>1926</v>
      </c>
      <c r="AC17" s="26">
        <v>1</v>
      </c>
      <c r="AD17" s="26">
        <v>9999</v>
      </c>
      <c r="AE17" s="26">
        <v>1</v>
      </c>
      <c r="AF17" s="26">
        <v>9999</v>
      </c>
      <c r="AG17" s="26"/>
      <c r="AH17" s="26"/>
      <c r="AI17" s="26"/>
    </row>
    <row r="18" spans="1:35" ht="14.25" customHeight="1">
      <c r="A18" t="s">
        <v>2799</v>
      </c>
      <c r="B18" s="230" t="str" cm="1">
        <f t="array" ref="B18">LEFT(A18, 2) &amp; IF(Program_Banner= "Business Energy Savings", 2, IF(Program_Banner="Small Business / Non-Profit", 3, "#")) &amp; RIGHT(A18,6)</f>
        <v>112116001</v>
      </c>
      <c r="C18" s="1" t="s">
        <v>2092</v>
      </c>
      <c r="D18" s="27">
        <v>571.20000000000005</v>
      </c>
      <c r="E18" s="27">
        <v>571.20000000000005</v>
      </c>
      <c r="F18" t="s">
        <v>2025</v>
      </c>
      <c r="G18" t="s">
        <v>938</v>
      </c>
      <c r="H18" t="s">
        <v>751</v>
      </c>
      <c r="I18" t="s">
        <v>2240</v>
      </c>
      <c r="J18" s="42">
        <v>20</v>
      </c>
      <c r="K18" s="42">
        <v>30</v>
      </c>
      <c r="L18" s="405"/>
      <c r="M18" s="42">
        <v>52</v>
      </c>
      <c r="N18" s="379">
        <v>108.49209999999999</v>
      </c>
      <c r="O18" s="379">
        <v>108.49209999999999</v>
      </c>
      <c r="P18" s="379">
        <v>2.47E-2</v>
      </c>
      <c r="Q18" s="379">
        <v>2.47E-2</v>
      </c>
      <c r="R18">
        <v>15</v>
      </c>
      <c r="S18" t="s">
        <v>2032</v>
      </c>
      <c r="T18" s="246">
        <v>28</v>
      </c>
      <c r="U18" t="s">
        <v>2037</v>
      </c>
      <c r="V18" s="246">
        <v>57</v>
      </c>
      <c r="W18" s="197"/>
      <c r="X18" s="259">
        <v>16</v>
      </c>
      <c r="Y18" s="246" t="s">
        <v>873</v>
      </c>
      <c r="Z18" t="s">
        <v>1948</v>
      </c>
      <c r="AA18" s="196" t="s">
        <v>1460</v>
      </c>
      <c r="AB18" s="26" t="s">
        <v>1858</v>
      </c>
      <c r="AC18" s="26">
        <v>1</v>
      </c>
      <c r="AD18" s="26">
        <v>9999</v>
      </c>
      <c r="AE18" s="26">
        <v>1</v>
      </c>
      <c r="AF18" s="26">
        <v>9999</v>
      </c>
      <c r="AG18" s="26"/>
      <c r="AH18" s="26"/>
      <c r="AI18" s="26"/>
    </row>
    <row r="19" spans="1:35" ht="14.25" customHeight="1">
      <c r="A19" t="s">
        <v>2800</v>
      </c>
      <c r="B19" s="230" t="str" cm="1">
        <f t="array" ref="B19">LEFT(A19, 2) &amp; IF(Program_Banner= "Business Energy Savings", 2, IF(Program_Banner="Small Business / Non-Profit", 3, "#")) &amp; RIGHT(A19,6)</f>
        <v>112116007</v>
      </c>
      <c r="C19" s="1" t="s">
        <v>2093</v>
      </c>
      <c r="D19" s="27">
        <v>572.20000000000005</v>
      </c>
      <c r="E19" s="27">
        <v>572.20000000000005</v>
      </c>
      <c r="F19" t="s">
        <v>2026</v>
      </c>
      <c r="G19" t="s">
        <v>938</v>
      </c>
      <c r="H19" t="s">
        <v>751</v>
      </c>
      <c r="I19" t="s">
        <v>2240</v>
      </c>
      <c r="J19" s="42">
        <v>40</v>
      </c>
      <c r="K19" s="42">
        <v>60</v>
      </c>
      <c r="L19" s="405"/>
      <c r="M19" s="42">
        <v>78</v>
      </c>
      <c r="N19" s="379">
        <v>169.47219999999999</v>
      </c>
      <c r="O19" s="379">
        <v>169.47219999999999</v>
      </c>
      <c r="P19" s="379">
        <v>3.8600000000000002E-2</v>
      </c>
      <c r="Q19" s="379">
        <v>3.8600000000000002E-2</v>
      </c>
      <c r="R19">
        <v>15</v>
      </c>
      <c r="S19" t="s">
        <v>2032</v>
      </c>
      <c r="T19" s="246">
        <v>39.200000000000003</v>
      </c>
      <c r="U19" t="s">
        <v>2038</v>
      </c>
      <c r="V19" s="246">
        <v>84.5</v>
      </c>
      <c r="W19" s="197"/>
      <c r="X19" s="259">
        <v>17</v>
      </c>
      <c r="Y19" s="246" t="s">
        <v>873</v>
      </c>
      <c r="Z19" t="s">
        <v>1948</v>
      </c>
      <c r="AA19" s="196" t="s">
        <v>1460</v>
      </c>
      <c r="AB19" s="26" t="s">
        <v>1859</v>
      </c>
      <c r="AC19" s="26">
        <v>1</v>
      </c>
      <c r="AD19" s="26">
        <v>9999</v>
      </c>
      <c r="AE19" s="26">
        <v>1</v>
      </c>
      <c r="AF19" s="26">
        <v>9999</v>
      </c>
      <c r="AG19" s="26"/>
      <c r="AH19" s="26"/>
      <c r="AI19" s="26"/>
    </row>
    <row r="20" spans="1:35" ht="14.25" customHeight="1">
      <c r="A20" t="s">
        <v>2801</v>
      </c>
      <c r="B20" s="230" t="str" cm="1">
        <f t="array" ref="B20">LEFT(A20, 2) &amp; IF(Program_Banner= "Business Energy Savings", 2, IF(Program_Banner="Small Business / Non-Profit", 3, "#")) &amp; RIGHT(A20,6)</f>
        <v>112116002</v>
      </c>
      <c r="C20" s="1" t="s">
        <v>2094</v>
      </c>
      <c r="D20" s="27">
        <v>575.1</v>
      </c>
      <c r="E20" s="27">
        <v>575.1</v>
      </c>
      <c r="F20" t="s">
        <v>2029</v>
      </c>
      <c r="G20" t="s">
        <v>938</v>
      </c>
      <c r="H20" t="s">
        <v>751</v>
      </c>
      <c r="I20" t="s">
        <v>2240</v>
      </c>
      <c r="J20" s="42">
        <v>20</v>
      </c>
      <c r="K20" s="42">
        <v>30</v>
      </c>
      <c r="L20" s="405"/>
      <c r="M20" s="42">
        <v>131</v>
      </c>
      <c r="N20" s="379">
        <v>47.886200000000002</v>
      </c>
      <c r="O20" s="379">
        <v>47.886200000000002</v>
      </c>
      <c r="P20" s="379">
        <v>1.09E-2</v>
      </c>
      <c r="Q20" s="379">
        <v>1.09E-2</v>
      </c>
      <c r="R20">
        <v>15</v>
      </c>
      <c r="S20" t="s">
        <v>2032</v>
      </c>
      <c r="T20" s="246">
        <v>49.9</v>
      </c>
      <c r="U20" t="s">
        <v>2040</v>
      </c>
      <c r="V20" s="246">
        <v>62.7</v>
      </c>
      <c r="W20" s="197"/>
      <c r="X20" s="259">
        <v>18</v>
      </c>
      <c r="Y20" s="246" t="s">
        <v>873</v>
      </c>
      <c r="Z20" t="s">
        <v>1948</v>
      </c>
      <c r="AA20" s="26" t="s">
        <v>1880</v>
      </c>
      <c r="AB20" s="26" t="s">
        <v>1858</v>
      </c>
      <c r="AC20" s="26">
        <v>1</v>
      </c>
      <c r="AD20" s="26">
        <v>9999</v>
      </c>
      <c r="AE20" s="26">
        <v>1</v>
      </c>
      <c r="AF20" s="26">
        <v>9999</v>
      </c>
      <c r="AG20" s="26"/>
      <c r="AH20" s="26"/>
      <c r="AI20" s="26"/>
    </row>
    <row r="21" spans="1:35" ht="14.25" customHeight="1">
      <c r="A21" t="s">
        <v>2802</v>
      </c>
      <c r="B21" s="230" t="str" cm="1">
        <f t="array" ref="B21">LEFT(A21, 2) &amp; IF(Program_Banner= "Business Energy Savings", 2, IF(Program_Banner="Small Business / Non-Profit", 3, "#")) &amp; RIGHT(A21,6)</f>
        <v>112116009</v>
      </c>
      <c r="C21" s="1" t="s">
        <v>2095</v>
      </c>
      <c r="D21" s="27">
        <v>576.20000000000005</v>
      </c>
      <c r="E21" s="27">
        <v>576.20000000000005</v>
      </c>
      <c r="F21" t="s">
        <v>2030</v>
      </c>
      <c r="G21" t="s">
        <v>938</v>
      </c>
      <c r="H21" t="s">
        <v>751</v>
      </c>
      <c r="I21" t="s">
        <v>2240</v>
      </c>
      <c r="J21" s="42">
        <v>70</v>
      </c>
      <c r="K21" s="42">
        <v>105</v>
      </c>
      <c r="L21" s="405"/>
      <c r="M21" s="42">
        <v>173</v>
      </c>
      <c r="N21" s="379">
        <v>334.45510000000002</v>
      </c>
      <c r="O21" s="379">
        <v>334.45510000000002</v>
      </c>
      <c r="P21" s="379">
        <v>7.6200000000000004E-2</v>
      </c>
      <c r="Q21" s="379">
        <v>7.6200000000000004E-2</v>
      </c>
      <c r="R21">
        <v>15</v>
      </c>
      <c r="S21" t="s">
        <v>2032</v>
      </c>
      <c r="T21" s="246">
        <v>90.6</v>
      </c>
      <c r="U21" t="s">
        <v>2041</v>
      </c>
      <c r="V21" s="246">
        <v>180</v>
      </c>
      <c r="W21" s="197"/>
      <c r="X21" s="259">
        <v>19</v>
      </c>
      <c r="Y21" s="246" t="s">
        <v>873</v>
      </c>
      <c r="Z21" t="s">
        <v>1948</v>
      </c>
      <c r="AA21" s="26" t="s">
        <v>1880</v>
      </c>
      <c r="AB21" s="26" t="s">
        <v>1859</v>
      </c>
      <c r="AC21" s="26">
        <v>1</v>
      </c>
      <c r="AD21" s="26">
        <v>9999</v>
      </c>
      <c r="AE21" s="26">
        <v>1</v>
      </c>
      <c r="AF21" s="26">
        <v>9999</v>
      </c>
      <c r="AG21" s="26"/>
      <c r="AH21" s="26"/>
      <c r="AI21" s="26"/>
    </row>
    <row r="22" spans="1:35" ht="14.25" customHeight="1">
      <c r="A22" t="s">
        <v>2803</v>
      </c>
      <c r="B22" s="230" t="str" cm="1">
        <f t="array" ref="B22">LEFT(A22, 2) &amp; IF(Program_Banner= "Business Energy Savings", 2, IF(Program_Banner="Small Business / Non-Profit", 3, "#")) &amp; RIGHT(A22,6)</f>
        <v>112116008</v>
      </c>
      <c r="C22" s="1" t="s">
        <v>1963</v>
      </c>
      <c r="D22" s="27">
        <v>573.20000000000005</v>
      </c>
      <c r="E22" s="27">
        <v>573.20000000000005</v>
      </c>
      <c r="F22" t="s">
        <v>2027</v>
      </c>
      <c r="G22" t="s">
        <v>938</v>
      </c>
      <c r="H22" t="s">
        <v>751</v>
      </c>
      <c r="I22" t="s">
        <v>2240</v>
      </c>
      <c r="J22" s="42">
        <v>45</v>
      </c>
      <c r="K22" s="42">
        <v>70</v>
      </c>
      <c r="L22" s="405"/>
      <c r="M22" s="42">
        <v>131</v>
      </c>
      <c r="N22" s="379">
        <v>262.25170000000003</v>
      </c>
      <c r="O22" s="379">
        <v>262.25170000000003</v>
      </c>
      <c r="P22" s="379">
        <v>5.9799999999999999E-2</v>
      </c>
      <c r="Q22" s="379">
        <v>5.9799999999999999E-2</v>
      </c>
      <c r="R22">
        <v>15</v>
      </c>
      <c r="S22" t="s">
        <v>2032</v>
      </c>
      <c r="T22" s="246">
        <v>49.9</v>
      </c>
      <c r="U22" t="s">
        <v>2039</v>
      </c>
      <c r="V22" s="246">
        <v>120</v>
      </c>
      <c r="W22" s="197"/>
      <c r="X22" s="259">
        <v>20</v>
      </c>
      <c r="Y22" s="246" t="s">
        <v>873</v>
      </c>
      <c r="Z22" t="s">
        <v>1948</v>
      </c>
      <c r="AA22" t="s">
        <v>1460</v>
      </c>
      <c r="AB22" s="26" t="s">
        <v>1664</v>
      </c>
      <c r="AC22" s="26">
        <v>1</v>
      </c>
      <c r="AD22" s="26">
        <v>9999</v>
      </c>
      <c r="AE22" s="26">
        <v>1</v>
      </c>
      <c r="AF22" s="26">
        <v>9999</v>
      </c>
      <c r="AG22" s="26"/>
      <c r="AH22" s="26"/>
      <c r="AI22" s="26"/>
    </row>
    <row r="23" spans="1:35" ht="14.25" customHeight="1">
      <c r="A23" t="s">
        <v>2804</v>
      </c>
      <c r="B23" s="230" t="str" cm="1">
        <f t="array" ref="B23">LEFT(A23, 2) &amp; IF(Program_Banner= "Business Energy Savings", 2, IF(Program_Banner="Small Business / Non-Profit", 3, "#")) &amp; RIGHT(A23,6)</f>
        <v>112116020</v>
      </c>
      <c r="C23" t="s">
        <v>1953</v>
      </c>
      <c r="D23" s="27">
        <v>581.20000000000005</v>
      </c>
      <c r="E23" s="27">
        <v>581.20000000000005</v>
      </c>
      <c r="F23" t="s">
        <v>2008</v>
      </c>
      <c r="G23" t="s">
        <v>938</v>
      </c>
      <c r="H23" t="s">
        <v>751</v>
      </c>
      <c r="I23" t="s">
        <v>91</v>
      </c>
      <c r="J23" s="42">
        <v>25</v>
      </c>
      <c r="K23" s="42">
        <v>38</v>
      </c>
      <c r="L23" s="405"/>
      <c r="M23" s="42">
        <v>60</v>
      </c>
      <c r="N23" s="379">
        <v>504.6755</v>
      </c>
      <c r="O23" s="379">
        <v>504.6755</v>
      </c>
      <c r="P23" s="379">
        <v>0.11509999999999999</v>
      </c>
      <c r="Q23" s="379">
        <v>0.11509999999999999</v>
      </c>
      <c r="R23">
        <v>15</v>
      </c>
      <c r="S23" t="s">
        <v>2033</v>
      </c>
      <c r="T23" s="246">
        <v>64</v>
      </c>
      <c r="U23" t="s">
        <v>2042</v>
      </c>
      <c r="V23" s="246">
        <v>198.9</v>
      </c>
      <c r="W23" s="197"/>
      <c r="X23" s="259">
        <v>21</v>
      </c>
      <c r="Y23" s="246" t="s">
        <v>873</v>
      </c>
      <c r="Z23" t="s">
        <v>1456</v>
      </c>
      <c r="AA23" s="26" t="s">
        <v>1399</v>
      </c>
      <c r="AB23" t="s">
        <v>1919</v>
      </c>
      <c r="AC23" s="26">
        <v>150</v>
      </c>
      <c r="AD23" s="26">
        <v>350</v>
      </c>
      <c r="AE23" s="26">
        <v>1</v>
      </c>
      <c r="AF23" s="26">
        <v>9999</v>
      </c>
      <c r="AG23" s="26"/>
      <c r="AH23" s="26"/>
      <c r="AI23" s="26"/>
    </row>
    <row r="24" spans="1:35" ht="14.25" customHeight="1">
      <c r="A24" t="s">
        <v>2805</v>
      </c>
      <c r="B24" s="230" t="str" cm="1">
        <f t="array" ref="B24">LEFT(A24, 2) &amp; IF(Program_Banner= "Business Energy Savings", 2, IF(Program_Banner="Small Business / Non-Profit", 3, "#")) &amp; RIGHT(A24,6)</f>
        <v>112116022</v>
      </c>
      <c r="C24" t="s">
        <v>1954</v>
      </c>
      <c r="D24" s="27">
        <v>582.20000000000005</v>
      </c>
      <c r="E24" s="27">
        <v>582.20000000000005</v>
      </c>
      <c r="F24" t="s">
        <v>2009</v>
      </c>
      <c r="G24" t="s">
        <v>938</v>
      </c>
      <c r="H24" t="s">
        <v>751</v>
      </c>
      <c r="I24" t="s">
        <v>91</v>
      </c>
      <c r="J24" s="42">
        <v>60</v>
      </c>
      <c r="K24" s="42">
        <v>90</v>
      </c>
      <c r="L24" s="405"/>
      <c r="M24" s="42">
        <v>156</v>
      </c>
      <c r="N24" s="379">
        <v>1172.8375000000001</v>
      </c>
      <c r="O24" s="379">
        <v>1172.8375000000001</v>
      </c>
      <c r="P24" s="379">
        <v>0.26740000000000003</v>
      </c>
      <c r="Q24" s="379">
        <v>0.26740000000000003</v>
      </c>
      <c r="R24">
        <v>15</v>
      </c>
      <c r="S24" t="s">
        <v>2033</v>
      </c>
      <c r="T24" s="246">
        <v>141</v>
      </c>
      <c r="U24" t="s">
        <v>2043</v>
      </c>
      <c r="V24" s="246">
        <v>454.5</v>
      </c>
      <c r="W24" s="197"/>
      <c r="X24" s="259">
        <v>22</v>
      </c>
      <c r="Y24" s="246" t="s">
        <v>873</v>
      </c>
      <c r="Z24" t="s">
        <v>1456</v>
      </c>
      <c r="AA24" s="26" t="s">
        <v>1399</v>
      </c>
      <c r="AB24" s="26" t="s">
        <v>1920</v>
      </c>
      <c r="AC24" s="26">
        <v>301</v>
      </c>
      <c r="AD24" s="26">
        <v>500</v>
      </c>
      <c r="AE24" s="26">
        <v>1</v>
      </c>
      <c r="AF24" s="26">
        <v>9999</v>
      </c>
      <c r="AG24" s="26"/>
      <c r="AH24" s="26"/>
      <c r="AI24" s="26"/>
    </row>
    <row r="25" spans="1:35" ht="14.25" customHeight="1">
      <c r="A25" t="s">
        <v>2806</v>
      </c>
      <c r="B25" s="230" t="str" cm="1">
        <f t="array" ref="B25">LEFT(A25, 2) &amp; IF(Program_Banner= "Business Energy Savings", 2, IF(Program_Banner="Small Business / Non-Profit", 3, "#")) &amp; RIGHT(A25,6)</f>
        <v>112116018</v>
      </c>
      <c r="C25" t="s">
        <v>1955</v>
      </c>
      <c r="D25" s="27">
        <v>583.1</v>
      </c>
      <c r="E25" s="27">
        <v>583.1</v>
      </c>
      <c r="F25" t="s">
        <v>2010</v>
      </c>
      <c r="G25" t="s">
        <v>938</v>
      </c>
      <c r="H25" t="s">
        <v>751</v>
      </c>
      <c r="I25" t="s">
        <v>91</v>
      </c>
      <c r="J25" s="42">
        <v>120</v>
      </c>
      <c r="K25" s="42">
        <v>180</v>
      </c>
      <c r="L25" s="405"/>
      <c r="M25" s="42">
        <v>446</v>
      </c>
      <c r="N25" s="379">
        <v>1922.9296999999999</v>
      </c>
      <c r="O25" s="379">
        <v>1922.9296999999999</v>
      </c>
      <c r="P25" s="379">
        <v>0.43840000000000001</v>
      </c>
      <c r="Q25" s="379">
        <v>0.43840000000000001</v>
      </c>
      <c r="R25">
        <v>15</v>
      </c>
      <c r="S25" t="s">
        <v>2033</v>
      </c>
      <c r="T25" s="246">
        <v>236</v>
      </c>
      <c r="U25" t="s">
        <v>2044</v>
      </c>
      <c r="V25" s="246">
        <v>750</v>
      </c>
      <c r="W25" s="197"/>
      <c r="X25" s="259">
        <v>23</v>
      </c>
      <c r="Y25" s="246" t="s">
        <v>873</v>
      </c>
      <c r="Z25" t="s">
        <v>1456</v>
      </c>
      <c r="AA25" s="26" t="s">
        <v>1399</v>
      </c>
      <c r="AB25" s="26" t="s">
        <v>1921</v>
      </c>
      <c r="AC25" s="26">
        <v>451</v>
      </c>
      <c r="AD25" s="26">
        <v>850</v>
      </c>
      <c r="AE25" s="26">
        <v>1</v>
      </c>
      <c r="AF25" s="26">
        <v>9999</v>
      </c>
      <c r="AG25" s="26"/>
      <c r="AH25" s="26"/>
      <c r="AI25" s="26"/>
    </row>
    <row r="26" spans="1:35" ht="14.25" customHeight="1">
      <c r="A26" t="s">
        <v>2807</v>
      </c>
      <c r="B26" s="230" t="str" cm="1">
        <f t="array" ref="B26">LEFT(A26, 2) &amp; IF(Program_Banner= "Business Energy Savings", 2, IF(Program_Banner="Small Business / Non-Profit", 3, "#")) &amp; RIGHT(A26,6)</f>
        <v>112116017</v>
      </c>
      <c r="C26" t="s">
        <v>1950</v>
      </c>
      <c r="D26" s="416">
        <v>584.1</v>
      </c>
      <c r="E26" s="27">
        <v>584.1</v>
      </c>
      <c r="F26" s="37" t="s">
        <v>2011</v>
      </c>
      <c r="G26" s="37" t="s">
        <v>938</v>
      </c>
      <c r="H26" t="s">
        <v>751</v>
      </c>
      <c r="I26" s="37" t="s">
        <v>91</v>
      </c>
      <c r="J26" s="42">
        <v>200</v>
      </c>
      <c r="K26" s="42">
        <v>300</v>
      </c>
      <c r="L26" s="405"/>
      <c r="M26" s="42">
        <v>629</v>
      </c>
      <c r="N26" s="379">
        <v>2936.7701000000002</v>
      </c>
      <c r="O26" s="379">
        <v>2936.7701000000002</v>
      </c>
      <c r="P26" s="379">
        <v>0.66959999999999997</v>
      </c>
      <c r="Q26" s="379">
        <v>0.66959999999999997</v>
      </c>
      <c r="R26">
        <v>15</v>
      </c>
      <c r="S26" s="37" t="s">
        <v>2033</v>
      </c>
      <c r="T26" s="246">
        <v>295</v>
      </c>
      <c r="U26" s="37" t="s">
        <v>2045</v>
      </c>
      <c r="V26" s="246">
        <v>1080</v>
      </c>
      <c r="W26" s="407"/>
      <c r="X26" s="259">
        <v>24</v>
      </c>
      <c r="Y26" s="232" t="s">
        <v>873</v>
      </c>
      <c r="Z26" s="37" t="s">
        <v>1456</v>
      </c>
      <c r="AA26" s="406" t="s">
        <v>1399</v>
      </c>
      <c r="AB26" s="406" t="s">
        <v>1918</v>
      </c>
      <c r="AC26" s="406">
        <v>750</v>
      </c>
      <c r="AD26" s="406">
        <v>9999</v>
      </c>
      <c r="AE26" s="406">
        <v>1</v>
      </c>
      <c r="AF26" s="406">
        <v>9999</v>
      </c>
      <c r="AG26" s="406"/>
      <c r="AH26" s="26"/>
      <c r="AI26" s="26"/>
    </row>
    <row r="27" spans="1:35" ht="14.25" customHeight="1">
      <c r="A27" t="s">
        <v>2808</v>
      </c>
      <c r="B27" s="230" t="str" cm="1">
        <f t="array" ref="B27">LEFT(A27, 2) &amp; IF(Program_Banner= "Business Energy Savings", 2, IF(Program_Banner="Small Business / Non-Profit", 3, "#")) &amp; RIGHT(A27,6)</f>
        <v>112116019</v>
      </c>
      <c r="C27" t="s">
        <v>1956</v>
      </c>
      <c r="D27" s="27">
        <v>577.20000000000005</v>
      </c>
      <c r="E27" s="27">
        <v>577.20000000000005</v>
      </c>
      <c r="F27" t="s">
        <v>2004</v>
      </c>
      <c r="G27" t="s">
        <v>938</v>
      </c>
      <c r="H27" t="s">
        <v>751</v>
      </c>
      <c r="I27" t="s">
        <v>91</v>
      </c>
      <c r="J27" s="42">
        <v>35</v>
      </c>
      <c r="K27" s="42">
        <v>55</v>
      </c>
      <c r="L27" s="405"/>
      <c r="M27" s="42">
        <v>60</v>
      </c>
      <c r="N27" s="379">
        <v>504.6755</v>
      </c>
      <c r="O27" s="379">
        <v>504.6755</v>
      </c>
      <c r="P27" s="379">
        <v>0.11509999999999999</v>
      </c>
      <c r="Q27" s="379">
        <v>0.11509999999999999</v>
      </c>
      <c r="R27">
        <v>15</v>
      </c>
      <c r="S27" t="s">
        <v>2031</v>
      </c>
      <c r="T27" s="246">
        <v>64</v>
      </c>
      <c r="U27" t="s">
        <v>2042</v>
      </c>
      <c r="V27" s="246">
        <v>198.9</v>
      </c>
      <c r="W27" s="197"/>
      <c r="X27" s="259">
        <v>25</v>
      </c>
      <c r="Y27" s="246" t="s">
        <v>873</v>
      </c>
      <c r="Z27" t="s">
        <v>1456</v>
      </c>
      <c r="AA27" s="26" t="s">
        <v>1399</v>
      </c>
      <c r="AB27" t="s">
        <v>1919</v>
      </c>
      <c r="AC27" s="26">
        <v>150</v>
      </c>
      <c r="AD27" s="26">
        <v>350</v>
      </c>
      <c r="AE27" s="26">
        <v>1</v>
      </c>
      <c r="AF27" s="26">
        <v>9999</v>
      </c>
      <c r="AG27" s="26"/>
      <c r="AH27" s="26"/>
      <c r="AI27" s="26"/>
    </row>
    <row r="28" spans="1:35" ht="14.25" customHeight="1">
      <c r="A28" t="s">
        <v>2809</v>
      </c>
      <c r="B28" s="230" t="str" cm="1">
        <f t="array" ref="B28">LEFT(A28, 2) &amp; IF(Program_Banner= "Business Energy Savings", 2, IF(Program_Banner="Small Business / Non-Profit", 3, "#")) &amp; RIGHT(A28,6)</f>
        <v>112116021</v>
      </c>
      <c r="C28" t="s">
        <v>1957</v>
      </c>
      <c r="D28" s="27">
        <v>578.20000000000005</v>
      </c>
      <c r="E28" s="27">
        <v>578.20000000000005</v>
      </c>
      <c r="F28" t="s">
        <v>2005</v>
      </c>
      <c r="G28" t="s">
        <v>938</v>
      </c>
      <c r="H28" t="s">
        <v>751</v>
      </c>
      <c r="I28" t="s">
        <v>91</v>
      </c>
      <c r="J28" s="42">
        <v>100</v>
      </c>
      <c r="K28" s="42">
        <v>150</v>
      </c>
      <c r="L28" s="405"/>
      <c r="M28" s="42">
        <v>156</v>
      </c>
      <c r="N28" s="379">
        <v>968.94709999999998</v>
      </c>
      <c r="O28" s="379">
        <v>968.94709999999998</v>
      </c>
      <c r="P28" s="379">
        <v>0.22090000000000001</v>
      </c>
      <c r="Q28" s="379">
        <v>0.22090000000000001</v>
      </c>
      <c r="R28">
        <v>15</v>
      </c>
      <c r="S28" t="s">
        <v>2031</v>
      </c>
      <c r="T28" s="246">
        <v>141</v>
      </c>
      <c r="U28" t="s">
        <v>2043</v>
      </c>
      <c r="V28" s="246">
        <v>400</v>
      </c>
      <c r="W28" s="197"/>
      <c r="X28" s="259">
        <v>26</v>
      </c>
      <c r="Y28" s="246" t="s">
        <v>873</v>
      </c>
      <c r="Z28" t="s">
        <v>1456</v>
      </c>
      <c r="AA28" s="26" t="s">
        <v>1399</v>
      </c>
      <c r="AB28" s="26" t="s">
        <v>1920</v>
      </c>
      <c r="AC28" s="26">
        <v>301</v>
      </c>
      <c r="AD28" s="26">
        <v>500</v>
      </c>
      <c r="AE28" s="26">
        <v>1</v>
      </c>
      <c r="AF28" s="26">
        <v>9999</v>
      </c>
      <c r="AG28" s="26"/>
      <c r="AH28" s="26"/>
      <c r="AI28" s="26"/>
    </row>
    <row r="29" spans="1:35" ht="14.25" customHeight="1">
      <c r="A29" t="s">
        <v>2810</v>
      </c>
      <c r="B29" s="230" t="str" cm="1">
        <f t="array" ref="B29">LEFT(A29, 2) &amp; IF(Program_Banner= "Business Energy Savings", 2, IF(Program_Banner="Small Business / Non-Profit", 3, "#")) &amp; RIGHT(A29,6)</f>
        <v>112116016</v>
      </c>
      <c r="C29" t="s">
        <v>1958</v>
      </c>
      <c r="D29" s="27">
        <v>579.20000000000005</v>
      </c>
      <c r="E29" s="27">
        <v>579.20000000000005</v>
      </c>
      <c r="F29" t="s">
        <v>2006</v>
      </c>
      <c r="G29" t="s">
        <v>938</v>
      </c>
      <c r="H29" t="s">
        <v>751</v>
      </c>
      <c r="I29" t="s">
        <v>91</v>
      </c>
      <c r="J29" s="42">
        <v>140</v>
      </c>
      <c r="K29" s="42">
        <v>210</v>
      </c>
      <c r="L29" s="405"/>
      <c r="M29" s="42">
        <v>113.6</v>
      </c>
      <c r="N29" s="379">
        <v>1943.5057999999999</v>
      </c>
      <c r="O29" s="379">
        <v>1943.5057999999999</v>
      </c>
      <c r="P29" s="379">
        <v>0.44309999999999999</v>
      </c>
      <c r="Q29" s="379">
        <v>0.44309999999999999</v>
      </c>
      <c r="R29">
        <v>15</v>
      </c>
      <c r="S29" t="s">
        <v>2031</v>
      </c>
      <c r="T29" s="246">
        <v>230.5</v>
      </c>
      <c r="U29" t="s">
        <v>2044</v>
      </c>
      <c r="V29" s="246">
        <v>750</v>
      </c>
      <c r="W29" s="197"/>
      <c r="X29" s="259">
        <v>27</v>
      </c>
      <c r="Y29" s="246" t="s">
        <v>873</v>
      </c>
      <c r="Z29" t="s">
        <v>1456</v>
      </c>
      <c r="AA29" s="248" t="s">
        <v>1399</v>
      </c>
      <c r="AB29" s="248" t="s">
        <v>1921</v>
      </c>
      <c r="AC29" s="26">
        <v>451</v>
      </c>
      <c r="AD29" s="26">
        <v>850</v>
      </c>
      <c r="AE29" s="26">
        <v>1</v>
      </c>
      <c r="AF29" s="26">
        <v>9999</v>
      </c>
      <c r="AG29" s="26"/>
      <c r="AH29" s="26"/>
      <c r="AI29" s="26"/>
    </row>
    <row r="30" spans="1:35" ht="14.25" customHeight="1">
      <c r="A30" t="s">
        <v>2811</v>
      </c>
      <c r="B30" s="230" t="str" cm="1">
        <f t="array" ref="B30">LEFT(A30, 2) &amp; IF(Program_Banner= "Business Energy Savings", 2, IF(Program_Banner="Small Business / Non-Profit", 3, "#")) &amp; RIGHT(A30,6)</f>
        <v>112116015</v>
      </c>
      <c r="C30" t="s">
        <v>1949</v>
      </c>
      <c r="D30" s="27">
        <v>580.20000000000005</v>
      </c>
      <c r="E30" s="27">
        <v>580.20000000000005</v>
      </c>
      <c r="F30" t="s">
        <v>2007</v>
      </c>
      <c r="G30" t="s">
        <v>938</v>
      </c>
      <c r="H30" t="s">
        <v>751</v>
      </c>
      <c r="I30" t="s">
        <v>91</v>
      </c>
      <c r="J30" s="42">
        <v>230</v>
      </c>
      <c r="K30" s="42">
        <v>350</v>
      </c>
      <c r="L30" s="405"/>
      <c r="M30" s="42">
        <v>166.55</v>
      </c>
      <c r="N30" s="379">
        <v>2830.8966999999998</v>
      </c>
      <c r="O30" s="379">
        <v>2830.8966999999998</v>
      </c>
      <c r="P30" s="379">
        <v>0.64539999999999997</v>
      </c>
      <c r="Q30" s="379">
        <v>0.64539999999999997</v>
      </c>
      <c r="R30">
        <v>15</v>
      </c>
      <c r="S30" t="s">
        <v>2031</v>
      </c>
      <c r="T30" s="246">
        <v>306.2</v>
      </c>
      <c r="U30" t="s">
        <v>2045</v>
      </c>
      <c r="V30" s="246">
        <v>1062.9000000000001</v>
      </c>
      <c r="W30" s="197"/>
      <c r="X30" s="259">
        <v>28</v>
      </c>
      <c r="Y30" s="246" t="s">
        <v>873</v>
      </c>
      <c r="Z30" t="s">
        <v>1456</v>
      </c>
      <c r="AA30" s="26" t="s">
        <v>1399</v>
      </c>
      <c r="AB30" s="26" t="s">
        <v>1918</v>
      </c>
      <c r="AC30" s="26">
        <v>750</v>
      </c>
      <c r="AD30" s="26">
        <v>9999</v>
      </c>
      <c r="AE30" s="26">
        <v>1</v>
      </c>
      <c r="AF30" s="26">
        <v>9999</v>
      </c>
      <c r="AG30" s="26"/>
      <c r="AH30" s="26"/>
      <c r="AI30" s="26"/>
    </row>
    <row r="31" spans="1:35" ht="14.25" customHeight="1">
      <c r="A31" t="s">
        <v>2812</v>
      </c>
      <c r="B31" s="408" t="str" cm="1">
        <f t="array" ref="B31">LEFT(A31, 2) &amp; IF(Program_Banner= "Business Energy Savings", 2, IF(Program_Banner="Small Business / Non-Profit", 3, "#")) &amp; RIGHT(A31,6)</f>
        <v>112117001</v>
      </c>
      <c r="C31" t="s">
        <v>1938</v>
      </c>
      <c r="D31" s="27">
        <v>508.1</v>
      </c>
      <c r="E31" s="27">
        <v>508.1</v>
      </c>
      <c r="F31" t="s">
        <v>1881</v>
      </c>
      <c r="G31" t="s">
        <v>938</v>
      </c>
      <c r="H31" s="68" t="s">
        <v>2165</v>
      </c>
      <c r="I31" t="s">
        <v>2239</v>
      </c>
      <c r="J31" s="42">
        <v>3</v>
      </c>
      <c r="K31" s="42">
        <v>4.5</v>
      </c>
      <c r="L31" s="405"/>
      <c r="M31" s="42">
        <v>13</v>
      </c>
      <c r="N31" s="379">
        <v>55.541400000000003</v>
      </c>
      <c r="O31" s="379">
        <v>55.541400000000003</v>
      </c>
      <c r="P31" s="379">
        <v>6.3E-3</v>
      </c>
      <c r="Q31" s="379">
        <v>6.3E-3</v>
      </c>
      <c r="R31">
        <v>6</v>
      </c>
      <c r="S31" t="s">
        <v>1624</v>
      </c>
      <c r="T31" s="246">
        <v>8.6</v>
      </c>
      <c r="U31" t="s">
        <v>1625</v>
      </c>
      <c r="V31" s="246">
        <v>15</v>
      </c>
      <c r="W31" s="197"/>
      <c r="X31" s="259">
        <v>29</v>
      </c>
      <c r="Y31" s="246" t="s">
        <v>873</v>
      </c>
      <c r="Z31" t="s">
        <v>1351</v>
      </c>
      <c r="AA31" s="26" t="s">
        <v>1845</v>
      </c>
      <c r="AB31" s="26" t="s">
        <v>1415</v>
      </c>
      <c r="AC31" s="26">
        <v>1</v>
      </c>
      <c r="AD31" s="26">
        <v>9999</v>
      </c>
      <c r="AE31" s="26">
        <v>1</v>
      </c>
      <c r="AF31" s="26">
        <v>9999</v>
      </c>
      <c r="AG31" s="26"/>
      <c r="AH31" s="26"/>
      <c r="AI31" s="26"/>
    </row>
    <row r="32" spans="1:35" ht="14.25" customHeight="1">
      <c r="A32" t="s">
        <v>2813</v>
      </c>
      <c r="B32" s="408" t="str" cm="1">
        <f t="array" ref="B32">LEFT(A32, 2) &amp; IF(Program_Banner= "Business Energy Savings", 2, IF(Program_Banner="Small Business / Non-Profit", 3, "#")) &amp; RIGHT(A32,6)</f>
        <v>112117002</v>
      </c>
      <c r="C32" t="s">
        <v>1939</v>
      </c>
      <c r="D32" s="27">
        <v>509.3</v>
      </c>
      <c r="E32" s="27">
        <v>509.3</v>
      </c>
      <c r="F32" t="s">
        <v>1882</v>
      </c>
      <c r="G32" t="s">
        <v>938</v>
      </c>
      <c r="H32" s="68" t="s">
        <v>2165</v>
      </c>
      <c r="I32" t="s">
        <v>2239</v>
      </c>
      <c r="J32" s="42">
        <v>5</v>
      </c>
      <c r="K32" s="42">
        <v>7.5</v>
      </c>
      <c r="L32" s="405"/>
      <c r="M32" s="42">
        <v>15</v>
      </c>
      <c r="N32" s="379">
        <v>125.8359</v>
      </c>
      <c r="O32" s="379">
        <v>125.8359</v>
      </c>
      <c r="P32" s="379">
        <v>1.44E-2</v>
      </c>
      <c r="Q32" s="379">
        <v>1.44E-2</v>
      </c>
      <c r="R32">
        <v>6</v>
      </c>
      <c r="S32" t="s">
        <v>1626</v>
      </c>
      <c r="T32" s="246">
        <v>13.7</v>
      </c>
      <c r="U32" t="s">
        <v>1627</v>
      </c>
      <c r="V32" s="246">
        <v>28.2</v>
      </c>
      <c r="W32" s="197"/>
      <c r="X32" s="259">
        <v>30</v>
      </c>
      <c r="Y32" s="246" t="s">
        <v>873</v>
      </c>
      <c r="Z32" t="s">
        <v>1351</v>
      </c>
      <c r="AA32" s="26" t="s">
        <v>1845</v>
      </c>
      <c r="AB32" s="26" t="s">
        <v>1416</v>
      </c>
      <c r="AC32" s="26">
        <v>1</v>
      </c>
      <c r="AD32" s="26">
        <v>9999</v>
      </c>
      <c r="AE32" s="26">
        <v>1</v>
      </c>
      <c r="AF32" s="26">
        <v>9999</v>
      </c>
      <c r="AG32" s="26"/>
      <c r="AH32" s="26"/>
      <c r="AI32" s="26"/>
    </row>
    <row r="33" spans="1:35" ht="14.25" customHeight="1">
      <c r="A33" t="s">
        <v>2814</v>
      </c>
      <c r="B33" s="408" t="str" cm="1">
        <f t="array" ref="B33">LEFT(A33, 2) &amp; IF(Program_Banner= "Business Energy Savings", 2, IF(Program_Banner="Small Business / Non-Profit", 3, "#")) &amp; RIGHT(A33,6)</f>
        <v>112117003</v>
      </c>
      <c r="C33" t="s">
        <v>1940</v>
      </c>
      <c r="D33" s="27">
        <v>510.2</v>
      </c>
      <c r="E33" s="27">
        <v>510.2</v>
      </c>
      <c r="F33" t="s">
        <v>1883</v>
      </c>
      <c r="G33" t="s">
        <v>938</v>
      </c>
      <c r="H33" s="68" t="s">
        <v>2165</v>
      </c>
      <c r="I33" t="s">
        <v>2239</v>
      </c>
      <c r="J33" s="42">
        <v>7</v>
      </c>
      <c r="K33" s="42">
        <v>10.5</v>
      </c>
      <c r="L33" s="405"/>
      <c r="M33" s="42">
        <v>13</v>
      </c>
      <c r="N33" s="379">
        <v>235.18299999999999</v>
      </c>
      <c r="O33" s="379">
        <v>235.18299999999999</v>
      </c>
      <c r="P33" s="379">
        <v>2.6800000000000001E-2</v>
      </c>
      <c r="Q33" s="379">
        <v>2.6800000000000001E-2</v>
      </c>
      <c r="R33">
        <v>6</v>
      </c>
      <c r="S33" t="s">
        <v>1884</v>
      </c>
      <c r="T33" s="246">
        <v>29.9</v>
      </c>
      <c r="U33" t="s">
        <v>1629</v>
      </c>
      <c r="V33" s="246">
        <v>57</v>
      </c>
      <c r="W33" s="197"/>
      <c r="X33" s="259">
        <v>31</v>
      </c>
      <c r="Y33" s="246" t="s">
        <v>873</v>
      </c>
      <c r="Z33" t="s">
        <v>1351</v>
      </c>
      <c r="AA33" t="s">
        <v>1460</v>
      </c>
      <c r="AB33" s="26" t="s">
        <v>1417</v>
      </c>
      <c r="AC33" s="26">
        <v>1</v>
      </c>
      <c r="AD33" s="26">
        <v>9999</v>
      </c>
      <c r="AE33" s="26">
        <v>1</v>
      </c>
      <c r="AF33" s="26">
        <v>9999</v>
      </c>
      <c r="AG33" s="26"/>
      <c r="AH33" s="26"/>
      <c r="AI33" s="26"/>
    </row>
    <row r="34" spans="1:35" ht="14.25" customHeight="1">
      <c r="A34" t="s">
        <v>2815</v>
      </c>
      <c r="B34" s="230" t="str" cm="1">
        <f t="array" ref="B34">LEFT(A34, 2) &amp; IF(Program_Banner= "Business Energy Savings", 2, IF(Program_Banner="Small Business / Non-Profit", 3, "#")) &amp; RIGHT(A34,6)</f>
        <v>112116025</v>
      </c>
      <c r="C34" s="1" t="s">
        <v>1904</v>
      </c>
      <c r="D34" s="27">
        <v>109.6</v>
      </c>
      <c r="E34" s="27">
        <v>109.6</v>
      </c>
      <c r="F34" t="s">
        <v>852</v>
      </c>
      <c r="G34" t="s">
        <v>938</v>
      </c>
      <c r="H34" t="s">
        <v>751</v>
      </c>
      <c r="I34" t="s">
        <v>2239</v>
      </c>
      <c r="J34" s="42">
        <v>6</v>
      </c>
      <c r="K34" s="42">
        <v>9</v>
      </c>
      <c r="L34" s="405"/>
      <c r="M34" s="42">
        <v>12</v>
      </c>
      <c r="N34" s="379">
        <v>93.901799999999994</v>
      </c>
      <c r="O34" s="379">
        <v>93.901799999999994</v>
      </c>
      <c r="P34" s="379">
        <v>2.1399999999999999E-2</v>
      </c>
      <c r="Q34" s="379">
        <v>2.1399999999999999E-2</v>
      </c>
      <c r="R34">
        <v>11</v>
      </c>
      <c r="S34" t="s">
        <v>1630</v>
      </c>
      <c r="U34" t="s">
        <v>1631</v>
      </c>
      <c r="V34" s="246">
        <v>25.1</v>
      </c>
      <c r="W34" s="197"/>
      <c r="X34" s="259">
        <v>32</v>
      </c>
      <c r="Y34" s="246" t="s">
        <v>873</v>
      </c>
      <c r="Z34" t="s">
        <v>866</v>
      </c>
      <c r="AA34" s="196" t="s">
        <v>1460</v>
      </c>
      <c r="AB34" s="26" t="s">
        <v>1416</v>
      </c>
      <c r="AC34" s="26">
        <v>1</v>
      </c>
      <c r="AD34" s="26">
        <v>9999</v>
      </c>
      <c r="AE34" s="26">
        <v>0</v>
      </c>
      <c r="AF34" s="26">
        <v>0</v>
      </c>
      <c r="AG34" s="26"/>
      <c r="AH34" s="26"/>
      <c r="AI34" s="26"/>
    </row>
    <row r="35" spans="1:35" ht="14.25" customHeight="1">
      <c r="A35" t="s">
        <v>2816</v>
      </c>
      <c r="B35" s="230" t="str" cm="1">
        <f t="array" ref="B35">LEFT(A35, 2) &amp; IF(Program_Banner= "Business Energy Savings", 2, IF(Program_Banner="Small Business / Non-Profit", 3, "#")) &amp; RIGHT(A35,6)</f>
        <v>112116026</v>
      </c>
      <c r="C35" s="1" t="s">
        <v>1907</v>
      </c>
      <c r="D35" s="27">
        <v>110.6</v>
      </c>
      <c r="E35" s="27">
        <v>110.6</v>
      </c>
      <c r="F35" t="s">
        <v>853</v>
      </c>
      <c r="G35" t="s">
        <v>938</v>
      </c>
      <c r="H35" t="s">
        <v>751</v>
      </c>
      <c r="I35" t="s">
        <v>2239</v>
      </c>
      <c r="J35" s="42">
        <v>8</v>
      </c>
      <c r="K35" s="42">
        <v>12</v>
      </c>
      <c r="L35" s="405"/>
      <c r="M35" s="42">
        <v>16</v>
      </c>
      <c r="N35" s="379">
        <v>176.95439999999999</v>
      </c>
      <c r="O35" s="379">
        <v>176.95439999999999</v>
      </c>
      <c r="P35" s="379">
        <v>4.0399999999999998E-2</v>
      </c>
      <c r="Q35" s="379">
        <v>4.0399999999999998E-2</v>
      </c>
      <c r="R35">
        <v>11</v>
      </c>
      <c r="S35" t="s">
        <v>1630</v>
      </c>
      <c r="U35" t="s">
        <v>1632</v>
      </c>
      <c r="V35" s="246">
        <v>47.3</v>
      </c>
      <c r="W35" s="197"/>
      <c r="X35" s="259">
        <v>33</v>
      </c>
      <c r="Y35" s="246" t="s">
        <v>873</v>
      </c>
      <c r="Z35" t="s">
        <v>866</v>
      </c>
      <c r="AA35" s="196" t="s">
        <v>1460</v>
      </c>
      <c r="AB35" s="26" t="s">
        <v>1417</v>
      </c>
      <c r="AC35" s="26">
        <v>1</v>
      </c>
      <c r="AD35" s="26">
        <v>9999</v>
      </c>
      <c r="AE35" s="26">
        <v>0</v>
      </c>
      <c r="AF35" s="26">
        <v>0</v>
      </c>
      <c r="AG35" s="26"/>
      <c r="AH35" s="26"/>
      <c r="AI35" s="26"/>
    </row>
    <row r="36" spans="1:35" ht="14.25" customHeight="1">
      <c r="G36" s="68"/>
      <c r="J36" s="42"/>
      <c r="K36" s="42"/>
      <c r="S36" s="197"/>
      <c r="T36" s="259"/>
      <c r="U36" s="26"/>
      <c r="V36" s="26"/>
    </row>
    <row r="37" spans="1:35" ht="14.25" customHeight="1">
      <c r="A37" s="562"/>
      <c r="B37" s="234" t="s">
        <v>85</v>
      </c>
      <c r="C37" s="234" t="s">
        <v>839</v>
      </c>
      <c r="D37" s="399" t="s">
        <v>3077</v>
      </c>
      <c r="E37" s="399" t="s">
        <v>3078</v>
      </c>
      <c r="F37" s="399" t="s">
        <v>857</v>
      </c>
      <c r="G37" s="399" t="s">
        <v>0</v>
      </c>
      <c r="H37" s="234" t="s">
        <v>841</v>
      </c>
      <c r="I37" s="400" t="s">
        <v>842</v>
      </c>
      <c r="J37" s="235" t="s">
        <v>2765</v>
      </c>
      <c r="K37" s="235" t="s">
        <v>2764</v>
      </c>
      <c r="L37" s="235" t="s">
        <v>1276</v>
      </c>
      <c r="M37" s="399" t="s">
        <v>843</v>
      </c>
      <c r="N37" s="399" t="s">
        <v>3079</v>
      </c>
      <c r="O37" s="399" t="s">
        <v>3082</v>
      </c>
      <c r="P37" s="399" t="s">
        <v>3081</v>
      </c>
      <c r="Q37" s="399" t="s">
        <v>3080</v>
      </c>
      <c r="R37" s="399" t="s">
        <v>846</v>
      </c>
      <c r="S37" s="399" t="s">
        <v>1350</v>
      </c>
      <c r="T37" s="399" t="s">
        <v>847</v>
      </c>
      <c r="U37" s="399" t="s">
        <v>848</v>
      </c>
      <c r="V37" s="399" t="s">
        <v>849</v>
      </c>
      <c r="W37" s="399" t="s">
        <v>850</v>
      </c>
      <c r="X37" s="234" t="s">
        <v>336</v>
      </c>
      <c r="Y37" s="234" t="s">
        <v>1701</v>
      </c>
      <c r="Z37" s="234" t="s">
        <v>1397</v>
      </c>
      <c r="AA37" s="234" t="s">
        <v>1398</v>
      </c>
      <c r="AB37" s="234" t="s">
        <v>1404</v>
      </c>
      <c r="AC37" s="234" t="s">
        <v>1179</v>
      </c>
      <c r="AD37" s="234" t="s">
        <v>1180</v>
      </c>
      <c r="AE37" s="234" t="s">
        <v>1458</v>
      </c>
      <c r="AF37" s="234" t="s">
        <v>1459</v>
      </c>
      <c r="AG37" s="258" t="s">
        <v>1539</v>
      </c>
      <c r="AH37" s="302" t="s">
        <v>860</v>
      </c>
      <c r="AI37" s="302" t="s">
        <v>1547</v>
      </c>
    </row>
    <row r="38" spans="1:35" ht="14.25" customHeight="1">
      <c r="A38" t="s">
        <v>2817</v>
      </c>
      <c r="B38" s="480" t="str" cm="1">
        <f t="array" ref="B38">LEFT(A38, 2) &amp; IF(Program_Banner= "Business Energy Savings", 2, IF(Program_Banner="Small Business / Non-Profit", 3, "#")) &amp; RIGHT(A38,6)</f>
        <v>112316001</v>
      </c>
      <c r="C38" t="s">
        <v>2155</v>
      </c>
      <c r="D38" s="9">
        <v>0.15</v>
      </c>
      <c r="E38" s="9">
        <v>0.16</v>
      </c>
      <c r="F38" t="s">
        <v>2158</v>
      </c>
      <c r="G38" t="s">
        <v>2779</v>
      </c>
      <c r="H38" t="s">
        <v>751</v>
      </c>
      <c r="I38" t="s">
        <v>2239</v>
      </c>
      <c r="J38" s="42">
        <v>6</v>
      </c>
      <c r="K38" s="42">
        <v>9</v>
      </c>
      <c r="L38" s="405"/>
      <c r="M38" s="455">
        <v>12</v>
      </c>
      <c r="N38" s="456">
        <v>14.964399999999999</v>
      </c>
      <c r="O38" s="456">
        <v>14.964399999999999</v>
      </c>
      <c r="P38" s="456">
        <v>3.3999999999999998E-3</v>
      </c>
      <c r="Q38" s="456">
        <v>3.3999999999999998E-3</v>
      </c>
      <c r="R38">
        <v>11</v>
      </c>
      <c r="S38" t="s">
        <v>2161</v>
      </c>
      <c r="T38" s="246">
        <v>9</v>
      </c>
      <c r="U38" t="s">
        <v>2162</v>
      </c>
      <c r="V38" s="246">
        <v>13</v>
      </c>
      <c r="W38" s="197"/>
      <c r="X38" s="259">
        <v>1</v>
      </c>
      <c r="Y38" s="246" t="s">
        <v>874</v>
      </c>
      <c r="Z38" t="s">
        <v>2242</v>
      </c>
      <c r="AA38" s="248" t="s">
        <v>570</v>
      </c>
      <c r="AB38" s="26" t="s">
        <v>570</v>
      </c>
      <c r="AC38" s="26">
        <v>1</v>
      </c>
      <c r="AD38" s="26">
        <v>9999</v>
      </c>
      <c r="AE38" s="26">
        <v>1</v>
      </c>
      <c r="AF38" s="26">
        <v>9</v>
      </c>
      <c r="AG38" s="26"/>
      <c r="AH38" s="26"/>
      <c r="AI38" s="26"/>
    </row>
    <row r="39" spans="1:35" ht="14.25" customHeight="1">
      <c r="A39" t="s">
        <v>2818</v>
      </c>
      <c r="B39" s="230" t="str" cm="1">
        <f t="array" ref="B39">LEFT(A39, 2) &amp; IF(Program_Banner= "Business Energy Savings", 2, IF(Program_Banner="Small Business / Non-Profit", 3, "#")) &amp; RIGHT(A39,6)</f>
        <v>112316002</v>
      </c>
      <c r="C39" t="s">
        <v>2156</v>
      </c>
      <c r="D39" s="9">
        <v>0.15</v>
      </c>
      <c r="E39" s="9">
        <v>0.16</v>
      </c>
      <c r="F39" t="s">
        <v>2159</v>
      </c>
      <c r="G39" t="s">
        <v>2779</v>
      </c>
      <c r="H39" t="s">
        <v>751</v>
      </c>
      <c r="I39" t="s">
        <v>2239</v>
      </c>
      <c r="J39" s="42">
        <v>8</v>
      </c>
      <c r="K39" s="42">
        <v>12</v>
      </c>
      <c r="L39" s="405"/>
      <c r="M39" s="455">
        <v>15</v>
      </c>
      <c r="N39" s="456">
        <v>33.67</v>
      </c>
      <c r="O39" s="456">
        <v>33.67</v>
      </c>
      <c r="P39" s="456">
        <v>7.7000000000000002E-3</v>
      </c>
      <c r="Q39" s="456">
        <v>7.7000000000000002E-3</v>
      </c>
      <c r="R39">
        <v>11</v>
      </c>
      <c r="S39" t="s">
        <v>2161</v>
      </c>
      <c r="T39" s="246">
        <v>12</v>
      </c>
      <c r="U39" t="s">
        <v>2163</v>
      </c>
      <c r="V39" s="246">
        <v>21</v>
      </c>
      <c r="W39" s="197"/>
      <c r="X39" s="259">
        <v>2</v>
      </c>
      <c r="Y39" s="246" t="s">
        <v>874</v>
      </c>
      <c r="Z39" t="s">
        <v>2242</v>
      </c>
      <c r="AA39" s="248" t="s">
        <v>570</v>
      </c>
      <c r="AB39" s="26" t="s">
        <v>570</v>
      </c>
      <c r="AC39" s="26">
        <v>10</v>
      </c>
      <c r="AD39" s="26">
        <v>9999</v>
      </c>
      <c r="AE39" s="26">
        <v>10</v>
      </c>
      <c r="AF39" s="26">
        <v>15</v>
      </c>
      <c r="AG39" s="26"/>
      <c r="AH39" s="26"/>
      <c r="AI39" s="26"/>
    </row>
    <row r="40" spans="1:35" ht="14.25" customHeight="1">
      <c r="A40" t="s">
        <v>2819</v>
      </c>
      <c r="B40" s="230" t="str" cm="1">
        <f t="array" ref="B40">LEFT(A40, 2) &amp; IF(Program_Banner= "Business Energy Savings", 2, IF(Program_Banner="Small Business / Non-Profit", 3, "#")) &amp; RIGHT(A40,6)</f>
        <v>112316003</v>
      </c>
      <c r="C40" t="s">
        <v>2157</v>
      </c>
      <c r="D40" s="9">
        <v>0.15</v>
      </c>
      <c r="E40" s="9">
        <v>0.16</v>
      </c>
      <c r="F40" t="s">
        <v>2160</v>
      </c>
      <c r="G40" t="s">
        <v>2779</v>
      </c>
      <c r="H40" t="s">
        <v>751</v>
      </c>
      <c r="I40" t="s">
        <v>2239</v>
      </c>
      <c r="J40" s="42">
        <v>10</v>
      </c>
      <c r="K40" s="42">
        <v>15</v>
      </c>
      <c r="L40" s="405"/>
      <c r="M40" s="455">
        <v>18</v>
      </c>
      <c r="N40" s="456">
        <v>37.411099999999998</v>
      </c>
      <c r="O40" s="456">
        <v>37.411099999999998</v>
      </c>
      <c r="P40" s="456">
        <v>8.5000000000000006E-3</v>
      </c>
      <c r="Q40" s="456">
        <v>8.5000000000000006E-3</v>
      </c>
      <c r="R40">
        <v>11</v>
      </c>
      <c r="S40" t="s">
        <v>2161</v>
      </c>
      <c r="T40" s="246">
        <v>16</v>
      </c>
      <c r="U40" t="s">
        <v>2164</v>
      </c>
      <c r="V40" s="246">
        <v>26</v>
      </c>
      <c r="W40" s="197"/>
      <c r="X40" s="259">
        <v>3</v>
      </c>
      <c r="Y40" s="246" t="s">
        <v>874</v>
      </c>
      <c r="Z40" t="s">
        <v>2242</v>
      </c>
      <c r="AA40" s="248" t="s">
        <v>570</v>
      </c>
      <c r="AB40" s="26" t="s">
        <v>570</v>
      </c>
      <c r="AC40" s="26">
        <v>16</v>
      </c>
      <c r="AD40" s="26">
        <v>9999</v>
      </c>
      <c r="AE40" s="26">
        <v>16</v>
      </c>
      <c r="AF40" s="26">
        <v>9999</v>
      </c>
      <c r="AG40" s="26"/>
      <c r="AH40" s="26"/>
      <c r="AI40" s="26"/>
    </row>
    <row r="41" spans="1:35" ht="14.25" customHeight="1">
      <c r="A41" t="s">
        <v>2820</v>
      </c>
      <c r="B41" s="37" t="str" cm="1">
        <f t="array" ref="B41">LEFT(A41, 2) &amp; IF(Program_Banner= "Business Energy Savings", 2, IF(Program_Banner="Small Business / Non-Profit", 3, "#")) &amp; RIGHT(A41,6)</f>
        <v>112317002</v>
      </c>
      <c r="C41" t="s">
        <v>1906</v>
      </c>
      <c r="D41" s="9">
        <v>0.15</v>
      </c>
      <c r="E41" s="9">
        <v>0.16</v>
      </c>
      <c r="F41" s="37" t="s">
        <v>2003</v>
      </c>
      <c r="G41" s="37" t="s">
        <v>2779</v>
      </c>
      <c r="H41" s="37" t="s">
        <v>751</v>
      </c>
      <c r="I41" s="37" t="s">
        <v>2239</v>
      </c>
      <c r="J41" s="42">
        <v>8</v>
      </c>
      <c r="K41" s="42">
        <v>12</v>
      </c>
      <c r="L41" s="405"/>
      <c r="M41" s="455">
        <v>52</v>
      </c>
      <c r="N41" s="456">
        <v>108.49209999999999</v>
      </c>
      <c r="O41" s="456">
        <v>108.49209999999999</v>
      </c>
      <c r="P41" s="456">
        <v>2.47E-2</v>
      </c>
      <c r="Q41" s="456">
        <v>2.47E-2</v>
      </c>
      <c r="R41">
        <v>15</v>
      </c>
      <c r="S41" s="37" t="s">
        <v>1628</v>
      </c>
      <c r="T41" s="246">
        <v>28</v>
      </c>
      <c r="U41" s="37" t="s">
        <v>1629</v>
      </c>
      <c r="V41" s="246">
        <v>57</v>
      </c>
      <c r="W41" s="407"/>
      <c r="X41" s="259">
        <v>7</v>
      </c>
      <c r="Y41" s="232" t="s">
        <v>874</v>
      </c>
      <c r="Z41" s="37" t="s">
        <v>865</v>
      </c>
      <c r="AA41" s="37" t="s">
        <v>1460</v>
      </c>
      <c r="AB41" s="406" t="s">
        <v>1417</v>
      </c>
      <c r="AC41" s="406">
        <v>1</v>
      </c>
      <c r="AD41" s="406">
        <v>9999</v>
      </c>
      <c r="AE41" s="406">
        <v>1</v>
      </c>
      <c r="AF41" s="406">
        <v>9999</v>
      </c>
      <c r="AG41" s="406"/>
      <c r="AH41" s="26"/>
      <c r="AI41" s="26"/>
    </row>
    <row r="42" spans="1:35" ht="14.25" customHeight="1">
      <c r="A42" t="s">
        <v>2821</v>
      </c>
      <c r="B42" s="230" t="str" cm="1">
        <f t="array" ref="B42">LEFT(A42, 2) &amp; IF(Program_Banner= "Business Energy Savings", 2, IF(Program_Banner="Small Business / Non-Profit", 3, "#")) &amp; RIGHT(A42,6)</f>
        <v>112317001</v>
      </c>
      <c r="C42" t="s">
        <v>1936</v>
      </c>
      <c r="D42" s="9">
        <v>0.15</v>
      </c>
      <c r="E42" s="9">
        <v>0.16</v>
      </c>
      <c r="F42" t="s">
        <v>2016</v>
      </c>
      <c r="G42" t="s">
        <v>2779</v>
      </c>
      <c r="H42" s="68" t="s">
        <v>2165</v>
      </c>
      <c r="I42" t="s">
        <v>91</v>
      </c>
      <c r="J42" s="42">
        <v>70</v>
      </c>
      <c r="K42" s="42">
        <v>105</v>
      </c>
      <c r="L42" s="405"/>
      <c r="M42" s="455">
        <v>97</v>
      </c>
      <c r="N42" s="456">
        <v>747.20510000000002</v>
      </c>
      <c r="O42" s="456">
        <v>747.20510000000002</v>
      </c>
      <c r="P42" s="456">
        <v>8.5199999999999998E-2</v>
      </c>
      <c r="Q42" s="456">
        <v>8.5199999999999998E-2</v>
      </c>
      <c r="R42">
        <v>2</v>
      </c>
      <c r="S42" t="s">
        <v>2035</v>
      </c>
      <c r="T42" s="246">
        <v>27.5</v>
      </c>
      <c r="U42" t="s">
        <v>2050</v>
      </c>
      <c r="V42" s="246">
        <v>113.6</v>
      </c>
      <c r="W42" s="197"/>
      <c r="X42" s="259">
        <v>4</v>
      </c>
      <c r="Y42" s="246" t="s">
        <v>874</v>
      </c>
      <c r="Z42" t="s">
        <v>1351</v>
      </c>
      <c r="AA42" s="26" t="s">
        <v>1922</v>
      </c>
      <c r="AB42" t="s">
        <v>1915</v>
      </c>
      <c r="AC42" s="26">
        <v>1</v>
      </c>
      <c r="AD42" s="26">
        <v>130</v>
      </c>
      <c r="AE42" s="26">
        <v>1</v>
      </c>
      <c r="AF42" s="26">
        <v>9999</v>
      </c>
      <c r="AG42" s="26"/>
      <c r="AH42" s="26"/>
      <c r="AI42" s="26"/>
    </row>
    <row r="43" spans="1:35" ht="14.25" customHeight="1">
      <c r="A43" t="s">
        <v>2822</v>
      </c>
      <c r="B43" s="230" t="str" cm="1">
        <f t="array" ref="B43">LEFT(A43, 2) &amp; IF(Program_Banner= "Business Energy Savings", 2, IF(Program_Banner="Small Business / Non-Profit", 3, "#")) &amp; RIGHT(A43,6)</f>
        <v>112317003</v>
      </c>
      <c r="C43" t="s">
        <v>1959</v>
      </c>
      <c r="D43" s="9">
        <v>0.15</v>
      </c>
      <c r="E43" s="9">
        <v>0.16</v>
      </c>
      <c r="F43" t="s">
        <v>2017</v>
      </c>
      <c r="G43" t="s">
        <v>2779</v>
      </c>
      <c r="H43" s="68" t="s">
        <v>2165</v>
      </c>
      <c r="I43" t="s">
        <v>91</v>
      </c>
      <c r="J43" s="42">
        <v>90</v>
      </c>
      <c r="K43" s="42">
        <v>135</v>
      </c>
      <c r="L43" s="405"/>
      <c r="M43" s="455">
        <v>123.81</v>
      </c>
      <c r="N43" s="456">
        <v>836.59199999999998</v>
      </c>
      <c r="O43" s="456">
        <v>836.59199999999998</v>
      </c>
      <c r="P43" s="456">
        <v>9.5399999999999999E-2</v>
      </c>
      <c r="Q43" s="456">
        <v>9.5399999999999999E-2</v>
      </c>
      <c r="R43">
        <v>2</v>
      </c>
      <c r="S43" t="s">
        <v>2035</v>
      </c>
      <c r="T43" s="246">
        <v>57.6</v>
      </c>
      <c r="U43" t="s">
        <v>2051</v>
      </c>
      <c r="V43" s="246">
        <v>154</v>
      </c>
      <c r="W43" s="197"/>
      <c r="X43" s="259">
        <v>5</v>
      </c>
      <c r="Y43" s="246" t="s">
        <v>874</v>
      </c>
      <c r="Z43" t="s">
        <v>1351</v>
      </c>
      <c r="AA43" s="26" t="s">
        <v>1932</v>
      </c>
      <c r="AB43" t="s">
        <v>1917</v>
      </c>
      <c r="AC43" s="26">
        <v>101</v>
      </c>
      <c r="AD43" s="26">
        <v>210</v>
      </c>
      <c r="AE43" s="26">
        <v>1</v>
      </c>
      <c r="AF43" s="26">
        <v>9999</v>
      </c>
      <c r="AG43" s="26"/>
      <c r="AH43" s="26"/>
      <c r="AI43" s="26"/>
    </row>
    <row r="44" spans="1:35" ht="14.25" customHeight="1">
      <c r="A44" t="s">
        <v>2823</v>
      </c>
      <c r="B44" s="230" t="str" cm="1">
        <f t="array" ref="B44">LEFT(A44, 2) &amp; IF(Program_Banner= "Business Energy Savings", 2, IF(Program_Banner="Small Business / Non-Profit", 3, "#")) &amp; RIGHT(A44,6)</f>
        <v>112316004</v>
      </c>
      <c r="C44" t="s">
        <v>1937</v>
      </c>
      <c r="D44" s="9">
        <v>0.15</v>
      </c>
      <c r="E44" s="9">
        <v>0.16</v>
      </c>
      <c r="F44" t="s">
        <v>2018</v>
      </c>
      <c r="G44" t="s">
        <v>2779</v>
      </c>
      <c r="H44" s="68" t="s">
        <v>2165</v>
      </c>
      <c r="I44" t="s">
        <v>91</v>
      </c>
      <c r="J44" s="42">
        <v>140</v>
      </c>
      <c r="K44" s="42">
        <v>210</v>
      </c>
      <c r="L44" s="405"/>
      <c r="M44" s="455">
        <v>134.35</v>
      </c>
      <c r="N44" s="456">
        <v>1641.9419</v>
      </c>
      <c r="O44" s="456">
        <v>1641.9419</v>
      </c>
      <c r="P44" s="456">
        <v>0.18729999999999999</v>
      </c>
      <c r="Q44" s="456">
        <v>0.18729999999999999</v>
      </c>
      <c r="R44">
        <v>2</v>
      </c>
      <c r="S44" t="s">
        <v>2035</v>
      </c>
      <c r="T44" s="246">
        <v>94.9</v>
      </c>
      <c r="U44" t="s">
        <v>2052</v>
      </c>
      <c r="V44" s="246">
        <v>284.10000000000002</v>
      </c>
      <c r="W44" s="197"/>
      <c r="X44" s="259">
        <v>6</v>
      </c>
      <c r="Y44" s="246" t="s">
        <v>874</v>
      </c>
      <c r="Z44" t="s">
        <v>1351</v>
      </c>
      <c r="AA44" s="248" t="s">
        <v>1933</v>
      </c>
      <c r="AB44" t="s">
        <v>1916</v>
      </c>
      <c r="AC44" s="26">
        <v>175</v>
      </c>
      <c r="AD44" s="26">
        <v>9999</v>
      </c>
      <c r="AE44" s="26">
        <v>1</v>
      </c>
      <c r="AF44" s="26">
        <v>9999</v>
      </c>
      <c r="AG44" s="26"/>
      <c r="AH44" s="26"/>
      <c r="AI44" s="26"/>
    </row>
    <row r="45" spans="1:35" ht="14.25" customHeight="1">
      <c r="A45" t="s">
        <v>2824</v>
      </c>
      <c r="B45" s="408" t="str" cm="1">
        <f t="array" ref="B45">LEFT(A45, 2) &amp; IF(Program_Banner= "Business Energy Savings", 2, IF(Program_Banner="Small Business / Non-Profit", 3, "#")) &amp; RIGHT(A45,6)</f>
        <v>112316005</v>
      </c>
      <c r="C45" t="s">
        <v>1879</v>
      </c>
      <c r="D45" s="9">
        <v>0.15</v>
      </c>
      <c r="E45" s="9">
        <v>0.16</v>
      </c>
      <c r="F45" s="37" t="s">
        <v>1879</v>
      </c>
      <c r="G45" t="s">
        <v>2779</v>
      </c>
      <c r="H45" s="68" t="s">
        <v>751</v>
      </c>
      <c r="I45" s="37" t="s">
        <v>2239</v>
      </c>
      <c r="J45" s="42">
        <v>6</v>
      </c>
      <c r="K45" s="42">
        <v>9</v>
      </c>
      <c r="L45" s="405"/>
      <c r="M45" s="455">
        <v>12</v>
      </c>
      <c r="N45" s="456">
        <v>95.258600000000001</v>
      </c>
      <c r="O45" s="456">
        <v>95.258600000000001</v>
      </c>
      <c r="P45" s="456">
        <v>2.1299999999999999E-2</v>
      </c>
      <c r="Q45" s="456">
        <v>2.1299999999999999E-2</v>
      </c>
      <c r="R45">
        <v>11</v>
      </c>
      <c r="S45" s="37" t="s">
        <v>1630</v>
      </c>
      <c r="U45" s="37" t="s">
        <v>2036</v>
      </c>
      <c r="V45" s="246">
        <v>25.1</v>
      </c>
      <c r="W45" s="407"/>
      <c r="X45" s="259">
        <v>8</v>
      </c>
      <c r="Y45" s="246" t="s">
        <v>874</v>
      </c>
      <c r="Z45" t="s">
        <v>866</v>
      </c>
      <c r="AA45" s="26" t="s">
        <v>1880</v>
      </c>
      <c r="AB45" s="26" t="s">
        <v>1416</v>
      </c>
      <c r="AC45" s="26">
        <v>1</v>
      </c>
      <c r="AD45" s="26">
        <v>9999</v>
      </c>
      <c r="AE45" s="26">
        <v>0</v>
      </c>
      <c r="AF45" s="26">
        <v>0</v>
      </c>
      <c r="AG45" s="26"/>
      <c r="AH45" s="26"/>
      <c r="AI45" s="26"/>
    </row>
    <row r="46" spans="1:35" ht="14.25" customHeight="1">
      <c r="J46" s="42"/>
      <c r="K46" s="42"/>
      <c r="S46" s="197"/>
      <c r="T46" s="259"/>
      <c r="U46" s="26"/>
      <c r="V46" s="26"/>
    </row>
    <row r="47" spans="1:35" ht="14.25" customHeight="1">
      <c r="A47" s="564"/>
      <c r="B47" s="234" t="s">
        <v>85</v>
      </c>
      <c r="C47" s="234" t="s">
        <v>839</v>
      </c>
      <c r="D47" s="399" t="s">
        <v>3077</v>
      </c>
      <c r="E47" s="399" t="s">
        <v>3078</v>
      </c>
      <c r="F47" s="399" t="s">
        <v>857</v>
      </c>
      <c r="G47" s="399" t="s">
        <v>0</v>
      </c>
      <c r="H47" s="234" t="s">
        <v>841</v>
      </c>
      <c r="I47" s="400" t="s">
        <v>842</v>
      </c>
      <c r="J47" s="235" t="s">
        <v>2765</v>
      </c>
      <c r="K47" s="235" t="s">
        <v>2764</v>
      </c>
      <c r="L47" s="235" t="s">
        <v>1276</v>
      </c>
      <c r="M47" s="399" t="s">
        <v>843</v>
      </c>
      <c r="N47" s="399" t="s">
        <v>3079</v>
      </c>
      <c r="O47" s="399" t="s">
        <v>3082</v>
      </c>
      <c r="P47" s="399" t="s">
        <v>3081</v>
      </c>
      <c r="Q47" s="399" t="s">
        <v>3080</v>
      </c>
      <c r="R47" s="399" t="s">
        <v>846</v>
      </c>
      <c r="S47" s="399" t="s">
        <v>1350</v>
      </c>
      <c r="T47" s="399" t="s">
        <v>847</v>
      </c>
      <c r="U47" s="399" t="s">
        <v>848</v>
      </c>
      <c r="V47" s="399" t="s">
        <v>849</v>
      </c>
      <c r="W47" s="399" t="s">
        <v>850</v>
      </c>
      <c r="X47" s="234" t="s">
        <v>336</v>
      </c>
      <c r="Y47" s="234" t="s">
        <v>1701</v>
      </c>
      <c r="Z47" s="258" t="s">
        <v>1393</v>
      </c>
      <c r="AA47" s="258" t="s">
        <v>1391</v>
      </c>
      <c r="AB47" s="258" t="s">
        <v>1395</v>
      </c>
      <c r="AC47" s="258" t="s">
        <v>1539</v>
      </c>
      <c r="AD47" s="258" t="s">
        <v>1645</v>
      </c>
      <c r="AE47" s="258" t="s">
        <v>1646</v>
      </c>
      <c r="AF47" s="258" t="s">
        <v>1647</v>
      </c>
      <c r="AG47" s="258" t="s">
        <v>1648</v>
      </c>
      <c r="AH47" s="302" t="s">
        <v>1649</v>
      </c>
      <c r="AI47" s="302" t="s">
        <v>1650</v>
      </c>
    </row>
    <row r="48" spans="1:35" ht="14.25" customHeight="1">
      <c r="A48" t="s">
        <v>2825</v>
      </c>
      <c r="B48" s="480" t="str" cm="1">
        <f t="array" ref="B48">LEFT(A48, 2) &amp; IF(Program_Banner= "Business Energy Savings", 2, IF(Program_Banner="Small Business / Non-Profit", 3, "#")) &amp; RIGHT(A48,6)</f>
        <v>112118001</v>
      </c>
      <c r="C48" s="431" t="s">
        <v>1981</v>
      </c>
      <c r="D48" s="231">
        <v>114.7</v>
      </c>
      <c r="E48" s="231">
        <v>114.7</v>
      </c>
      <c r="F48" s="230" t="s">
        <v>1334</v>
      </c>
      <c r="G48" s="230" t="s">
        <v>938</v>
      </c>
      <c r="H48" s="409" t="s">
        <v>752</v>
      </c>
      <c r="I48" s="236" t="s">
        <v>2207</v>
      </c>
      <c r="J48" s="42">
        <v>40</v>
      </c>
      <c r="K48" s="42">
        <v>60</v>
      </c>
      <c r="L48" s="240"/>
      <c r="M48" s="42">
        <v>64.999999999999986</v>
      </c>
      <c r="N48" s="369">
        <v>358.43261215524979</v>
      </c>
      <c r="O48" s="369">
        <v>725.25668328865697</v>
      </c>
      <c r="P48" s="369">
        <v>0.3338388203647682</v>
      </c>
      <c r="Q48" s="369">
        <v>0.36037388039377499</v>
      </c>
      <c r="R48">
        <v>8</v>
      </c>
      <c r="S48" s="37" t="s">
        <v>1633</v>
      </c>
      <c r="T48" s="246">
        <v>570</v>
      </c>
      <c r="U48" s="230" t="s">
        <v>1634</v>
      </c>
      <c r="V48" s="232"/>
      <c r="W48" s="233"/>
      <c r="X48" s="246">
        <v>1</v>
      </c>
      <c r="Y48" s="246" t="s">
        <v>873</v>
      </c>
      <c r="Z48" s="410">
        <v>0.28000000000000003</v>
      </c>
      <c r="AA48" s="410">
        <v>1.41</v>
      </c>
      <c r="AB48">
        <v>570</v>
      </c>
    </row>
    <row r="49" spans="1:35" ht="14.25" customHeight="1">
      <c r="A49" t="s">
        <v>2826</v>
      </c>
      <c r="B49" s="230" t="str" cm="1">
        <f t="array" ref="B49">LEFT(A49, 2) &amp; IF(Program_Banner= "Business Energy Savings", 2, IF(Program_Banner="Small Business / Non-Profit", 3, "#")) &amp; RIGHT(A49,6)</f>
        <v>112118002</v>
      </c>
      <c r="C49" s="431" t="s">
        <v>1332</v>
      </c>
      <c r="D49" s="231">
        <v>115.7</v>
      </c>
      <c r="E49" s="231">
        <v>115.7</v>
      </c>
      <c r="F49" s="230" t="s">
        <v>1335</v>
      </c>
      <c r="G49" s="230" t="s">
        <v>938</v>
      </c>
      <c r="H49" s="409" t="s">
        <v>752</v>
      </c>
      <c r="I49" s="236" t="s">
        <v>2207</v>
      </c>
      <c r="J49" s="42">
        <v>40</v>
      </c>
      <c r="K49" s="42">
        <v>60</v>
      </c>
      <c r="L49" s="240"/>
      <c r="M49" s="42">
        <v>84</v>
      </c>
      <c r="N49" s="369">
        <v>108.50229698201187</v>
      </c>
      <c r="O49" s="369">
        <v>144.43983515721899</v>
      </c>
      <c r="P49" s="369">
        <v>0.12401465785763523</v>
      </c>
      <c r="Q49" s="369">
        <v>0.126318175414488</v>
      </c>
      <c r="R49">
        <v>8</v>
      </c>
      <c r="S49" s="230" t="s">
        <v>1635</v>
      </c>
      <c r="T49" s="246">
        <v>425</v>
      </c>
      <c r="U49" s="230" t="s">
        <v>1634</v>
      </c>
      <c r="V49" s="232"/>
      <c r="W49" s="233"/>
      <c r="X49" s="246">
        <v>2</v>
      </c>
      <c r="Y49" s="246" t="s">
        <v>873</v>
      </c>
      <c r="Z49" s="410">
        <v>0.24</v>
      </c>
      <c r="AA49" s="410">
        <v>1.41</v>
      </c>
      <c r="AB49">
        <v>425</v>
      </c>
    </row>
    <row r="51" spans="1:35" ht="14.25" customHeight="1">
      <c r="A51" s="562"/>
      <c r="B51" s="234" t="s">
        <v>85</v>
      </c>
      <c r="C51" s="234" t="s">
        <v>839</v>
      </c>
      <c r="D51" s="399" t="s">
        <v>3077</v>
      </c>
      <c r="E51" s="399" t="s">
        <v>3078</v>
      </c>
      <c r="F51" s="399" t="s">
        <v>857</v>
      </c>
      <c r="G51" s="399" t="s">
        <v>0</v>
      </c>
      <c r="H51" s="234" t="s">
        <v>841</v>
      </c>
      <c r="I51" s="400" t="s">
        <v>842</v>
      </c>
      <c r="J51" s="235" t="s">
        <v>2765</v>
      </c>
      <c r="K51" s="235" t="s">
        <v>2764</v>
      </c>
      <c r="L51" s="235" t="s">
        <v>1276</v>
      </c>
      <c r="M51" s="399" t="s">
        <v>843</v>
      </c>
      <c r="N51" s="399" t="s">
        <v>3079</v>
      </c>
      <c r="O51" s="399" t="s">
        <v>3082</v>
      </c>
      <c r="P51" s="399" t="s">
        <v>3081</v>
      </c>
      <c r="Q51" s="399" t="s">
        <v>3080</v>
      </c>
      <c r="R51" s="399" t="s">
        <v>846</v>
      </c>
      <c r="S51" s="399" t="s">
        <v>1350</v>
      </c>
      <c r="T51" s="399" t="s">
        <v>847</v>
      </c>
      <c r="U51" s="399" t="s">
        <v>848</v>
      </c>
      <c r="V51" s="399" t="s">
        <v>849</v>
      </c>
      <c r="W51" s="399" t="s">
        <v>850</v>
      </c>
      <c r="X51" s="234" t="s">
        <v>336</v>
      </c>
      <c r="Y51" s="234" t="s">
        <v>1701</v>
      </c>
      <c r="Z51" s="258" t="s">
        <v>1539</v>
      </c>
      <c r="AA51" s="258" t="s">
        <v>1645</v>
      </c>
      <c r="AB51" s="258" t="s">
        <v>1646</v>
      </c>
      <c r="AC51" s="258" t="s">
        <v>1647</v>
      </c>
      <c r="AD51" s="258" t="s">
        <v>1648</v>
      </c>
      <c r="AE51" s="258" t="s">
        <v>1649</v>
      </c>
      <c r="AF51" s="258" t="s">
        <v>1650</v>
      </c>
      <c r="AG51" s="258" t="s">
        <v>1658</v>
      </c>
      <c r="AH51" s="302" t="s">
        <v>1908</v>
      </c>
      <c r="AI51" s="302" t="s">
        <v>1909</v>
      </c>
    </row>
    <row r="52" spans="1:35" ht="14.25" customHeight="1">
      <c r="A52" t="s">
        <v>2827</v>
      </c>
      <c r="B52" s="480" t="str" cm="1">
        <f t="array" ref="B52">LEFT(A52, 2) &amp; IF(Program_Banner= "Business Energy Savings", 2, IF(Program_Banner="Small Business / Non-Profit", 3, "#")) &amp; RIGHT(A52,6)</f>
        <v>112121004</v>
      </c>
      <c r="C52" s="230" t="s">
        <v>1323</v>
      </c>
      <c r="D52" s="411">
        <v>348.1</v>
      </c>
      <c r="E52" s="411">
        <v>348.1</v>
      </c>
      <c r="F52" s="230" t="s">
        <v>1323</v>
      </c>
      <c r="G52" s="230" t="s">
        <v>938</v>
      </c>
      <c r="H52" s="230" t="s">
        <v>1330</v>
      </c>
      <c r="I52" s="412" t="s">
        <v>2208</v>
      </c>
      <c r="J52" s="42">
        <v>1000</v>
      </c>
      <c r="K52" s="42">
        <v>1500</v>
      </c>
      <c r="L52" s="240"/>
      <c r="M52" s="42">
        <v>2758</v>
      </c>
      <c r="N52" s="379">
        <v>14667.6078</v>
      </c>
      <c r="O52" s="379">
        <v>14667.6078</v>
      </c>
      <c r="P52" s="379">
        <v>2.6111</v>
      </c>
      <c r="Q52" s="379">
        <v>2.6111</v>
      </c>
      <c r="R52">
        <v>12</v>
      </c>
      <c r="S52" s="230" t="s">
        <v>1636</v>
      </c>
      <c r="T52" s="246">
        <v>0</v>
      </c>
      <c r="U52" s="230" t="s">
        <v>1637</v>
      </c>
      <c r="V52" s="246">
        <v>0.9</v>
      </c>
      <c r="W52" s="233"/>
      <c r="X52" s="246">
        <v>1</v>
      </c>
      <c r="Y52" s="246" t="s">
        <v>873</v>
      </c>
    </row>
    <row r="53" spans="1:35" ht="14.25" customHeight="1">
      <c r="A53" t="s">
        <v>2828</v>
      </c>
      <c r="B53" s="230" t="str" cm="1">
        <f t="array" ref="B53">LEFT(A53, 2) &amp; IF(Program_Banner= "Business Energy Savings", 2, IF(Program_Banner="Small Business / Non-Profit", 3, "#")) &amp; RIGHT(A53,6)</f>
        <v>112121005</v>
      </c>
      <c r="C53" s="230" t="s">
        <v>1324</v>
      </c>
      <c r="D53" s="411">
        <v>349.1</v>
      </c>
      <c r="E53" s="411">
        <v>349.1</v>
      </c>
      <c r="F53" s="230" t="s">
        <v>1324</v>
      </c>
      <c r="G53" s="230" t="s">
        <v>938</v>
      </c>
      <c r="H53" s="230" t="s">
        <v>1330</v>
      </c>
      <c r="I53" s="412" t="s">
        <v>2208</v>
      </c>
      <c r="J53" s="42">
        <v>1200</v>
      </c>
      <c r="K53" s="42">
        <v>1800</v>
      </c>
      <c r="L53" s="240"/>
      <c r="M53" s="42">
        <v>2758</v>
      </c>
      <c r="N53" s="379">
        <v>20150.2667</v>
      </c>
      <c r="O53" s="379">
        <v>20150.2667</v>
      </c>
      <c r="P53" s="379">
        <v>3.5871</v>
      </c>
      <c r="Q53" s="379">
        <v>3.5871</v>
      </c>
      <c r="R53">
        <v>12</v>
      </c>
      <c r="S53" s="230" t="s">
        <v>1636</v>
      </c>
      <c r="T53" s="246">
        <v>0</v>
      </c>
      <c r="U53" s="230" t="s">
        <v>1637</v>
      </c>
      <c r="V53" s="246">
        <v>0.9</v>
      </c>
      <c r="W53" s="233"/>
      <c r="X53" s="246">
        <v>2</v>
      </c>
      <c r="Y53" s="246" t="s">
        <v>873</v>
      </c>
    </row>
    <row r="54" spans="1:35" ht="14.25" customHeight="1">
      <c r="A54" t="s">
        <v>2829</v>
      </c>
      <c r="B54" s="230" t="str" cm="1">
        <f t="array" ref="B54">LEFT(A54, 2) &amp; IF(Program_Banner= "Business Energy Savings", 2, IF(Program_Banner="Small Business / Non-Profit", 3, "#")) &amp; RIGHT(A54,6)</f>
        <v>112121006</v>
      </c>
      <c r="C54" s="230" t="s">
        <v>1325</v>
      </c>
      <c r="D54" s="411">
        <v>350.1</v>
      </c>
      <c r="E54" s="411">
        <v>350.1</v>
      </c>
      <c r="F54" s="230" t="s">
        <v>1325</v>
      </c>
      <c r="G54" s="230" t="s">
        <v>938</v>
      </c>
      <c r="H54" s="230" t="s">
        <v>1330</v>
      </c>
      <c r="I54" s="412" t="s">
        <v>2208</v>
      </c>
      <c r="J54" s="42">
        <v>1400</v>
      </c>
      <c r="K54" s="42">
        <v>2100</v>
      </c>
      <c r="L54" s="240"/>
      <c r="M54" s="42">
        <v>2758</v>
      </c>
      <c r="N54" s="379">
        <v>25629.6384</v>
      </c>
      <c r="O54" s="379">
        <v>25629.6384</v>
      </c>
      <c r="P54" s="379">
        <v>4.5625</v>
      </c>
      <c r="Q54" s="379">
        <v>4.5625</v>
      </c>
      <c r="R54">
        <v>12</v>
      </c>
      <c r="S54" s="230" t="s">
        <v>1636</v>
      </c>
      <c r="T54" s="246">
        <v>0</v>
      </c>
      <c r="U54" s="230" t="s">
        <v>1637</v>
      </c>
      <c r="V54" s="246">
        <v>0.9</v>
      </c>
      <c r="W54" s="233"/>
      <c r="X54" s="246">
        <v>3</v>
      </c>
      <c r="Y54" s="246" t="s">
        <v>873</v>
      </c>
    </row>
    <row r="55" spans="1:35" ht="14.25" customHeight="1">
      <c r="A55" t="s">
        <v>2830</v>
      </c>
      <c r="B55" s="230" t="str" cm="1">
        <f t="array" ref="B55">LEFT(A55, 2) &amp; IF(Program_Banner= "Business Energy Savings", 2, IF(Program_Banner="Small Business / Non-Profit", 3, "#")) &amp; RIGHT(A55,6)</f>
        <v>112121007</v>
      </c>
      <c r="C55" s="230" t="s">
        <v>1326</v>
      </c>
      <c r="D55" s="411">
        <v>351.1</v>
      </c>
      <c r="E55" s="411">
        <v>351.1</v>
      </c>
      <c r="F55" s="230" t="s">
        <v>1326</v>
      </c>
      <c r="G55" s="230" t="s">
        <v>938</v>
      </c>
      <c r="H55" s="230" t="s">
        <v>1330</v>
      </c>
      <c r="I55" s="412" t="s">
        <v>2208</v>
      </c>
      <c r="J55" s="42">
        <v>1600</v>
      </c>
      <c r="K55" s="42">
        <v>2400</v>
      </c>
      <c r="L55" s="240"/>
      <c r="M55" s="42">
        <v>2758</v>
      </c>
      <c r="N55" s="379">
        <v>31112.297399999999</v>
      </c>
      <c r="O55" s="379">
        <v>31112.297399999999</v>
      </c>
      <c r="P55" s="379">
        <v>5.5385999999999997</v>
      </c>
      <c r="Q55" s="379">
        <v>5.5385999999999997</v>
      </c>
      <c r="R55">
        <v>12</v>
      </c>
      <c r="S55" s="230" t="s">
        <v>1636</v>
      </c>
      <c r="T55" s="246">
        <v>0</v>
      </c>
      <c r="U55" s="230" t="s">
        <v>1637</v>
      </c>
      <c r="V55" s="246">
        <v>0.9</v>
      </c>
      <c r="W55" s="233"/>
      <c r="X55" s="246">
        <v>4</v>
      </c>
      <c r="Y55" s="246" t="s">
        <v>873</v>
      </c>
    </row>
    <row r="56" spans="1:35" ht="14.25" customHeight="1">
      <c r="A56" t="s">
        <v>2831</v>
      </c>
      <c r="B56" s="230" t="str" cm="1">
        <f t="array" ref="B56">LEFT(A56, 2) &amp; IF(Program_Banner= "Business Energy Savings", 2, IF(Program_Banner="Small Business / Non-Profit", 3, "#")) &amp; RIGHT(A56,6)</f>
        <v>112121001</v>
      </c>
      <c r="C56" s="230" t="s">
        <v>1977</v>
      </c>
      <c r="D56" s="411">
        <v>345.1</v>
      </c>
      <c r="E56" s="411">
        <v>345.1</v>
      </c>
      <c r="F56" s="230" t="s">
        <v>1327</v>
      </c>
      <c r="G56" s="230" t="s">
        <v>938</v>
      </c>
      <c r="H56" s="230" t="s">
        <v>1330</v>
      </c>
      <c r="I56" s="412" t="s">
        <v>2208</v>
      </c>
      <c r="J56" s="42">
        <v>440</v>
      </c>
      <c r="K56" s="42">
        <v>650</v>
      </c>
      <c r="L56" s="240"/>
      <c r="M56" s="42">
        <v>1000</v>
      </c>
      <c r="N56" s="379">
        <v>181.48089999999999</v>
      </c>
      <c r="O56" s="379">
        <v>181.48089999999999</v>
      </c>
      <c r="P56" s="379">
        <v>4.9700000000000001E-2</v>
      </c>
      <c r="Q56" s="379">
        <v>4.9700000000000001E-2</v>
      </c>
      <c r="R56">
        <v>12</v>
      </c>
      <c r="S56" s="230" t="s">
        <v>1638</v>
      </c>
      <c r="T56" s="246">
        <v>139.6</v>
      </c>
      <c r="U56" s="230" t="s">
        <v>1639</v>
      </c>
      <c r="V56" s="246">
        <v>194.9</v>
      </c>
      <c r="W56" s="233"/>
      <c r="X56" s="246">
        <v>5</v>
      </c>
      <c r="Y56" s="246" t="s">
        <v>873</v>
      </c>
    </row>
    <row r="57" spans="1:35" ht="14.25" customHeight="1">
      <c r="A57" t="s">
        <v>2832</v>
      </c>
      <c r="B57" s="230" t="str" cm="1">
        <f t="array" ref="B57">LEFT(A57, 2) &amp; IF(Program_Banner= "Business Energy Savings", 2, IF(Program_Banner="Small Business / Non-Profit", 3, "#")) &amp; RIGHT(A57,6)</f>
        <v>112121002</v>
      </c>
      <c r="C57" s="230" t="s">
        <v>1978</v>
      </c>
      <c r="D57" s="411">
        <v>346.1</v>
      </c>
      <c r="E57" s="411">
        <v>346.1</v>
      </c>
      <c r="F57" s="230" t="s">
        <v>1328</v>
      </c>
      <c r="G57" s="230" t="s">
        <v>938</v>
      </c>
      <c r="H57" s="230" t="s">
        <v>1330</v>
      </c>
      <c r="I57" s="412" t="s">
        <v>2208</v>
      </c>
      <c r="J57" s="42">
        <v>460</v>
      </c>
      <c r="K57" s="42">
        <v>700</v>
      </c>
      <c r="L57" s="240"/>
      <c r="M57" s="42">
        <v>1000</v>
      </c>
      <c r="N57" s="379">
        <v>1051.4598000000001</v>
      </c>
      <c r="O57" s="379">
        <v>1051.4598000000001</v>
      </c>
      <c r="P57" s="379">
        <v>0.28789999999999999</v>
      </c>
      <c r="Q57" s="379">
        <v>0.28789999999999999</v>
      </c>
      <c r="R57">
        <v>12</v>
      </c>
      <c r="S57" s="230" t="s">
        <v>1638</v>
      </c>
      <c r="T57" s="246">
        <v>295</v>
      </c>
      <c r="U57" s="230" t="s">
        <v>1639</v>
      </c>
      <c r="V57" s="246">
        <v>614.9</v>
      </c>
      <c r="W57" s="233"/>
      <c r="X57" s="246">
        <v>6</v>
      </c>
      <c r="Y57" s="246" t="s">
        <v>873</v>
      </c>
    </row>
    <row r="58" spans="1:35" ht="14.25" customHeight="1">
      <c r="A58" t="s">
        <v>2833</v>
      </c>
      <c r="B58" s="230" t="str" cm="1">
        <f t="array" ref="B58">LEFT(A58, 2) &amp; IF(Program_Banner= "Business Energy Savings", 2, IF(Program_Banner="Small Business / Non-Profit", 3, "#")) &amp; RIGHT(A58,6)</f>
        <v>112121003</v>
      </c>
      <c r="C58" s="230" t="s">
        <v>1979</v>
      </c>
      <c r="D58" s="411">
        <v>347.2</v>
      </c>
      <c r="E58" s="411">
        <v>347.2</v>
      </c>
      <c r="F58" s="230" t="s">
        <v>1329</v>
      </c>
      <c r="G58" s="230" t="s">
        <v>938</v>
      </c>
      <c r="H58" s="230" t="s">
        <v>1330</v>
      </c>
      <c r="I58" s="412" t="s">
        <v>2208</v>
      </c>
      <c r="J58" s="42">
        <v>480</v>
      </c>
      <c r="K58" s="42">
        <v>700</v>
      </c>
      <c r="L58" s="240"/>
      <c r="M58" s="42">
        <v>1000</v>
      </c>
      <c r="N58" s="379">
        <v>1742.5712000000001</v>
      </c>
      <c r="O58" s="379">
        <v>1742.5712000000001</v>
      </c>
      <c r="P58" s="379">
        <v>0.47710000000000002</v>
      </c>
      <c r="Q58" s="379">
        <v>0.47710000000000002</v>
      </c>
      <c r="R58">
        <v>12</v>
      </c>
      <c r="S58" s="230" t="s">
        <v>1638</v>
      </c>
      <c r="T58" s="246">
        <v>309.89999999999998</v>
      </c>
      <c r="U58" s="230" t="s">
        <v>1639</v>
      </c>
      <c r="V58" s="246">
        <v>840</v>
      </c>
      <c r="W58" s="233"/>
      <c r="X58" s="246">
        <v>7</v>
      </c>
      <c r="Y58" s="246" t="s">
        <v>873</v>
      </c>
    </row>
    <row r="59" spans="1:35" ht="14.25" customHeight="1">
      <c r="D59" s="37"/>
      <c r="E59" s="13"/>
      <c r="F59" s="13"/>
      <c r="H59" s="230"/>
      <c r="I59" s="13"/>
      <c r="J59" s="13"/>
    </row>
    <row r="60" spans="1:35" ht="14.25" customHeight="1">
      <c r="A60" s="562"/>
      <c r="B60" s="234" t="s">
        <v>85</v>
      </c>
      <c r="C60" s="234" t="s">
        <v>839</v>
      </c>
      <c r="D60" s="399" t="s">
        <v>3077</v>
      </c>
      <c r="E60" s="399" t="s">
        <v>3078</v>
      </c>
      <c r="F60" s="399" t="s">
        <v>857</v>
      </c>
      <c r="G60" s="399" t="s">
        <v>0</v>
      </c>
      <c r="H60" s="234" t="s">
        <v>841</v>
      </c>
      <c r="I60" s="400" t="s">
        <v>842</v>
      </c>
      <c r="J60" s="235" t="s">
        <v>2765</v>
      </c>
      <c r="K60" s="235" t="s">
        <v>2764</v>
      </c>
      <c r="L60" s="235" t="s">
        <v>1276</v>
      </c>
      <c r="M60" s="399" t="s">
        <v>843</v>
      </c>
      <c r="N60" s="399" t="s">
        <v>3079</v>
      </c>
      <c r="O60" s="399" t="s">
        <v>3082</v>
      </c>
      <c r="P60" s="399" t="s">
        <v>3081</v>
      </c>
      <c r="Q60" s="399" t="s">
        <v>3080</v>
      </c>
      <c r="R60" s="399" t="s">
        <v>846</v>
      </c>
      <c r="S60" s="399" t="s">
        <v>1350</v>
      </c>
      <c r="T60" s="399" t="s">
        <v>847</v>
      </c>
      <c r="U60" s="399" t="s">
        <v>848</v>
      </c>
      <c r="V60" s="399" t="s">
        <v>849</v>
      </c>
      <c r="W60" s="399" t="s">
        <v>850</v>
      </c>
      <c r="X60" s="234" t="s">
        <v>336</v>
      </c>
      <c r="Y60" s="234" t="s">
        <v>1701</v>
      </c>
      <c r="Z60" s="258" t="s">
        <v>1539</v>
      </c>
      <c r="AA60" s="258" t="s">
        <v>1645</v>
      </c>
      <c r="AB60" s="258" t="s">
        <v>1646</v>
      </c>
      <c r="AC60" s="258" t="s">
        <v>1647</v>
      </c>
      <c r="AD60" s="258" t="s">
        <v>1648</v>
      </c>
      <c r="AE60" s="258" t="s">
        <v>1649</v>
      </c>
      <c r="AF60" s="258" t="s">
        <v>1650</v>
      </c>
      <c r="AG60" s="258" t="s">
        <v>1658</v>
      </c>
      <c r="AH60" s="302" t="s">
        <v>1908</v>
      </c>
      <c r="AI60" s="302" t="s">
        <v>1909</v>
      </c>
    </row>
    <row r="61" spans="1:35" ht="14.25" customHeight="1">
      <c r="A61" t="s">
        <v>2834</v>
      </c>
      <c r="B61" s="480" t="str" cm="1">
        <f t="array" ref="B61">LEFT(A61, 2) &amp; IF(Program_Banner= "Business Energy Savings", 2, IF(Program_Banner="Small Business / Non-Profit", 3, "#")) &amp; RIGHT(A61,6)</f>
        <v>112101001</v>
      </c>
      <c r="C61" s="51" t="s">
        <v>2774</v>
      </c>
      <c r="D61" s="380">
        <v>119.2</v>
      </c>
      <c r="E61" s="380">
        <v>119.2</v>
      </c>
      <c r="F61" t="s">
        <v>2774</v>
      </c>
      <c r="G61" s="408" t="s">
        <v>938</v>
      </c>
      <c r="H61" s="408" t="s">
        <v>1337</v>
      </c>
      <c r="I61" s="462" t="s">
        <v>2778</v>
      </c>
      <c r="J61" s="463">
        <v>25</v>
      </c>
      <c r="K61" s="42">
        <v>38</v>
      </c>
      <c r="L61" s="240"/>
      <c r="M61" s="464">
        <v>57</v>
      </c>
      <c r="N61" s="558">
        <v>1086.6383000000001</v>
      </c>
      <c r="O61" s="465">
        <v>1086.6383000000001</v>
      </c>
      <c r="P61" s="558">
        <v>0.1696</v>
      </c>
      <c r="Q61" s="465">
        <v>0.1696</v>
      </c>
      <c r="R61" s="466">
        <v>15</v>
      </c>
      <c r="S61" s="461"/>
      <c r="T61" s="461"/>
      <c r="U61" s="461"/>
      <c r="V61" s="467"/>
      <c r="W61" s="415"/>
      <c r="X61" s="467"/>
      <c r="Y61" s="467" t="s">
        <v>873</v>
      </c>
      <c r="Z61" s="234"/>
      <c r="AA61" s="234"/>
      <c r="AB61" s="234"/>
      <c r="AC61" s="234"/>
      <c r="AD61" s="234"/>
      <c r="AE61" s="234"/>
      <c r="AF61" s="234"/>
      <c r="AG61" s="234"/>
      <c r="AH61" s="468"/>
      <c r="AI61" s="468"/>
    </row>
    <row r="62" spans="1:35" ht="14.25" customHeight="1">
      <c r="A62" t="s">
        <v>2835</v>
      </c>
      <c r="B62" s="461" t="str" cm="1">
        <f t="array" ref="B62">LEFT(A62, 2) &amp; IF(Program_Banner= "Business Energy Savings", 2, IF(Program_Banner="Small Business / Non-Profit", 3, "#")) &amp; RIGHT(A62,6)</f>
        <v>112101002</v>
      </c>
      <c r="C62" t="s">
        <v>2775</v>
      </c>
      <c r="D62" s="380">
        <v>119.2</v>
      </c>
      <c r="E62" s="380">
        <v>119.2</v>
      </c>
      <c r="F62" t="s">
        <v>2775</v>
      </c>
      <c r="G62" s="408" t="s">
        <v>938</v>
      </c>
      <c r="H62" s="408" t="s">
        <v>1337</v>
      </c>
      <c r="I62" s="462" t="s">
        <v>2778</v>
      </c>
      <c r="J62" s="463">
        <v>15</v>
      </c>
      <c r="K62" s="42">
        <v>22.5</v>
      </c>
      <c r="L62" s="240"/>
      <c r="M62" s="464">
        <v>57</v>
      </c>
      <c r="N62" s="558">
        <v>1086.6383000000001</v>
      </c>
      <c r="O62" s="465">
        <v>1086.6383000000001</v>
      </c>
      <c r="P62" s="558">
        <v>0.1696</v>
      </c>
      <c r="Q62" s="465">
        <v>0.1696</v>
      </c>
      <c r="R62" s="466">
        <v>15</v>
      </c>
      <c r="S62" s="461"/>
      <c r="T62" s="563"/>
      <c r="U62" s="461"/>
      <c r="V62" s="467"/>
      <c r="W62" s="415"/>
      <c r="X62" s="467"/>
      <c r="Y62" s="467" t="s">
        <v>873</v>
      </c>
      <c r="Z62" s="234"/>
      <c r="AA62" s="234"/>
      <c r="AB62" s="234"/>
      <c r="AC62" s="234"/>
      <c r="AD62" s="234"/>
      <c r="AE62" s="234"/>
      <c r="AF62" s="234"/>
      <c r="AG62" s="234"/>
      <c r="AH62" s="468"/>
      <c r="AI62" s="468"/>
    </row>
    <row r="63" spans="1:35" ht="14.25" customHeight="1">
      <c r="A63" t="s">
        <v>2836</v>
      </c>
      <c r="B63" s="461" t="str" cm="1">
        <f t="array" ref="B63">LEFT(A63, 2) &amp; IF(Program_Banner= "Business Energy Savings", 2, IF(Program_Banner="Small Business / Non-Profit", 3, "#")) &amp; RIGHT(A63,6)</f>
        <v>112101003</v>
      </c>
      <c r="C63" t="s">
        <v>2776</v>
      </c>
      <c r="D63" s="380">
        <v>120.3</v>
      </c>
      <c r="E63" s="380">
        <v>120.3</v>
      </c>
      <c r="F63" t="s">
        <v>2776</v>
      </c>
      <c r="G63" s="408" t="s">
        <v>938</v>
      </c>
      <c r="H63" s="408" t="s">
        <v>1337</v>
      </c>
      <c r="I63" s="462" t="s">
        <v>2778</v>
      </c>
      <c r="J63" s="463">
        <v>10</v>
      </c>
      <c r="K63" s="42">
        <v>15</v>
      </c>
      <c r="L63" s="240"/>
      <c r="M63" s="464">
        <v>42</v>
      </c>
      <c r="N63" s="558">
        <v>393.43799999999999</v>
      </c>
      <c r="O63" s="465">
        <v>393.43799999999999</v>
      </c>
      <c r="P63" s="558">
        <v>6.1400000000000003E-2</v>
      </c>
      <c r="Q63" s="465">
        <v>6.1400000000000003E-2</v>
      </c>
      <c r="R63" s="466">
        <v>15</v>
      </c>
      <c r="S63" s="461"/>
      <c r="T63" s="563"/>
      <c r="U63" s="461"/>
      <c r="V63" s="467"/>
      <c r="W63" s="415"/>
      <c r="X63" s="467"/>
      <c r="Y63" s="467" t="s">
        <v>873</v>
      </c>
      <c r="Z63" s="234"/>
      <c r="AA63" s="234"/>
      <c r="AB63" s="234"/>
      <c r="AC63" s="234"/>
      <c r="AD63" s="234"/>
      <c r="AE63" s="234"/>
      <c r="AF63" s="234"/>
      <c r="AG63" s="234"/>
      <c r="AH63" s="468"/>
      <c r="AI63" s="468"/>
    </row>
    <row r="64" spans="1:35" ht="14.25" customHeight="1">
      <c r="A64" t="s">
        <v>2837</v>
      </c>
      <c r="B64" s="461" t="str" cm="1">
        <f t="array" ref="B64">LEFT(A64, 2) &amp; IF(Program_Banner= "Business Energy Savings", 2, IF(Program_Banner="Small Business / Non-Profit", 3, "#")) &amp; RIGHT(A64,6)</f>
        <v>112101004</v>
      </c>
      <c r="C64" s="51" t="s">
        <v>2777</v>
      </c>
      <c r="D64" s="380">
        <v>120.3</v>
      </c>
      <c r="E64" s="380">
        <v>120.3</v>
      </c>
      <c r="F64" t="s">
        <v>2777</v>
      </c>
      <c r="G64" s="408" t="s">
        <v>938</v>
      </c>
      <c r="H64" s="408" t="s">
        <v>1337</v>
      </c>
      <c r="I64" s="462" t="s">
        <v>2778</v>
      </c>
      <c r="J64" s="463">
        <v>20</v>
      </c>
      <c r="K64" s="42">
        <v>30</v>
      </c>
      <c r="L64" s="240"/>
      <c r="M64" s="464">
        <v>42</v>
      </c>
      <c r="N64" s="558">
        <v>393.43799999999999</v>
      </c>
      <c r="O64" s="465">
        <v>393.43799999999999</v>
      </c>
      <c r="P64" s="558">
        <v>6.1400000000000003E-2</v>
      </c>
      <c r="Q64" s="465">
        <v>6.1400000000000003E-2</v>
      </c>
      <c r="R64" s="466">
        <v>15</v>
      </c>
      <c r="S64" s="461"/>
      <c r="T64" s="461"/>
      <c r="U64" s="461"/>
      <c r="V64" s="467"/>
      <c r="W64" s="415"/>
      <c r="X64" s="467"/>
      <c r="Y64" s="467" t="s">
        <v>873</v>
      </c>
      <c r="Z64" s="234"/>
      <c r="AA64" s="234"/>
      <c r="AB64" s="234"/>
      <c r="AC64" s="234"/>
      <c r="AD64" s="234"/>
      <c r="AE64" s="234"/>
      <c r="AF64" s="234"/>
      <c r="AG64" s="234"/>
      <c r="AH64" s="468"/>
      <c r="AI64" s="468"/>
    </row>
    <row r="65" spans="1:35" ht="14.25" customHeight="1">
      <c r="A65" t="s">
        <v>2838</v>
      </c>
      <c r="B65" s="237" t="str" cm="1">
        <f t="array" ref="B65">LEFT(A65, 2) &amp; IF(Program_Banner= "Business Energy Savings", 2, IF(Program_Banner="Small Business / Non-Profit", 3, "#")) &amp; RIGHT(A65,6)</f>
        <v>112101005</v>
      </c>
      <c r="C65" s="237" t="s">
        <v>1005</v>
      </c>
      <c r="D65" s="231">
        <v>121.4</v>
      </c>
      <c r="E65" s="231">
        <v>121.4</v>
      </c>
      <c r="F65" s="230" t="s">
        <v>2766</v>
      </c>
      <c r="G65" s="230" t="s">
        <v>938</v>
      </c>
      <c r="H65" s="408" t="s">
        <v>1337</v>
      </c>
      <c r="I65" s="412" t="s">
        <v>2208</v>
      </c>
      <c r="J65" s="42">
        <v>200</v>
      </c>
      <c r="K65" s="42">
        <v>300</v>
      </c>
      <c r="L65" s="240"/>
      <c r="M65" s="42">
        <v>244</v>
      </c>
      <c r="N65" s="557">
        <v>1969.6559999999999</v>
      </c>
      <c r="O65" s="369">
        <v>1969.6559999999999</v>
      </c>
      <c r="P65" s="557">
        <v>0.25679999999999997</v>
      </c>
      <c r="Q65" s="369">
        <v>0.25679999999999997</v>
      </c>
      <c r="R65" s="469">
        <v>13</v>
      </c>
      <c r="S65" s="237"/>
      <c r="U65" s="237"/>
      <c r="V65" s="246"/>
      <c r="W65" s="233"/>
      <c r="X65" s="238">
        <v>7</v>
      </c>
      <c r="Y65" s="232" t="s">
        <v>873</v>
      </c>
      <c r="Z65" s="37"/>
      <c r="AA65" s="37"/>
      <c r="AB65" s="37"/>
      <c r="AC65" s="37"/>
      <c r="AD65" s="37"/>
      <c r="AE65" s="37"/>
      <c r="AF65" s="37"/>
      <c r="AG65" s="37"/>
      <c r="AH65" s="37"/>
      <c r="AI65" s="37"/>
    </row>
    <row r="66" spans="1:35" ht="14.25" customHeight="1">
      <c r="F66" s="13"/>
    </row>
    <row r="67" spans="1:35" ht="14.25" customHeight="1">
      <c r="A67" s="51"/>
      <c r="B67" s="234" t="s">
        <v>85</v>
      </c>
      <c r="C67" s="234" t="s">
        <v>839</v>
      </c>
      <c r="D67" s="399" t="s">
        <v>3077</v>
      </c>
      <c r="E67" s="399" t="s">
        <v>3078</v>
      </c>
      <c r="F67" s="399" t="s">
        <v>857</v>
      </c>
      <c r="G67" s="399" t="s">
        <v>0</v>
      </c>
      <c r="H67" s="234" t="s">
        <v>841</v>
      </c>
      <c r="I67" s="400" t="s">
        <v>842</v>
      </c>
      <c r="J67" s="235" t="s">
        <v>2765</v>
      </c>
      <c r="K67" s="235" t="s">
        <v>2764</v>
      </c>
      <c r="L67" s="235" t="s">
        <v>1276</v>
      </c>
      <c r="M67" s="399" t="s">
        <v>843</v>
      </c>
      <c r="N67" s="399" t="s">
        <v>3079</v>
      </c>
      <c r="O67" s="399" t="s">
        <v>3082</v>
      </c>
      <c r="P67" s="399" t="s">
        <v>3081</v>
      </c>
      <c r="Q67" s="399" t="s">
        <v>3080</v>
      </c>
      <c r="R67" s="399" t="s">
        <v>846</v>
      </c>
      <c r="S67" s="399" t="s">
        <v>1350</v>
      </c>
      <c r="T67" s="399" t="s">
        <v>847</v>
      </c>
      <c r="U67" s="399" t="s">
        <v>848</v>
      </c>
      <c r="V67" s="399" t="s">
        <v>849</v>
      </c>
      <c r="W67" s="399" t="s">
        <v>850</v>
      </c>
      <c r="X67" s="234" t="s">
        <v>336</v>
      </c>
      <c r="Y67" s="234" t="s">
        <v>1701</v>
      </c>
      <c r="Z67" s="258" t="s">
        <v>1539</v>
      </c>
      <c r="AA67" s="258" t="s">
        <v>1645</v>
      </c>
      <c r="AB67" s="258" t="s">
        <v>1646</v>
      </c>
      <c r="AC67" s="258" t="s">
        <v>1647</v>
      </c>
      <c r="AD67" s="258" t="s">
        <v>1648</v>
      </c>
      <c r="AE67" s="258" t="s">
        <v>1649</v>
      </c>
      <c r="AF67" s="258" t="s">
        <v>1650</v>
      </c>
      <c r="AG67" s="258" t="s">
        <v>1658</v>
      </c>
      <c r="AH67" s="302" t="s">
        <v>1908</v>
      </c>
      <c r="AI67" s="302" t="s">
        <v>1909</v>
      </c>
    </row>
    <row r="68" spans="1:35" ht="14.25" customHeight="1">
      <c r="A68" t="s">
        <v>2839</v>
      </c>
      <c r="B68" s="480" t="str" cm="1">
        <f t="array" ref="B68">LEFT(A68, 2) &amp; IF(Program_Banner= "Business Energy Savings", 2, IF(Program_Banner="Small Business / Non-Profit", 3, "#")) &amp; RIGHT(A68,6)</f>
        <v>112116024</v>
      </c>
      <c r="C68" s="431" t="s">
        <v>867</v>
      </c>
      <c r="D68" s="231">
        <v>175.2</v>
      </c>
      <c r="E68" s="231">
        <v>175.2</v>
      </c>
      <c r="F68" s="230" t="s">
        <v>2767</v>
      </c>
      <c r="G68" s="230" t="s">
        <v>938</v>
      </c>
      <c r="H68" s="230" t="s">
        <v>751</v>
      </c>
      <c r="I68" s="236" t="s">
        <v>2209</v>
      </c>
      <c r="J68" s="42">
        <v>40</v>
      </c>
      <c r="K68" s="42">
        <v>60</v>
      </c>
      <c r="L68" s="240"/>
      <c r="M68" s="42">
        <v>133</v>
      </c>
      <c r="N68" s="557">
        <v>91.209404491486552</v>
      </c>
      <c r="O68" s="379">
        <v>91.209404491486552</v>
      </c>
      <c r="P68" s="557">
        <v>2.2886681300763174E-2</v>
      </c>
      <c r="Q68" s="379">
        <v>2.2886681300763174E-2</v>
      </c>
      <c r="R68">
        <v>10</v>
      </c>
      <c r="S68" s="230" t="s">
        <v>1640</v>
      </c>
      <c r="T68" s="246">
        <v>20</v>
      </c>
      <c r="U68" s="230" t="s">
        <v>1641</v>
      </c>
      <c r="V68" s="246">
        <v>84.75</v>
      </c>
      <c r="W68" s="233"/>
      <c r="X68" s="238">
        <v>1</v>
      </c>
      <c r="Y68" s="232" t="s">
        <v>873</v>
      </c>
      <c r="Z68" s="230"/>
      <c r="AA68" s="230"/>
      <c r="AB68" s="230"/>
      <c r="AC68" s="230"/>
      <c r="AD68" s="230"/>
      <c r="AE68" s="230"/>
      <c r="AF68" s="230"/>
      <c r="AG68" s="230"/>
      <c r="AH68" s="408"/>
      <c r="AI68" s="408"/>
    </row>
    <row r="69" spans="1:35" ht="14.25" customHeight="1">
      <c r="A69" t="s">
        <v>2840</v>
      </c>
      <c r="B69" s="230" t="str" cm="1">
        <f t="array" ref="B69">LEFT(A69, 2) &amp; IF(Program_Banner= "Business Energy Savings", 2, IF(Program_Banner="Small Business / Non-Profit", 3, "#")) &amp; RIGHT(A69,6)</f>
        <v>112116023</v>
      </c>
      <c r="C69" s="431" t="s">
        <v>868</v>
      </c>
      <c r="D69" s="231">
        <v>174.8</v>
      </c>
      <c r="E69" s="231">
        <v>174.8</v>
      </c>
      <c r="F69" s="230" t="s">
        <v>2768</v>
      </c>
      <c r="G69" s="230" t="s">
        <v>938</v>
      </c>
      <c r="H69" s="230" t="s">
        <v>751</v>
      </c>
      <c r="I69" s="236" t="s">
        <v>2209</v>
      </c>
      <c r="J69" s="42">
        <v>40</v>
      </c>
      <c r="K69" s="42">
        <v>60</v>
      </c>
      <c r="L69" s="240"/>
      <c r="M69" s="42">
        <v>133</v>
      </c>
      <c r="N69" s="557">
        <v>91.209404491486552</v>
      </c>
      <c r="O69" s="379">
        <v>91.209404491486552</v>
      </c>
      <c r="P69" s="557">
        <v>2.2886681300763174E-2</v>
      </c>
      <c r="Q69" s="379">
        <v>2.2886681300763174E-2</v>
      </c>
      <c r="R69">
        <v>10</v>
      </c>
      <c r="S69" s="230" t="s">
        <v>1642</v>
      </c>
      <c r="T69" s="246">
        <v>20</v>
      </c>
      <c r="U69" s="230" t="s">
        <v>1641</v>
      </c>
      <c r="V69" s="246">
        <v>84.75</v>
      </c>
      <c r="W69" s="233"/>
      <c r="X69" s="238">
        <v>2</v>
      </c>
      <c r="Y69" s="232" t="s">
        <v>873</v>
      </c>
      <c r="Z69" s="230"/>
      <c r="AA69" s="230"/>
      <c r="AB69" s="230"/>
      <c r="AC69" s="230"/>
      <c r="AD69" s="230"/>
      <c r="AE69" s="230"/>
      <c r="AF69" s="230"/>
      <c r="AG69" s="230"/>
      <c r="AH69" s="408"/>
      <c r="AI69" s="408"/>
    </row>
    <row r="70" spans="1:35" ht="14.25" customHeight="1">
      <c r="A70" t="s">
        <v>2841</v>
      </c>
      <c r="B70" s="408" t="str" cm="1">
        <f t="array" ref="B70">LEFT(A70, 2) &amp; IF(Program_Banner= "Business Energy Savings", 2, IF(Program_Banner="Small Business / Non-Profit", 3, "#")) &amp; RIGHT(A70,6)</f>
        <v>112129001</v>
      </c>
      <c r="C70" s="408" t="s">
        <v>2073</v>
      </c>
      <c r="D70" s="413">
        <v>564.1</v>
      </c>
      <c r="E70" s="413">
        <v>564.1</v>
      </c>
      <c r="F70" s="408" t="s">
        <v>2073</v>
      </c>
      <c r="G70" s="230" t="s">
        <v>938</v>
      </c>
      <c r="H70" s="230" t="s">
        <v>96</v>
      </c>
      <c r="I70" s="414" t="s">
        <v>854</v>
      </c>
      <c r="J70" s="42">
        <v>80</v>
      </c>
      <c r="K70" s="42">
        <v>120</v>
      </c>
      <c r="L70" s="240"/>
      <c r="M70" s="42">
        <v>306</v>
      </c>
      <c r="N70" s="379">
        <v>518.12599999999998</v>
      </c>
      <c r="O70" s="379">
        <v>518.12599999999998</v>
      </c>
      <c r="P70" s="379">
        <v>8.3299999999999999E-2</v>
      </c>
      <c r="Q70" s="379">
        <v>8.3299999999999999E-2</v>
      </c>
      <c r="R70">
        <v>16</v>
      </c>
      <c r="S70" s="408" t="s">
        <v>2078</v>
      </c>
      <c r="T70" s="246">
        <v>137.69999999999999</v>
      </c>
      <c r="U70" s="408" t="s">
        <v>2083</v>
      </c>
      <c r="V70" s="246"/>
      <c r="W70" s="415"/>
      <c r="X70" s="298">
        <v>3</v>
      </c>
      <c r="Y70" s="232" t="s">
        <v>873</v>
      </c>
      <c r="Z70" s="408"/>
      <c r="AA70" s="408"/>
      <c r="AB70" s="408"/>
      <c r="AC70" s="408"/>
      <c r="AD70" s="408"/>
      <c r="AE70" s="408"/>
      <c r="AF70" s="408"/>
      <c r="AG70" s="408"/>
      <c r="AH70" s="408"/>
      <c r="AI70" s="408"/>
    </row>
    <row r="71" spans="1:35" ht="14.25" customHeight="1">
      <c r="A71" t="s">
        <v>2842</v>
      </c>
      <c r="B71" s="408" t="str" cm="1">
        <f t="array" ref="B71">LEFT(A71, 2) &amp; IF(Program_Banner= "Business Energy Savings", 2, IF(Program_Banner="Small Business / Non-Profit", 3, "#")) &amp; RIGHT(A71,6)</f>
        <v>112129002</v>
      </c>
      <c r="C71" s="408" t="s">
        <v>2060</v>
      </c>
      <c r="D71" s="413">
        <v>541.1</v>
      </c>
      <c r="E71" s="413">
        <v>541.1</v>
      </c>
      <c r="F71" s="408" t="s">
        <v>2060</v>
      </c>
      <c r="G71" s="230" t="s">
        <v>938</v>
      </c>
      <c r="H71" s="230" t="s">
        <v>96</v>
      </c>
      <c r="I71" s="414" t="s">
        <v>2210</v>
      </c>
      <c r="J71" s="42">
        <v>20</v>
      </c>
      <c r="K71" s="42">
        <v>30</v>
      </c>
      <c r="L71" s="240"/>
      <c r="M71" s="42">
        <v>161.75</v>
      </c>
      <c r="N71" s="379">
        <v>198</v>
      </c>
      <c r="O71" s="379">
        <v>198</v>
      </c>
      <c r="P71" s="379">
        <v>2.3E-2</v>
      </c>
      <c r="Q71" s="379">
        <v>2.3E-2</v>
      </c>
      <c r="R71">
        <v>13</v>
      </c>
      <c r="S71" s="408" t="s">
        <v>1644</v>
      </c>
      <c r="U71" s="408" t="s">
        <v>2079</v>
      </c>
      <c r="V71" s="246"/>
      <c r="W71" s="415"/>
      <c r="X71" s="298">
        <v>5</v>
      </c>
      <c r="Y71" s="232" t="s">
        <v>873</v>
      </c>
      <c r="Z71" s="408"/>
      <c r="AA71" s="408"/>
      <c r="AB71" s="408"/>
      <c r="AC71" s="408"/>
      <c r="AD71" s="408"/>
      <c r="AE71" s="408"/>
      <c r="AF71" s="408"/>
      <c r="AG71" s="408"/>
      <c r="AH71" s="408"/>
      <c r="AI71" s="408"/>
    </row>
    <row r="72" spans="1:35" ht="14.25" customHeight="1">
      <c r="A72" t="s">
        <v>2843</v>
      </c>
      <c r="B72" s="408" t="str" cm="1">
        <f t="array" ref="B72">LEFT(A72, 2) &amp; IF(Program_Banner= "Business Energy Savings", 2, IF(Program_Banner="Small Business / Non-Profit", 3, "#")) &amp; RIGHT(A72,6)</f>
        <v>112129003</v>
      </c>
      <c r="C72" s="408" t="s">
        <v>2244</v>
      </c>
      <c r="D72" s="413">
        <v>542.1</v>
      </c>
      <c r="E72" s="413">
        <v>542.1</v>
      </c>
      <c r="F72" s="408" t="s">
        <v>2061</v>
      </c>
      <c r="G72" s="230" t="s">
        <v>938</v>
      </c>
      <c r="H72" s="230" t="s">
        <v>96</v>
      </c>
      <c r="I72" s="414" t="s">
        <v>2210</v>
      </c>
      <c r="J72" s="42">
        <v>35</v>
      </c>
      <c r="K72" s="42">
        <v>55</v>
      </c>
      <c r="L72" s="240"/>
      <c r="M72" s="42">
        <v>161.75</v>
      </c>
      <c r="N72" s="379">
        <v>293</v>
      </c>
      <c r="O72" s="379">
        <v>293</v>
      </c>
      <c r="P72" s="379">
        <v>3.3000000000000002E-2</v>
      </c>
      <c r="Q72" s="379">
        <v>3.3000000000000002E-2</v>
      </c>
      <c r="R72">
        <v>13</v>
      </c>
      <c r="S72" s="408" t="s">
        <v>1644</v>
      </c>
      <c r="U72" s="408" t="s">
        <v>2079</v>
      </c>
      <c r="V72" s="246"/>
      <c r="W72" s="415"/>
      <c r="X72" s="298">
        <v>6</v>
      </c>
      <c r="Y72" s="232" t="s">
        <v>873</v>
      </c>
      <c r="Z72" s="408"/>
      <c r="AA72" s="408"/>
      <c r="AB72" s="408"/>
      <c r="AC72" s="408"/>
      <c r="AD72" s="408"/>
      <c r="AE72" s="408"/>
      <c r="AF72" s="408"/>
      <c r="AG72" s="408"/>
      <c r="AH72" s="408"/>
      <c r="AI72" s="408"/>
    </row>
    <row r="73" spans="1:35" ht="14.25" customHeight="1">
      <c r="A73" t="s">
        <v>2844</v>
      </c>
      <c r="B73" s="408" t="str" cm="1">
        <f t="array" ref="B73">LEFT(A73, 2) &amp; IF(Program_Banner= "Business Energy Savings", 2, IF(Program_Banner="Small Business / Non-Profit", 3, "#")) &amp; RIGHT(A73,6)</f>
        <v>112129004</v>
      </c>
      <c r="C73" s="408" t="s">
        <v>2245</v>
      </c>
      <c r="D73" s="413">
        <v>543.1</v>
      </c>
      <c r="E73" s="413">
        <v>543.1</v>
      </c>
      <c r="F73" s="408" t="s">
        <v>2062</v>
      </c>
      <c r="G73" s="230" t="s">
        <v>938</v>
      </c>
      <c r="H73" s="230" t="s">
        <v>96</v>
      </c>
      <c r="I73" s="414" t="s">
        <v>2210</v>
      </c>
      <c r="J73" s="42">
        <v>50</v>
      </c>
      <c r="K73" s="42">
        <v>75</v>
      </c>
      <c r="L73" s="240"/>
      <c r="M73" s="42">
        <v>161.75</v>
      </c>
      <c r="N73" s="379">
        <v>856</v>
      </c>
      <c r="O73" s="379">
        <v>856</v>
      </c>
      <c r="P73" s="379">
        <v>9.8000000000000004E-2</v>
      </c>
      <c r="Q73" s="379">
        <v>9.8000000000000004E-2</v>
      </c>
      <c r="R73">
        <v>13</v>
      </c>
      <c r="S73" s="408" t="s">
        <v>1644</v>
      </c>
      <c r="U73" s="408" t="s">
        <v>2079</v>
      </c>
      <c r="V73" s="246"/>
      <c r="W73" s="415"/>
      <c r="X73" s="298">
        <v>7</v>
      </c>
      <c r="Y73" s="232" t="s">
        <v>873</v>
      </c>
      <c r="Z73" s="408"/>
      <c r="AA73" s="408"/>
      <c r="AB73" s="408"/>
      <c r="AC73" s="408"/>
      <c r="AD73" s="408"/>
      <c r="AE73" s="408"/>
      <c r="AF73" s="408"/>
      <c r="AG73" s="408"/>
      <c r="AH73" s="408"/>
      <c r="AI73" s="408"/>
    </row>
    <row r="74" spans="1:35" ht="14.25" customHeight="1">
      <c r="A74" t="s">
        <v>2845</v>
      </c>
      <c r="B74" s="408" t="str" cm="1">
        <f t="array" ref="B74">LEFT(A74, 2) &amp; IF(Program_Banner= "Business Energy Savings", 2, IF(Program_Banner="Small Business / Non-Profit", 3, "#")) &amp; RIGHT(A74,6)</f>
        <v>112129005</v>
      </c>
      <c r="C74" s="408" t="s">
        <v>2063</v>
      </c>
      <c r="D74" s="413">
        <v>544.1</v>
      </c>
      <c r="E74" s="413">
        <v>544.1</v>
      </c>
      <c r="F74" s="408" t="s">
        <v>2063</v>
      </c>
      <c r="G74" s="230" t="s">
        <v>938</v>
      </c>
      <c r="H74" s="230" t="s">
        <v>96</v>
      </c>
      <c r="I74" s="414" t="s">
        <v>2210</v>
      </c>
      <c r="J74" s="42">
        <v>80</v>
      </c>
      <c r="K74" s="42">
        <v>120</v>
      </c>
      <c r="L74" s="240"/>
      <c r="M74" s="42">
        <v>161.75</v>
      </c>
      <c r="N74" s="379">
        <v>1419</v>
      </c>
      <c r="O74" s="379">
        <v>1419</v>
      </c>
      <c r="P74" s="379">
        <v>0.16200000000000001</v>
      </c>
      <c r="Q74" s="379">
        <v>0.16200000000000001</v>
      </c>
      <c r="R74">
        <v>13</v>
      </c>
      <c r="S74" s="408" t="s">
        <v>1644</v>
      </c>
      <c r="U74" s="408" t="s">
        <v>2079</v>
      </c>
      <c r="V74" s="246"/>
      <c r="W74" s="415"/>
      <c r="X74" s="298">
        <v>8</v>
      </c>
      <c r="Y74" s="232" t="s">
        <v>873</v>
      </c>
      <c r="Z74" s="408"/>
      <c r="AA74" s="408"/>
      <c r="AB74" s="408"/>
      <c r="AC74" s="408"/>
      <c r="AD74" s="408"/>
      <c r="AE74" s="408"/>
      <c r="AF74" s="408"/>
      <c r="AG74" s="408"/>
      <c r="AH74" s="408"/>
      <c r="AI74" s="408"/>
    </row>
    <row r="75" spans="1:35" ht="14.25" customHeight="1">
      <c r="A75" t="s">
        <v>2846</v>
      </c>
      <c r="B75" s="408" t="str" cm="1">
        <f t="array" ref="B75">LEFT(A75, 2) &amp; IF(Program_Banner= "Business Energy Savings", 2, IF(Program_Banner="Small Business / Non-Profit", 3, "#")) &amp; RIGHT(A75,6)</f>
        <v>112129006</v>
      </c>
      <c r="C75" s="408" t="s">
        <v>2064</v>
      </c>
      <c r="D75" s="413">
        <v>545.1</v>
      </c>
      <c r="E75" s="413">
        <v>545.1</v>
      </c>
      <c r="F75" s="408" t="s">
        <v>2064</v>
      </c>
      <c r="G75" s="230" t="s">
        <v>938</v>
      </c>
      <c r="H75" s="230" t="s">
        <v>96</v>
      </c>
      <c r="I75" s="414" t="s">
        <v>2210</v>
      </c>
      <c r="J75" s="42">
        <v>100</v>
      </c>
      <c r="K75" s="42">
        <v>150</v>
      </c>
      <c r="L75" s="240"/>
      <c r="M75" s="42">
        <v>161.75</v>
      </c>
      <c r="N75" s="379">
        <v>2126</v>
      </c>
      <c r="O75" s="379">
        <v>2126</v>
      </c>
      <c r="P75" s="379">
        <v>0.24299999999999999</v>
      </c>
      <c r="Q75" s="379">
        <v>0.24299999999999999</v>
      </c>
      <c r="R75">
        <v>13</v>
      </c>
      <c r="S75" s="408" t="s">
        <v>1644</v>
      </c>
      <c r="U75" s="408" t="s">
        <v>2079</v>
      </c>
      <c r="V75" s="246"/>
      <c r="W75" s="415"/>
      <c r="X75" s="298">
        <v>9</v>
      </c>
      <c r="Y75" s="232" t="s">
        <v>873</v>
      </c>
      <c r="Z75" s="408"/>
      <c r="AA75" s="408"/>
      <c r="AB75" s="408"/>
      <c r="AC75" s="408"/>
      <c r="AD75" s="408"/>
      <c r="AE75" s="408"/>
      <c r="AF75" s="408"/>
      <c r="AG75" s="408"/>
      <c r="AH75" s="408"/>
      <c r="AI75" s="408"/>
    </row>
    <row r="76" spans="1:35" ht="14.25" customHeight="1">
      <c r="A76" t="s">
        <v>2847</v>
      </c>
      <c r="B76" s="408" t="str" cm="1">
        <f t="array" ref="B76">LEFT(A76, 2) &amp; IF(Program_Banner= "Business Energy Savings", 2, IF(Program_Banner="Small Business / Non-Profit", 3, "#")) &amp; RIGHT(A76,6)</f>
        <v>112129007</v>
      </c>
      <c r="C76" s="408" t="s">
        <v>2065</v>
      </c>
      <c r="D76" s="413">
        <v>546.1</v>
      </c>
      <c r="E76" s="413">
        <v>546.1</v>
      </c>
      <c r="F76" s="408" t="s">
        <v>2065</v>
      </c>
      <c r="G76" s="230" t="s">
        <v>938</v>
      </c>
      <c r="H76" s="230" t="s">
        <v>96</v>
      </c>
      <c r="I76" s="414" t="s">
        <v>2210</v>
      </c>
      <c r="J76" s="42">
        <v>150</v>
      </c>
      <c r="K76" s="42">
        <v>225</v>
      </c>
      <c r="L76" s="240"/>
      <c r="M76" s="42">
        <v>161.75</v>
      </c>
      <c r="N76" s="379">
        <v>3209</v>
      </c>
      <c r="O76" s="379">
        <v>3209</v>
      </c>
      <c r="P76" s="379">
        <v>0.36599999999999999</v>
      </c>
      <c r="Q76" s="379">
        <v>0.36599999999999999</v>
      </c>
      <c r="R76">
        <v>13</v>
      </c>
      <c r="S76" s="408" t="s">
        <v>1644</v>
      </c>
      <c r="U76" s="408" t="s">
        <v>2079</v>
      </c>
      <c r="V76" s="246"/>
      <c r="W76" s="415"/>
      <c r="X76" s="298">
        <v>10</v>
      </c>
      <c r="Y76" s="232" t="s">
        <v>873</v>
      </c>
      <c r="Z76" s="408"/>
      <c r="AA76" s="408"/>
      <c r="AB76" s="408"/>
      <c r="AC76" s="408"/>
      <c r="AD76" s="408"/>
      <c r="AE76" s="408"/>
      <c r="AF76" s="408"/>
      <c r="AG76" s="408"/>
      <c r="AH76" s="408"/>
      <c r="AI76" s="408"/>
    </row>
    <row r="77" spans="1:35" ht="14.25" customHeight="1">
      <c r="A77" t="s">
        <v>2848</v>
      </c>
      <c r="B77" s="408" t="str" cm="1">
        <f t="array" ref="B77">LEFT(A77, 2) &amp; IF(Program_Banner= "Business Energy Savings", 2, IF(Program_Banner="Small Business / Non-Profit", 3, "#")) &amp; RIGHT(A77,6)</f>
        <v>112132004</v>
      </c>
      <c r="C77" s="408" t="s">
        <v>2072</v>
      </c>
      <c r="D77" s="413">
        <v>563.1</v>
      </c>
      <c r="E77" s="413">
        <v>563.1</v>
      </c>
      <c r="F77" s="408" t="s">
        <v>2072</v>
      </c>
      <c r="G77" s="230" t="s">
        <v>938</v>
      </c>
      <c r="H77" s="230" t="s">
        <v>96</v>
      </c>
      <c r="I77" s="414" t="s">
        <v>851</v>
      </c>
      <c r="J77" s="42">
        <v>45</v>
      </c>
      <c r="K77" s="42">
        <v>70</v>
      </c>
      <c r="L77" s="240"/>
      <c r="M77" s="42">
        <v>68.78</v>
      </c>
      <c r="N77" s="379">
        <v>1016.5309999999999</v>
      </c>
      <c r="O77" s="379">
        <v>1016.5309999999999</v>
      </c>
      <c r="P77" s="379">
        <v>1.5599999999999999E-2</v>
      </c>
      <c r="Q77" s="379">
        <v>1.5599999999999999E-2</v>
      </c>
      <c r="R77">
        <v>12</v>
      </c>
      <c r="S77" s="408" t="s">
        <v>2077</v>
      </c>
      <c r="U77" s="408" t="s">
        <v>2082</v>
      </c>
      <c r="V77" s="246"/>
      <c r="W77" s="415"/>
      <c r="X77" s="298">
        <v>11</v>
      </c>
      <c r="Y77" s="232" t="s">
        <v>873</v>
      </c>
      <c r="Z77" s="408"/>
      <c r="AA77" s="408"/>
      <c r="AB77" s="408"/>
      <c r="AC77" s="408"/>
      <c r="AD77" s="408"/>
      <c r="AE77" s="408"/>
      <c r="AF77" s="408"/>
      <c r="AG77" s="408"/>
      <c r="AH77" s="408"/>
      <c r="AI77" s="408"/>
    </row>
    <row r="78" spans="1:35" ht="14.25" customHeight="1">
      <c r="A78" t="s">
        <v>2849</v>
      </c>
      <c r="B78" s="408" t="str" cm="1">
        <f t="array" ref="B78">LEFT(A78, 2) &amp; IF(Program_Banner= "Business Energy Savings", 2, IF(Program_Banner="Small Business / Non-Profit", 3, "#")) &amp; RIGHT(A78,6)</f>
        <v>112132003</v>
      </c>
      <c r="C78" s="408" t="s">
        <v>2071</v>
      </c>
      <c r="D78" s="413">
        <v>562.1</v>
      </c>
      <c r="E78" s="413">
        <v>562.1</v>
      </c>
      <c r="F78" s="408" t="s">
        <v>2071</v>
      </c>
      <c r="G78" s="230" t="s">
        <v>938</v>
      </c>
      <c r="H78" s="230" t="s">
        <v>96</v>
      </c>
      <c r="I78" s="414" t="s">
        <v>851</v>
      </c>
      <c r="J78" s="42">
        <v>45</v>
      </c>
      <c r="K78" s="42">
        <v>70</v>
      </c>
      <c r="L78" s="240"/>
      <c r="M78" s="42">
        <v>68.78</v>
      </c>
      <c r="N78" s="379">
        <v>561.88980000000004</v>
      </c>
      <c r="O78" s="379">
        <v>561.88980000000004</v>
      </c>
      <c r="P78" s="379">
        <v>8.6E-3</v>
      </c>
      <c r="Q78" s="379">
        <v>8.6E-3</v>
      </c>
      <c r="R78">
        <v>12</v>
      </c>
      <c r="S78" s="408" t="s">
        <v>2077</v>
      </c>
      <c r="U78" s="408" t="s">
        <v>2082</v>
      </c>
      <c r="V78" s="246"/>
      <c r="W78" s="415"/>
      <c r="X78" s="298">
        <v>12</v>
      </c>
      <c r="Y78" s="232" t="s">
        <v>873</v>
      </c>
      <c r="Z78" s="408"/>
      <c r="AA78" s="408"/>
      <c r="AB78" s="408"/>
      <c r="AC78" s="408"/>
      <c r="AD78" s="408"/>
      <c r="AE78" s="408"/>
      <c r="AF78" s="408"/>
      <c r="AG78" s="408"/>
      <c r="AH78" s="408"/>
      <c r="AI78" s="408"/>
    </row>
    <row r="79" spans="1:35" ht="14.25" customHeight="1">
      <c r="A79" t="s">
        <v>2850</v>
      </c>
      <c r="B79" s="408" t="str" cm="1">
        <f t="array" ref="B79">LEFT(A79, 2) &amp; IF(Program_Banner= "Business Energy Savings", 2, IF(Program_Banner="Small Business / Non-Profit", 3, "#")) &amp; RIGHT(A79,6)</f>
        <v>112132007</v>
      </c>
      <c r="C79" s="408" t="s">
        <v>2070</v>
      </c>
      <c r="D79" s="413">
        <v>561.1</v>
      </c>
      <c r="E79" s="413">
        <v>561.1</v>
      </c>
      <c r="F79" s="408" t="s">
        <v>2070</v>
      </c>
      <c r="G79" s="230" t="s">
        <v>938</v>
      </c>
      <c r="H79" s="230" t="s">
        <v>96</v>
      </c>
      <c r="I79" s="414" t="s">
        <v>851</v>
      </c>
      <c r="J79" s="42">
        <v>45</v>
      </c>
      <c r="K79" s="42">
        <v>70</v>
      </c>
      <c r="L79" s="240"/>
      <c r="M79" s="42">
        <v>68.78</v>
      </c>
      <c r="N79" s="379">
        <v>1333.7474999999999</v>
      </c>
      <c r="O79" s="379">
        <v>1333.7474999999999</v>
      </c>
      <c r="P79" s="379">
        <v>3.27E-2</v>
      </c>
      <c r="Q79" s="379">
        <v>3.27E-2</v>
      </c>
      <c r="R79">
        <v>12</v>
      </c>
      <c r="S79" s="408" t="s">
        <v>2077</v>
      </c>
      <c r="U79" s="408" t="s">
        <v>2082</v>
      </c>
      <c r="V79" s="246"/>
      <c r="W79" s="415"/>
      <c r="X79" s="298">
        <v>13</v>
      </c>
      <c r="Y79" s="232" t="s">
        <v>873</v>
      </c>
      <c r="Z79" s="408"/>
      <c r="AA79" s="408"/>
      <c r="AB79" s="408"/>
      <c r="AC79" s="408"/>
      <c r="AD79" s="408"/>
      <c r="AE79" s="408"/>
      <c r="AF79" s="408"/>
      <c r="AG79" s="408"/>
      <c r="AH79" s="408"/>
      <c r="AI79" s="408"/>
    </row>
    <row r="80" spans="1:35" ht="14.25" customHeight="1">
      <c r="A80" t="s">
        <v>2851</v>
      </c>
      <c r="B80" s="408" t="str" cm="1">
        <f t="array" ref="B80">LEFT(A80, 2) &amp; IF(Program_Banner= "Business Energy Savings", 2, IF(Program_Banner="Small Business / Non-Profit", 3, "#")) &amp; RIGHT(A80,6)</f>
        <v>112132005</v>
      </c>
      <c r="C80" s="408" t="s">
        <v>2068</v>
      </c>
      <c r="D80" s="413">
        <v>559.1</v>
      </c>
      <c r="E80" s="413">
        <v>559.1</v>
      </c>
      <c r="F80" s="408" t="s">
        <v>2068</v>
      </c>
      <c r="G80" s="230" t="s">
        <v>938</v>
      </c>
      <c r="H80" s="230" t="s">
        <v>96</v>
      </c>
      <c r="I80" s="414" t="s">
        <v>851</v>
      </c>
      <c r="J80" s="42">
        <v>45</v>
      </c>
      <c r="K80" s="42">
        <v>70</v>
      </c>
      <c r="L80" s="240"/>
      <c r="M80" s="42">
        <v>68.78</v>
      </c>
      <c r="N80" s="379">
        <v>921.75220000000002</v>
      </c>
      <c r="O80" s="379">
        <v>921.75220000000002</v>
      </c>
      <c r="P80" s="379">
        <v>2.2599999999999999E-2</v>
      </c>
      <c r="Q80" s="379">
        <v>2.2599999999999999E-2</v>
      </c>
      <c r="R80">
        <v>12</v>
      </c>
      <c r="S80" s="408" t="s">
        <v>2077</v>
      </c>
      <c r="U80" s="408" t="s">
        <v>2082</v>
      </c>
      <c r="V80" s="246"/>
      <c r="W80" s="415"/>
      <c r="X80" s="298">
        <v>14</v>
      </c>
      <c r="Y80" s="232" t="s">
        <v>873</v>
      </c>
      <c r="Z80" s="408"/>
      <c r="AA80" s="408"/>
      <c r="AB80" s="408"/>
      <c r="AC80" s="408"/>
      <c r="AD80" s="408"/>
      <c r="AE80" s="408"/>
      <c r="AF80" s="408"/>
      <c r="AG80" s="408"/>
      <c r="AH80" s="408"/>
      <c r="AI80" s="408"/>
    </row>
    <row r="81" spans="1:42" ht="14.25" customHeight="1">
      <c r="A81" t="s">
        <v>2852</v>
      </c>
      <c r="B81" s="408" t="str" cm="1">
        <f t="array" ref="B81">LEFT(A81, 2) &amp; IF(Program_Banner= "Business Energy Savings", 2, IF(Program_Banner="Small Business / Non-Profit", 3, "#")) &amp; RIGHT(A81,6)</f>
        <v>112132006</v>
      </c>
      <c r="C81" s="408" t="s">
        <v>2069</v>
      </c>
      <c r="D81" s="413">
        <v>560.1</v>
      </c>
      <c r="E81" s="413">
        <v>560.1</v>
      </c>
      <c r="F81" s="408" t="s">
        <v>2069</v>
      </c>
      <c r="G81" s="230" t="s">
        <v>938</v>
      </c>
      <c r="H81" s="230" t="s">
        <v>96</v>
      </c>
      <c r="I81" s="414" t="s">
        <v>851</v>
      </c>
      <c r="J81" s="42">
        <v>45</v>
      </c>
      <c r="K81" s="42">
        <v>70</v>
      </c>
      <c r="L81" s="240"/>
      <c r="M81" s="42">
        <v>68.78</v>
      </c>
      <c r="N81" s="379">
        <v>377.08049999999997</v>
      </c>
      <c r="O81" s="379">
        <v>377.08049999999997</v>
      </c>
      <c r="P81" s="379">
        <v>9.2999999999999992E-3</v>
      </c>
      <c r="Q81" s="379">
        <v>9.2999999999999992E-3</v>
      </c>
      <c r="R81">
        <v>12</v>
      </c>
      <c r="S81" s="408" t="s">
        <v>2077</v>
      </c>
      <c r="U81" s="408" t="s">
        <v>2082</v>
      </c>
      <c r="V81" s="246"/>
      <c r="W81" s="415"/>
      <c r="X81" s="298">
        <v>15</v>
      </c>
      <c r="Y81" s="232" t="s">
        <v>873</v>
      </c>
      <c r="Z81" s="408"/>
      <c r="AA81" s="408"/>
      <c r="AB81" s="408"/>
      <c r="AC81" s="408"/>
      <c r="AD81" s="408"/>
      <c r="AE81" s="408"/>
      <c r="AF81" s="408"/>
      <c r="AG81" s="408"/>
      <c r="AH81" s="408"/>
      <c r="AI81" s="408"/>
    </row>
    <row r="82" spans="1:42" ht="14.25" customHeight="1">
      <c r="A82" t="s">
        <v>2853</v>
      </c>
      <c r="B82" s="230" t="str" cm="1">
        <f t="array" ref="B82">LEFT(A82, 2) &amp; IF(Program_Banner= "Business Energy Savings", 2, IF(Program_Banner="Small Business / Non-Profit", 3, "#")) &amp; RIGHT(A82,6)</f>
        <v>112129009</v>
      </c>
      <c r="C82" s="230" t="s">
        <v>855</v>
      </c>
      <c r="D82" s="231">
        <v>261.5</v>
      </c>
      <c r="E82" s="231">
        <v>261.5</v>
      </c>
      <c r="F82" s="230" t="s">
        <v>855</v>
      </c>
      <c r="G82" s="230" t="s">
        <v>938</v>
      </c>
      <c r="H82" s="230" t="s">
        <v>96</v>
      </c>
      <c r="I82" s="236" t="s">
        <v>2211</v>
      </c>
      <c r="J82" s="42">
        <v>5</v>
      </c>
      <c r="K82" s="42">
        <v>7.5</v>
      </c>
      <c r="L82" s="240"/>
      <c r="M82" s="42">
        <v>10.220000000000001</v>
      </c>
      <c r="N82" s="379">
        <v>119.9</v>
      </c>
      <c r="O82" s="379">
        <v>119.9</v>
      </c>
      <c r="P82" s="379">
        <v>1.37E-2</v>
      </c>
      <c r="Q82" s="379">
        <v>1.37E-2</v>
      </c>
      <c r="R82">
        <v>4</v>
      </c>
      <c r="S82" s="230" t="s">
        <v>2074</v>
      </c>
      <c r="T82" s="246">
        <v>119.9</v>
      </c>
      <c r="U82" s="230" t="s">
        <v>1643</v>
      </c>
      <c r="V82" s="246"/>
      <c r="W82" s="233"/>
      <c r="X82" s="238">
        <v>19</v>
      </c>
      <c r="Y82" s="232" t="s">
        <v>873</v>
      </c>
      <c r="Z82" s="230"/>
      <c r="AA82" s="230"/>
      <c r="AB82" s="230"/>
      <c r="AC82" s="230"/>
      <c r="AD82" s="230"/>
      <c r="AE82" s="230"/>
      <c r="AF82" s="230"/>
      <c r="AG82" s="230"/>
      <c r="AH82" s="408"/>
      <c r="AI82" s="408"/>
    </row>
    <row r="83" spans="1:42" ht="14.25" customHeight="1">
      <c r="A83" t="s">
        <v>2854</v>
      </c>
      <c r="B83" s="230" t="str" cm="1">
        <f t="array" ref="B83">LEFT(A83, 2) &amp; IF(Program_Banner= "Business Energy Savings", 2, IF(Program_Banner="Small Business / Non-Profit", 3, "#")) &amp; RIGHT(A83,6)</f>
        <v>112129008</v>
      </c>
      <c r="C83" s="230" t="s">
        <v>856</v>
      </c>
      <c r="D83" s="231">
        <v>260.5</v>
      </c>
      <c r="E83" s="231">
        <v>260.5</v>
      </c>
      <c r="F83" s="230" t="s">
        <v>856</v>
      </c>
      <c r="G83" s="230" t="s">
        <v>938</v>
      </c>
      <c r="H83" s="230" t="s">
        <v>96</v>
      </c>
      <c r="I83" s="236" t="s">
        <v>2211</v>
      </c>
      <c r="J83" s="42">
        <v>7</v>
      </c>
      <c r="K83" s="42">
        <v>10.5</v>
      </c>
      <c r="L83" s="240"/>
      <c r="M83" s="42">
        <v>10.220000000000001</v>
      </c>
      <c r="N83" s="379">
        <v>494.3</v>
      </c>
      <c r="O83" s="379">
        <v>494.3</v>
      </c>
      <c r="P83" s="379">
        <v>5.6399999999999999E-2</v>
      </c>
      <c r="Q83" s="379">
        <v>5.6399999999999999E-2</v>
      </c>
      <c r="R83">
        <v>4</v>
      </c>
      <c r="S83" s="230" t="s">
        <v>2074</v>
      </c>
      <c r="T83" s="246">
        <v>494.3</v>
      </c>
      <c r="U83" s="230" t="s">
        <v>1643</v>
      </c>
      <c r="V83" s="246"/>
      <c r="W83" s="233"/>
      <c r="X83" s="238">
        <v>20</v>
      </c>
      <c r="Y83" s="232" t="s">
        <v>873</v>
      </c>
      <c r="Z83" s="230"/>
      <c r="AA83" s="230"/>
      <c r="AB83" s="230"/>
      <c r="AC83" s="230"/>
      <c r="AD83" s="230"/>
      <c r="AE83" s="230"/>
      <c r="AF83" s="230"/>
      <c r="AG83" s="230"/>
      <c r="AH83" s="408"/>
      <c r="AI83" s="408"/>
    </row>
    <row r="84" spans="1:42" ht="14.25" customHeight="1">
      <c r="A84" t="s">
        <v>2855</v>
      </c>
      <c r="B84" s="408" t="str" cm="1">
        <f t="array" ref="B84">LEFT(A84, 2) &amp; IF(Program_Banner= "Business Energy Savings", 2, IF(Program_Banner="Small Business / Non-Profit", 3, "#")) &amp; RIGHT(A84,6)</f>
        <v>112132001</v>
      </c>
      <c r="C84" s="408" t="s">
        <v>2066</v>
      </c>
      <c r="D84" s="413">
        <v>557.1</v>
      </c>
      <c r="E84" s="413">
        <v>557.1</v>
      </c>
      <c r="F84" s="408" t="s">
        <v>2066</v>
      </c>
      <c r="G84" s="230" t="s">
        <v>938</v>
      </c>
      <c r="H84" s="230" t="s">
        <v>96</v>
      </c>
      <c r="I84" s="414" t="s">
        <v>87</v>
      </c>
      <c r="J84" s="42">
        <v>70</v>
      </c>
      <c r="K84" s="42">
        <v>105</v>
      </c>
      <c r="L84" s="240"/>
      <c r="M84" s="42">
        <v>502</v>
      </c>
      <c r="N84" s="379">
        <v>2399</v>
      </c>
      <c r="O84" s="557">
        <v>2399</v>
      </c>
      <c r="P84" s="379">
        <v>0.621</v>
      </c>
      <c r="Q84" s="557">
        <v>0.621</v>
      </c>
      <c r="R84">
        <v>8</v>
      </c>
      <c r="S84" s="408" t="s">
        <v>2075</v>
      </c>
      <c r="T84" s="246">
        <v>0</v>
      </c>
      <c r="U84" s="408" t="s">
        <v>2080</v>
      </c>
      <c r="V84" s="246"/>
      <c r="W84" s="415"/>
      <c r="X84" s="298">
        <v>21</v>
      </c>
      <c r="Y84" s="232" t="s">
        <v>873</v>
      </c>
      <c r="Z84" s="408"/>
      <c r="AA84" s="408"/>
      <c r="AB84" s="408"/>
      <c r="AC84" s="408"/>
      <c r="AD84" s="408"/>
      <c r="AE84" s="408"/>
      <c r="AF84" s="408"/>
      <c r="AG84" s="408"/>
      <c r="AH84" s="408"/>
      <c r="AI84" s="408"/>
    </row>
    <row r="85" spans="1:42" ht="14.25" customHeight="1">
      <c r="A85" t="s">
        <v>2856</v>
      </c>
      <c r="B85" s="408" t="str" cm="1">
        <f t="array" ref="B85">LEFT(A85, 2) &amp; IF(Program_Banner= "Business Energy Savings", 2, IF(Program_Banner="Small Business / Non-Profit", 3, "#")) &amp; RIGHT(A85,6)</f>
        <v>112132002</v>
      </c>
      <c r="C85" s="408" t="s">
        <v>2067</v>
      </c>
      <c r="D85" s="413">
        <v>558.1</v>
      </c>
      <c r="E85" s="413">
        <v>558.1</v>
      </c>
      <c r="F85" s="408" t="s">
        <v>2067</v>
      </c>
      <c r="G85" s="230" t="s">
        <v>938</v>
      </c>
      <c r="H85" s="230" t="s">
        <v>96</v>
      </c>
      <c r="I85" s="414" t="s">
        <v>87</v>
      </c>
      <c r="J85" s="42">
        <v>100</v>
      </c>
      <c r="K85" s="42">
        <v>150</v>
      </c>
      <c r="L85" s="240"/>
      <c r="M85" s="42">
        <v>502</v>
      </c>
      <c r="N85" s="379">
        <v>6949</v>
      </c>
      <c r="O85" s="557">
        <v>6949</v>
      </c>
      <c r="P85" s="379">
        <v>1.3</v>
      </c>
      <c r="Q85" s="557">
        <v>1.3</v>
      </c>
      <c r="R85">
        <v>8</v>
      </c>
      <c r="S85" s="408" t="s">
        <v>2076</v>
      </c>
      <c r="T85" s="246">
        <v>0</v>
      </c>
      <c r="U85" s="408" t="s">
        <v>2081</v>
      </c>
      <c r="V85" s="246"/>
      <c r="W85" s="415"/>
      <c r="X85" s="298">
        <v>22</v>
      </c>
      <c r="Y85" s="232" t="s">
        <v>873</v>
      </c>
      <c r="Z85" s="408"/>
      <c r="AA85" s="408"/>
      <c r="AB85" s="408"/>
      <c r="AC85" s="408"/>
      <c r="AD85" s="408"/>
      <c r="AE85" s="408"/>
      <c r="AF85" s="408"/>
      <c r="AG85" s="408"/>
      <c r="AH85" s="408"/>
      <c r="AI85" s="408"/>
    </row>
    <row r="87" spans="1:42" ht="14.25" customHeight="1">
      <c r="A87" s="51"/>
      <c r="B87" s="234" t="s">
        <v>85</v>
      </c>
      <c r="C87" s="234" t="s">
        <v>839</v>
      </c>
      <c r="D87" s="399" t="s">
        <v>3077</v>
      </c>
      <c r="E87" s="399" t="s">
        <v>3078</v>
      </c>
      <c r="F87" s="399" t="s">
        <v>857</v>
      </c>
      <c r="G87" s="399" t="s">
        <v>0</v>
      </c>
      <c r="H87" s="234" t="s">
        <v>841</v>
      </c>
      <c r="I87" s="400" t="s">
        <v>842</v>
      </c>
      <c r="J87" s="235" t="s">
        <v>2765</v>
      </c>
      <c r="K87" s="235" t="s">
        <v>2764</v>
      </c>
      <c r="L87" s="235" t="s">
        <v>1276</v>
      </c>
      <c r="M87" s="399" t="s">
        <v>843</v>
      </c>
      <c r="N87" s="399" t="s">
        <v>3079</v>
      </c>
      <c r="O87" s="399" t="s">
        <v>3082</v>
      </c>
      <c r="P87" s="399" t="s">
        <v>3081</v>
      </c>
      <c r="Q87" s="399" t="s">
        <v>3080</v>
      </c>
      <c r="R87" s="399" t="s">
        <v>846</v>
      </c>
      <c r="S87" s="399" t="s">
        <v>1350</v>
      </c>
      <c r="T87" s="399" t="s">
        <v>847</v>
      </c>
      <c r="U87" s="399" t="s">
        <v>848</v>
      </c>
      <c r="V87" s="399" t="s">
        <v>849</v>
      </c>
      <c r="W87" s="399" t="s">
        <v>850</v>
      </c>
      <c r="X87" s="234" t="s">
        <v>336</v>
      </c>
      <c r="Y87" s="234" t="s">
        <v>1701</v>
      </c>
      <c r="Z87" s="451" t="s">
        <v>2227</v>
      </c>
      <c r="AA87" s="370" t="s">
        <v>2226</v>
      </c>
      <c r="AB87" s="234" t="s">
        <v>1256</v>
      </c>
      <c r="AC87" s="234" t="s">
        <v>1257</v>
      </c>
      <c r="AD87" s="258" t="s">
        <v>1655</v>
      </c>
      <c r="AE87" s="258" t="s">
        <v>1656</v>
      </c>
      <c r="AF87" s="452" t="s">
        <v>2228</v>
      </c>
      <c r="AG87" s="370" t="s">
        <v>2229</v>
      </c>
      <c r="AH87" s="453" t="s">
        <v>2230</v>
      </c>
      <c r="AI87" s="371" t="s">
        <v>2231</v>
      </c>
      <c r="AJ87" s="402"/>
      <c r="AK87" t="s">
        <v>85</v>
      </c>
      <c r="AL87" t="s">
        <v>2248</v>
      </c>
      <c r="AM87" t="s">
        <v>2249</v>
      </c>
      <c r="AN87" t="s">
        <v>2250</v>
      </c>
      <c r="AO87" t="s">
        <v>2251</v>
      </c>
      <c r="AP87" t="s">
        <v>336</v>
      </c>
    </row>
    <row r="88" spans="1:42" ht="14.25" customHeight="1">
      <c r="A88" t="s">
        <v>2857</v>
      </c>
      <c r="B88" s="408" t="str" cm="1">
        <f t="array" ref="B88">LEFT(A88, 2) &amp; IF(Program_Banner= "Business Energy Savings", 2, IF(Program_Banner="Small Business / Non-Profit", 3, "#")) &amp; RIGHT(A88,6)</f>
        <v>112312001</v>
      </c>
      <c r="C88" s="239" t="s">
        <v>1814</v>
      </c>
      <c r="D88" s="559">
        <v>0.15</v>
      </c>
      <c r="E88" s="559">
        <v>0.16</v>
      </c>
      <c r="F88" s="230" t="s">
        <v>1342</v>
      </c>
      <c r="G88" s="230" t="s">
        <v>2779</v>
      </c>
      <c r="H88" s="230" t="s">
        <v>1349</v>
      </c>
      <c r="I88" s="414" t="str">
        <f ca="1">"per ton per"&amp;" "&amp;CLHVAC[[#This Row],[Eff Unit 1]]</f>
        <v>per ton per SEER2</v>
      </c>
      <c r="J88" s="42">
        <v>24</v>
      </c>
      <c r="K88" s="42">
        <v>36</v>
      </c>
      <c r="L88" s="240"/>
      <c r="M88" s="455">
        <v>49.48</v>
      </c>
      <c r="N88" s="456">
        <v>74.880200000000002</v>
      </c>
      <c r="O88" s="456">
        <v>74.880200000000002</v>
      </c>
      <c r="P88" s="456">
        <v>4.5400000000000003E-2</v>
      </c>
      <c r="Q88" s="456">
        <v>4.5400000000000003E-2</v>
      </c>
      <c r="R88">
        <v>15</v>
      </c>
      <c r="S88" s="230"/>
      <c r="T88" s="232"/>
      <c r="U88" s="230"/>
      <c r="V88" s="417"/>
      <c r="W88" s="233"/>
      <c r="X88" s="238">
        <v>1</v>
      </c>
      <c r="Y88" s="232" t="s">
        <v>874</v>
      </c>
      <c r="Z88" s="232" t="str">
        <f ca="1">IF(CLHVAC[[#This Row],[Base Efficiency 1]]=13.4,"SEER2","SEER")</f>
        <v>SEER2</v>
      </c>
      <c r="AA88"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13.4</v>
      </c>
      <c r="AB88" s="418">
        <v>0</v>
      </c>
      <c r="AC88" s="418">
        <f>65/12</f>
        <v>5.416666666666667</v>
      </c>
      <c r="AD88" s="230">
        <v>1281</v>
      </c>
      <c r="AE88" s="230"/>
      <c r="AF88" s="37" t="str">
        <f ca="1">IF(CLHVAC[[#This Row],[Eff Unit 1]]="SEER2","EER2","EER")</f>
        <v>EER2</v>
      </c>
      <c r="AG88"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11.180000000000003</v>
      </c>
      <c r="AH88" s="408"/>
      <c r="AI88"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88" s="402"/>
      <c r="AK88" s="230" t="str">
        <f>CLHVAC[[#This Row],[Measure Number]]</f>
        <v>112312001</v>
      </c>
      <c r="AL88" t="s">
        <v>2252</v>
      </c>
      <c r="AM88" t="s">
        <v>2253</v>
      </c>
      <c r="AP88">
        <v>1</v>
      </c>
    </row>
    <row r="89" spans="1:42" ht="14.25" customHeight="1">
      <c r="A89" t="s">
        <v>2858</v>
      </c>
      <c r="B89" s="230" t="str" cm="1">
        <f t="array" ref="B89">LEFT(A89, 2) &amp; IF(Program_Banner= "Business Energy Savings", 2, IF(Program_Banner="Small Business / Non-Profit", 3, "#")) &amp; RIGHT(A89,6)</f>
        <v>112312002</v>
      </c>
      <c r="C89" s="230" t="s">
        <v>1813</v>
      </c>
      <c r="D89" s="559">
        <v>0.15</v>
      </c>
      <c r="E89" s="559">
        <v>0.16</v>
      </c>
      <c r="F89" s="230" t="s">
        <v>1346</v>
      </c>
      <c r="G89" s="230" t="s">
        <v>2779</v>
      </c>
      <c r="H89" s="230" t="s">
        <v>1349</v>
      </c>
      <c r="I89" s="414" t="s">
        <v>2213</v>
      </c>
      <c r="J89" s="42">
        <v>22</v>
      </c>
      <c r="K89" s="42">
        <v>33</v>
      </c>
      <c r="L89" s="240"/>
      <c r="M89" s="455">
        <v>49.04</v>
      </c>
      <c r="N89" s="456">
        <v>63.666800000000002</v>
      </c>
      <c r="O89" s="456">
        <v>63.666800000000002</v>
      </c>
      <c r="P89" s="456">
        <v>4.6699999999999998E-2</v>
      </c>
      <c r="Q89" s="456">
        <v>4.6699999999999998E-2</v>
      </c>
      <c r="R89">
        <v>15</v>
      </c>
      <c r="S89" s="230"/>
      <c r="T89" s="232"/>
      <c r="U89" s="394"/>
      <c r="V89" s="417"/>
      <c r="W89" s="233"/>
      <c r="X89" s="238">
        <v>2</v>
      </c>
      <c r="Y89" s="232" t="s">
        <v>874</v>
      </c>
      <c r="Z89" s="232" t="s">
        <v>1654</v>
      </c>
      <c r="AA89"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14.6</v>
      </c>
      <c r="AB89" s="418">
        <f>65/12</f>
        <v>5.416666666666667</v>
      </c>
      <c r="AC89" s="418">
        <f>135/12</f>
        <v>11.25</v>
      </c>
      <c r="AD89" s="230">
        <v>1281</v>
      </c>
      <c r="AE89" s="230"/>
      <c r="AF89" s="37" t="s">
        <v>1652</v>
      </c>
      <c r="AG89"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v>
      </c>
      <c r="AH89" s="408"/>
      <c r="AI89"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89" s="402"/>
      <c r="AK89" s="230" t="str">
        <f>CLHVAC[[#This Row],[Measure Number]]</f>
        <v>112312002</v>
      </c>
      <c r="AL89" t="s">
        <v>2252</v>
      </c>
      <c r="AM89" t="s">
        <v>2253</v>
      </c>
      <c r="AP89">
        <v>2</v>
      </c>
    </row>
    <row r="90" spans="1:42" ht="14.25" customHeight="1">
      <c r="A90" t="s">
        <v>2859</v>
      </c>
      <c r="B90" s="230" t="str" cm="1">
        <f t="array" ref="B90">LEFT(A90, 2) &amp; IF(Program_Banner= "Business Energy Savings", 2, IF(Program_Banner="Small Business / Non-Profit", 3, "#")) &amp; RIGHT(A90,6)</f>
        <v>112312003</v>
      </c>
      <c r="C90" s="230" t="s">
        <v>1812</v>
      </c>
      <c r="D90" s="559">
        <v>0.15</v>
      </c>
      <c r="E90" s="559">
        <v>0.16</v>
      </c>
      <c r="F90" s="230" t="s">
        <v>1344</v>
      </c>
      <c r="G90" s="230" t="s">
        <v>2779</v>
      </c>
      <c r="H90" s="230" t="s">
        <v>1349</v>
      </c>
      <c r="I90" s="414" t="s">
        <v>2213</v>
      </c>
      <c r="J90" s="42">
        <v>22</v>
      </c>
      <c r="K90" s="42">
        <v>33</v>
      </c>
      <c r="L90" s="240"/>
      <c r="M90" s="455">
        <v>38.25</v>
      </c>
      <c r="N90" s="456">
        <v>66.610500000000002</v>
      </c>
      <c r="O90" s="456">
        <v>66.610500000000002</v>
      </c>
      <c r="P90" s="456">
        <v>3.73E-2</v>
      </c>
      <c r="Q90" s="456">
        <v>3.73E-2</v>
      </c>
      <c r="R90">
        <v>15</v>
      </c>
      <c r="S90" s="230"/>
      <c r="T90" s="232"/>
      <c r="U90" s="394"/>
      <c r="V90" s="417"/>
      <c r="W90" s="233"/>
      <c r="X90" s="238">
        <v>3</v>
      </c>
      <c r="Y90" s="232" t="s">
        <v>874</v>
      </c>
      <c r="Z90" s="232" t="s">
        <v>1654</v>
      </c>
      <c r="AA90"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v>
      </c>
      <c r="AB90" s="418">
        <f>135/12</f>
        <v>11.25</v>
      </c>
      <c r="AC90" s="418">
        <f>240/12</f>
        <v>20</v>
      </c>
      <c r="AD90" s="230">
        <v>1281</v>
      </c>
      <c r="AE90" s="230"/>
      <c r="AF90" s="37" t="s">
        <v>1652</v>
      </c>
      <c r="AG90"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10.8</v>
      </c>
      <c r="AH90" s="408"/>
      <c r="AI90"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0" s="402"/>
      <c r="AK90" s="230" t="str">
        <f>CLHVAC[[#This Row],[Measure Number]]</f>
        <v>112312003</v>
      </c>
      <c r="AL90" t="s">
        <v>2252</v>
      </c>
      <c r="AM90" t="s">
        <v>2253</v>
      </c>
      <c r="AP90">
        <v>3</v>
      </c>
    </row>
    <row r="91" spans="1:42" ht="14.25" customHeight="1">
      <c r="A91" t="s">
        <v>2860</v>
      </c>
      <c r="B91" s="230" t="str" cm="1">
        <f t="array" ref="B91">LEFT(A91, 2) &amp; IF(Program_Banner= "Business Energy Savings", 2, IF(Program_Banner="Small Business / Non-Profit", 3, "#")) &amp; RIGHT(A91,6)</f>
        <v>112312004</v>
      </c>
      <c r="C91" s="230" t="s">
        <v>1821</v>
      </c>
      <c r="D91" s="559">
        <v>0.15</v>
      </c>
      <c r="E91" s="559">
        <v>0.16</v>
      </c>
      <c r="F91" s="230" t="s">
        <v>1345</v>
      </c>
      <c r="G91" s="230" t="s">
        <v>2779</v>
      </c>
      <c r="H91" s="230" t="s">
        <v>1349</v>
      </c>
      <c r="I91" s="414" t="s">
        <v>2213</v>
      </c>
      <c r="J91" s="42">
        <v>18</v>
      </c>
      <c r="K91" s="42">
        <v>27</v>
      </c>
      <c r="L91" s="240"/>
      <c r="M91" s="455">
        <v>10.4</v>
      </c>
      <c r="N91" s="456">
        <v>75.128399999999999</v>
      </c>
      <c r="O91" s="456">
        <v>75.128399999999999</v>
      </c>
      <c r="P91" s="456">
        <v>5.5800000000000002E-2</v>
      </c>
      <c r="Q91" s="456">
        <v>5.5800000000000002E-2</v>
      </c>
      <c r="R91">
        <v>15</v>
      </c>
      <c r="S91" s="230"/>
      <c r="T91" s="232"/>
      <c r="U91" s="394"/>
      <c r="V91" s="417"/>
      <c r="W91" s="233"/>
      <c r="X91" s="238">
        <v>4</v>
      </c>
      <c r="Y91" s="232" t="s">
        <v>874</v>
      </c>
      <c r="Z91" s="232" t="s">
        <v>1654</v>
      </c>
      <c r="AA91"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v>
      </c>
      <c r="AB91" s="418">
        <f>240/12</f>
        <v>20</v>
      </c>
      <c r="AC91" s="418">
        <f>760/12</f>
        <v>63.333333333333336</v>
      </c>
      <c r="AD91" s="230">
        <v>1281</v>
      </c>
      <c r="AE91" s="230"/>
      <c r="AF91" s="37" t="s">
        <v>1652</v>
      </c>
      <c r="AG91"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9.8000000000000007</v>
      </c>
      <c r="AH91" s="408"/>
      <c r="AI91"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1" s="402"/>
      <c r="AK91" s="230" t="str">
        <f>CLHVAC[[#This Row],[Measure Number]]</f>
        <v>112312004</v>
      </c>
      <c r="AL91" t="s">
        <v>2252</v>
      </c>
      <c r="AM91" t="s">
        <v>2253</v>
      </c>
      <c r="AP91">
        <v>4</v>
      </c>
    </row>
    <row r="92" spans="1:42" ht="14.25" customHeight="1">
      <c r="A92" t="s">
        <v>2861</v>
      </c>
      <c r="B92" s="230" t="str" cm="1">
        <f t="array" ref="B92">LEFT(A92, 2) &amp; IF(Program_Banner= "Business Energy Savings", 2, IF(Program_Banner="Small Business / Non-Profit", 3, "#")) &amp; RIGHT(A92,6)</f>
        <v>112312005</v>
      </c>
      <c r="C92" s="230" t="s">
        <v>1818</v>
      </c>
      <c r="D92" s="559">
        <v>0.15</v>
      </c>
      <c r="E92" s="559">
        <v>0.16</v>
      </c>
      <c r="F92" s="230" t="s">
        <v>1343</v>
      </c>
      <c r="G92" s="230" t="s">
        <v>2779</v>
      </c>
      <c r="H92" s="230" t="s">
        <v>1349</v>
      </c>
      <c r="I92" s="414" t="s">
        <v>2213</v>
      </c>
      <c r="J92" s="42">
        <v>18</v>
      </c>
      <c r="K92" s="42">
        <v>27</v>
      </c>
      <c r="L92" s="240"/>
      <c r="M92" s="455">
        <v>23.17</v>
      </c>
      <c r="N92" s="456">
        <v>92.369299999999996</v>
      </c>
      <c r="O92" s="456">
        <v>92.369299999999996</v>
      </c>
      <c r="P92" s="456">
        <v>0.12859999999999999</v>
      </c>
      <c r="Q92" s="456">
        <v>0.12859999999999999</v>
      </c>
      <c r="R92">
        <v>15</v>
      </c>
      <c r="S92" s="230"/>
      <c r="T92" s="232"/>
      <c r="U92" s="394"/>
      <c r="V92" s="417"/>
      <c r="W92" s="233"/>
      <c r="X92" s="238">
        <v>5</v>
      </c>
      <c r="Y92" s="232" t="s">
        <v>874</v>
      </c>
      <c r="Z92" s="232" t="s">
        <v>1654</v>
      </c>
      <c r="AA92"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9.6</v>
      </c>
      <c r="AB92" s="418">
        <f>760/12</f>
        <v>63.333333333333336</v>
      </c>
      <c r="AC92" s="418">
        <v>9999</v>
      </c>
      <c r="AD92" s="230">
        <v>1281</v>
      </c>
      <c r="AE92" s="230"/>
      <c r="AF92" s="37" t="s">
        <v>1652</v>
      </c>
      <c r="AG92"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v>
      </c>
      <c r="AH92" s="408"/>
      <c r="AI92"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2" s="402"/>
      <c r="AK92" s="230" t="str">
        <f>CLHVAC[[#This Row],[Measure Number]]</f>
        <v>112312005</v>
      </c>
      <c r="AL92" t="s">
        <v>2252</v>
      </c>
      <c r="AM92" t="s">
        <v>2253</v>
      </c>
      <c r="AP92">
        <v>5</v>
      </c>
    </row>
    <row r="93" spans="1:42" ht="14.25" customHeight="1">
      <c r="A93" t="s">
        <v>2862</v>
      </c>
      <c r="B93" s="230" t="str" cm="1">
        <f t="array" ref="B93">LEFT(A93, 2) &amp; IF(Program_Banner= "Business Energy Savings", 2, IF(Program_Banner="Small Business / Non-Profit", 3, "#")) &amp; RIGHT(A93,6)</f>
        <v>112309001</v>
      </c>
      <c r="C93" s="230" t="s">
        <v>1815</v>
      </c>
      <c r="D93" s="559">
        <v>0.15</v>
      </c>
      <c r="E93" s="559">
        <v>0.16</v>
      </c>
      <c r="F93" s="230" t="s">
        <v>1338</v>
      </c>
      <c r="G93" s="230" t="s">
        <v>2779</v>
      </c>
      <c r="H93" s="230" t="s">
        <v>94</v>
      </c>
      <c r="I93" s="414" t="s">
        <v>2265</v>
      </c>
      <c r="J93" s="42">
        <v>40</v>
      </c>
      <c r="K93" s="42">
        <v>60</v>
      </c>
      <c r="L93" s="240"/>
      <c r="M93" s="455">
        <v>106.38</v>
      </c>
      <c r="N93" s="456">
        <v>139.4819</v>
      </c>
      <c r="O93" s="456">
        <v>139.4819</v>
      </c>
      <c r="P93" s="456">
        <v>7.4099999999999999E-2</v>
      </c>
      <c r="Q93" s="456">
        <v>7.4099999999999999E-2</v>
      </c>
      <c r="R93">
        <v>16</v>
      </c>
      <c r="S93" s="230" t="s">
        <v>2260</v>
      </c>
      <c r="T93" s="419"/>
      <c r="U93" s="230" t="s">
        <v>2264</v>
      </c>
      <c r="V93" s="417"/>
      <c r="W93" s="233"/>
      <c r="X93" s="238">
        <v>6</v>
      </c>
      <c r="Y93" s="232" t="s">
        <v>874</v>
      </c>
      <c r="Z93" s="232" t="str">
        <f ca="1">IF(CLHVAC[[#This Row],[Base Efficiency 1]]=14.3,"SEER2","SEER")</f>
        <v>SEER2</v>
      </c>
      <c r="AA93"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14.3</v>
      </c>
      <c r="AB93" s="418">
        <v>0</v>
      </c>
      <c r="AC93" s="418">
        <f>65/12</f>
        <v>5.416666666666667</v>
      </c>
      <c r="AD93" s="230">
        <v>1281</v>
      </c>
      <c r="AE93" s="230">
        <v>1224</v>
      </c>
      <c r="AF93" s="37" t="str">
        <f ca="1">IF(CLHVAC[[#This Row],[Eff Unit 1]]="SEER2","HSPF2","HSPF")</f>
        <v>HSPF2</v>
      </c>
      <c r="AG93"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7.7</v>
      </c>
      <c r="AH93" s="408" t="str">
        <f ca="1">IF(CLHVAC[[#This Row],[Eff Unit 1]]="SEER2","EER2","EER")</f>
        <v>EER2</v>
      </c>
      <c r="AI93" s="408">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11.180000000000003</v>
      </c>
      <c r="AJ93" s="402"/>
      <c r="AK93" s="230" t="str">
        <f>CLHVAC[[#This Row],[Measure Number]]</f>
        <v>112309001</v>
      </c>
      <c r="AL93" t="s">
        <v>2252</v>
      </c>
      <c r="AM93" t="s">
        <v>2254</v>
      </c>
      <c r="AN93" t="s">
        <v>2253</v>
      </c>
      <c r="AO93" s="37" t="s">
        <v>2255</v>
      </c>
      <c r="AP93">
        <v>6</v>
      </c>
    </row>
    <row r="94" spans="1:42" ht="14.25" customHeight="1">
      <c r="A94" t="s">
        <v>2863</v>
      </c>
      <c r="B94" s="482" t="str" cm="1">
        <f t="array" ref="B94">LEFT(A94, 2) &amp; IF(Program_Banner= "Business Energy Savings", 2, IF(Program_Banner="Small Business / Non-Profit", 3, "#")) &amp; RIGHT(A94,6)</f>
        <v>112309002</v>
      </c>
      <c r="C94" s="230" t="s">
        <v>1816</v>
      </c>
      <c r="D94" s="559">
        <v>0.15</v>
      </c>
      <c r="E94" s="559">
        <v>0.16</v>
      </c>
      <c r="F94" s="230" t="s">
        <v>1338</v>
      </c>
      <c r="G94" s="230" t="s">
        <v>2779</v>
      </c>
      <c r="H94" s="230" t="s">
        <v>94</v>
      </c>
      <c r="I94" s="414" t="s">
        <v>2265</v>
      </c>
      <c r="J94" s="42">
        <v>40</v>
      </c>
      <c r="K94" s="42">
        <v>60</v>
      </c>
      <c r="L94" s="240"/>
      <c r="M94" s="455">
        <v>106.38</v>
      </c>
      <c r="N94" s="456">
        <v>139.4819</v>
      </c>
      <c r="O94" s="456">
        <v>139.4819</v>
      </c>
      <c r="P94" s="456">
        <v>7.4099999999999999E-2</v>
      </c>
      <c r="Q94" s="456">
        <v>7.4099999999999999E-2</v>
      </c>
      <c r="R94">
        <v>16</v>
      </c>
      <c r="S94" s="230" t="s">
        <v>2260</v>
      </c>
      <c r="T94" s="419"/>
      <c r="U94" s="230" t="s">
        <v>2264</v>
      </c>
      <c r="V94" s="417"/>
      <c r="W94" s="233"/>
      <c r="X94" s="238">
        <v>7</v>
      </c>
      <c r="Y94" s="232" t="s">
        <v>874</v>
      </c>
      <c r="Z94" s="232" t="str">
        <f ca="1">IF(CLHVAC[[#This Row],[Base Efficiency 1]]=13.4,"SEER2","SEER")</f>
        <v>SEER2</v>
      </c>
      <c r="AA94"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13.4</v>
      </c>
      <c r="AB94" s="418">
        <v>0</v>
      </c>
      <c r="AC94" s="418">
        <f>65/12</f>
        <v>5.416666666666667</v>
      </c>
      <c r="AD94" s="230">
        <v>1281</v>
      </c>
      <c r="AE94" s="230">
        <v>1224</v>
      </c>
      <c r="AF94" s="37" t="str">
        <f ca="1">IF(CLHVAC[[#This Row],[Eff Unit 1]]="SEER2","HSPF2","HSPF")</f>
        <v>HSPF2</v>
      </c>
      <c r="AG94"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7.7</v>
      </c>
      <c r="AH94" s="408" t="str">
        <f ca="1">IF(CLHVAC[[#This Row],[Eff Unit 1]]="SEER2","EER2","EER")</f>
        <v>EER2</v>
      </c>
      <c r="AI94" s="408">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11.180000000000003</v>
      </c>
      <c r="AJ94" s="402"/>
      <c r="AK94" s="539" t="str">
        <f>CLHVAC[[#This Row],[Measure Number]]</f>
        <v>112309002</v>
      </c>
      <c r="AL94" t="s">
        <v>2252</v>
      </c>
      <c r="AM94" t="s">
        <v>2254</v>
      </c>
      <c r="AN94" t="s">
        <v>2253</v>
      </c>
      <c r="AO94" s="37" t="s">
        <v>2255</v>
      </c>
      <c r="AP94">
        <v>7</v>
      </c>
    </row>
    <row r="95" spans="1:42" ht="14.25" customHeight="1">
      <c r="A95" t="s">
        <v>2864</v>
      </c>
      <c r="B95" s="408" t="str" cm="1">
        <f t="array" ref="B95">LEFT(A95, 2) &amp; IF(Program_Banner= "Business Energy Savings", 2, IF(Program_Banner="Small Business / Non-Profit", 3, "#")) &amp; RIGHT(A95,6)</f>
        <v>112309003</v>
      </c>
      <c r="C95" s="230" t="s">
        <v>1817</v>
      </c>
      <c r="D95" s="559">
        <v>0.15</v>
      </c>
      <c r="E95" s="559">
        <v>0.16</v>
      </c>
      <c r="F95" s="230" t="s">
        <v>1341</v>
      </c>
      <c r="G95" s="230" t="s">
        <v>2779</v>
      </c>
      <c r="H95" s="230" t="s">
        <v>94</v>
      </c>
      <c r="I95" s="414" t="s">
        <v>2213</v>
      </c>
      <c r="J95" s="42">
        <v>40</v>
      </c>
      <c r="K95" s="42">
        <v>60</v>
      </c>
      <c r="L95" s="240"/>
      <c r="M95" s="455">
        <v>71.94</v>
      </c>
      <c r="N95" s="456">
        <v>115.3879</v>
      </c>
      <c r="O95" s="456">
        <v>115.3879</v>
      </c>
      <c r="P95" s="456">
        <v>5.16E-2</v>
      </c>
      <c r="Q95" s="456">
        <v>5.16E-2</v>
      </c>
      <c r="R95">
        <v>16</v>
      </c>
      <c r="S95" s="230" t="s">
        <v>2259</v>
      </c>
      <c r="T95" s="419"/>
      <c r="U95" s="230" t="s">
        <v>2261</v>
      </c>
      <c r="V95" s="417"/>
      <c r="W95" s="233"/>
      <c r="X95" s="238">
        <v>8</v>
      </c>
      <c r="Y95" s="232" t="s">
        <v>874</v>
      </c>
      <c r="Z95" s="232" t="s">
        <v>1654</v>
      </c>
      <c r="AA95"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13.9</v>
      </c>
      <c r="AB95" s="418">
        <f>65/12</f>
        <v>5.416666666666667</v>
      </c>
      <c r="AC95" s="418">
        <f>135/12</f>
        <v>11.25</v>
      </c>
      <c r="AD95" s="230">
        <v>1281</v>
      </c>
      <c r="AE95" s="230">
        <v>1224</v>
      </c>
      <c r="AF95" s="37" t="s">
        <v>1657</v>
      </c>
      <c r="AG95"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3.4</v>
      </c>
      <c r="AH95" s="408" t="s">
        <v>1652</v>
      </c>
      <c r="AI95" s="408">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10.8</v>
      </c>
      <c r="AJ95" s="402"/>
      <c r="AK95" s="408" t="str">
        <f>CLHVAC[[#This Row],[Measure Number]]</f>
        <v>112309003</v>
      </c>
      <c r="AL95" t="s">
        <v>2252</v>
      </c>
      <c r="AM95" t="s">
        <v>2256</v>
      </c>
      <c r="AN95" t="s">
        <v>2253</v>
      </c>
      <c r="AO95" s="37" t="s">
        <v>2255</v>
      </c>
      <c r="AP95">
        <v>8</v>
      </c>
    </row>
    <row r="96" spans="1:42" ht="14.25" customHeight="1">
      <c r="A96" t="s">
        <v>2865</v>
      </c>
      <c r="B96" s="408" t="str" cm="1">
        <f t="array" ref="B96">LEFT(A96, 2) &amp; IF(Program_Banner= "Business Energy Savings", 2, IF(Program_Banner="Small Business / Non-Profit", 3, "#")) &amp; RIGHT(A96,6)</f>
        <v>112309004</v>
      </c>
      <c r="C96" s="230" t="s">
        <v>1819</v>
      </c>
      <c r="D96" s="559">
        <v>0.15</v>
      </c>
      <c r="E96" s="559">
        <v>0.16</v>
      </c>
      <c r="F96" s="230" t="s">
        <v>1340</v>
      </c>
      <c r="G96" s="230" t="s">
        <v>2779</v>
      </c>
      <c r="H96" s="230" t="s">
        <v>94</v>
      </c>
      <c r="I96" s="414" t="s">
        <v>2213</v>
      </c>
      <c r="J96" s="42">
        <v>45</v>
      </c>
      <c r="K96" s="42">
        <v>70</v>
      </c>
      <c r="L96" s="240"/>
      <c r="M96" s="455">
        <v>75.19</v>
      </c>
      <c r="N96" s="456">
        <v>125.3672</v>
      </c>
      <c r="O96" s="456">
        <v>125.3672</v>
      </c>
      <c r="P96" s="456">
        <v>5.6300000000000003E-2</v>
      </c>
      <c r="Q96" s="456">
        <v>5.6300000000000003E-2</v>
      </c>
      <c r="R96">
        <v>16</v>
      </c>
      <c r="S96" s="230" t="s">
        <v>2259</v>
      </c>
      <c r="T96" s="419"/>
      <c r="U96" s="230" t="s">
        <v>2262</v>
      </c>
      <c r="V96" s="417"/>
      <c r="W96" s="233"/>
      <c r="X96" s="238">
        <v>9</v>
      </c>
      <c r="Y96" s="232" t="s">
        <v>874</v>
      </c>
      <c r="Z96" s="232" t="s">
        <v>1654</v>
      </c>
      <c r="AA96"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13.3</v>
      </c>
      <c r="AB96" s="418">
        <f>135/12</f>
        <v>11.25</v>
      </c>
      <c r="AC96" s="418">
        <f>240/12</f>
        <v>20</v>
      </c>
      <c r="AD96" s="230">
        <v>1281</v>
      </c>
      <c r="AE96" s="230">
        <v>1224</v>
      </c>
      <c r="AF96" s="37" t="s">
        <v>1657</v>
      </c>
      <c r="AG96"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3.3</v>
      </c>
      <c r="AH96" s="408" t="s">
        <v>1652</v>
      </c>
      <c r="AI96" s="408">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10.4</v>
      </c>
      <c r="AJ96" s="402"/>
      <c r="AK96" s="408" t="str">
        <f>CLHVAC[[#This Row],[Measure Number]]</f>
        <v>112309004</v>
      </c>
      <c r="AL96" t="s">
        <v>2252</v>
      </c>
      <c r="AM96" t="s">
        <v>2256</v>
      </c>
      <c r="AN96" t="s">
        <v>2253</v>
      </c>
      <c r="AO96" s="37" t="s">
        <v>2255</v>
      </c>
      <c r="AP96">
        <v>9</v>
      </c>
    </row>
    <row r="97" spans="1:42" ht="14.25" customHeight="1">
      <c r="A97" t="s">
        <v>2866</v>
      </c>
      <c r="B97" s="230" t="str" cm="1">
        <f t="array" ref="B97">LEFT(A97, 2) &amp; IF(Program_Banner= "Business Energy Savings", 2, IF(Program_Banner="Small Business / Non-Profit", 3, "#")) &amp; RIGHT(A97,6)</f>
        <v>112309005</v>
      </c>
      <c r="C97" s="230" t="s">
        <v>1824</v>
      </c>
      <c r="D97" s="559">
        <v>0.15</v>
      </c>
      <c r="E97" s="559">
        <v>0.16</v>
      </c>
      <c r="F97" s="230" t="s">
        <v>1339</v>
      </c>
      <c r="G97" s="230" t="s">
        <v>2779</v>
      </c>
      <c r="H97" s="230" t="s">
        <v>94</v>
      </c>
      <c r="I97" s="414" t="s">
        <v>2213</v>
      </c>
      <c r="J97" s="42">
        <v>45</v>
      </c>
      <c r="K97" s="42">
        <v>70</v>
      </c>
      <c r="L97" s="240"/>
      <c r="M97" s="455">
        <v>81.3</v>
      </c>
      <c r="N97" s="456">
        <v>144.07149999999999</v>
      </c>
      <c r="O97" s="456">
        <v>144.07149999999999</v>
      </c>
      <c r="P97" s="456">
        <v>6.5799999999999997E-2</v>
      </c>
      <c r="Q97" s="456">
        <v>6.5799999999999997E-2</v>
      </c>
      <c r="R97">
        <v>16</v>
      </c>
      <c r="S97" s="230" t="s">
        <v>2259</v>
      </c>
      <c r="T97" s="419"/>
      <c r="U97" s="230" t="s">
        <v>2263</v>
      </c>
      <c r="V97" s="417"/>
      <c r="W97" s="233"/>
      <c r="X97" s="238">
        <v>10</v>
      </c>
      <c r="Y97" s="232" t="s">
        <v>874</v>
      </c>
      <c r="Z97" s="232" t="s">
        <v>1654</v>
      </c>
      <c r="AA97"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12.3</v>
      </c>
      <c r="AB97" s="418">
        <f>240/12</f>
        <v>20</v>
      </c>
      <c r="AC97" s="418">
        <v>9999</v>
      </c>
      <c r="AD97" s="230">
        <v>1281</v>
      </c>
      <c r="AE97" s="230">
        <v>1224</v>
      </c>
      <c r="AF97" s="37" t="s">
        <v>1657</v>
      </c>
      <c r="AG97"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3.2</v>
      </c>
      <c r="AH97" s="408" t="s">
        <v>1652</v>
      </c>
      <c r="AI97" s="408">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9.3000000000000007</v>
      </c>
      <c r="AJ97" s="402"/>
      <c r="AK97" s="230" t="str">
        <f>CLHVAC[[#This Row],[Measure Number]]</f>
        <v>112309005</v>
      </c>
      <c r="AL97" t="s">
        <v>2252</v>
      </c>
      <c r="AM97" t="s">
        <v>2256</v>
      </c>
      <c r="AN97" t="s">
        <v>2253</v>
      </c>
      <c r="AO97" s="37" t="s">
        <v>2255</v>
      </c>
      <c r="AP97">
        <v>10</v>
      </c>
    </row>
    <row r="98" spans="1:42" ht="14.25" customHeight="1">
      <c r="A98" t="s">
        <v>2867</v>
      </c>
      <c r="B98" s="408" t="str" cm="1">
        <f t="array" ref="B98">LEFT(A98, 2) &amp; IF(Program_Banner= "Business Energy Savings", 2, IF(Program_Banner="Small Business / Non-Profit", 3, "#")) &amp; RIGHT(A98,6)</f>
        <v>112312006</v>
      </c>
      <c r="C98" s="239" t="s">
        <v>2761</v>
      </c>
      <c r="D98" s="560">
        <v>0.15</v>
      </c>
      <c r="E98" s="559">
        <v>0.16</v>
      </c>
      <c r="F98" s="230" t="s">
        <v>1347</v>
      </c>
      <c r="G98" s="230" t="s">
        <v>2779</v>
      </c>
      <c r="H98" s="230" t="s">
        <v>94</v>
      </c>
      <c r="I98" s="414" t="s">
        <v>2763</v>
      </c>
      <c r="J98" s="42">
        <v>120</v>
      </c>
      <c r="K98" s="42">
        <v>180</v>
      </c>
      <c r="L98" s="240"/>
      <c r="M98" s="455">
        <v>1047</v>
      </c>
      <c r="N98" s="456">
        <v>324.59730000000002</v>
      </c>
      <c r="O98" s="456">
        <v>324.59730000000002</v>
      </c>
      <c r="P98" s="456">
        <v>0.1966</v>
      </c>
      <c r="Q98" s="456">
        <v>0.1966</v>
      </c>
      <c r="R98">
        <v>3</v>
      </c>
      <c r="S98" s="230" t="s">
        <v>2218</v>
      </c>
      <c r="T98" s="419"/>
      <c r="U98" s="230" t="s">
        <v>2222</v>
      </c>
      <c r="V98" s="417"/>
      <c r="W98" s="233"/>
      <c r="X98" s="238">
        <v>11</v>
      </c>
      <c r="Y98" s="232" t="s">
        <v>874</v>
      </c>
      <c r="Z98" s="246" t="s">
        <v>1652</v>
      </c>
      <c r="AA98"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10.4</v>
      </c>
      <c r="AB98" s="418">
        <v>0</v>
      </c>
      <c r="AC98" s="418">
        <v>50</v>
      </c>
      <c r="AD98" s="230">
        <v>1281</v>
      </c>
      <c r="AE98" s="230"/>
      <c r="AF98" s="37" t="s">
        <v>1657</v>
      </c>
      <c r="AG98"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v>
      </c>
      <c r="AH98" s="408"/>
      <c r="AI98"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8" s="402"/>
      <c r="AK98" s="408" t="str">
        <f>CLHVAC[[#This Row],[Measure Number]]</f>
        <v>112312006</v>
      </c>
      <c r="AL98" t="s">
        <v>2253</v>
      </c>
      <c r="AM98" t="s">
        <v>2256</v>
      </c>
      <c r="AO98" s="37"/>
      <c r="AP98">
        <v>11</v>
      </c>
    </row>
    <row r="99" spans="1:42" ht="14.25" customHeight="1">
      <c r="A99" t="s">
        <v>2868</v>
      </c>
      <c r="B99" s="230" t="str" cm="1">
        <f t="array" ref="B99">LEFT(A99, 2) &amp; IF(Program_Banner= "Business Energy Savings", 2, IF(Program_Banner="Small Business / Non-Profit", 3, "#")) &amp; RIGHT(A99,6)</f>
        <v>112312007</v>
      </c>
      <c r="C99" s="239" t="s">
        <v>2762</v>
      </c>
      <c r="D99" s="560">
        <v>0.15</v>
      </c>
      <c r="E99" s="559">
        <v>0.16</v>
      </c>
      <c r="F99" s="230" t="s">
        <v>1348</v>
      </c>
      <c r="G99" s="230" t="s">
        <v>2779</v>
      </c>
      <c r="H99" s="230" t="s">
        <v>94</v>
      </c>
      <c r="I99" s="414" t="s">
        <v>2763</v>
      </c>
      <c r="J99" s="42">
        <v>220</v>
      </c>
      <c r="K99" s="42">
        <v>330</v>
      </c>
      <c r="L99" s="240"/>
      <c r="M99" s="455">
        <v>1047</v>
      </c>
      <c r="N99" s="456">
        <v>531.62270000000001</v>
      </c>
      <c r="O99" s="456">
        <v>531.62270000000001</v>
      </c>
      <c r="P99" s="456">
        <v>0.23130000000000001</v>
      </c>
      <c r="Q99" s="456">
        <v>0.23130000000000001</v>
      </c>
      <c r="R99">
        <v>3</v>
      </c>
      <c r="S99" s="230" t="s">
        <v>2218</v>
      </c>
      <c r="T99" s="419"/>
      <c r="U99" s="230" t="s">
        <v>2222</v>
      </c>
      <c r="V99" s="417"/>
      <c r="W99" s="233"/>
      <c r="X99" s="238">
        <v>12</v>
      </c>
      <c r="Y99" s="232" t="s">
        <v>874</v>
      </c>
      <c r="Z99" s="246" t="s">
        <v>1652</v>
      </c>
      <c r="AA99"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10.4</v>
      </c>
      <c r="AB99" s="418">
        <v>0</v>
      </c>
      <c r="AC99" s="418">
        <v>50</v>
      </c>
      <c r="AD99" s="230">
        <v>1281</v>
      </c>
      <c r="AE99" s="230">
        <v>1224</v>
      </c>
      <c r="AF99" s="37" t="s">
        <v>1657</v>
      </c>
      <c r="AG99"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3.0760000000000001</v>
      </c>
      <c r="AH99" s="408"/>
      <c r="AI99"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9" s="402"/>
      <c r="AK99" s="230" t="str">
        <f>CLHVAC[[#This Row],[Measure Number]]</f>
        <v>112312007</v>
      </c>
      <c r="AL99" t="s">
        <v>2253</v>
      </c>
      <c r="AM99" t="s">
        <v>2256</v>
      </c>
      <c r="AO99" s="37" t="s">
        <v>2255</v>
      </c>
      <c r="AP99">
        <v>12</v>
      </c>
    </row>
    <row r="100" spans="1:42" ht="14.25" customHeight="1">
      <c r="A100" t="s">
        <v>2869</v>
      </c>
      <c r="B100" s="408" t="str" cm="1">
        <f t="array" ref="B100">LEFT(A100, 2) &amp; IF(Program_Banner= "Business Energy Savings", 2, IF(Program_Banner="Small Business / Non-Profit", 3, "#")) &amp; RIGHT(A100,6)</f>
        <v>112306001</v>
      </c>
      <c r="C100" s="431" t="s">
        <v>1885</v>
      </c>
      <c r="D100" s="572">
        <v>0.15</v>
      </c>
      <c r="E100" s="573">
        <v>0.16</v>
      </c>
      <c r="F100" s="565" t="s">
        <v>1885</v>
      </c>
      <c r="G100" s="431" t="s">
        <v>2779</v>
      </c>
      <c r="H100" s="431" t="s">
        <v>1349</v>
      </c>
      <c r="I100" s="574" t="s">
        <v>2214</v>
      </c>
      <c r="J100" s="546">
        <v>28</v>
      </c>
      <c r="K100" s="546">
        <v>42</v>
      </c>
      <c r="L100" s="575"/>
      <c r="M100" s="576">
        <v>123.77</v>
      </c>
      <c r="N100" s="577">
        <v>72.139799999999994</v>
      </c>
      <c r="O100" s="577">
        <v>72.139799999999994</v>
      </c>
      <c r="P100" s="577">
        <v>3.7100000000000001E-2</v>
      </c>
      <c r="Q100" s="577">
        <v>3.7100000000000001E-2</v>
      </c>
      <c r="R100" s="51">
        <v>23</v>
      </c>
      <c r="S100" s="565" t="s">
        <v>2220</v>
      </c>
      <c r="T100" s="578"/>
      <c r="U100" s="565" t="s">
        <v>2224</v>
      </c>
      <c r="V100" s="566"/>
      <c r="W100" s="567"/>
      <c r="X100" s="430">
        <v>13</v>
      </c>
      <c r="Y100" s="568" t="s">
        <v>874</v>
      </c>
      <c r="Z100" s="547" t="s">
        <v>2232</v>
      </c>
      <c r="AA100" s="56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12.5</v>
      </c>
      <c r="AB100" s="570">
        <v>0</v>
      </c>
      <c r="AC100" s="570">
        <v>149.99</v>
      </c>
      <c r="AD100" s="408">
        <v>1281</v>
      </c>
      <c r="AE100" s="565"/>
      <c r="AF100" s="571" t="s">
        <v>2266</v>
      </c>
      <c r="AG100" s="56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9.5619999999999994</v>
      </c>
      <c r="AH100" s="565"/>
      <c r="AI100" s="565"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0" s="402"/>
      <c r="AK100" s="408" t="str">
        <f>CLHVAC[[#This Row],[Measure Number]]</f>
        <v>112306001</v>
      </c>
      <c r="AL100" t="s">
        <v>2252</v>
      </c>
      <c r="AM100" t="s">
        <v>2253</v>
      </c>
      <c r="AP100">
        <v>13</v>
      </c>
    </row>
    <row r="101" spans="1:42" ht="14.25" customHeight="1">
      <c r="A101" t="s">
        <v>2870</v>
      </c>
      <c r="B101" s="408" t="str" cm="1">
        <f t="array" ref="B101">LEFT(A101, 2) &amp; IF(Program_Banner= "Business Energy Savings", 2, IF(Program_Banner="Small Business / Non-Profit", 3, "#")) &amp; RIGHT(A101,6)</f>
        <v>112306002</v>
      </c>
      <c r="C101" s="431" t="s">
        <v>1886</v>
      </c>
      <c r="D101" s="579">
        <v>0.15</v>
      </c>
      <c r="E101" s="573">
        <v>0.16</v>
      </c>
      <c r="F101" s="565" t="s">
        <v>1886</v>
      </c>
      <c r="G101" s="431" t="s">
        <v>2779</v>
      </c>
      <c r="H101" s="431" t="s">
        <v>1349</v>
      </c>
      <c r="I101" s="574" t="s">
        <v>2214</v>
      </c>
      <c r="J101" s="546">
        <v>30</v>
      </c>
      <c r="K101" s="546">
        <v>45</v>
      </c>
      <c r="L101" s="575"/>
      <c r="M101" s="576">
        <v>35.119999999999997</v>
      </c>
      <c r="N101" s="577">
        <v>76.067599999999999</v>
      </c>
      <c r="O101" s="577">
        <v>76.067599999999999</v>
      </c>
      <c r="P101" s="577">
        <v>7.6200000000000004E-2</v>
      </c>
      <c r="Q101" s="577">
        <v>7.6200000000000004E-2</v>
      </c>
      <c r="R101" s="51">
        <v>23</v>
      </c>
      <c r="S101" s="565" t="s">
        <v>2220</v>
      </c>
      <c r="T101" s="578"/>
      <c r="U101" s="565" t="s">
        <v>2224</v>
      </c>
      <c r="V101" s="566"/>
      <c r="W101" s="567"/>
      <c r="X101" s="430">
        <v>14</v>
      </c>
      <c r="Y101" s="568" t="s">
        <v>874</v>
      </c>
      <c r="Z101" s="547" t="s">
        <v>2232</v>
      </c>
      <c r="AA101" s="56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12.75</v>
      </c>
      <c r="AB101" s="570">
        <v>150</v>
      </c>
      <c r="AC101" s="570">
        <v>9999</v>
      </c>
      <c r="AD101" s="408">
        <v>1281</v>
      </c>
      <c r="AE101" s="565"/>
      <c r="AF101" s="571" t="s">
        <v>2266</v>
      </c>
      <c r="AG101" s="56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9.5619999999999994</v>
      </c>
      <c r="AH101" s="565"/>
      <c r="AI101" s="565"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1" s="402"/>
      <c r="AK101" s="408" t="str">
        <f>CLHVAC[[#This Row],[Measure Number]]</f>
        <v>112306002</v>
      </c>
      <c r="AL101" t="s">
        <v>2252</v>
      </c>
      <c r="AM101" t="s">
        <v>2253</v>
      </c>
      <c r="AP101">
        <v>14</v>
      </c>
    </row>
    <row r="102" spans="1:42" ht="14.25" customHeight="1">
      <c r="A102" t="s">
        <v>2871</v>
      </c>
      <c r="B102" s="408" t="str" cm="1">
        <f t="array" ref="B102">LEFT(A102, 2) &amp; IF(Program_Banner= "Business Energy Savings", 2, IF(Program_Banner="Small Business / Non-Profit", 3, "#")) &amp; RIGHT(A102,6)</f>
        <v>112306003</v>
      </c>
      <c r="C102" s="230" t="s">
        <v>1898</v>
      </c>
      <c r="D102" s="560">
        <v>0.15</v>
      </c>
      <c r="E102" s="559">
        <v>0.16</v>
      </c>
      <c r="F102" s="408" t="s">
        <v>1887</v>
      </c>
      <c r="G102" s="230" t="s">
        <v>2779</v>
      </c>
      <c r="H102" s="230" t="s">
        <v>1349</v>
      </c>
      <c r="I102" s="414" t="s">
        <v>2215</v>
      </c>
      <c r="J102" s="42">
        <v>630</v>
      </c>
      <c r="K102" s="42">
        <v>950</v>
      </c>
      <c r="L102" s="240"/>
      <c r="M102" s="455">
        <v>2316.67</v>
      </c>
      <c r="N102" s="456">
        <v>1281</v>
      </c>
      <c r="O102" s="456">
        <v>1281</v>
      </c>
      <c r="P102" s="456">
        <v>1.1413</v>
      </c>
      <c r="Q102" s="456">
        <v>1.1413</v>
      </c>
      <c r="R102">
        <v>23</v>
      </c>
      <c r="S102" s="408" t="s">
        <v>2221</v>
      </c>
      <c r="T102" s="419"/>
      <c r="U102" s="408" t="s">
        <v>2225</v>
      </c>
      <c r="V102" s="417"/>
      <c r="W102" s="415"/>
      <c r="X102" s="238">
        <v>15</v>
      </c>
      <c r="Y102" s="232" t="s">
        <v>874</v>
      </c>
      <c r="Z102" s="246" t="s">
        <v>2233</v>
      </c>
      <c r="AA102"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0.63</v>
      </c>
      <c r="AB102" s="421">
        <v>0</v>
      </c>
      <c r="AC102" s="421">
        <v>74.989999999999995</v>
      </c>
      <c r="AD102" s="408">
        <v>1281</v>
      </c>
      <c r="AE102" s="408"/>
      <c r="AF102" s="37" t="s">
        <v>2267</v>
      </c>
      <c r="AG102"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0.78</v>
      </c>
      <c r="AH102" s="408"/>
      <c r="AI102"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2" s="402"/>
      <c r="AK102" s="408" t="str">
        <f>CLHVAC[[#This Row],[Measure Number]]</f>
        <v>112306003</v>
      </c>
      <c r="AL102" t="s">
        <v>2252</v>
      </c>
      <c r="AM102" t="s">
        <v>2253</v>
      </c>
      <c r="AP102">
        <v>15</v>
      </c>
    </row>
    <row r="103" spans="1:42" ht="14.25" customHeight="1">
      <c r="A103" t="s">
        <v>2872</v>
      </c>
      <c r="B103" s="408" t="str" cm="1">
        <f t="array" ref="B103">LEFT(A103, 2) &amp; IF(Program_Banner= "Business Energy Savings", 2, IF(Program_Banner="Small Business / Non-Profit", 3, "#")) &amp; RIGHT(A103,6)</f>
        <v>112306004</v>
      </c>
      <c r="C103" s="230" t="s">
        <v>1927</v>
      </c>
      <c r="D103" s="561">
        <v>0.15</v>
      </c>
      <c r="E103" s="559">
        <v>0.16</v>
      </c>
      <c r="F103" s="408" t="s">
        <v>1888</v>
      </c>
      <c r="G103" s="230" t="s">
        <v>2779</v>
      </c>
      <c r="H103" s="230" t="s">
        <v>1349</v>
      </c>
      <c r="I103" s="414" t="s">
        <v>2215</v>
      </c>
      <c r="J103" s="42">
        <v>600</v>
      </c>
      <c r="K103" s="42">
        <v>900</v>
      </c>
      <c r="L103" s="240"/>
      <c r="M103" s="455">
        <v>1392.86</v>
      </c>
      <c r="N103" s="456">
        <v>1281</v>
      </c>
      <c r="O103" s="456">
        <v>1281</v>
      </c>
      <c r="P103" s="456">
        <v>1.1738999999999999</v>
      </c>
      <c r="Q103" s="456">
        <v>1.1738999999999999</v>
      </c>
      <c r="R103">
        <v>23</v>
      </c>
      <c r="S103" s="408" t="s">
        <v>2221</v>
      </c>
      <c r="T103" s="419"/>
      <c r="U103" s="408" t="s">
        <v>2225</v>
      </c>
      <c r="V103" s="417"/>
      <c r="W103" s="415"/>
      <c r="X103" s="238">
        <v>16</v>
      </c>
      <c r="Y103" s="232" t="s">
        <v>874</v>
      </c>
      <c r="Z103" s="246" t="s">
        <v>2233</v>
      </c>
      <c r="AA103"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0.61499999999999999</v>
      </c>
      <c r="AB103" s="421">
        <v>75</v>
      </c>
      <c r="AC103" s="421">
        <v>149.99</v>
      </c>
      <c r="AD103" s="408">
        <v>1281</v>
      </c>
      <c r="AE103" s="408"/>
      <c r="AF103" s="37" t="s">
        <v>2267</v>
      </c>
      <c r="AG103"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0.77500000000000002</v>
      </c>
      <c r="AH103" s="408"/>
      <c r="AI103"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3" s="402"/>
      <c r="AK103" s="408" t="str">
        <f>CLHVAC[[#This Row],[Measure Number]]</f>
        <v>112306004</v>
      </c>
      <c r="AL103" t="s">
        <v>2252</v>
      </c>
      <c r="AM103" t="s">
        <v>2253</v>
      </c>
      <c r="AP103">
        <v>16</v>
      </c>
    </row>
    <row r="104" spans="1:42" ht="14.25" customHeight="1">
      <c r="A104" t="s">
        <v>2873</v>
      </c>
      <c r="B104" s="408" t="str" cm="1">
        <f t="array" ref="B104">LEFT(A104, 2) &amp; IF(Program_Banner= "Business Energy Savings", 2, IF(Program_Banner="Small Business / Non-Profit", 3, "#")) &amp; RIGHT(A104,6)</f>
        <v>112306005</v>
      </c>
      <c r="C104" s="230" t="s">
        <v>1928</v>
      </c>
      <c r="D104" s="560">
        <v>0.15</v>
      </c>
      <c r="E104" s="559">
        <v>0.16</v>
      </c>
      <c r="F104" s="408" t="s">
        <v>1889</v>
      </c>
      <c r="G104" s="230" t="s">
        <v>2779</v>
      </c>
      <c r="H104" s="230" t="s">
        <v>1349</v>
      </c>
      <c r="I104" s="414" t="s">
        <v>2215</v>
      </c>
      <c r="J104" s="42">
        <v>550</v>
      </c>
      <c r="K104" s="42">
        <v>850</v>
      </c>
      <c r="L104" s="240"/>
      <c r="M104" s="455">
        <v>1694.44</v>
      </c>
      <c r="N104" s="456">
        <v>1281</v>
      </c>
      <c r="O104" s="456">
        <v>1281</v>
      </c>
      <c r="P104" s="456">
        <v>1.1158999999999999</v>
      </c>
      <c r="Q104" s="456">
        <v>1.1158999999999999</v>
      </c>
      <c r="R104">
        <v>23</v>
      </c>
      <c r="S104" s="408" t="s">
        <v>2221</v>
      </c>
      <c r="T104" s="419"/>
      <c r="U104" s="408" t="s">
        <v>2225</v>
      </c>
      <c r="V104" s="417"/>
      <c r="W104" s="415"/>
      <c r="X104" s="238">
        <v>17</v>
      </c>
      <c r="Y104" s="232" t="s">
        <v>874</v>
      </c>
      <c r="Z104" s="246" t="s">
        <v>2233</v>
      </c>
      <c r="AA104"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0.57999999999999996</v>
      </c>
      <c r="AB104" s="421">
        <v>150</v>
      </c>
      <c r="AC104" s="421">
        <v>299.99</v>
      </c>
      <c r="AD104" s="408">
        <v>1281</v>
      </c>
      <c r="AE104" s="408"/>
      <c r="AF104" s="37" t="s">
        <v>2267</v>
      </c>
      <c r="AG104"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0.68</v>
      </c>
      <c r="AH104" s="408"/>
      <c r="AI104"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4" s="402"/>
      <c r="AK104" s="408" t="str">
        <f>CLHVAC[[#This Row],[Measure Number]]</f>
        <v>112306005</v>
      </c>
      <c r="AL104" t="s">
        <v>2252</v>
      </c>
      <c r="AM104" t="s">
        <v>2253</v>
      </c>
      <c r="AP104">
        <v>17</v>
      </c>
    </row>
    <row r="105" spans="1:42" ht="14.25" customHeight="1">
      <c r="A105" t="s">
        <v>2874</v>
      </c>
      <c r="B105" s="408" t="str" cm="1">
        <f t="array" ref="B105">LEFT(A105, 2) &amp; IF(Program_Banner= "Business Energy Savings", 2, IF(Program_Banner="Small Business / Non-Profit", 3, "#")) &amp; RIGHT(A105,6)</f>
        <v>112306006</v>
      </c>
      <c r="C105" s="230" t="s">
        <v>1943</v>
      </c>
      <c r="D105" s="560">
        <v>0.15</v>
      </c>
      <c r="E105" s="559">
        <v>0.16</v>
      </c>
      <c r="F105" s="408" t="s">
        <v>1890</v>
      </c>
      <c r="G105" s="230" t="s">
        <v>2779</v>
      </c>
      <c r="H105" s="230" t="s">
        <v>1349</v>
      </c>
      <c r="I105" s="414" t="s">
        <v>2215</v>
      </c>
      <c r="J105" s="42">
        <v>500</v>
      </c>
      <c r="K105" s="42">
        <v>750</v>
      </c>
      <c r="L105" s="240"/>
      <c r="M105" s="455">
        <v>307.69</v>
      </c>
      <c r="N105" s="456">
        <v>1281</v>
      </c>
      <c r="O105" s="456">
        <v>1281</v>
      </c>
      <c r="P105" s="456">
        <v>1.071</v>
      </c>
      <c r="Q105" s="456">
        <v>1.071</v>
      </c>
      <c r="R105">
        <v>23</v>
      </c>
      <c r="S105" s="408" t="s">
        <v>2221</v>
      </c>
      <c r="T105" s="419"/>
      <c r="U105" s="408" t="s">
        <v>2225</v>
      </c>
      <c r="V105" s="417"/>
      <c r="W105" s="415"/>
      <c r="X105" s="238">
        <v>18</v>
      </c>
      <c r="Y105" s="232" t="s">
        <v>874</v>
      </c>
      <c r="Z105" s="246" t="s">
        <v>2233</v>
      </c>
      <c r="AA105"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v>
      </c>
      <c r="AB105" s="421">
        <v>300</v>
      </c>
      <c r="AC105" s="421">
        <v>9999</v>
      </c>
      <c r="AD105" s="408">
        <v>1281</v>
      </c>
      <c r="AE105" s="408"/>
      <c r="AF105" s="37" t="s">
        <v>2267</v>
      </c>
      <c r="AG105"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0.62</v>
      </c>
      <c r="AH105" s="408"/>
      <c r="AI105"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5" s="402"/>
      <c r="AK105" s="408" t="str">
        <f>CLHVAC[[#This Row],[Measure Number]]</f>
        <v>112306006</v>
      </c>
      <c r="AL105" t="s">
        <v>2252</v>
      </c>
      <c r="AM105" t="s">
        <v>2253</v>
      </c>
      <c r="AP105">
        <v>18</v>
      </c>
    </row>
    <row r="106" spans="1:42" ht="14.25" customHeight="1">
      <c r="A106" t="s">
        <v>2875</v>
      </c>
      <c r="B106" s="454" t="str" cm="1">
        <f t="array" ref="B106">LEFT(A106, 2) &amp; IF(Program_Banner= "Business Energy Savings", 2, IF(Program_Banner="Small Business / Non-Profit", 3, "#")) &amp; RIGHT(A106,6)</f>
        <v>112306007</v>
      </c>
      <c r="C106" s="230" t="s">
        <v>1944</v>
      </c>
      <c r="D106" s="561">
        <v>0.15</v>
      </c>
      <c r="E106" s="559">
        <v>0.16</v>
      </c>
      <c r="F106" s="408" t="s">
        <v>1890</v>
      </c>
      <c r="G106" s="230" t="s">
        <v>2779</v>
      </c>
      <c r="H106" s="230" t="s">
        <v>1349</v>
      </c>
      <c r="I106" s="414" t="s">
        <v>2215</v>
      </c>
      <c r="J106" s="42">
        <v>500</v>
      </c>
      <c r="K106" s="42">
        <v>750</v>
      </c>
      <c r="L106" s="240"/>
      <c r="M106" s="455">
        <v>307.69</v>
      </c>
      <c r="N106" s="456">
        <v>1281</v>
      </c>
      <c r="O106" s="456">
        <v>1281</v>
      </c>
      <c r="P106" s="456">
        <v>1.071</v>
      </c>
      <c r="Q106" s="456">
        <v>1.071</v>
      </c>
      <c r="R106">
        <v>23</v>
      </c>
      <c r="S106" s="408" t="s">
        <v>2221</v>
      </c>
      <c r="T106" s="419"/>
      <c r="U106" s="408" t="s">
        <v>2225</v>
      </c>
      <c r="V106" s="417"/>
      <c r="W106" s="415"/>
      <c r="X106" s="238">
        <v>19</v>
      </c>
      <c r="Y106" s="232" t="s">
        <v>874</v>
      </c>
      <c r="Z106" s="246" t="s">
        <v>2233</v>
      </c>
      <c r="AA106"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v>
      </c>
      <c r="AB106" s="421">
        <v>300</v>
      </c>
      <c r="AC106" s="421">
        <v>9999</v>
      </c>
      <c r="AD106" s="408">
        <v>1281</v>
      </c>
      <c r="AE106" s="408"/>
      <c r="AF106" s="37" t="s">
        <v>2267</v>
      </c>
      <c r="AG106"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0.62</v>
      </c>
      <c r="AH106" s="408"/>
      <c r="AI106"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6" s="402"/>
      <c r="AK106" s="454" t="str">
        <f>CLHVAC[[#This Row],[Measure Number]]</f>
        <v>112306007</v>
      </c>
      <c r="AL106" t="s">
        <v>2252</v>
      </c>
      <c r="AM106" t="s">
        <v>2253</v>
      </c>
      <c r="AP106">
        <v>19</v>
      </c>
    </row>
    <row r="107" spans="1:42" ht="14.25" customHeight="1">
      <c r="A107" t="s">
        <v>2876</v>
      </c>
      <c r="B107" s="408" t="str" cm="1">
        <f t="array" ref="B107">LEFT(A107, 2) &amp; IF(Program_Banner= "Business Energy Savings", 2, IF(Program_Banner="Small Business / Non-Profit", 3, "#")) &amp; RIGHT(A107,6)</f>
        <v>112306008</v>
      </c>
      <c r="C107" s="230" t="s">
        <v>1895</v>
      </c>
      <c r="D107" s="560">
        <v>0.15</v>
      </c>
      <c r="E107" s="559">
        <v>0.16</v>
      </c>
      <c r="F107" s="408" t="s">
        <v>1891</v>
      </c>
      <c r="G107" s="230" t="s">
        <v>2779</v>
      </c>
      <c r="H107" s="230" t="s">
        <v>1349</v>
      </c>
      <c r="I107" s="414" t="s">
        <v>2215</v>
      </c>
      <c r="J107" s="42">
        <v>600</v>
      </c>
      <c r="K107" s="42">
        <v>900</v>
      </c>
      <c r="L107" s="240"/>
      <c r="M107" s="455">
        <v>2527.27</v>
      </c>
      <c r="N107" s="456">
        <v>1281</v>
      </c>
      <c r="O107" s="456">
        <v>1281</v>
      </c>
      <c r="P107" s="456">
        <v>1.0125999999999999</v>
      </c>
      <c r="Q107" s="456">
        <v>1.0125999999999999</v>
      </c>
      <c r="R107">
        <v>23</v>
      </c>
      <c r="S107" s="408" t="s">
        <v>2221</v>
      </c>
      <c r="T107" s="419"/>
      <c r="U107" s="408" t="s">
        <v>2225</v>
      </c>
      <c r="V107" s="417"/>
      <c r="W107" s="415"/>
      <c r="X107" s="238">
        <v>20</v>
      </c>
      <c r="Y107" s="232" t="s">
        <v>874</v>
      </c>
      <c r="Z107" s="246" t="s">
        <v>2233</v>
      </c>
      <c r="AA107"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0.59599999999999997</v>
      </c>
      <c r="AB107" s="421">
        <v>0</v>
      </c>
      <c r="AC107" s="421">
        <v>149.99</v>
      </c>
      <c r="AD107" s="408">
        <v>1281</v>
      </c>
      <c r="AE107" s="408"/>
      <c r="AF107" s="37" t="s">
        <v>2267</v>
      </c>
      <c r="AG107"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0.63400000000000001</v>
      </c>
      <c r="AH107" s="408"/>
      <c r="AI107"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7" s="402"/>
      <c r="AK107" s="408" t="str">
        <f>CLHVAC[[#This Row],[Measure Number]]</f>
        <v>112306008</v>
      </c>
      <c r="AL107" t="s">
        <v>2252</v>
      </c>
      <c r="AM107" t="s">
        <v>2253</v>
      </c>
      <c r="AP107">
        <v>20</v>
      </c>
    </row>
    <row r="108" spans="1:42" ht="14.25" customHeight="1">
      <c r="A108" t="s">
        <v>2877</v>
      </c>
      <c r="B108" s="408" t="str" cm="1">
        <f t="array" ref="B108">LEFT(A108, 2) &amp; IF(Program_Banner= "Business Energy Savings", 2, IF(Program_Banner="Small Business / Non-Profit", 3, "#")) &amp; RIGHT(A108,6)</f>
        <v>112306009</v>
      </c>
      <c r="C108" s="230" t="s">
        <v>1929</v>
      </c>
      <c r="D108" s="560">
        <v>0.15</v>
      </c>
      <c r="E108" s="559">
        <v>0.16</v>
      </c>
      <c r="F108" s="408" t="s">
        <v>1892</v>
      </c>
      <c r="G108" s="230" t="s">
        <v>2779</v>
      </c>
      <c r="H108" s="230" t="s">
        <v>1349</v>
      </c>
      <c r="I108" s="414" t="s">
        <v>2215</v>
      </c>
      <c r="J108" s="42">
        <v>550</v>
      </c>
      <c r="K108" s="42">
        <v>850</v>
      </c>
      <c r="L108" s="240"/>
      <c r="M108" s="455">
        <v>2527.27</v>
      </c>
      <c r="N108" s="456">
        <v>1281</v>
      </c>
      <c r="O108" s="456">
        <v>1281</v>
      </c>
      <c r="P108" s="456">
        <v>1.0125999999999999</v>
      </c>
      <c r="Q108" s="456">
        <v>1.0125999999999999</v>
      </c>
      <c r="R108">
        <v>23</v>
      </c>
      <c r="S108" s="408" t="s">
        <v>2221</v>
      </c>
      <c r="T108" s="419"/>
      <c r="U108" s="408" t="s">
        <v>2225</v>
      </c>
      <c r="V108" s="417"/>
      <c r="W108" s="415"/>
      <c r="X108" s="238">
        <v>21</v>
      </c>
      <c r="Y108" s="232" t="s">
        <v>874</v>
      </c>
      <c r="Z108" s="246" t="s">
        <v>2233</v>
      </c>
      <c r="AA108"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0.59599999999999997</v>
      </c>
      <c r="AB108" s="421">
        <v>150</v>
      </c>
      <c r="AC108" s="421">
        <v>299.99</v>
      </c>
      <c r="AD108" s="408">
        <v>1281</v>
      </c>
      <c r="AE108" s="408"/>
      <c r="AF108" s="37" t="s">
        <v>2267</v>
      </c>
      <c r="AG108"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0.63400000000000001</v>
      </c>
      <c r="AH108" s="408"/>
      <c r="AI108"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8" s="402"/>
      <c r="AK108" s="408" t="str">
        <f>CLHVAC[[#This Row],[Measure Number]]</f>
        <v>112306009</v>
      </c>
      <c r="AL108" t="s">
        <v>2252</v>
      </c>
      <c r="AM108" t="s">
        <v>2253</v>
      </c>
      <c r="AP108">
        <v>21</v>
      </c>
    </row>
    <row r="109" spans="1:42" ht="14.25" customHeight="1">
      <c r="A109" t="s">
        <v>2878</v>
      </c>
      <c r="B109" s="408" t="str" cm="1">
        <f t="array" ref="B109">LEFT(A109, 2) &amp; IF(Program_Banner= "Business Energy Savings", 2, IF(Program_Banner="Small Business / Non-Profit", 3, "#")) &amp; RIGHT(A109,6)</f>
        <v>112306010</v>
      </c>
      <c r="C109" s="230" t="s">
        <v>1941</v>
      </c>
      <c r="D109" s="561">
        <v>0.15</v>
      </c>
      <c r="E109" s="559">
        <v>0.16</v>
      </c>
      <c r="F109" s="408" t="s">
        <v>1893</v>
      </c>
      <c r="G109" s="230" t="s">
        <v>2779</v>
      </c>
      <c r="H109" s="230" t="s">
        <v>1349</v>
      </c>
      <c r="I109" s="414" t="s">
        <v>2215</v>
      </c>
      <c r="J109" s="42">
        <v>500</v>
      </c>
      <c r="K109" s="42">
        <v>750</v>
      </c>
      <c r="L109" s="240"/>
      <c r="M109" s="455">
        <v>2725.49</v>
      </c>
      <c r="N109" s="456">
        <v>1281</v>
      </c>
      <c r="O109" s="456">
        <v>1281</v>
      </c>
      <c r="P109" s="456">
        <v>1.0024999999999999</v>
      </c>
      <c r="Q109" s="456">
        <v>1.0024999999999999</v>
      </c>
      <c r="R109">
        <v>23</v>
      </c>
      <c r="S109" s="408" t="s">
        <v>2221</v>
      </c>
      <c r="T109" s="419"/>
      <c r="U109" s="408" t="s">
        <v>2225</v>
      </c>
      <c r="V109" s="417"/>
      <c r="W109" s="415"/>
      <c r="X109" s="238">
        <v>22</v>
      </c>
      <c r="Y109" s="232" t="s">
        <v>874</v>
      </c>
      <c r="Z109" s="246" t="s">
        <v>2233</v>
      </c>
      <c r="AA109"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0.54900000000000004</v>
      </c>
      <c r="AB109" s="421">
        <v>300</v>
      </c>
      <c r="AC109" s="421">
        <v>599.99</v>
      </c>
      <c r="AD109" s="408">
        <v>1281</v>
      </c>
      <c r="AE109" s="408"/>
      <c r="AF109" s="37" t="s">
        <v>2267</v>
      </c>
      <c r="AG109"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0.57599999999999996</v>
      </c>
      <c r="AH109" s="408"/>
      <c r="AI109"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9" s="402"/>
      <c r="AK109" s="408" t="str">
        <f>CLHVAC[[#This Row],[Measure Number]]</f>
        <v>112306010</v>
      </c>
      <c r="AL109" t="s">
        <v>2252</v>
      </c>
      <c r="AM109" t="s">
        <v>2253</v>
      </c>
      <c r="AP109">
        <v>22</v>
      </c>
    </row>
    <row r="110" spans="1:42" ht="14.25" customHeight="1">
      <c r="A110" t="s">
        <v>2879</v>
      </c>
      <c r="B110" s="454" t="str" cm="1">
        <f t="array" ref="B110">LEFT(A110, 2) &amp; IF(Program_Banner= "Business Energy Savings", 2, IF(Program_Banner="Small Business / Non-Profit", 3, "#")) &amp; RIGHT(A110,6)</f>
        <v>112306011</v>
      </c>
      <c r="C110" s="230" t="s">
        <v>1942</v>
      </c>
      <c r="D110" s="560">
        <v>0.15</v>
      </c>
      <c r="E110" s="559">
        <v>0.16</v>
      </c>
      <c r="F110" s="408" t="s">
        <v>1893</v>
      </c>
      <c r="G110" s="230" t="s">
        <v>2779</v>
      </c>
      <c r="H110" s="230" t="s">
        <v>1349</v>
      </c>
      <c r="I110" s="414" t="s">
        <v>2215</v>
      </c>
      <c r="J110" s="42">
        <v>500</v>
      </c>
      <c r="K110" s="42">
        <v>750</v>
      </c>
      <c r="L110" s="240"/>
      <c r="M110" s="455">
        <v>2725.49</v>
      </c>
      <c r="N110" s="456">
        <v>1281</v>
      </c>
      <c r="O110" s="456">
        <v>1281</v>
      </c>
      <c r="P110" s="456">
        <v>1.0024999999999999</v>
      </c>
      <c r="Q110" s="456">
        <v>1.0024999999999999</v>
      </c>
      <c r="R110">
        <v>23</v>
      </c>
      <c r="S110" s="408" t="s">
        <v>2221</v>
      </c>
      <c r="T110" s="419"/>
      <c r="U110" s="408" t="s">
        <v>2225</v>
      </c>
      <c r="V110" s="417"/>
      <c r="W110" s="415"/>
      <c r="X110" s="238">
        <v>23</v>
      </c>
      <c r="Y110" s="232" t="s">
        <v>874</v>
      </c>
      <c r="Z110" s="246" t="s">
        <v>2233</v>
      </c>
      <c r="AA110"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0.54900000000000004</v>
      </c>
      <c r="AB110" s="421">
        <v>300</v>
      </c>
      <c r="AC110" s="421">
        <v>599.99</v>
      </c>
      <c r="AD110" s="408">
        <v>1281</v>
      </c>
      <c r="AE110" s="408"/>
      <c r="AF110" s="37" t="s">
        <v>2267</v>
      </c>
      <c r="AG110"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0.57599999999999996</v>
      </c>
      <c r="AH110" s="408"/>
      <c r="AI110"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10" s="402"/>
      <c r="AK110" s="454" t="str">
        <f>CLHVAC[[#This Row],[Measure Number]]</f>
        <v>112306011</v>
      </c>
      <c r="AL110" t="s">
        <v>2252</v>
      </c>
      <c r="AM110" t="s">
        <v>2253</v>
      </c>
      <c r="AP110">
        <v>23</v>
      </c>
    </row>
    <row r="111" spans="1:42" ht="14.25" customHeight="1">
      <c r="A111" t="s">
        <v>2880</v>
      </c>
      <c r="B111" s="408" t="str" cm="1">
        <f t="array" ref="B111">LEFT(A111, 2) &amp; IF(Program_Banner= "Business Energy Savings", 2, IF(Program_Banner="Small Business / Non-Profit", 3, "#")) &amp; RIGHT(A111,6)</f>
        <v>112306012</v>
      </c>
      <c r="C111" s="230" t="s">
        <v>1896</v>
      </c>
      <c r="D111" s="560">
        <v>0.15</v>
      </c>
      <c r="E111" s="559">
        <v>0.16</v>
      </c>
      <c r="F111" s="408" t="s">
        <v>1894</v>
      </c>
      <c r="G111" s="230" t="s">
        <v>2779</v>
      </c>
      <c r="H111" s="230" t="s">
        <v>1349</v>
      </c>
      <c r="I111" s="414" t="s">
        <v>2215</v>
      </c>
      <c r="J111" s="42">
        <v>450</v>
      </c>
      <c r="K111" s="42">
        <v>700</v>
      </c>
      <c r="L111" s="240"/>
      <c r="M111" s="455">
        <v>2780</v>
      </c>
      <c r="N111" s="456">
        <v>1281</v>
      </c>
      <c r="O111" s="456">
        <v>1281</v>
      </c>
      <c r="P111" s="456">
        <v>1.0226</v>
      </c>
      <c r="Q111" s="456">
        <v>1.0226</v>
      </c>
      <c r="R111">
        <v>23</v>
      </c>
      <c r="S111" s="408" t="s">
        <v>2221</v>
      </c>
      <c r="T111" s="419"/>
      <c r="U111" s="408" t="s">
        <v>2225</v>
      </c>
      <c r="V111" s="417"/>
      <c r="W111" s="415"/>
      <c r="X111" s="238">
        <v>24</v>
      </c>
      <c r="Y111" s="232" t="s">
        <v>874</v>
      </c>
      <c r="Z111" s="246" t="s">
        <v>2233</v>
      </c>
      <c r="AA111"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0.53900000000000003</v>
      </c>
      <c r="AB111" s="421">
        <v>600</v>
      </c>
      <c r="AC111" s="421">
        <v>9999</v>
      </c>
      <c r="AD111" s="408">
        <v>1281</v>
      </c>
      <c r="AE111" s="408"/>
      <c r="AF111" s="37" t="s">
        <v>2267</v>
      </c>
      <c r="AG111"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0.56999999999999995</v>
      </c>
      <c r="AH111" s="408"/>
      <c r="AI111" s="408"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11" s="402"/>
      <c r="AK111" s="408" t="str">
        <f>CLHVAC[[#This Row],[Measure Number]]</f>
        <v>112306012</v>
      </c>
      <c r="AL111" t="s">
        <v>2252</v>
      </c>
      <c r="AM111" t="s">
        <v>2253</v>
      </c>
      <c r="AP111">
        <v>24</v>
      </c>
    </row>
    <row r="112" spans="1:42" ht="14.25" customHeight="1">
      <c r="A112" t="s">
        <v>2881</v>
      </c>
      <c r="B112" s="408" t="str" cm="1">
        <f t="array" ref="B112">LEFT(A112, 2) &amp; IF(Program_Banner= "Business Energy Savings", 2, IF(Program_Banner="Small Business / Non-Profit", 3, "#")) &amp; RIGHT(A112,6)</f>
        <v>112312008</v>
      </c>
      <c r="C112" s="230" t="s">
        <v>1973</v>
      </c>
      <c r="D112" s="561">
        <v>0.15</v>
      </c>
      <c r="E112" s="559">
        <v>0.16</v>
      </c>
      <c r="F112" s="408" t="s">
        <v>1854</v>
      </c>
      <c r="G112" s="230" t="s">
        <v>2779</v>
      </c>
      <c r="H112" s="408" t="s">
        <v>94</v>
      </c>
      <c r="I112" s="414" t="s">
        <v>2212</v>
      </c>
      <c r="J112" s="42">
        <v>30</v>
      </c>
      <c r="K112" s="42">
        <v>45</v>
      </c>
      <c r="L112" s="240"/>
      <c r="M112" s="455">
        <v>415.38</v>
      </c>
      <c r="N112" s="456">
        <v>291.3861</v>
      </c>
      <c r="O112" s="456">
        <v>291.3861</v>
      </c>
      <c r="P112" s="456">
        <v>4.7199999999999999E-2</v>
      </c>
      <c r="Q112" s="456">
        <v>4.7199999999999999E-2</v>
      </c>
      <c r="R112">
        <v>16</v>
      </c>
      <c r="S112" s="408" t="s">
        <v>2219</v>
      </c>
      <c r="U112" s="408" t="s">
        <v>2223</v>
      </c>
      <c r="V112" s="417"/>
      <c r="W112" s="415"/>
      <c r="X112" s="238">
        <v>25</v>
      </c>
      <c r="Y112" s="232" t="s">
        <v>874</v>
      </c>
      <c r="Z112" s="246" t="s">
        <v>1653</v>
      </c>
      <c r="AA112"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v>
      </c>
      <c r="AB112" s="418">
        <v>0</v>
      </c>
      <c r="AC112" s="418">
        <f>65/12</f>
        <v>5.416666666666667</v>
      </c>
      <c r="AD112" s="408">
        <v>1281</v>
      </c>
      <c r="AE112" s="408">
        <v>1224</v>
      </c>
      <c r="AF112" s="380" t="s">
        <v>1652</v>
      </c>
      <c r="AG112"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11.18</v>
      </c>
      <c r="AH112" s="408" t="s">
        <v>1659</v>
      </c>
      <c r="AI112" s="408">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7.7</v>
      </c>
      <c r="AJ112" s="402"/>
      <c r="AK112" s="408" t="str">
        <f>CLHVAC[[#This Row],[Measure Number]]</f>
        <v>112312008</v>
      </c>
      <c r="AL112" t="s">
        <v>2252</v>
      </c>
      <c r="AM112" t="s">
        <v>2253</v>
      </c>
      <c r="AN112" t="s">
        <v>2254</v>
      </c>
      <c r="AO112" s="37" t="s">
        <v>2255</v>
      </c>
      <c r="AP112">
        <v>25</v>
      </c>
    </row>
    <row r="113" spans="1:42" ht="14.25" customHeight="1">
      <c r="A113" t="s">
        <v>2882</v>
      </c>
      <c r="B113" s="408" t="str" cm="1">
        <f t="array" ref="B113">LEFT(A113, 2) &amp; IF(Program_Banner= "Business Energy Savings", 2, IF(Program_Banner="Small Business / Non-Profit", 3, "#")) &amp; RIGHT(A113,6)</f>
        <v>112312009</v>
      </c>
      <c r="C113" s="230" t="s">
        <v>1974</v>
      </c>
      <c r="D113" s="560">
        <v>0.15</v>
      </c>
      <c r="E113" s="559">
        <v>0.16</v>
      </c>
      <c r="F113" s="408" t="s">
        <v>1855</v>
      </c>
      <c r="G113" s="230" t="s">
        <v>2779</v>
      </c>
      <c r="H113" s="408" t="s">
        <v>94</v>
      </c>
      <c r="I113" s="414" t="s">
        <v>2213</v>
      </c>
      <c r="J113" s="42">
        <v>30</v>
      </c>
      <c r="K113" s="42">
        <v>45</v>
      </c>
      <c r="L113" s="240"/>
      <c r="M113" s="455">
        <v>369.86</v>
      </c>
      <c r="N113" s="456">
        <v>446.37740000000002</v>
      </c>
      <c r="O113" s="456">
        <v>446.37740000000002</v>
      </c>
      <c r="P113" s="456">
        <v>6.2E-2</v>
      </c>
      <c r="Q113" s="456">
        <v>6.2E-2</v>
      </c>
      <c r="R113">
        <v>16</v>
      </c>
      <c r="S113" s="408" t="s">
        <v>2219</v>
      </c>
      <c r="U113" s="408" t="s">
        <v>2223</v>
      </c>
      <c r="V113" s="417"/>
      <c r="W113" s="415"/>
      <c r="X113" s="238">
        <v>26</v>
      </c>
      <c r="Y113" s="232" t="s">
        <v>874</v>
      </c>
      <c r="Z113" s="246" t="s">
        <v>1654</v>
      </c>
      <c r="AA113"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14.6</v>
      </c>
      <c r="AB113" s="418">
        <f>65/12</f>
        <v>5.416666666666667</v>
      </c>
      <c r="AC113" s="418">
        <f>135/12</f>
        <v>11.25</v>
      </c>
      <c r="AD113" s="408">
        <v>1281</v>
      </c>
      <c r="AE113" s="408">
        <v>1224</v>
      </c>
      <c r="AF113" s="380" t="s">
        <v>1652</v>
      </c>
      <c r="AG113"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v>
      </c>
      <c r="AH113" s="408" t="s">
        <v>1657</v>
      </c>
      <c r="AI113" s="408">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3.3</v>
      </c>
      <c r="AJ113" s="402"/>
      <c r="AK113" s="408" t="str">
        <f>CLHVAC[[#This Row],[Measure Number]]</f>
        <v>112312009</v>
      </c>
      <c r="AL113" t="s">
        <v>2252</v>
      </c>
      <c r="AM113" t="s">
        <v>2253</v>
      </c>
      <c r="AN113" t="s">
        <v>2256</v>
      </c>
      <c r="AO113" s="37" t="s">
        <v>2255</v>
      </c>
      <c r="AP113">
        <v>26</v>
      </c>
    </row>
    <row r="114" spans="1:42" ht="14.25" customHeight="1">
      <c r="A114" t="s">
        <v>2883</v>
      </c>
      <c r="B114" s="408" t="str" cm="1">
        <f t="array" ref="B114">LEFT(A114, 2) &amp; IF(Program_Banner= "Business Energy Savings", 2, IF(Program_Banner="Small Business / Non-Profit", 3, "#")) &amp; RIGHT(A114,6)</f>
        <v>112312010</v>
      </c>
      <c r="C114" s="230" t="s">
        <v>1975</v>
      </c>
      <c r="D114" s="560">
        <v>0.15</v>
      </c>
      <c r="E114" s="559">
        <v>0.16</v>
      </c>
      <c r="F114" s="408" t="s">
        <v>1856</v>
      </c>
      <c r="G114" s="230" t="s">
        <v>2779</v>
      </c>
      <c r="H114" s="408" t="s">
        <v>94</v>
      </c>
      <c r="I114" s="414" t="s">
        <v>2213</v>
      </c>
      <c r="J114" s="42">
        <v>30</v>
      </c>
      <c r="K114" s="42">
        <v>45</v>
      </c>
      <c r="L114" s="240"/>
      <c r="M114" s="455">
        <v>388.49</v>
      </c>
      <c r="N114" s="456">
        <v>477.01940000000002</v>
      </c>
      <c r="O114" s="456">
        <v>477.01940000000002</v>
      </c>
      <c r="P114" s="456">
        <v>6.7599999999999993E-2</v>
      </c>
      <c r="Q114" s="456">
        <v>6.7599999999999993E-2</v>
      </c>
      <c r="R114">
        <v>16</v>
      </c>
      <c r="S114" s="408" t="s">
        <v>2219</v>
      </c>
      <c r="U114" s="408" t="s">
        <v>2223</v>
      </c>
      <c r="V114" s="417"/>
      <c r="W114" s="415"/>
      <c r="X114" s="238">
        <v>27</v>
      </c>
      <c r="Y114" s="232" t="s">
        <v>874</v>
      </c>
      <c r="Z114" s="246" t="s">
        <v>1654</v>
      </c>
      <c r="AA114"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13.9</v>
      </c>
      <c r="AB114" s="418">
        <f>135/12</f>
        <v>11.25</v>
      </c>
      <c r="AC114" s="418">
        <f>240/12</f>
        <v>20</v>
      </c>
      <c r="AD114" s="408">
        <v>1281</v>
      </c>
      <c r="AE114" s="408">
        <v>1224</v>
      </c>
      <c r="AF114" s="380" t="s">
        <v>1652</v>
      </c>
      <c r="AG114"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10.6</v>
      </c>
      <c r="AH114" s="408" t="s">
        <v>1657</v>
      </c>
      <c r="AI114" s="408">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3.2</v>
      </c>
      <c r="AJ114" s="402"/>
      <c r="AK114" s="408" t="str">
        <f>CLHVAC[[#This Row],[Measure Number]]</f>
        <v>112312010</v>
      </c>
      <c r="AL114" t="s">
        <v>2252</v>
      </c>
      <c r="AM114" t="s">
        <v>2253</v>
      </c>
      <c r="AN114" t="s">
        <v>2256</v>
      </c>
      <c r="AO114" s="37" t="s">
        <v>2255</v>
      </c>
      <c r="AP114">
        <v>27</v>
      </c>
    </row>
    <row r="115" spans="1:42" ht="14.25" customHeight="1">
      <c r="A115" t="s">
        <v>2884</v>
      </c>
      <c r="B115" s="408" t="str" cm="1">
        <f t="array" ref="B115">LEFT(A115, 2) &amp; IF(Program_Banner= "Business Energy Savings", 2, IF(Program_Banner="Small Business / Non-Profit", 3, "#")) &amp; RIGHT(A115,6)</f>
        <v>112312011</v>
      </c>
      <c r="C115" s="230" t="s">
        <v>1976</v>
      </c>
      <c r="D115" s="561">
        <v>0.15</v>
      </c>
      <c r="E115" s="559">
        <v>0.16</v>
      </c>
      <c r="F115" s="408" t="s">
        <v>1857</v>
      </c>
      <c r="G115" s="230" t="s">
        <v>2779</v>
      </c>
      <c r="H115" s="408" t="s">
        <v>94</v>
      </c>
      <c r="I115" s="414" t="s">
        <v>2213</v>
      </c>
      <c r="J115" s="42">
        <v>30</v>
      </c>
      <c r="K115" s="42">
        <v>45</v>
      </c>
      <c r="L115" s="240"/>
      <c r="M115" s="455">
        <v>425.2</v>
      </c>
      <c r="N115" s="456">
        <v>498.00099999999998</v>
      </c>
      <c r="O115" s="456">
        <v>498.00099999999998</v>
      </c>
      <c r="P115" s="456">
        <v>8.2600000000000007E-2</v>
      </c>
      <c r="Q115" s="456">
        <v>8.2600000000000007E-2</v>
      </c>
      <c r="R115">
        <v>16</v>
      </c>
      <c r="S115" s="408" t="s">
        <v>2219</v>
      </c>
      <c r="U115" s="408" t="s">
        <v>2223</v>
      </c>
      <c r="V115" s="417"/>
      <c r="W115" s="415"/>
      <c r="X115" s="238">
        <v>28</v>
      </c>
      <c r="Y115" s="232" t="s">
        <v>874</v>
      </c>
      <c r="Z115" s="246" t="s">
        <v>1654</v>
      </c>
      <c r="AA115" s="53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12.7</v>
      </c>
      <c r="AB115" s="418">
        <f>240/12</f>
        <v>20</v>
      </c>
      <c r="AC115" s="418">
        <f>760/12</f>
        <v>63.333333333333336</v>
      </c>
      <c r="AD115" s="408">
        <v>1281</v>
      </c>
      <c r="AE115" s="408">
        <v>1224</v>
      </c>
      <c r="AF115" s="380" t="s">
        <v>1652</v>
      </c>
      <c r="AG115" s="53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v>
      </c>
      <c r="AH115" s="408" t="s">
        <v>1657</v>
      </c>
      <c r="AI115" s="408">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3.2</v>
      </c>
      <c r="AJ115" s="402"/>
      <c r="AK115" s="408" t="str">
        <f>CLHVAC[[#This Row],[Measure Number]]</f>
        <v>112312011</v>
      </c>
      <c r="AL115" t="s">
        <v>2252</v>
      </c>
      <c r="AM115" t="s">
        <v>2253</v>
      </c>
      <c r="AN115" t="s">
        <v>2256</v>
      </c>
      <c r="AO115" s="37" t="s">
        <v>2255</v>
      </c>
      <c r="AP115">
        <v>28</v>
      </c>
    </row>
    <row r="117" spans="1:42" ht="14.25" customHeight="1">
      <c r="A117" s="562"/>
      <c r="B117" s="234" t="s">
        <v>85</v>
      </c>
      <c r="C117" s="234" t="s">
        <v>839</v>
      </c>
      <c r="D117" s="399" t="s">
        <v>3077</v>
      </c>
      <c r="E117" s="399" t="s">
        <v>3078</v>
      </c>
      <c r="F117" s="399" t="s">
        <v>857</v>
      </c>
      <c r="G117" s="399" t="s">
        <v>0</v>
      </c>
      <c r="H117" s="234" t="s">
        <v>841</v>
      </c>
      <c r="I117" s="400" t="s">
        <v>842</v>
      </c>
      <c r="J117" s="235" t="s">
        <v>2765</v>
      </c>
      <c r="K117" s="235" t="s">
        <v>2764</v>
      </c>
      <c r="L117" s="235" t="s">
        <v>1276</v>
      </c>
      <c r="M117" s="399" t="s">
        <v>843</v>
      </c>
      <c r="N117" s="399" t="s">
        <v>3079</v>
      </c>
      <c r="O117" s="399" t="s">
        <v>3082</v>
      </c>
      <c r="P117" s="399" t="s">
        <v>3081</v>
      </c>
      <c r="Q117" s="399" t="s">
        <v>3080</v>
      </c>
      <c r="R117" s="399" t="s">
        <v>846</v>
      </c>
      <c r="S117" s="399" t="s">
        <v>1350</v>
      </c>
      <c r="T117" s="399" t="s">
        <v>847</v>
      </c>
      <c r="U117" s="399" t="s">
        <v>848</v>
      </c>
      <c r="V117" s="399" t="s">
        <v>849</v>
      </c>
      <c r="W117" s="399" t="s">
        <v>850</v>
      </c>
      <c r="X117" s="234" t="s">
        <v>336</v>
      </c>
      <c r="Y117" s="234" t="s">
        <v>1701</v>
      </c>
      <c r="Z117" s="258" t="s">
        <v>2237</v>
      </c>
      <c r="AA117" s="258" t="s">
        <v>2238</v>
      </c>
      <c r="AB117" s="258" t="s">
        <v>1646</v>
      </c>
      <c r="AC117" s="258" t="s">
        <v>1647</v>
      </c>
      <c r="AD117" s="258" t="s">
        <v>1648</v>
      </c>
      <c r="AE117" s="258" t="s">
        <v>1649</v>
      </c>
      <c r="AF117" s="258" t="s">
        <v>1650</v>
      </c>
      <c r="AG117" s="258" t="s">
        <v>1658</v>
      </c>
      <c r="AH117" s="302" t="s">
        <v>1908</v>
      </c>
      <c r="AI117" s="302" t="s">
        <v>1909</v>
      </c>
    </row>
    <row r="118" spans="1:42" ht="14.25" customHeight="1">
      <c r="A118" t="s">
        <v>2885</v>
      </c>
      <c r="B118" s="480" t="str" cm="1">
        <f t="array" ref="B118">LEFT(A118, 2) &amp; IF(Program_Banner= "Business Energy Savings", 2, IF(Program_Banner="Small Business / Non-Profit", 3, "#")) &amp; RIGHT(A118,6)</f>
        <v>112125004</v>
      </c>
      <c r="C118" s="408" t="s">
        <v>2053</v>
      </c>
      <c r="D118" s="420">
        <v>592.20000000000005</v>
      </c>
      <c r="E118" s="420">
        <v>592.20000000000005</v>
      </c>
      <c r="F118" s="408" t="s">
        <v>2053</v>
      </c>
      <c r="G118" s="230" t="s">
        <v>938</v>
      </c>
      <c r="H118" s="408" t="s">
        <v>94</v>
      </c>
      <c r="I118" s="414" t="s">
        <v>2216</v>
      </c>
      <c r="J118" s="42">
        <v>260</v>
      </c>
      <c r="K118" s="42">
        <v>390</v>
      </c>
      <c r="L118" s="240"/>
      <c r="M118" s="42">
        <v>450</v>
      </c>
      <c r="N118" s="557">
        <v>2738.5124999999998</v>
      </c>
      <c r="O118" s="379">
        <v>2738.5124999999998</v>
      </c>
      <c r="P118" s="557">
        <v>0.39489999999999997</v>
      </c>
      <c r="Q118" s="379">
        <v>0.39489999999999997</v>
      </c>
      <c r="R118">
        <v>15</v>
      </c>
      <c r="S118" s="408" t="s">
        <v>2058</v>
      </c>
      <c r="T118" s="422"/>
      <c r="U118" s="422" t="s">
        <v>2059</v>
      </c>
      <c r="V118" s="423"/>
      <c r="W118" s="415"/>
      <c r="X118" s="298">
        <v>5</v>
      </c>
      <c r="Y118" s="246" t="s">
        <v>873</v>
      </c>
      <c r="Z118" s="421">
        <v>1</v>
      </c>
      <c r="AA118" s="421">
        <v>5</v>
      </c>
      <c r="AB118" s="408"/>
      <c r="AC118" s="408"/>
      <c r="AD118" s="408"/>
      <c r="AE118" s="408"/>
      <c r="AF118" s="408"/>
      <c r="AG118" s="408"/>
      <c r="AH118" s="408"/>
      <c r="AI118" s="408"/>
    </row>
    <row r="119" spans="1:42" ht="14.25" customHeight="1">
      <c r="A119" t="s">
        <v>2886</v>
      </c>
      <c r="B119" s="408" t="str" cm="1">
        <f t="array" ref="B119">LEFT(A119, 2) &amp; IF(Program_Banner= "Business Energy Savings", 2, IF(Program_Banner="Small Business / Non-Profit", 3, "#")) &amp; RIGHT(A119,6)</f>
        <v>112125005</v>
      </c>
      <c r="C119" s="408" t="s">
        <v>2054</v>
      </c>
      <c r="D119" s="420">
        <v>593.20000000000005</v>
      </c>
      <c r="E119" s="420">
        <v>593.20000000000005</v>
      </c>
      <c r="F119" s="408" t="s">
        <v>2054</v>
      </c>
      <c r="G119" s="230" t="s">
        <v>938</v>
      </c>
      <c r="H119" s="408" t="s">
        <v>94</v>
      </c>
      <c r="I119" s="414" t="s">
        <v>2217</v>
      </c>
      <c r="J119" s="42">
        <v>200</v>
      </c>
      <c r="K119" s="42">
        <v>300</v>
      </c>
      <c r="L119" s="240"/>
      <c r="M119" s="42">
        <v>221.2</v>
      </c>
      <c r="N119" s="557">
        <v>2635.4502000000002</v>
      </c>
      <c r="O119" s="379">
        <v>2635.4502000000002</v>
      </c>
      <c r="P119" s="557">
        <v>0.38009999999999999</v>
      </c>
      <c r="Q119" s="379">
        <v>0.38009999999999999</v>
      </c>
      <c r="R119">
        <v>15</v>
      </c>
      <c r="S119" s="408" t="s">
        <v>2058</v>
      </c>
      <c r="T119" s="422"/>
      <c r="U119" s="422" t="s">
        <v>2059</v>
      </c>
      <c r="V119" s="423"/>
      <c r="W119" s="415"/>
      <c r="X119" s="298">
        <v>6</v>
      </c>
      <c r="Y119" s="246" t="s">
        <v>873</v>
      </c>
      <c r="Z119" s="421">
        <v>6</v>
      </c>
      <c r="AA119" s="421">
        <v>15</v>
      </c>
      <c r="AB119" s="408"/>
      <c r="AC119" s="408"/>
      <c r="AD119" s="408"/>
      <c r="AE119" s="408"/>
      <c r="AF119" s="408"/>
      <c r="AG119" s="408"/>
      <c r="AH119" s="408"/>
      <c r="AI119" s="408"/>
    </row>
    <row r="120" spans="1:42" ht="14.25" customHeight="1">
      <c r="A120" t="s">
        <v>2887</v>
      </c>
      <c r="B120" s="408" t="str" cm="1">
        <f t="array" ref="B120">LEFT(A120, 2) &amp; IF(Program_Banner= "Business Energy Savings", 2, IF(Program_Banner="Small Business / Non-Profit", 3, "#")) &amp; RIGHT(A120,6)</f>
        <v>112125001</v>
      </c>
      <c r="C120" s="408" t="s">
        <v>2055</v>
      </c>
      <c r="D120" s="420">
        <v>594.20000000000005</v>
      </c>
      <c r="E120" s="420">
        <v>594.20000000000005</v>
      </c>
      <c r="F120" s="408" t="s">
        <v>2055</v>
      </c>
      <c r="G120" s="230" t="s">
        <v>938</v>
      </c>
      <c r="H120" s="408" t="s">
        <v>94</v>
      </c>
      <c r="I120" s="414" t="s">
        <v>2217</v>
      </c>
      <c r="J120" s="42">
        <v>160</v>
      </c>
      <c r="K120" s="42">
        <v>240</v>
      </c>
      <c r="L120" s="240"/>
      <c r="M120" s="42">
        <v>175.44</v>
      </c>
      <c r="N120" s="379">
        <v>2618.5563000000002</v>
      </c>
      <c r="O120" s="379">
        <v>2618.5563000000002</v>
      </c>
      <c r="P120" s="379">
        <v>0.37759999999999999</v>
      </c>
      <c r="Q120" s="379">
        <v>0.37759999999999999</v>
      </c>
      <c r="R120">
        <v>15</v>
      </c>
      <c r="S120" s="408" t="s">
        <v>2058</v>
      </c>
      <c r="T120" s="422"/>
      <c r="U120" s="422" t="s">
        <v>2059</v>
      </c>
      <c r="V120" s="423"/>
      <c r="W120" s="415"/>
      <c r="X120" s="298">
        <v>7</v>
      </c>
      <c r="Y120" s="246" t="s">
        <v>873</v>
      </c>
      <c r="Z120" s="421">
        <v>16</v>
      </c>
      <c r="AA120" s="421">
        <v>25</v>
      </c>
      <c r="AB120" s="408"/>
      <c r="AC120" s="408"/>
      <c r="AD120" s="408"/>
      <c r="AE120" s="408"/>
      <c r="AF120" s="408"/>
      <c r="AG120" s="408"/>
      <c r="AH120" s="408"/>
      <c r="AI120" s="408"/>
    </row>
    <row r="121" spans="1:42" ht="14.25" customHeight="1">
      <c r="A121" t="s">
        <v>2888</v>
      </c>
      <c r="B121" s="408" t="str" cm="1">
        <f t="array" ref="B121">LEFT(A121, 2) &amp; IF(Program_Banner= "Business Energy Savings", 2, IF(Program_Banner="Small Business / Non-Profit", 3, "#")) &amp; RIGHT(A121,6)</f>
        <v>112125002</v>
      </c>
      <c r="C121" s="408" t="s">
        <v>2056</v>
      </c>
      <c r="D121" s="420">
        <v>595.20000000000005</v>
      </c>
      <c r="E121" s="420">
        <v>595.20000000000005</v>
      </c>
      <c r="F121" s="408" t="s">
        <v>2056</v>
      </c>
      <c r="G121" s="230" t="s">
        <v>938</v>
      </c>
      <c r="H121" s="408" t="s">
        <v>94</v>
      </c>
      <c r="I121" s="414" t="s">
        <v>2217</v>
      </c>
      <c r="J121" s="42">
        <v>120</v>
      </c>
      <c r="K121" s="42">
        <v>180</v>
      </c>
      <c r="L121" s="240"/>
      <c r="M121" s="42">
        <v>131.46</v>
      </c>
      <c r="N121" s="379">
        <v>2593.6176999999998</v>
      </c>
      <c r="O121" s="379">
        <v>2593.6176999999998</v>
      </c>
      <c r="P121" s="379">
        <v>0.374</v>
      </c>
      <c r="Q121" s="379">
        <v>0.374</v>
      </c>
      <c r="R121">
        <v>15</v>
      </c>
      <c r="S121" s="408" t="s">
        <v>2058</v>
      </c>
      <c r="T121" s="422"/>
      <c r="U121" s="422" t="s">
        <v>2059</v>
      </c>
      <c r="V121" s="423"/>
      <c r="W121" s="415"/>
      <c r="X121" s="298">
        <v>8</v>
      </c>
      <c r="Y121" s="246" t="s">
        <v>873</v>
      </c>
      <c r="Z121" s="421">
        <v>26</v>
      </c>
      <c r="AA121" s="421">
        <v>50</v>
      </c>
      <c r="AB121" s="408"/>
      <c r="AC121" s="408"/>
      <c r="AD121" s="408"/>
      <c r="AE121" s="408"/>
      <c r="AF121" s="408"/>
      <c r="AG121" s="408"/>
      <c r="AH121" s="408"/>
      <c r="AI121" s="408"/>
    </row>
    <row r="122" spans="1:42" ht="14.25" customHeight="1">
      <c r="A122" t="s">
        <v>2889</v>
      </c>
      <c r="B122" s="408" t="str" cm="1">
        <f t="array" ref="B122">LEFT(A122, 2) &amp; IF(Program_Banner= "Business Energy Savings", 2, IF(Program_Banner="Small Business / Non-Profit", 3, "#")) &amp; RIGHT(A122,6)</f>
        <v>112125003</v>
      </c>
      <c r="C122" s="408" t="s">
        <v>2057</v>
      </c>
      <c r="D122" s="420">
        <v>596.20000000000005</v>
      </c>
      <c r="E122" s="420">
        <v>596.20000000000005</v>
      </c>
      <c r="F122" s="408" t="s">
        <v>2057</v>
      </c>
      <c r="G122" s="230" t="s">
        <v>938</v>
      </c>
      <c r="H122" s="408" t="s">
        <v>94</v>
      </c>
      <c r="I122" s="414" t="s">
        <v>2217</v>
      </c>
      <c r="J122" s="42">
        <v>100</v>
      </c>
      <c r="K122" s="42">
        <v>150</v>
      </c>
      <c r="L122" s="240"/>
      <c r="M122" s="42">
        <v>113.76</v>
      </c>
      <c r="N122" s="379">
        <v>2579.9670999999998</v>
      </c>
      <c r="O122" s="379">
        <v>2579.9670999999998</v>
      </c>
      <c r="P122" s="379">
        <v>0.37209999999999999</v>
      </c>
      <c r="Q122" s="379">
        <v>0.37209999999999999</v>
      </c>
      <c r="R122">
        <v>15</v>
      </c>
      <c r="S122" s="408" t="s">
        <v>2058</v>
      </c>
      <c r="T122" s="422"/>
      <c r="U122" s="422" t="s">
        <v>2059</v>
      </c>
      <c r="V122" s="423"/>
      <c r="W122" s="415"/>
      <c r="X122" s="298">
        <v>9</v>
      </c>
      <c r="Y122" s="246" t="s">
        <v>873</v>
      </c>
      <c r="Z122" s="421">
        <v>51</v>
      </c>
      <c r="AA122" s="421">
        <v>75</v>
      </c>
      <c r="AB122" s="408"/>
      <c r="AC122" s="408"/>
      <c r="AD122" s="408"/>
      <c r="AE122" s="408"/>
      <c r="AF122" s="408"/>
      <c r="AG122" s="408"/>
      <c r="AH122" s="408"/>
      <c r="AI122" s="408"/>
    </row>
    <row r="128" spans="1:42" ht="14.25" customHeight="1">
      <c r="C128" t="s">
        <v>3083</v>
      </c>
      <c r="D128" t="s">
        <v>3086</v>
      </c>
    </row>
    <row r="129" spans="3:12" ht="14.25" customHeight="1">
      <c r="C129" t="s">
        <v>3084</v>
      </c>
      <c r="D129" t="s">
        <v>3087</v>
      </c>
      <c r="L129" s="243"/>
    </row>
    <row r="130" spans="3:12" ht="14.25" customHeight="1">
      <c r="C130" t="s">
        <v>3085</v>
      </c>
      <c r="D130" t="s">
        <v>3088</v>
      </c>
      <c r="L130" s="243"/>
    </row>
    <row r="131" spans="3:12" ht="14.25" customHeight="1">
      <c r="L131" s="243"/>
    </row>
    <row r="132" spans="3:12" ht="14.25" customHeight="1">
      <c r="L132" s="243"/>
    </row>
    <row r="133" spans="3:12" ht="14.25" customHeight="1">
      <c r="L133" s="243"/>
    </row>
    <row r="134" spans="3:12" ht="14.25" customHeight="1">
      <c r="L134" s="243"/>
    </row>
    <row r="135" spans="3:12" ht="14.25" customHeight="1">
      <c r="L135" s="243"/>
    </row>
    <row r="136" spans="3:12" ht="14.25" customHeight="1">
      <c r="L136" s="243"/>
    </row>
    <row r="137" spans="3:12" ht="14.25" customHeight="1">
      <c r="L137" s="243"/>
    </row>
    <row r="138" spans="3:12" ht="14.25" customHeight="1">
      <c r="L138" s="243"/>
    </row>
    <row r="139" spans="3:12" ht="14.25" customHeight="1">
      <c r="L139" s="243"/>
    </row>
    <row r="140" spans="3:12" ht="14.25" customHeight="1">
      <c r="L140" s="243"/>
    </row>
    <row r="141" spans="3:12" ht="14.25" customHeight="1">
      <c r="L141" s="243"/>
    </row>
    <row r="142" spans="3:12" ht="14.25" customHeight="1">
      <c r="L142" s="243"/>
    </row>
    <row r="143" spans="3:12" ht="14.25" customHeight="1">
      <c r="L143" s="243"/>
    </row>
    <row r="144" spans="3:12" ht="14.25" customHeight="1">
      <c r="L144" s="243"/>
    </row>
    <row r="145" spans="12:12" ht="14.25" customHeight="1">
      <c r="L145" s="243"/>
    </row>
    <row r="146" spans="12:12" ht="14.25" customHeight="1">
      <c r="L146" s="243"/>
    </row>
    <row r="147" spans="12:12" ht="14.25" customHeight="1">
      <c r="L147" s="243"/>
    </row>
    <row r="148" spans="12:12" ht="14.25" customHeight="1">
      <c r="L148" s="243"/>
    </row>
    <row r="149" spans="12:12" ht="14.25" customHeight="1">
      <c r="L149" s="243"/>
    </row>
    <row r="150" spans="12:12" ht="14.25" customHeight="1">
      <c r="L150" s="243"/>
    </row>
    <row r="151" spans="12:12" ht="14.25" customHeight="1">
      <c r="L151" s="243"/>
    </row>
    <row r="152" spans="12:12" ht="14.25" customHeight="1">
      <c r="L152" s="243"/>
    </row>
    <row r="153" spans="12:12" ht="14.25" customHeight="1">
      <c r="L153" s="243"/>
    </row>
    <row r="154" spans="12:12" ht="14.25" customHeight="1">
      <c r="L154" s="243"/>
    </row>
    <row r="155" spans="12:12" ht="14.25" customHeight="1">
      <c r="L155" s="243"/>
    </row>
    <row r="156" spans="12:12" ht="14.25" customHeight="1">
      <c r="L156" s="243"/>
    </row>
    <row r="157" spans="12:12" ht="14.25" customHeight="1">
      <c r="L157" s="243"/>
    </row>
    <row r="158" spans="12:12" ht="14.25" customHeight="1">
      <c r="L158" s="243"/>
    </row>
    <row r="167" spans="4:6" ht="14.25" customHeight="1">
      <c r="D167" s="243"/>
      <c r="E167" s="243"/>
      <c r="F167" s="243"/>
    </row>
    <row r="168" spans="4:6" ht="14.25" customHeight="1">
      <c r="D168" s="243"/>
      <c r="E168" s="243"/>
      <c r="F168" s="243"/>
    </row>
    <row r="169" spans="4:6" ht="14.25" customHeight="1">
      <c r="D169" s="243"/>
      <c r="E169" s="243"/>
      <c r="F169" s="243"/>
    </row>
    <row r="170" spans="4:6" ht="14.25" customHeight="1">
      <c r="D170" s="243"/>
      <c r="E170" s="243"/>
      <c r="F170" s="243"/>
    </row>
    <row r="171" spans="4:6" ht="14.25" customHeight="1">
      <c r="D171" s="243"/>
      <c r="E171" s="243"/>
      <c r="F171" s="243"/>
    </row>
    <row r="172" spans="4:6" ht="14.25" customHeight="1">
      <c r="D172" s="243"/>
      <c r="E172" s="243"/>
      <c r="F172" s="243"/>
    </row>
    <row r="173" spans="4:6" ht="14.25" customHeight="1">
      <c r="D173" s="243"/>
      <c r="E173" s="243"/>
      <c r="F173" s="243"/>
    </row>
    <row r="174" spans="4:6" ht="14.25" customHeight="1">
      <c r="D174" s="243"/>
      <c r="E174" s="243"/>
      <c r="F174" s="243"/>
    </row>
    <row r="175" spans="4:6" ht="14.25" customHeight="1">
      <c r="D175" s="243"/>
      <c r="E175" s="243"/>
      <c r="F175" s="243"/>
    </row>
    <row r="176" spans="4:6" ht="14.25" customHeight="1">
      <c r="D176" s="243"/>
      <c r="E176" s="243"/>
      <c r="F176" s="243"/>
    </row>
    <row r="177" spans="4:6" ht="14.25" customHeight="1">
      <c r="D177" s="243"/>
      <c r="E177" s="243"/>
      <c r="F177" s="243"/>
    </row>
    <row r="178" spans="4:6" ht="14.25" customHeight="1">
      <c r="D178" s="243"/>
      <c r="E178" s="243"/>
      <c r="F178" s="243"/>
    </row>
    <row r="179" spans="4:6" ht="14.25" customHeight="1">
      <c r="D179" s="243"/>
      <c r="E179" s="243"/>
      <c r="F179" s="243"/>
    </row>
    <row r="180" spans="4:6" ht="14.25" customHeight="1">
      <c r="D180" s="243"/>
      <c r="E180" s="243"/>
      <c r="F180" s="243"/>
    </row>
    <row r="181" spans="4:6" ht="14.25" customHeight="1">
      <c r="D181" s="243"/>
      <c r="E181" s="243"/>
      <c r="F181" s="243"/>
    </row>
    <row r="182" spans="4:6" ht="14.25" customHeight="1">
      <c r="D182" s="243"/>
      <c r="E182" s="243"/>
      <c r="F182" s="243"/>
    </row>
    <row r="183" spans="4:6" ht="14.25" customHeight="1">
      <c r="D183" s="243"/>
      <c r="E183" s="243"/>
      <c r="F183" s="243"/>
    </row>
    <row r="184" spans="4:6" ht="14.25" customHeight="1">
      <c r="D184" s="243"/>
      <c r="E184" s="243"/>
      <c r="F184" s="243"/>
    </row>
    <row r="185" spans="4:6" ht="14.25" customHeight="1">
      <c r="D185" s="243"/>
      <c r="E185" s="243"/>
      <c r="F185" s="243"/>
    </row>
    <row r="186" spans="4:6" ht="14.25" customHeight="1">
      <c r="D186" s="243"/>
      <c r="E186" s="243"/>
      <c r="F186" s="243"/>
    </row>
    <row r="187" spans="4:6" ht="14.25" customHeight="1">
      <c r="D187" s="243"/>
      <c r="E187" s="243"/>
      <c r="F187" s="243"/>
    </row>
  </sheetData>
  <sheetProtection algorithmName="SHA-512" hashValue="/6eEI9vP0tSIC6FurUlT9AAVlwMZpGi6dmiUMl20YyQRrVVFXGagx19eW+XI9+BuIUhcC02g9WbXuJKzU/qPxg==" saltValue="Nbn1SEjU6RsJpchiPtxqYA==" spinCount="100000" sheet="1" objects="1" scenarios="1"/>
  <phoneticPr fontId="146" type="noConversion"/>
  <conditionalFormatting sqref="H3:H35 H38:H45 H48:H49 H52:H58 H61:H65 H68:H85 H88:H115 H118:H122">
    <cfRule type="expression" dxfId="153" priority="1">
      <formula>NOT(ISNUMBER(MATCH(H3, ENDUSECAT, 0)))</formula>
    </cfRule>
  </conditionalFormatting>
  <conditionalFormatting sqref="L3:L35 L38:L45 L48:L49 L52:L58 L61:L65 L68:L85 L88:L115 L118:L122">
    <cfRule type="containsBlanks" dxfId="152" priority="3">
      <formula>LEN(TRIM(L3))=0</formula>
    </cfRule>
  </conditionalFormatting>
  <dataValidations disablePrompts="1" count="1">
    <dataValidation type="list" allowBlank="1" showInputMessage="1" showErrorMessage="1" sqref="AL88:AO115" xr:uid="{2A68B771-2909-4EF3-95F6-03D9D7EB40B3}">
      <formula1>"PLC, FLC, PLH, FLH, Tons-Heat"</formula1>
    </dataValidation>
  </dataValidations>
  <pageMargins left="0" right="0" top="0" bottom="0" header="0" footer="0"/>
  <pageSetup orientation="portrait" r:id="rId1"/>
  <legacyDrawing r:id="rId2"/>
  <tableParts count="9">
    <tablePart r:id="rId3"/>
    <tablePart r:id="rId4"/>
    <tablePart r:id="rId5"/>
    <tablePart r:id="rId6"/>
    <tablePart r:id="rId7"/>
    <tablePart r:id="rId8"/>
    <tablePart r:id="rId9"/>
    <tablePart r:id="rId10"/>
    <tablePart r:id="rId1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tint="0.59999389629810485"/>
  </sheetPr>
  <dimension ref="A1:AS698"/>
  <sheetViews>
    <sheetView zoomScale="85" zoomScaleNormal="85" workbookViewId="0">
      <selection activeCell="B7" sqref="B7"/>
    </sheetView>
  </sheetViews>
  <sheetFormatPr defaultColWidth="0" defaultRowHeight="15"/>
  <cols>
    <col min="1" max="1" width="4.7109375" customWidth="1"/>
    <col min="2" max="2" width="30.28515625" bestFit="1" customWidth="1"/>
    <col min="3" max="3" width="8.5703125" bestFit="1" customWidth="1"/>
    <col min="4" max="4" width="4.7109375" customWidth="1"/>
    <col min="5" max="5" width="33.42578125" bestFit="1" customWidth="1"/>
    <col min="6" max="6" width="11.5703125" bestFit="1" customWidth="1"/>
    <col min="7" max="7" width="8.5703125" bestFit="1" customWidth="1"/>
    <col min="8" max="8" width="4.7109375" customWidth="1"/>
    <col min="9" max="10" width="22.85546875" bestFit="1" customWidth="1"/>
    <col min="11" max="11" width="37.28515625" bestFit="1" customWidth="1"/>
    <col min="12" max="12" width="20.7109375" bestFit="1" customWidth="1"/>
    <col min="13" max="13" width="19" bestFit="1" customWidth="1"/>
    <col min="14" max="14" width="18" bestFit="1" customWidth="1"/>
    <col min="15" max="15" width="13.28515625" bestFit="1" customWidth="1"/>
    <col min="16" max="16" width="25.7109375" customWidth="1"/>
    <col min="17" max="17" width="11.42578125" bestFit="1" customWidth="1"/>
    <col min="18" max="18" width="15.5703125" bestFit="1" customWidth="1"/>
    <col min="19" max="19" width="29.85546875" bestFit="1" customWidth="1"/>
    <col min="20" max="20" width="14.140625" bestFit="1" customWidth="1"/>
    <col min="21" max="21" width="4.140625" bestFit="1" customWidth="1"/>
    <col min="22" max="45" width="4.7109375" customWidth="1"/>
    <col min="46" max="16384" width="4.7109375" hidden="1"/>
  </cols>
  <sheetData>
    <row r="1" spans="2:16">
      <c r="E1" t="s">
        <v>1440</v>
      </c>
      <c r="J1" t="s">
        <v>1441</v>
      </c>
      <c r="O1" t="s">
        <v>2243</v>
      </c>
    </row>
    <row r="2" spans="2:16">
      <c r="B2" t="s">
        <v>1397</v>
      </c>
      <c r="C2" t="s">
        <v>336</v>
      </c>
      <c r="E2" t="s">
        <v>1398</v>
      </c>
      <c r="F2" s="243" t="s">
        <v>832</v>
      </c>
      <c r="G2" s="243" t="s">
        <v>336</v>
      </c>
      <c r="I2" s="243" t="s">
        <v>1418</v>
      </c>
      <c r="J2" s="243" t="s">
        <v>1425</v>
      </c>
      <c r="K2" t="s">
        <v>1445</v>
      </c>
      <c r="L2" t="s">
        <v>832</v>
      </c>
      <c r="M2" t="s">
        <v>1797</v>
      </c>
      <c r="N2" t="s">
        <v>1796</v>
      </c>
      <c r="O2" t="s">
        <v>1439</v>
      </c>
      <c r="P2" t="s">
        <v>1798</v>
      </c>
    </row>
    <row r="3" spans="2:16">
      <c r="B3" s="33" t="s">
        <v>858</v>
      </c>
      <c r="C3" s="33">
        <v>1</v>
      </c>
      <c r="E3" t="s">
        <v>1367</v>
      </c>
      <c r="F3" s="196" t="s">
        <v>1367</v>
      </c>
      <c r="G3" s="249">
        <v>1</v>
      </c>
      <c r="I3" s="26" t="s">
        <v>1367</v>
      </c>
      <c r="J3" s="26" t="str">
        <f>STDLIGHTINEFCAT2[[#This Row],[Ineff DropDown 2]]&amp;"_"&amp;STDLIGHTINEFCAT2[[#This Row],[Ineff DropDown 2]]</f>
        <v>A-Series_A-Series</v>
      </c>
      <c r="K3" s="247" t="str">
        <f>STDLIGHTINEFCAT2[[#This Row],[Match]]&amp;"_"&amp;STDLIGHTINEFCAT2[[#This Row],[Options]]</f>
        <v>A-Series_A-Series_A-Series</v>
      </c>
      <c r="L3" s="247" t="s">
        <v>1367</v>
      </c>
      <c r="M3" s="247"/>
      <c r="N3" s="247"/>
      <c r="O3">
        <v>1</v>
      </c>
      <c r="P3" s="196"/>
    </row>
    <row r="4" spans="2:16">
      <c r="B4" t="s">
        <v>865</v>
      </c>
      <c r="C4">
        <v>2</v>
      </c>
      <c r="E4" s="196" t="s">
        <v>1401</v>
      </c>
      <c r="F4" s="196" t="s">
        <v>1369</v>
      </c>
      <c r="G4" s="249">
        <v>2</v>
      </c>
      <c r="I4" s="26" t="s">
        <v>1401</v>
      </c>
      <c r="J4" s="26" t="str">
        <f>"BR/R"&amp;"_"&amp;STDLIGHTINEFCAT2[[#This Row],[Ineff DropDown 2]]</f>
        <v>BR/R_BR_R</v>
      </c>
      <c r="K4" s="247" t="str">
        <f>STDLIGHTINEFCAT2[[#This Row],[Match]]&amp;"_"&amp;STDLIGHTINEFCAT2[[#This Row],[Options]]</f>
        <v>BR/R_BR_R_BR/R</v>
      </c>
      <c r="L4" s="247" t="s">
        <v>1369</v>
      </c>
      <c r="M4" s="247"/>
      <c r="N4" s="247"/>
      <c r="O4">
        <v>2</v>
      </c>
      <c r="P4" s="196"/>
    </row>
    <row r="5" spans="2:16">
      <c r="B5" t="s">
        <v>1456</v>
      </c>
      <c r="C5" s="33">
        <v>3</v>
      </c>
      <c r="E5" s="424" t="s">
        <v>570</v>
      </c>
      <c r="F5" s="300" t="s">
        <v>570</v>
      </c>
      <c r="G5" s="249">
        <v>3</v>
      </c>
      <c r="I5" s="26" t="s">
        <v>570</v>
      </c>
      <c r="J5" s="26" t="str">
        <f>"CFL_"&amp;STDLIGHTINEFCAT2[[#This Row],[Ineff DropDown 2]]</f>
        <v>CFL_CFL</v>
      </c>
      <c r="K5" s="429" t="str">
        <f>STDLIGHTINEFCAT2[[#This Row],[Match]]&amp;"_"&amp;STDLIGHTINEFCAT2[[#This Row],[Options]]</f>
        <v>CFL_CFL_CFL Lamp</v>
      </c>
      <c r="L5" s="381" t="s">
        <v>398</v>
      </c>
      <c r="M5" s="247"/>
      <c r="N5" s="429"/>
      <c r="O5">
        <v>3</v>
      </c>
      <c r="P5" s="196"/>
    </row>
    <row r="6" spans="2:16">
      <c r="B6" t="s">
        <v>1457</v>
      </c>
      <c r="C6">
        <v>4</v>
      </c>
      <c r="E6" s="425" t="s">
        <v>2166</v>
      </c>
      <c r="F6" s="425" t="s">
        <v>2166</v>
      </c>
      <c r="G6" s="249">
        <v>4</v>
      </c>
      <c r="I6" s="26" t="s">
        <v>2166</v>
      </c>
      <c r="J6" s="26" t="str">
        <f>"Halogen_"&amp;STDLIGHTINEFCAT2[[#This Row],[Ineff DropDown 2]]</f>
        <v>Halogen_Halogen</v>
      </c>
      <c r="K6" s="381" t="str">
        <f>STDLIGHTINEFCAT2[[#This Row],[Match]]&amp;"_"&amp;STDLIGHTINEFCAT2[[#This Row],[Options]]</f>
        <v>Halogen_Halogen_Halogen</v>
      </c>
      <c r="L6" s="381" t="s">
        <v>2166</v>
      </c>
      <c r="M6" s="247"/>
      <c r="N6" s="381"/>
      <c r="O6">
        <v>4</v>
      </c>
      <c r="P6" s="196"/>
    </row>
    <row r="7" spans="2:16">
      <c r="B7" t="s">
        <v>1948</v>
      </c>
      <c r="C7" s="33">
        <v>5</v>
      </c>
      <c r="E7" s="248" t="s">
        <v>1399</v>
      </c>
      <c r="F7" s="247" t="s">
        <v>1399</v>
      </c>
      <c r="G7" s="249">
        <v>5</v>
      </c>
      <c r="I7" s="26" t="s">
        <v>1910</v>
      </c>
      <c r="J7" s="26" t="str">
        <f>"HID_"&amp;STDLIGHTINEFCAT2[[#This Row],[Ineff DropDown 2]]</f>
        <v>HID_Ext  &gt;500</v>
      </c>
      <c r="K7" s="247" t="str">
        <f>STDLIGHTINEFCAT2[[#This Row],[Match]]&amp;"_"&amp;STDLIGHTINEFCAT2[[#This Row],[Options]]</f>
        <v>HID_Ext  &gt;500_--Metal Halide--</v>
      </c>
      <c r="L7" s="247" t="s">
        <v>1378</v>
      </c>
      <c r="M7" s="247"/>
      <c r="N7" s="247"/>
      <c r="O7">
        <v>5</v>
      </c>
      <c r="P7" s="247" t="s">
        <v>1378</v>
      </c>
    </row>
    <row r="8" spans="2:16">
      <c r="B8" t="s">
        <v>866</v>
      </c>
      <c r="C8">
        <v>6</v>
      </c>
      <c r="E8" s="248" t="s">
        <v>1601</v>
      </c>
      <c r="F8" s="247" t="s">
        <v>1399</v>
      </c>
      <c r="G8" s="249">
        <v>6</v>
      </c>
      <c r="I8" s="26" t="s">
        <v>1910</v>
      </c>
      <c r="J8" s="26" t="str">
        <f>"HID_"&amp;STDLIGHTINEFCAT2[[#This Row],[Ineff DropDown 2]]</f>
        <v>HID_Ext  &gt;500</v>
      </c>
      <c r="K8" s="247" t="str">
        <f>STDLIGHTINEFCAT2[[#This Row],[Match]]&amp;"_"&amp;STDLIGHTINEFCAT2[[#This Row],[Options]]</f>
        <v>HID_Ext  &gt;500_MH 450W</v>
      </c>
      <c r="L8" s="247" t="s">
        <v>1683</v>
      </c>
      <c r="M8" s="247">
        <v>450</v>
      </c>
      <c r="N8" s="247">
        <v>506</v>
      </c>
      <c r="O8">
        <v>6</v>
      </c>
      <c r="P8" s="247" t="s">
        <v>1433</v>
      </c>
    </row>
    <row r="9" spans="2:16">
      <c r="B9" s="33" t="s">
        <v>1617</v>
      </c>
      <c r="C9" s="33">
        <v>7</v>
      </c>
      <c r="E9" s="248" t="s">
        <v>1601</v>
      </c>
      <c r="F9" s="196" t="s">
        <v>98</v>
      </c>
      <c r="G9" s="249">
        <v>7</v>
      </c>
      <c r="I9" s="26" t="s">
        <v>1910</v>
      </c>
      <c r="J9" s="26" t="str">
        <f>"HID_"&amp;STDLIGHTINEFCAT2[[#This Row],[Ineff DropDown 2]]</f>
        <v>HID_Ext  &gt;500</v>
      </c>
      <c r="K9" s="243" t="str">
        <f>STDLIGHTINEFCAT2[[#This Row],[Match]]&amp;"_"&amp;STDLIGHTINEFCAT2[[#This Row],[Options]]</f>
        <v>HID_Ext  &gt;500_MH 750W</v>
      </c>
      <c r="L9" s="247" t="s">
        <v>1684</v>
      </c>
      <c r="M9" s="247">
        <v>750</v>
      </c>
      <c r="N9" s="243">
        <v>814</v>
      </c>
      <c r="O9">
        <v>7</v>
      </c>
      <c r="P9" s="247" t="s">
        <v>1434</v>
      </c>
    </row>
    <row r="10" spans="2:16">
      <c r="B10" t="s">
        <v>1351</v>
      </c>
      <c r="C10">
        <v>8</v>
      </c>
      <c r="E10" s="248" t="s">
        <v>1933</v>
      </c>
      <c r="F10" s="426" t="s">
        <v>1399</v>
      </c>
      <c r="G10" s="249">
        <v>8</v>
      </c>
      <c r="I10" s="26" t="s">
        <v>1910</v>
      </c>
      <c r="J10" s="26" t="str">
        <f>"HID_"&amp;STDLIGHTINEFCAT2[[#This Row],[Ineff DropDown 2]]</f>
        <v>HID_Ext  &gt;500</v>
      </c>
      <c r="K10" s="247" t="str">
        <f>STDLIGHTINEFCAT2[[#This Row],[Match]]&amp;"_"&amp;STDLIGHTINEFCAT2[[#This Row],[Options]]</f>
        <v>HID_Ext  &gt;500_MH 1,000W</v>
      </c>
      <c r="L10" s="247" t="s">
        <v>1685</v>
      </c>
      <c r="M10" s="247">
        <v>1000</v>
      </c>
      <c r="N10" s="247">
        <v>1080</v>
      </c>
      <c r="O10">
        <v>8</v>
      </c>
      <c r="P10" s="247" t="s">
        <v>1446</v>
      </c>
    </row>
    <row r="11" spans="2:16">
      <c r="B11" s="1" t="s">
        <v>1352</v>
      </c>
      <c r="C11" s="33">
        <v>9</v>
      </c>
      <c r="E11" s="248" t="s">
        <v>1933</v>
      </c>
      <c r="F11" s="426" t="s">
        <v>98</v>
      </c>
      <c r="G11" s="249">
        <v>9</v>
      </c>
      <c r="I11" s="26" t="s">
        <v>1910</v>
      </c>
      <c r="J11" s="26" t="str">
        <f>"HID_"&amp;STDLIGHTINEFCAT2[[#This Row],[Ineff DropDown 2]]</f>
        <v>HID_Ext  &gt;500</v>
      </c>
      <c r="K11" s="247" t="str">
        <f>STDLIGHTINEFCAT2[[#This Row],[Match]]&amp;"_"&amp;STDLIGHTINEFCAT2[[#This Row],[Options]]</f>
        <v>HID_Ext  &gt;500_--Mercury Vapor--</v>
      </c>
      <c r="L11" s="247" t="s">
        <v>1379</v>
      </c>
      <c r="M11" s="247"/>
      <c r="N11" s="247"/>
      <c r="O11">
        <v>9</v>
      </c>
      <c r="P11" s="247" t="s">
        <v>1379</v>
      </c>
    </row>
    <row r="12" spans="2:16">
      <c r="E12" s="248" t="s">
        <v>1933</v>
      </c>
      <c r="F12" s="426" t="s">
        <v>1844</v>
      </c>
      <c r="G12" s="249">
        <v>10</v>
      </c>
      <c r="I12" s="26" t="s">
        <v>1910</v>
      </c>
      <c r="J12" s="26" t="str">
        <f>"HID_"&amp;STDLIGHTINEFCAT2[[#This Row],[Ineff DropDown 2]]</f>
        <v>HID_Ext  &gt;500</v>
      </c>
      <c r="K12" s="247" t="str">
        <f>STDLIGHTINEFCAT2[[#This Row],[Match]]&amp;"_"&amp;STDLIGHTINEFCAT2[[#This Row],[Options]]</f>
        <v>HID_Ext  &gt;500_MV 700W</v>
      </c>
      <c r="L12" s="247" t="s">
        <v>1686</v>
      </c>
      <c r="M12" s="247">
        <v>700</v>
      </c>
      <c r="N12" s="247">
        <v>780</v>
      </c>
      <c r="O12">
        <v>10</v>
      </c>
      <c r="P12" s="247" t="s">
        <v>1435</v>
      </c>
    </row>
    <row r="13" spans="2:16">
      <c r="B13" t="s">
        <v>1397</v>
      </c>
      <c r="C13" t="s">
        <v>336</v>
      </c>
      <c r="E13" s="248" t="s">
        <v>1922</v>
      </c>
      <c r="F13" s="247" t="s">
        <v>1399</v>
      </c>
      <c r="G13" s="249">
        <v>11</v>
      </c>
      <c r="I13" s="26" t="s">
        <v>1910</v>
      </c>
      <c r="J13" s="26" t="str">
        <f>"HID_"&amp;STDLIGHTINEFCAT2[[#This Row],[Ineff DropDown 2]]</f>
        <v>HID_Ext  &gt;500</v>
      </c>
      <c r="K13" s="247" t="str">
        <f>STDLIGHTINEFCAT2[[#This Row],[Match]]&amp;"_"&amp;STDLIGHTINEFCAT2[[#This Row],[Options]]</f>
        <v>HID_Ext  &gt;500_MV 1,000W</v>
      </c>
      <c r="L13" s="247" t="s">
        <v>1687</v>
      </c>
      <c r="M13" s="247">
        <v>1000</v>
      </c>
      <c r="N13" s="247">
        <v>1075</v>
      </c>
      <c r="O13">
        <v>11</v>
      </c>
      <c r="P13" s="247" t="s">
        <v>1447</v>
      </c>
    </row>
    <row r="14" spans="2:16">
      <c r="B14" s="33" t="s">
        <v>858</v>
      </c>
      <c r="C14" s="33">
        <v>1</v>
      </c>
      <c r="E14" s="427" t="s">
        <v>1922</v>
      </c>
      <c r="F14" s="198" t="s">
        <v>98</v>
      </c>
      <c r="G14" s="249">
        <v>12</v>
      </c>
      <c r="I14" s="26" t="s">
        <v>1911</v>
      </c>
      <c r="J14" s="26" t="str">
        <f>"HID_"&amp;STDLIGHTINEFCAT2[[#This Row],[Ineff DropDown 2]]</f>
        <v>HID_Ext ≤210</v>
      </c>
      <c r="K14" s="251" t="str">
        <f>STDLIGHTINEFCAT2[[#This Row],[Match]]&amp;"_"&amp;STDLIGHTINEFCAT2[[#This Row],[Options]]</f>
        <v>HID_Ext ≤210_--Metal Halide--</v>
      </c>
      <c r="L14" s="251" t="s">
        <v>1378</v>
      </c>
      <c r="M14" s="251"/>
      <c r="N14" s="251"/>
      <c r="O14">
        <v>12</v>
      </c>
      <c r="P14" s="251" t="s">
        <v>1378</v>
      </c>
    </row>
    <row r="15" spans="2:16">
      <c r="B15" t="s">
        <v>865</v>
      </c>
      <c r="C15">
        <v>2</v>
      </c>
      <c r="E15" s="26" t="s">
        <v>1922</v>
      </c>
      <c r="F15" s="428" t="s">
        <v>93</v>
      </c>
      <c r="G15" s="249">
        <v>13</v>
      </c>
      <c r="I15" s="26" t="s">
        <v>1911</v>
      </c>
      <c r="J15" s="26" t="str">
        <f>"HID_"&amp;STDLIGHTINEFCAT2[[#This Row],[Ineff DropDown 2]]</f>
        <v>HID_Ext ≤210</v>
      </c>
      <c r="K15" s="243" t="str">
        <f>STDLIGHTINEFCAT2[[#This Row],[Match]]&amp;"_"&amp;STDLIGHTINEFCAT2[[#This Row],[Options]]</f>
        <v>HID_Ext ≤210_MH 50W</v>
      </c>
      <c r="L15" s="247" t="s">
        <v>682</v>
      </c>
      <c r="M15" s="247">
        <v>50</v>
      </c>
      <c r="N15" s="243">
        <v>62</v>
      </c>
      <c r="O15">
        <v>13</v>
      </c>
      <c r="P15" s="247" t="s">
        <v>1419</v>
      </c>
    </row>
    <row r="16" spans="2:16">
      <c r="B16" t="s">
        <v>2242</v>
      </c>
      <c r="C16" s="33">
        <v>3</v>
      </c>
      <c r="E16" s="26" t="s">
        <v>1922</v>
      </c>
      <c r="F16" s="196" t="s">
        <v>92</v>
      </c>
      <c r="G16" s="249">
        <v>14</v>
      </c>
      <c r="I16" s="26" t="s">
        <v>1911</v>
      </c>
      <c r="J16" s="26" t="str">
        <f>"HID_"&amp;STDLIGHTINEFCAT2[[#This Row],[Ineff DropDown 2]]</f>
        <v>HID_Ext ≤210</v>
      </c>
      <c r="K16" s="247" t="str">
        <f>STDLIGHTINEFCAT2[[#This Row],[Match]]&amp;"_"&amp;STDLIGHTINEFCAT2[[#This Row],[Options]]</f>
        <v>HID_Ext ≤210_MH 70W</v>
      </c>
      <c r="L16" s="247" t="s">
        <v>506</v>
      </c>
      <c r="M16" s="247">
        <v>70</v>
      </c>
      <c r="N16" s="247">
        <v>93</v>
      </c>
      <c r="O16">
        <v>14</v>
      </c>
      <c r="P16" s="247" t="s">
        <v>1420</v>
      </c>
    </row>
    <row r="17" spans="2:16">
      <c r="B17" t="s">
        <v>866</v>
      </c>
      <c r="C17">
        <v>4</v>
      </c>
      <c r="D17" s="243"/>
      <c r="E17" s="248" t="s">
        <v>1922</v>
      </c>
      <c r="F17" s="247" t="s">
        <v>1844</v>
      </c>
      <c r="G17" s="249">
        <v>15</v>
      </c>
      <c r="I17" s="26" t="s">
        <v>1911</v>
      </c>
      <c r="J17" s="26" t="str">
        <f>"HID_"&amp;STDLIGHTINEFCAT2[[#This Row],[Ineff DropDown 2]]</f>
        <v>HID_Ext ≤210</v>
      </c>
      <c r="K17" s="247" t="str">
        <f>STDLIGHTINEFCAT2[[#This Row],[Match]]&amp;"_"&amp;STDLIGHTINEFCAT2[[#This Row],[Options]]</f>
        <v>HID_Ext ≤210_MH 100W</v>
      </c>
      <c r="L17" s="247" t="s">
        <v>507</v>
      </c>
      <c r="M17" s="247">
        <v>100</v>
      </c>
      <c r="N17" s="247">
        <v>125</v>
      </c>
      <c r="O17">
        <v>15</v>
      </c>
      <c r="P17" s="247" t="s">
        <v>1421</v>
      </c>
    </row>
    <row r="18" spans="2:16">
      <c r="B18" s="33" t="s">
        <v>1617</v>
      </c>
      <c r="C18" s="33">
        <v>5</v>
      </c>
      <c r="D18" s="243"/>
      <c r="E18" s="248" t="s">
        <v>1932</v>
      </c>
      <c r="F18" s="426" t="s">
        <v>1399</v>
      </c>
      <c r="G18" s="249">
        <v>16</v>
      </c>
      <c r="I18" s="26" t="s">
        <v>1911</v>
      </c>
      <c r="J18" s="26" t="str">
        <f>"HID_"&amp;STDLIGHTINEFCAT2[[#This Row],[Ineff DropDown 2]]</f>
        <v>HID_Ext ≤210</v>
      </c>
      <c r="K18" s="247" t="str">
        <f>STDLIGHTINEFCAT2[[#This Row],[Match]]&amp;"_"&amp;STDLIGHTINEFCAT2[[#This Row],[Options]]</f>
        <v>HID_Ext ≤210_MH 125W</v>
      </c>
      <c r="L18" s="247" t="s">
        <v>1678</v>
      </c>
      <c r="M18" s="247">
        <v>125</v>
      </c>
      <c r="N18" s="247">
        <v>150</v>
      </c>
      <c r="O18">
        <v>16</v>
      </c>
      <c r="P18" s="247" t="s">
        <v>1422</v>
      </c>
    </row>
    <row r="19" spans="2:16">
      <c r="B19" t="s">
        <v>1351</v>
      </c>
      <c r="C19">
        <v>6</v>
      </c>
      <c r="D19" s="243"/>
      <c r="E19" s="248" t="s">
        <v>1932</v>
      </c>
      <c r="F19" s="426" t="s">
        <v>98</v>
      </c>
      <c r="G19" s="249">
        <v>17</v>
      </c>
      <c r="I19" s="26" t="s">
        <v>1911</v>
      </c>
      <c r="J19" s="26" t="str">
        <f>"HID_"&amp;STDLIGHTINEFCAT2[[#This Row],[Ineff DropDown 2]]</f>
        <v>HID_Ext ≤210</v>
      </c>
      <c r="K19" s="247" t="str">
        <f>STDLIGHTINEFCAT2[[#This Row],[Match]]&amp;"_"&amp;STDLIGHTINEFCAT2[[#This Row],[Options]]</f>
        <v>HID_Ext ≤210_MH 150W</v>
      </c>
      <c r="L19" s="247" t="s">
        <v>683</v>
      </c>
      <c r="M19" s="247">
        <v>150</v>
      </c>
      <c r="N19" s="247">
        <v>173</v>
      </c>
      <c r="O19">
        <v>17</v>
      </c>
      <c r="P19" s="247" t="s">
        <v>1423</v>
      </c>
    </row>
    <row r="20" spans="2:16">
      <c r="D20" s="243"/>
      <c r="E20" s="248" t="s">
        <v>1932</v>
      </c>
      <c r="F20" s="426" t="s">
        <v>93</v>
      </c>
      <c r="G20" s="249">
        <v>18</v>
      </c>
      <c r="I20" s="26" t="s">
        <v>1911</v>
      </c>
      <c r="J20" s="26" t="str">
        <f>"HID_"&amp;STDLIGHTINEFCAT2[[#This Row],[Ineff DropDown 2]]</f>
        <v>HID_Ext ≤210</v>
      </c>
      <c r="K20" s="247" t="str">
        <f>STDLIGHTINEFCAT2[[#This Row],[Match]]&amp;"_"&amp;STDLIGHTINEFCAT2[[#This Row],[Options]]</f>
        <v>HID_Ext ≤210_MH 175W</v>
      </c>
      <c r="L20" s="247" t="s">
        <v>508</v>
      </c>
      <c r="M20" s="247">
        <v>175</v>
      </c>
      <c r="N20" s="247">
        <v>210</v>
      </c>
      <c r="O20">
        <v>18</v>
      </c>
      <c r="P20" s="247" t="s">
        <v>1426</v>
      </c>
    </row>
    <row r="21" spans="2:16">
      <c r="D21" s="243"/>
      <c r="E21" s="248" t="s">
        <v>1932</v>
      </c>
      <c r="F21" s="426" t="s">
        <v>1844</v>
      </c>
      <c r="G21" s="249">
        <v>19</v>
      </c>
      <c r="I21" s="26" t="s">
        <v>1911</v>
      </c>
      <c r="J21" s="26" t="str">
        <f>"HID_"&amp;STDLIGHTINEFCAT2[[#This Row],[Ineff DropDown 2]]</f>
        <v>HID_Ext ≤210</v>
      </c>
      <c r="K21" s="244" t="str">
        <f>STDLIGHTINEFCAT2[[#This Row],[Match]]&amp;"_"&amp;STDLIGHTINEFCAT2[[#This Row],[Options]]</f>
        <v>HID_Ext ≤210_--Mercury Vapor--</v>
      </c>
      <c r="L21" s="251" t="s">
        <v>1379</v>
      </c>
      <c r="M21" s="244"/>
      <c r="N21" s="243"/>
      <c r="O21">
        <v>19</v>
      </c>
      <c r="P21" s="244" t="s">
        <v>1379</v>
      </c>
    </row>
    <row r="22" spans="2:16">
      <c r="D22" s="243"/>
      <c r="E22" s="247" t="s">
        <v>1400</v>
      </c>
      <c r="F22" s="250" t="s">
        <v>1366</v>
      </c>
      <c r="G22" s="249">
        <v>20</v>
      </c>
      <c r="I22" s="26" t="s">
        <v>1911</v>
      </c>
      <c r="J22" s="26" t="str">
        <f>"HID_"&amp;STDLIGHTINEFCAT2[[#This Row],[Ineff DropDown 2]]</f>
        <v>HID_Ext ≤210</v>
      </c>
      <c r="K22" s="243" t="str">
        <f>STDLIGHTINEFCAT2[[#This Row],[Match]]&amp;"_"&amp;STDLIGHTINEFCAT2[[#This Row],[Options]]</f>
        <v>HID_Ext ≤210_MV 50W</v>
      </c>
      <c r="L22" s="247" t="s">
        <v>491</v>
      </c>
      <c r="M22" s="243">
        <v>50</v>
      </c>
      <c r="N22" s="243">
        <v>75</v>
      </c>
      <c r="O22">
        <v>20</v>
      </c>
      <c r="P22" s="243" t="s">
        <v>1419</v>
      </c>
    </row>
    <row r="23" spans="2:16">
      <c r="D23" s="243"/>
      <c r="E23" s="198" t="s">
        <v>1368</v>
      </c>
      <c r="F23" s="198" t="s">
        <v>1368</v>
      </c>
      <c r="G23" s="249">
        <v>21</v>
      </c>
      <c r="I23" s="26" t="s">
        <v>1911</v>
      </c>
      <c r="J23" s="26" t="str">
        <f>"HID_"&amp;STDLIGHTINEFCAT2[[#This Row],[Ineff DropDown 2]]</f>
        <v>HID_Ext ≤210</v>
      </c>
      <c r="K23" s="243" t="str">
        <f>STDLIGHTINEFCAT2[[#This Row],[Match]]&amp;"_"&amp;STDLIGHTINEFCAT2[[#This Row],[Options]]</f>
        <v>HID_Ext ≤210_MV 75W</v>
      </c>
      <c r="L23" s="247" t="s">
        <v>492</v>
      </c>
      <c r="M23" s="243">
        <v>75</v>
      </c>
      <c r="N23" s="243">
        <v>95</v>
      </c>
      <c r="O23">
        <v>21</v>
      </c>
      <c r="P23" s="243" t="s">
        <v>1424</v>
      </c>
    </row>
    <row r="24" spans="2:16">
      <c r="D24" s="243"/>
      <c r="E24" s="198" t="s">
        <v>1370</v>
      </c>
      <c r="F24" s="198" t="s">
        <v>1370</v>
      </c>
      <c r="G24" s="249">
        <v>22</v>
      </c>
      <c r="I24" s="26" t="s">
        <v>1911</v>
      </c>
      <c r="J24" s="26" t="str">
        <f>"HID_"&amp;STDLIGHTINEFCAT2[[#This Row],[Ineff DropDown 2]]</f>
        <v>HID_Ext ≤210</v>
      </c>
      <c r="K24" s="243" t="str">
        <f>STDLIGHTINEFCAT2[[#This Row],[Match]]&amp;"_"&amp;STDLIGHTINEFCAT2[[#This Row],[Options]]</f>
        <v>HID_Ext ≤210_MV 100W</v>
      </c>
      <c r="L24" s="247" t="s">
        <v>493</v>
      </c>
      <c r="M24" s="243">
        <v>100</v>
      </c>
      <c r="N24" s="243">
        <v>120</v>
      </c>
      <c r="O24">
        <v>22</v>
      </c>
      <c r="P24" s="243" t="s">
        <v>1421</v>
      </c>
    </row>
    <row r="25" spans="2:16">
      <c r="D25" s="243"/>
      <c r="E25" s="198" t="s">
        <v>1460</v>
      </c>
      <c r="F25" s="250" t="s">
        <v>98</v>
      </c>
      <c r="G25" s="249">
        <v>23</v>
      </c>
      <c r="I25" s="26" t="s">
        <v>1911</v>
      </c>
      <c r="J25" s="26" t="str">
        <f>"HID_"&amp;STDLIGHTINEFCAT2[[#This Row],[Ineff DropDown 2]]</f>
        <v>HID_Ext ≤210</v>
      </c>
      <c r="K25" s="243" t="str">
        <f>STDLIGHTINEFCAT2[[#This Row],[Match]]&amp;"_"&amp;STDLIGHTINEFCAT2[[#This Row],[Options]]</f>
        <v>HID_Ext ≤210_MV 175W</v>
      </c>
      <c r="L25" s="247" t="s">
        <v>494</v>
      </c>
      <c r="M25" s="243">
        <v>175</v>
      </c>
      <c r="N25" s="243">
        <v>205</v>
      </c>
      <c r="O25">
        <v>23</v>
      </c>
      <c r="P25" s="243" t="s">
        <v>1426</v>
      </c>
    </row>
    <row r="26" spans="2:16">
      <c r="D26" s="243"/>
      <c r="E26" s="196" t="s">
        <v>1460</v>
      </c>
      <c r="F26" s="247" t="s">
        <v>93</v>
      </c>
      <c r="G26" s="249">
        <v>24</v>
      </c>
      <c r="I26" s="26" t="s">
        <v>1911</v>
      </c>
      <c r="J26" s="26" t="str">
        <f>"HID_"&amp;STDLIGHTINEFCAT2[[#This Row],[Ineff DropDown 2]]</f>
        <v>HID_Ext ≤210</v>
      </c>
      <c r="K26" s="244" t="str">
        <f>STDLIGHTINEFCAT2[[#This Row],[Match]]&amp;"_"&amp;STDLIGHTINEFCAT2[[#This Row],[Options]]</f>
        <v>HID_Ext ≤210_--High Pres. Sodium--</v>
      </c>
      <c r="L26" s="251" t="s">
        <v>1380</v>
      </c>
      <c r="M26" s="244"/>
      <c r="N26" s="243"/>
      <c r="O26">
        <v>24</v>
      </c>
      <c r="P26" s="244" t="s">
        <v>1380</v>
      </c>
    </row>
    <row r="27" spans="2:16">
      <c r="D27" s="243"/>
      <c r="E27" s="196" t="s">
        <v>1845</v>
      </c>
      <c r="F27" s="196" t="s">
        <v>98</v>
      </c>
      <c r="G27" s="249">
        <v>25</v>
      </c>
      <c r="I27" s="26" t="s">
        <v>1911</v>
      </c>
      <c r="J27" s="26" t="str">
        <f>"HID_"&amp;STDLIGHTINEFCAT2[[#This Row],[Ineff DropDown 2]]</f>
        <v>HID_Ext ≤210</v>
      </c>
      <c r="K27" s="243" t="str">
        <f>STDLIGHTINEFCAT2[[#This Row],[Match]]&amp;"_"&amp;STDLIGHTINEFCAT2[[#This Row],[Options]]</f>
        <v>HID_Ext ≤210_HPS 50W</v>
      </c>
      <c r="L27" s="247" t="s">
        <v>498</v>
      </c>
      <c r="M27" s="243">
        <v>50</v>
      </c>
      <c r="N27" s="244">
        <v>64</v>
      </c>
      <c r="O27">
        <v>25</v>
      </c>
      <c r="P27" s="243" t="s">
        <v>1419</v>
      </c>
    </row>
    <row r="28" spans="2:16">
      <c r="D28" s="243"/>
      <c r="E28" s="196" t="s">
        <v>1845</v>
      </c>
      <c r="F28" s="196" t="s">
        <v>93</v>
      </c>
      <c r="G28" s="249">
        <v>26</v>
      </c>
      <c r="I28" s="26" t="s">
        <v>1911</v>
      </c>
      <c r="J28" s="26" t="str">
        <f>"HID_"&amp;STDLIGHTINEFCAT2[[#This Row],[Ineff DropDown 2]]</f>
        <v>HID_Ext ≤210</v>
      </c>
      <c r="K28" s="243" t="str">
        <f>STDLIGHTINEFCAT2[[#This Row],[Match]]&amp;"_"&amp;STDLIGHTINEFCAT2[[#This Row],[Options]]</f>
        <v>HID_Ext ≤210_HPS 70W</v>
      </c>
      <c r="L28" s="247" t="s">
        <v>499</v>
      </c>
      <c r="M28" s="243">
        <v>70</v>
      </c>
      <c r="N28" s="244">
        <v>86</v>
      </c>
      <c r="O28">
        <v>26</v>
      </c>
      <c r="P28" s="243" t="s">
        <v>1420</v>
      </c>
    </row>
    <row r="29" spans="2:16">
      <c r="D29" s="243"/>
      <c r="E29" s="196" t="s">
        <v>1845</v>
      </c>
      <c r="F29" s="196" t="s">
        <v>92</v>
      </c>
      <c r="G29" s="249">
        <v>27</v>
      </c>
      <c r="I29" s="26" t="s">
        <v>1911</v>
      </c>
      <c r="J29" s="26" t="str">
        <f>"HID_"&amp;STDLIGHTINEFCAT2[[#This Row],[Ineff DropDown 2]]</f>
        <v>HID_Ext ≤210</v>
      </c>
      <c r="K29" s="243" t="str">
        <f>STDLIGHTINEFCAT2[[#This Row],[Match]]&amp;"_"&amp;STDLIGHTINEFCAT2[[#This Row],[Options]]</f>
        <v>HID_Ext ≤210_HPS 100W</v>
      </c>
      <c r="L29" s="247" t="s">
        <v>500</v>
      </c>
      <c r="M29" s="243">
        <v>100</v>
      </c>
      <c r="N29" s="243">
        <v>126</v>
      </c>
      <c r="O29">
        <v>27</v>
      </c>
      <c r="P29" s="243" t="s">
        <v>1421</v>
      </c>
    </row>
    <row r="30" spans="2:16">
      <c r="D30" s="243"/>
      <c r="E30" s="196" t="s">
        <v>1845</v>
      </c>
      <c r="F30" s="307" t="s">
        <v>1844</v>
      </c>
      <c r="G30" s="249">
        <v>28</v>
      </c>
      <c r="I30" s="26" t="s">
        <v>1911</v>
      </c>
      <c r="J30" s="26" t="str">
        <f>"HID_"&amp;STDLIGHTINEFCAT2[[#This Row],[Ineff DropDown 2]]</f>
        <v>HID_Ext ≤210</v>
      </c>
      <c r="K30" s="243" t="str">
        <f>STDLIGHTINEFCAT2[[#This Row],[Match]]&amp;"_"&amp;STDLIGHTINEFCAT2[[#This Row],[Options]]</f>
        <v>HID_Ext ≤210_HPS 150W</v>
      </c>
      <c r="L30" s="247" t="s">
        <v>501</v>
      </c>
      <c r="M30" s="243">
        <v>150</v>
      </c>
      <c r="N30" s="243">
        <v>188</v>
      </c>
      <c r="O30">
        <v>28</v>
      </c>
      <c r="P30" s="243" t="s">
        <v>1423</v>
      </c>
    </row>
    <row r="31" spans="2:16">
      <c r="E31" s="313" t="s">
        <v>1880</v>
      </c>
      <c r="F31" s="300" t="s">
        <v>92</v>
      </c>
      <c r="G31" s="249">
        <v>29</v>
      </c>
      <c r="I31" s="26" t="s">
        <v>1912</v>
      </c>
      <c r="J31" s="26" t="str">
        <f>"HID_"&amp;STDLIGHTINEFCAT2[[#This Row],[Ineff DropDown 2]]</f>
        <v>HID_Ext 211-300</v>
      </c>
      <c r="K31" s="244" t="str">
        <f>STDLIGHTINEFCAT2[[#This Row],[Match]]&amp;"_"&amp;STDLIGHTINEFCAT2[[#This Row],[Options]]</f>
        <v>HID_Ext 211-300_--Metal Halide--</v>
      </c>
      <c r="L31" s="251" t="s">
        <v>1378</v>
      </c>
      <c r="M31" s="244"/>
      <c r="N31" s="244"/>
      <c r="O31">
        <v>29</v>
      </c>
      <c r="P31" s="244" t="s">
        <v>1378</v>
      </c>
    </row>
    <row r="32" spans="2:16">
      <c r="E32" s="313" t="s">
        <v>1880</v>
      </c>
      <c r="F32" s="301" t="s">
        <v>1844</v>
      </c>
      <c r="G32" s="249">
        <v>30</v>
      </c>
      <c r="I32" s="26" t="s">
        <v>1912</v>
      </c>
      <c r="J32" s="26" t="str">
        <f>"HID_"&amp;STDLIGHTINEFCAT2[[#This Row],[Ineff DropDown 2]]</f>
        <v>HID_Ext 211-300</v>
      </c>
      <c r="K32" s="243" t="str">
        <f>STDLIGHTINEFCAT2[[#This Row],[Match]]&amp;"_"&amp;STDLIGHTINEFCAT2[[#This Row],[Options]]</f>
        <v>HID_Ext 211-300_MH 200W</v>
      </c>
      <c r="L32" s="247" t="s">
        <v>1679</v>
      </c>
      <c r="M32" s="243">
        <v>200</v>
      </c>
      <c r="N32" s="243">
        <v>232</v>
      </c>
      <c r="O32">
        <v>30</v>
      </c>
      <c r="P32" s="243" t="s">
        <v>1427</v>
      </c>
    </row>
    <row r="33" spans="9:16">
      <c r="I33" s="26" t="s">
        <v>1912</v>
      </c>
      <c r="J33" s="26" t="str">
        <f>"HID_"&amp;STDLIGHTINEFCAT2[[#This Row],[Ineff DropDown 2]]</f>
        <v>HID_Ext 211-300</v>
      </c>
      <c r="K33" s="243" t="str">
        <f>STDLIGHTINEFCAT2[[#This Row],[Match]]&amp;"_"&amp;STDLIGHTINEFCAT2[[#This Row],[Options]]</f>
        <v>HID_Ext 211-300_MH 250W</v>
      </c>
      <c r="L33" s="247" t="s">
        <v>509</v>
      </c>
      <c r="M33" s="243">
        <v>250</v>
      </c>
      <c r="N33" s="243">
        <v>295</v>
      </c>
      <c r="O33">
        <v>31</v>
      </c>
      <c r="P33" s="243" t="s">
        <v>1428</v>
      </c>
    </row>
    <row r="34" spans="9:16">
      <c r="I34" s="26" t="s">
        <v>1912</v>
      </c>
      <c r="J34" s="26" t="str">
        <f>"HID_"&amp;STDLIGHTINEFCAT2[[#This Row],[Ineff DropDown 2]]</f>
        <v>HID_Ext 211-300</v>
      </c>
      <c r="K34" s="244" t="str">
        <f>STDLIGHTINEFCAT2[[#This Row],[Match]]&amp;"_"&amp;STDLIGHTINEFCAT2[[#This Row],[Options]]</f>
        <v>HID_Ext 211-300_--Mercury Vapor--</v>
      </c>
      <c r="L34" s="251" t="s">
        <v>1379</v>
      </c>
      <c r="M34" s="244"/>
      <c r="N34" s="243"/>
      <c r="O34">
        <v>32</v>
      </c>
      <c r="P34" s="244" t="s">
        <v>1379</v>
      </c>
    </row>
    <row r="35" spans="9:16">
      <c r="I35" s="26" t="s">
        <v>1912</v>
      </c>
      <c r="J35" s="26" t="str">
        <f>"HID_"&amp;STDLIGHTINEFCAT2[[#This Row],[Ineff DropDown 2]]</f>
        <v>HID_Ext 211-300</v>
      </c>
      <c r="K35" s="243" t="str">
        <f>STDLIGHTINEFCAT2[[#This Row],[Match]]&amp;"_"&amp;STDLIGHTINEFCAT2[[#This Row],[Options]]</f>
        <v>HID_Ext 211-300_MV 250W</v>
      </c>
      <c r="L35" s="247" t="s">
        <v>495</v>
      </c>
      <c r="M35" s="243">
        <v>250</v>
      </c>
      <c r="N35" s="243">
        <v>285</v>
      </c>
      <c r="O35">
        <v>33</v>
      </c>
      <c r="P35" s="243" t="s">
        <v>1428</v>
      </c>
    </row>
    <row r="36" spans="9:16">
      <c r="I36" s="26" t="s">
        <v>1912</v>
      </c>
      <c r="J36" s="26" t="str">
        <f>"HID_"&amp;STDLIGHTINEFCAT2[[#This Row],[Ineff DropDown 2]]</f>
        <v>HID_Ext 211-300</v>
      </c>
      <c r="K36" s="244" t="str">
        <f>STDLIGHTINEFCAT2[[#This Row],[Match]]&amp;"_"&amp;STDLIGHTINEFCAT2[[#This Row],[Options]]</f>
        <v>HID_Ext 211-300_--High Pres. Sodium--</v>
      </c>
      <c r="L36" s="251" t="s">
        <v>1380</v>
      </c>
      <c r="M36" s="244"/>
      <c r="N36" s="243"/>
      <c r="O36">
        <v>34</v>
      </c>
      <c r="P36" s="244" t="s">
        <v>1380</v>
      </c>
    </row>
    <row r="37" spans="9:16">
      <c r="I37" s="26" t="s">
        <v>1912</v>
      </c>
      <c r="J37" s="26" t="str">
        <f>"HID_"&amp;STDLIGHTINEFCAT2[[#This Row],[Ineff DropDown 2]]</f>
        <v>HID_Ext 211-300</v>
      </c>
      <c r="K37" s="243" t="str">
        <f>STDLIGHTINEFCAT2[[#This Row],[Match]]&amp;"_"&amp;STDLIGHTINEFCAT2[[#This Row],[Options]]</f>
        <v>HID_Ext 211-300_HPS 200W</v>
      </c>
      <c r="L37" s="247" t="s">
        <v>502</v>
      </c>
      <c r="M37" s="243">
        <v>200</v>
      </c>
      <c r="N37" s="243">
        <v>240</v>
      </c>
      <c r="O37">
        <v>35</v>
      </c>
      <c r="P37" s="243" t="s">
        <v>1427</v>
      </c>
    </row>
    <row r="38" spans="9:16">
      <c r="I38" s="26" t="s">
        <v>1912</v>
      </c>
      <c r="J38" s="26" t="str">
        <f>"HID_"&amp;STDLIGHTINEFCAT2[[#This Row],[Ineff DropDown 2]]</f>
        <v>HID_Ext 211-300</v>
      </c>
      <c r="K38" s="243" t="str">
        <f>STDLIGHTINEFCAT2[[#This Row],[Match]]&amp;"_"&amp;STDLIGHTINEFCAT2[[#This Row],[Options]]</f>
        <v>HID_Ext 211-300_HPS 250W</v>
      </c>
      <c r="L38" s="247" t="s">
        <v>503</v>
      </c>
      <c r="M38" s="243">
        <v>250</v>
      </c>
      <c r="N38" s="243">
        <v>295</v>
      </c>
      <c r="O38">
        <v>36</v>
      </c>
      <c r="P38" s="243" t="s">
        <v>1428</v>
      </c>
    </row>
    <row r="39" spans="9:16">
      <c r="I39" s="26" t="s">
        <v>1913</v>
      </c>
      <c r="J39" s="26" t="str">
        <f>"HID_"&amp;STDLIGHTINEFCAT2[[#This Row],[Ineff DropDown 2]]</f>
        <v>HID_Ext 301-500</v>
      </c>
      <c r="K39" s="243" t="str">
        <f>STDLIGHTINEFCAT2[[#This Row],[Match]]&amp;"_"&amp;STDLIGHTINEFCAT2[[#This Row],[Options]]</f>
        <v>HID_Ext 301-500_--Metal Halide--</v>
      </c>
      <c r="L39" s="247" t="s">
        <v>1378</v>
      </c>
      <c r="M39" s="243"/>
      <c r="N39" s="243"/>
      <c r="O39">
        <v>37</v>
      </c>
      <c r="P39" s="243" t="s">
        <v>1378</v>
      </c>
    </row>
    <row r="40" spans="9:16">
      <c r="I40" s="26" t="s">
        <v>1913</v>
      </c>
      <c r="J40" s="26" t="str">
        <f>"HID_"&amp;STDLIGHTINEFCAT2[[#This Row],[Ineff DropDown 2]]</f>
        <v>HID_Ext 301-500</v>
      </c>
      <c r="K40" s="243" t="str">
        <f>STDLIGHTINEFCAT2[[#This Row],[Match]]&amp;"_"&amp;STDLIGHTINEFCAT2[[#This Row],[Options]]</f>
        <v>HID_Ext 301-500_MH 320W</v>
      </c>
      <c r="L40" s="247" t="s">
        <v>1680</v>
      </c>
      <c r="M40" s="243">
        <v>320</v>
      </c>
      <c r="N40" s="243">
        <v>370</v>
      </c>
      <c r="O40">
        <v>38</v>
      </c>
      <c r="P40" s="243" t="s">
        <v>1429</v>
      </c>
    </row>
    <row r="41" spans="9:16">
      <c r="I41" s="26" t="s">
        <v>1913</v>
      </c>
      <c r="J41" s="26" t="str">
        <f>"HID_"&amp;STDLIGHTINEFCAT2[[#This Row],[Ineff DropDown 2]]</f>
        <v>HID_Ext 301-500</v>
      </c>
      <c r="K41" s="243" t="str">
        <f>STDLIGHTINEFCAT2[[#This Row],[Match]]&amp;"_"&amp;STDLIGHTINEFCAT2[[#This Row],[Options]]</f>
        <v>HID_Ext 301-500_MH 350W</v>
      </c>
      <c r="L41" s="247" t="s">
        <v>1681</v>
      </c>
      <c r="M41" s="243">
        <v>350</v>
      </c>
      <c r="N41" s="243">
        <v>410</v>
      </c>
      <c r="O41">
        <v>39</v>
      </c>
      <c r="P41" s="243" t="s">
        <v>1430</v>
      </c>
    </row>
    <row r="42" spans="9:16">
      <c r="I42" s="26" t="s">
        <v>1913</v>
      </c>
      <c r="J42" s="26" t="str">
        <f>"HID_"&amp;STDLIGHTINEFCAT2[[#This Row],[Ineff DropDown 2]]</f>
        <v>HID_Ext 301-500</v>
      </c>
      <c r="K42" s="243" t="str">
        <f>STDLIGHTINEFCAT2[[#This Row],[Match]]&amp;"_"&amp;STDLIGHTINEFCAT2[[#This Row],[Options]]</f>
        <v>HID_Ext 301-500_MH 400W</v>
      </c>
      <c r="L42" s="247" t="s">
        <v>510</v>
      </c>
      <c r="M42" s="243">
        <v>400</v>
      </c>
      <c r="N42" s="243">
        <v>454</v>
      </c>
      <c r="O42">
        <v>40</v>
      </c>
      <c r="P42" s="243" t="s">
        <v>1431</v>
      </c>
    </row>
    <row r="43" spans="9:16">
      <c r="I43" s="26" t="s">
        <v>1913</v>
      </c>
      <c r="J43" s="26" t="str">
        <f>"HID_"&amp;STDLIGHTINEFCAT2[[#This Row],[Ineff DropDown 2]]</f>
        <v>HID_Ext 301-500</v>
      </c>
      <c r="K43" s="243" t="str">
        <f>STDLIGHTINEFCAT2[[#This Row],[Match]]&amp;"_"&amp;STDLIGHTINEFCAT2[[#This Row],[Options]]</f>
        <v>HID_Ext 301-500_--Mercury Vapor--</v>
      </c>
      <c r="L43" s="247" t="s">
        <v>1379</v>
      </c>
      <c r="M43" s="243"/>
      <c r="N43" s="243"/>
      <c r="O43">
        <v>41</v>
      </c>
      <c r="P43" s="243" t="s">
        <v>1379</v>
      </c>
    </row>
    <row r="44" spans="9:16">
      <c r="I44" s="26" t="s">
        <v>1913</v>
      </c>
      <c r="J44" s="26" t="str">
        <f>"HID_"&amp;STDLIGHTINEFCAT2[[#This Row],[Ineff DropDown 2]]</f>
        <v>HID_Ext 301-500</v>
      </c>
      <c r="K44" s="243" t="str">
        <f>STDLIGHTINEFCAT2[[#This Row],[Match]]&amp;"_"&amp;STDLIGHTINEFCAT2[[#This Row],[Options]]</f>
        <v>HID_Ext 301-500_MV 400W</v>
      </c>
      <c r="L44" s="247" t="s">
        <v>496</v>
      </c>
      <c r="M44" s="243">
        <v>400</v>
      </c>
      <c r="N44" s="243">
        <v>454</v>
      </c>
      <c r="O44">
        <v>42</v>
      </c>
      <c r="P44" s="243" t="s">
        <v>1431</v>
      </c>
    </row>
    <row r="45" spans="9:16">
      <c r="I45" s="26" t="s">
        <v>1913</v>
      </c>
      <c r="J45" s="26" t="str">
        <f>"HID_"&amp;STDLIGHTINEFCAT2[[#This Row],[Ineff DropDown 2]]</f>
        <v>HID_Ext 301-500</v>
      </c>
      <c r="K45" s="243" t="str">
        <f>STDLIGHTINEFCAT2[[#This Row],[Match]]&amp;"_"&amp;STDLIGHTINEFCAT2[[#This Row],[Options]]</f>
        <v>HID_Ext 301-500_--High Pres. Sodium--</v>
      </c>
      <c r="L45" s="247" t="s">
        <v>1380</v>
      </c>
      <c r="M45" s="243"/>
      <c r="N45" s="243"/>
      <c r="O45">
        <v>43</v>
      </c>
      <c r="P45" s="243" t="s">
        <v>1380</v>
      </c>
    </row>
    <row r="46" spans="9:16">
      <c r="I46" s="26" t="s">
        <v>1913</v>
      </c>
      <c r="J46" s="26" t="str">
        <f>"HID_"&amp;STDLIGHTINEFCAT2[[#This Row],[Ineff DropDown 2]]</f>
        <v>HID_Ext 301-500</v>
      </c>
      <c r="K46" s="243" t="str">
        <f>STDLIGHTINEFCAT2[[#This Row],[Match]]&amp;"_"&amp;STDLIGHTINEFCAT2[[#This Row],[Options]]</f>
        <v>HID_Ext 301-500_HPS 310W</v>
      </c>
      <c r="L46" s="247" t="s">
        <v>1682</v>
      </c>
      <c r="M46" s="243">
        <v>310</v>
      </c>
      <c r="N46" s="243">
        <v>365</v>
      </c>
      <c r="O46">
        <v>44</v>
      </c>
      <c r="P46" s="243" t="s">
        <v>1432</v>
      </c>
    </row>
    <row r="47" spans="9:16">
      <c r="I47" s="26" t="s">
        <v>1913</v>
      </c>
      <c r="J47" s="26" t="str">
        <f>"HID_"&amp;STDLIGHTINEFCAT2[[#This Row],[Ineff DropDown 2]]</f>
        <v>HID_Ext 301-500</v>
      </c>
      <c r="K47" s="243" t="str">
        <f>STDLIGHTINEFCAT2[[#This Row],[Match]]&amp;"_"&amp;STDLIGHTINEFCAT2[[#This Row],[Options]]</f>
        <v>HID_Ext 301-500_HPS 400W</v>
      </c>
      <c r="L47" s="247" t="s">
        <v>504</v>
      </c>
      <c r="M47" s="243">
        <v>400</v>
      </c>
      <c r="N47" s="243">
        <v>457</v>
      </c>
      <c r="O47">
        <v>45</v>
      </c>
      <c r="P47" s="243" t="s">
        <v>1431</v>
      </c>
    </row>
    <row r="48" spans="9:16">
      <c r="I48" s="26" t="s">
        <v>1918</v>
      </c>
      <c r="J48" s="26" t="str">
        <f>"HID_"&amp;STDLIGHTINEFCAT2[[#This Row],[Ineff DropDown 2]]</f>
        <v>HID_HID &gt;850</v>
      </c>
      <c r="K48" s="243" t="str">
        <f>STDLIGHTINEFCAT2[[#This Row],[Match]]&amp;"_"&amp;STDLIGHTINEFCAT2[[#This Row],[Options]]</f>
        <v>HID_HID &gt;850_--Metal Halide--</v>
      </c>
      <c r="L48" s="251" t="s">
        <v>1378</v>
      </c>
      <c r="M48" s="244"/>
      <c r="N48" s="244"/>
      <c r="O48">
        <v>46</v>
      </c>
    </row>
    <row r="49" spans="9:15">
      <c r="I49" s="26" t="s">
        <v>1918</v>
      </c>
      <c r="J49" s="26" t="str">
        <f>"HID_"&amp;STDLIGHTINEFCAT2[[#This Row],[Ineff DropDown 2]]</f>
        <v>HID_HID &gt;850</v>
      </c>
      <c r="K49" s="243" t="str">
        <f>STDLIGHTINEFCAT2[[#This Row],[Match]]&amp;"_"&amp;STDLIGHTINEFCAT2[[#This Row],[Options]]</f>
        <v>HID_HID &gt;850_1,000W Mogul Base</v>
      </c>
      <c r="L49" s="247" t="s">
        <v>1454</v>
      </c>
      <c r="M49" s="243">
        <v>1000</v>
      </c>
      <c r="N49" s="243">
        <v>1080</v>
      </c>
      <c r="O49">
        <v>47</v>
      </c>
    </row>
    <row r="50" spans="9:15">
      <c r="I50" s="26" t="s">
        <v>1918</v>
      </c>
      <c r="J50" s="26" t="str">
        <f>"HID_"&amp;STDLIGHTINEFCAT2[[#This Row],[Ineff DropDown 2]]</f>
        <v>HID_HID &gt;850</v>
      </c>
      <c r="K50" s="243" t="str">
        <f>STDLIGHTINEFCAT2[[#This Row],[Match]]&amp;"_"&amp;STDLIGHTINEFCAT2[[#This Row],[Options]]</f>
        <v>HID_HID &gt;850_1,500W Mogul Base</v>
      </c>
      <c r="L50" s="247" t="s">
        <v>1455</v>
      </c>
      <c r="M50" s="243">
        <v>1500</v>
      </c>
      <c r="N50" s="243">
        <v>1610</v>
      </c>
      <c r="O50">
        <v>48</v>
      </c>
    </row>
    <row r="51" spans="9:15">
      <c r="I51" s="26" t="s">
        <v>1918</v>
      </c>
      <c r="J51" s="26" t="str">
        <f>"HID_"&amp;STDLIGHTINEFCAT2[[#This Row],[Ineff DropDown 2]]</f>
        <v>HID_HID &gt;850</v>
      </c>
      <c r="K51" s="243" t="str">
        <f>STDLIGHTINEFCAT2[[#This Row],[Match]]&amp;"_"&amp;STDLIGHTINEFCAT2[[#This Row],[Options]]</f>
        <v>HID_HID &gt;850_--Mercury Vapor--</v>
      </c>
      <c r="L51" s="251" t="s">
        <v>1379</v>
      </c>
      <c r="M51" s="244"/>
      <c r="N51" s="244"/>
      <c r="O51">
        <v>49</v>
      </c>
    </row>
    <row r="52" spans="9:15">
      <c r="I52" s="26" t="s">
        <v>1918</v>
      </c>
      <c r="J52" s="26" t="str">
        <f>"HID_"&amp;STDLIGHTINEFCAT2[[#This Row],[Ineff DropDown 2]]</f>
        <v>HID_HID &gt;850</v>
      </c>
      <c r="K52" s="243" t="str">
        <f>STDLIGHTINEFCAT2[[#This Row],[Match]]&amp;"_"&amp;STDLIGHTINEFCAT2[[#This Row],[Options]]</f>
        <v>HID_HID &gt;850_1,000W Mogul Base</v>
      </c>
      <c r="L52" s="247" t="s">
        <v>1454</v>
      </c>
      <c r="M52" s="243">
        <v>1000</v>
      </c>
      <c r="N52" s="243">
        <v>1080</v>
      </c>
      <c r="O52">
        <v>50</v>
      </c>
    </row>
    <row r="53" spans="9:15">
      <c r="I53" s="26" t="s">
        <v>1918</v>
      </c>
      <c r="J53" s="26" t="str">
        <f>"HID_"&amp;STDLIGHTINEFCAT2[[#This Row],[Ineff DropDown 2]]</f>
        <v>HID_HID &gt;850</v>
      </c>
      <c r="K53" s="243" t="str">
        <f>STDLIGHTINEFCAT2[[#This Row],[Match]]&amp;"_"&amp;STDLIGHTINEFCAT2[[#This Row],[Options]]</f>
        <v>HID_HID &gt;850_--High Pres. Sodium--</v>
      </c>
      <c r="L53" s="251" t="s">
        <v>1380</v>
      </c>
      <c r="M53" s="244"/>
      <c r="N53" s="244"/>
      <c r="O53">
        <v>51</v>
      </c>
    </row>
    <row r="54" spans="9:15">
      <c r="I54" s="26" t="s">
        <v>1918</v>
      </c>
      <c r="J54" s="26" t="str">
        <f>"HID_"&amp;STDLIGHTINEFCAT2[[#This Row],[Ineff DropDown 2]]</f>
        <v>HID_HID &gt;850</v>
      </c>
      <c r="K54" s="243" t="str">
        <f>STDLIGHTINEFCAT2[[#This Row],[Match]]&amp;"_"&amp;STDLIGHTINEFCAT2[[#This Row],[Options]]</f>
        <v>HID_HID &gt;850_1,000W Mogul Base</v>
      </c>
      <c r="L54" s="247" t="s">
        <v>1454</v>
      </c>
      <c r="M54" s="243">
        <v>1000</v>
      </c>
      <c r="N54" s="243">
        <v>1100</v>
      </c>
      <c r="O54">
        <v>52</v>
      </c>
    </row>
    <row r="55" spans="9:15">
      <c r="I55" t="s">
        <v>1919</v>
      </c>
      <c r="J55" s="26" t="str">
        <f>"HID_"&amp;STDLIGHTINEFCAT2[[#This Row],[Ineff DropDown 2]]</f>
        <v>HID_HID 150-350</v>
      </c>
      <c r="K55" s="243" t="str">
        <f>STDLIGHTINEFCAT2[[#This Row],[Match]]&amp;"_"&amp;STDLIGHTINEFCAT2[[#This Row],[Options]]</f>
        <v>HID_HID 150-350_--Metal Halide--</v>
      </c>
      <c r="L55" s="247" t="s">
        <v>1378</v>
      </c>
      <c r="M55" s="243"/>
      <c r="N55" s="243"/>
      <c r="O55">
        <v>53</v>
      </c>
    </row>
    <row r="56" spans="9:15">
      <c r="I56" t="s">
        <v>1919</v>
      </c>
      <c r="J56" s="26" t="str">
        <f>"HID_"&amp;STDLIGHTINEFCAT2[[#This Row],[Ineff DropDown 2]]</f>
        <v>HID_HID 150-350</v>
      </c>
      <c r="K56" s="243" t="str">
        <f>STDLIGHTINEFCAT2[[#This Row],[Match]]&amp;"_"&amp;STDLIGHTINEFCAT2[[#This Row],[Options]]</f>
        <v>HID_HID 150-350_150W Med. Base</v>
      </c>
      <c r="L56" s="247" t="s">
        <v>1374</v>
      </c>
      <c r="M56" s="243">
        <v>150</v>
      </c>
      <c r="N56" s="243">
        <v>173</v>
      </c>
      <c r="O56">
        <v>54</v>
      </c>
    </row>
    <row r="57" spans="9:15">
      <c r="I57" t="s">
        <v>1919</v>
      </c>
      <c r="J57" s="26" t="str">
        <f>"HID_"&amp;STDLIGHTINEFCAT2[[#This Row],[Ineff DropDown 2]]</f>
        <v>HID_HID 150-350</v>
      </c>
      <c r="K57" s="243" t="str">
        <f>STDLIGHTINEFCAT2[[#This Row],[Match]]&amp;"_"&amp;STDLIGHTINEFCAT2[[#This Row],[Options]]</f>
        <v>HID_HID 150-350_150W Double Ended</v>
      </c>
      <c r="L57" s="247" t="s">
        <v>1375</v>
      </c>
      <c r="M57" s="243">
        <v>150</v>
      </c>
      <c r="N57" s="243">
        <v>185</v>
      </c>
      <c r="O57">
        <v>55</v>
      </c>
    </row>
    <row r="58" spans="9:15">
      <c r="I58" t="s">
        <v>1919</v>
      </c>
      <c r="J58" s="26" t="str">
        <f>"HID_"&amp;STDLIGHTINEFCAT2[[#This Row],[Ineff DropDown 2]]</f>
        <v>HID_HID 150-350</v>
      </c>
      <c r="K58" s="243" t="str">
        <f>STDLIGHTINEFCAT2[[#This Row],[Match]]&amp;"_"&amp;STDLIGHTINEFCAT2[[#This Row],[Options]]</f>
        <v>HID_HID 150-350_175W Mogul Base</v>
      </c>
      <c r="L58" s="247" t="s">
        <v>1372</v>
      </c>
      <c r="M58" s="243">
        <v>175</v>
      </c>
      <c r="N58" s="243">
        <v>210</v>
      </c>
      <c r="O58">
        <v>56</v>
      </c>
    </row>
    <row r="59" spans="9:15">
      <c r="I59" t="s">
        <v>1919</v>
      </c>
      <c r="J59" s="26" t="str">
        <f>"HID_"&amp;STDLIGHTINEFCAT2[[#This Row],[Ineff DropDown 2]]</f>
        <v>HID_HID 150-350</v>
      </c>
      <c r="K59" s="243" t="str">
        <f>STDLIGHTINEFCAT2[[#This Row],[Match]]&amp;"_"&amp;STDLIGHTINEFCAT2[[#This Row],[Options]]</f>
        <v>HID_HID 150-350_250W Mogul Base</v>
      </c>
      <c r="L59" s="247" t="s">
        <v>1373</v>
      </c>
      <c r="M59" s="243">
        <v>250</v>
      </c>
      <c r="N59" s="243">
        <v>295</v>
      </c>
      <c r="O59">
        <v>57</v>
      </c>
    </row>
    <row r="60" spans="9:15">
      <c r="I60" t="s">
        <v>1919</v>
      </c>
      <c r="J60" s="26" t="str">
        <f>"HID_"&amp;STDLIGHTINEFCAT2[[#This Row],[Ineff DropDown 2]]</f>
        <v>HID_HID 150-350</v>
      </c>
      <c r="K60" s="243" t="str">
        <f>STDLIGHTINEFCAT2[[#This Row],[Match]]&amp;"_"&amp;STDLIGHTINEFCAT2[[#This Row],[Options]]</f>
        <v>HID_HID 150-350_300W Mogul Base</v>
      </c>
      <c r="L60" s="247" t="s">
        <v>1450</v>
      </c>
      <c r="M60" s="243">
        <v>300</v>
      </c>
      <c r="N60" s="243">
        <v>342</v>
      </c>
      <c r="O60">
        <v>58</v>
      </c>
    </row>
    <row r="61" spans="9:15">
      <c r="I61" t="s">
        <v>1919</v>
      </c>
      <c r="J61" s="26" t="str">
        <f>"HID_"&amp;STDLIGHTINEFCAT2[[#This Row],[Ineff DropDown 2]]</f>
        <v>HID_HID 150-350</v>
      </c>
      <c r="K61" s="243" t="str">
        <f>STDLIGHTINEFCAT2[[#This Row],[Match]]&amp;"_"&amp;STDLIGHTINEFCAT2[[#This Row],[Options]]</f>
        <v>HID_HID 150-350_--Mercury Vapor--</v>
      </c>
      <c r="L61" s="247" t="s">
        <v>1379</v>
      </c>
      <c r="M61" s="243"/>
      <c r="N61" s="243"/>
      <c r="O61">
        <v>59</v>
      </c>
    </row>
    <row r="62" spans="9:15">
      <c r="I62" t="s">
        <v>1919</v>
      </c>
      <c r="J62" s="26" t="str">
        <f>"HID_"&amp;STDLIGHTINEFCAT2[[#This Row],[Ineff DropDown 2]]</f>
        <v>HID_HID 150-350</v>
      </c>
      <c r="K62" s="243" t="str">
        <f>STDLIGHTINEFCAT2[[#This Row],[Match]]&amp;"_"&amp;STDLIGHTINEFCAT2[[#This Row],[Options]]</f>
        <v>HID_HID 150-350_175W Med. Base</v>
      </c>
      <c r="L62" s="247" t="s">
        <v>1371</v>
      </c>
      <c r="M62" s="243">
        <v>175</v>
      </c>
      <c r="N62" s="243">
        <v>205</v>
      </c>
      <c r="O62">
        <v>60</v>
      </c>
    </row>
    <row r="63" spans="9:15">
      <c r="I63" t="s">
        <v>1919</v>
      </c>
      <c r="J63" s="26" t="str">
        <f>"HID_"&amp;STDLIGHTINEFCAT2[[#This Row],[Ineff DropDown 2]]</f>
        <v>HID_HID 150-350</v>
      </c>
      <c r="K63" s="243" t="str">
        <f>STDLIGHTINEFCAT2[[#This Row],[Match]]&amp;"_"&amp;STDLIGHTINEFCAT2[[#This Row],[Options]]</f>
        <v>HID_HID 150-350_175W Mogul Base</v>
      </c>
      <c r="L63" s="247" t="s">
        <v>1372</v>
      </c>
      <c r="M63" s="243">
        <v>175</v>
      </c>
      <c r="N63" s="243">
        <v>205</v>
      </c>
      <c r="O63">
        <v>61</v>
      </c>
    </row>
    <row r="64" spans="9:15">
      <c r="I64" t="s">
        <v>1919</v>
      </c>
      <c r="J64" s="26" t="str">
        <f>"HID_"&amp;STDLIGHTINEFCAT2[[#This Row],[Ineff DropDown 2]]</f>
        <v>HID_HID 150-350</v>
      </c>
      <c r="K64" s="243" t="str">
        <f>STDLIGHTINEFCAT2[[#This Row],[Match]]&amp;"_"&amp;STDLIGHTINEFCAT2[[#This Row],[Options]]</f>
        <v>HID_HID 150-350_250W Mogul Base</v>
      </c>
      <c r="L64" s="247" t="s">
        <v>1373</v>
      </c>
      <c r="M64" s="243">
        <v>250</v>
      </c>
      <c r="N64" s="243">
        <v>285</v>
      </c>
      <c r="O64">
        <v>62</v>
      </c>
    </row>
    <row r="65" spans="9:15">
      <c r="I65" t="s">
        <v>1919</v>
      </c>
      <c r="J65" s="26" t="str">
        <f>"HID_"&amp;STDLIGHTINEFCAT2[[#This Row],[Ineff DropDown 2]]</f>
        <v>HID_HID 150-350</v>
      </c>
      <c r="K65" s="243" t="str">
        <f>STDLIGHTINEFCAT2[[#This Row],[Match]]&amp;"_"&amp;STDLIGHTINEFCAT2[[#This Row],[Options]]</f>
        <v>HID_HID 150-350_--High Pres. Sodium--</v>
      </c>
      <c r="L65" s="247" t="s">
        <v>1380</v>
      </c>
      <c r="M65" s="243"/>
      <c r="N65" s="243"/>
      <c r="O65">
        <v>63</v>
      </c>
    </row>
    <row r="66" spans="9:15">
      <c r="I66" t="s">
        <v>1919</v>
      </c>
      <c r="J66" s="26" t="str">
        <f>"HID_"&amp;STDLIGHTINEFCAT2[[#This Row],[Ineff DropDown 2]]</f>
        <v>HID_HID 150-350</v>
      </c>
      <c r="K66" s="243" t="str">
        <f>STDLIGHTINEFCAT2[[#This Row],[Match]]&amp;"_"&amp;STDLIGHTINEFCAT2[[#This Row],[Options]]</f>
        <v>HID_HID 150-350_150W Med. Base</v>
      </c>
      <c r="L66" s="247" t="s">
        <v>1374</v>
      </c>
      <c r="M66" s="243">
        <v>150</v>
      </c>
      <c r="N66" s="243">
        <v>188</v>
      </c>
      <c r="O66">
        <v>64</v>
      </c>
    </row>
    <row r="67" spans="9:15">
      <c r="I67" t="s">
        <v>1919</v>
      </c>
      <c r="J67" s="26" t="str">
        <f>"HID_"&amp;STDLIGHTINEFCAT2[[#This Row],[Ineff DropDown 2]]</f>
        <v>HID_HID 150-350</v>
      </c>
      <c r="K67" s="243" t="str">
        <f>STDLIGHTINEFCAT2[[#This Row],[Match]]&amp;"_"&amp;STDLIGHTINEFCAT2[[#This Row],[Options]]</f>
        <v>HID_HID 150-350_150W Mogul Base</v>
      </c>
      <c r="L67" s="247" t="s">
        <v>1376</v>
      </c>
      <c r="M67" s="243">
        <v>150</v>
      </c>
      <c r="N67" s="243">
        <v>188</v>
      </c>
      <c r="O67">
        <v>65</v>
      </c>
    </row>
    <row r="68" spans="9:15">
      <c r="I68" t="s">
        <v>1919</v>
      </c>
      <c r="J68" s="26" t="str">
        <f>"HID_"&amp;STDLIGHTINEFCAT2[[#This Row],[Ineff DropDown 2]]</f>
        <v>HID_HID 150-350</v>
      </c>
      <c r="K68" s="243" t="str">
        <f>STDLIGHTINEFCAT2[[#This Row],[Match]]&amp;"_"&amp;STDLIGHTINEFCAT2[[#This Row],[Options]]</f>
        <v>HID_HID 150-350_200W Mogul Base</v>
      </c>
      <c r="L68" s="247" t="s">
        <v>1377</v>
      </c>
      <c r="M68" s="243">
        <v>200</v>
      </c>
      <c r="N68" s="243">
        <v>240</v>
      </c>
      <c r="O68">
        <v>66</v>
      </c>
    </row>
    <row r="69" spans="9:15">
      <c r="I69" t="s">
        <v>1919</v>
      </c>
      <c r="J69" s="26" t="str">
        <f>"HID_"&amp;STDLIGHTINEFCAT2[[#This Row],[Ineff DropDown 2]]</f>
        <v>HID_HID 150-350</v>
      </c>
      <c r="K69" s="243" t="str">
        <f>STDLIGHTINEFCAT2[[#This Row],[Match]]&amp;"_"&amp;STDLIGHTINEFCAT2[[#This Row],[Options]]</f>
        <v>HID_HID 150-350_250W Mogul Base</v>
      </c>
      <c r="L69" s="247" t="s">
        <v>1373</v>
      </c>
      <c r="M69" s="243">
        <v>250</v>
      </c>
      <c r="N69" s="243">
        <v>295</v>
      </c>
      <c r="O69">
        <v>67</v>
      </c>
    </row>
    <row r="70" spans="9:15">
      <c r="I70" s="26" t="s">
        <v>1920</v>
      </c>
      <c r="J70" s="26" t="str">
        <f>"HID_"&amp;STDLIGHTINEFCAT2[[#This Row],[Ineff DropDown 2]]</f>
        <v>HID_HID 351-500</v>
      </c>
      <c r="K70" s="243" t="str">
        <f>STDLIGHTINEFCAT2[[#This Row],[Match]]&amp;"_"&amp;STDLIGHTINEFCAT2[[#This Row],[Options]]</f>
        <v>HID_HID 351-500_--Metal Halide--</v>
      </c>
      <c r="L70" s="251" t="s">
        <v>1378</v>
      </c>
      <c r="M70" s="244"/>
      <c r="N70" s="244"/>
      <c r="O70">
        <v>68</v>
      </c>
    </row>
    <row r="71" spans="9:15">
      <c r="I71" s="26" t="s">
        <v>1920</v>
      </c>
      <c r="J71" s="26" t="str">
        <f>"HID_"&amp;STDLIGHTINEFCAT2[[#This Row],[Ineff DropDown 2]]</f>
        <v>HID_HID 351-500</v>
      </c>
      <c r="K71" s="243" t="str">
        <f>STDLIGHTINEFCAT2[[#This Row],[Match]]&amp;"_"&amp;STDLIGHTINEFCAT2[[#This Row],[Options]]</f>
        <v>HID_HID 351-500_325W Mogul Base</v>
      </c>
      <c r="L71" s="247" t="s">
        <v>1451</v>
      </c>
      <c r="M71" s="243">
        <v>325</v>
      </c>
      <c r="N71" s="243">
        <v>375</v>
      </c>
      <c r="O71">
        <v>69</v>
      </c>
    </row>
    <row r="72" spans="9:15">
      <c r="I72" s="26" t="s">
        <v>1920</v>
      </c>
      <c r="J72" s="26" t="str">
        <f>"HID_"&amp;STDLIGHTINEFCAT2[[#This Row],[Ineff DropDown 2]]</f>
        <v>HID_HID 351-500</v>
      </c>
      <c r="K72" s="243" t="str">
        <f>STDLIGHTINEFCAT2[[#This Row],[Match]]&amp;"_"&amp;STDLIGHTINEFCAT2[[#This Row],[Options]]</f>
        <v>HID_HID 351-500_360W Mogul Base</v>
      </c>
      <c r="L72" s="247" t="s">
        <v>1452</v>
      </c>
      <c r="M72" s="243">
        <v>360</v>
      </c>
      <c r="N72" s="243">
        <v>430</v>
      </c>
      <c r="O72">
        <v>70</v>
      </c>
    </row>
    <row r="73" spans="9:15">
      <c r="I73" s="26" t="s">
        <v>1920</v>
      </c>
      <c r="J73" s="26" t="str">
        <f>"HID_"&amp;STDLIGHTINEFCAT2[[#This Row],[Ineff DropDown 2]]</f>
        <v>HID_HID 351-500</v>
      </c>
      <c r="K73" s="247" t="str">
        <f>STDLIGHTINEFCAT2[[#This Row],[Match]]&amp;"_"&amp;STDLIGHTINEFCAT2[[#This Row],[Options]]</f>
        <v>HID_HID 351-500_400W Mogul Base</v>
      </c>
      <c r="L73" s="247" t="s">
        <v>1382</v>
      </c>
      <c r="M73" s="243">
        <v>400</v>
      </c>
      <c r="N73" s="247">
        <v>458</v>
      </c>
      <c r="O73">
        <v>71</v>
      </c>
    </row>
    <row r="74" spans="9:15">
      <c r="I74" s="26" t="s">
        <v>1920</v>
      </c>
      <c r="J74" s="26" t="str">
        <f>"HID_"&amp;STDLIGHTINEFCAT2[[#This Row],[Ineff DropDown 2]]</f>
        <v>HID_HID 351-500</v>
      </c>
      <c r="K74" s="247" t="str">
        <f>STDLIGHTINEFCAT2[[#This Row],[Match]]&amp;"_"&amp;STDLIGHTINEFCAT2[[#This Row],[Options]]</f>
        <v>HID_HID 351-500_--Mercury Vapor--</v>
      </c>
      <c r="L74" s="251" t="s">
        <v>1379</v>
      </c>
      <c r="M74" s="251"/>
      <c r="N74" s="251"/>
      <c r="O74">
        <v>72</v>
      </c>
    </row>
    <row r="75" spans="9:15">
      <c r="I75" s="26" t="s">
        <v>1920</v>
      </c>
      <c r="J75" s="26" t="str">
        <f>"HID_"&amp;STDLIGHTINEFCAT2[[#This Row],[Ineff DropDown 2]]</f>
        <v>HID_HID 351-500</v>
      </c>
      <c r="K75" s="247" t="str">
        <f>STDLIGHTINEFCAT2[[#This Row],[Match]]&amp;"_"&amp;STDLIGHTINEFCAT2[[#This Row],[Options]]</f>
        <v>HID_HID 351-500_400W Mogul Base</v>
      </c>
      <c r="L75" s="247" t="s">
        <v>1382</v>
      </c>
      <c r="M75" s="247">
        <v>400</v>
      </c>
      <c r="N75" s="247">
        <v>454</v>
      </c>
      <c r="O75">
        <v>73</v>
      </c>
    </row>
    <row r="76" spans="9:15">
      <c r="I76" s="26" t="s">
        <v>1920</v>
      </c>
      <c r="J76" s="26" t="str">
        <f>"HID_"&amp;STDLIGHTINEFCAT2[[#This Row],[Ineff DropDown 2]]</f>
        <v>HID_HID 351-500</v>
      </c>
      <c r="K76" s="247" t="str">
        <f>STDLIGHTINEFCAT2[[#This Row],[Match]]&amp;"_"&amp;STDLIGHTINEFCAT2[[#This Row],[Options]]</f>
        <v>HID_HID 351-500_--High Pres. Sodium--</v>
      </c>
      <c r="L76" s="251" t="s">
        <v>1380</v>
      </c>
      <c r="M76" s="251"/>
      <c r="N76" s="251"/>
      <c r="O76">
        <v>74</v>
      </c>
    </row>
    <row r="77" spans="9:15">
      <c r="I77" s="26" t="s">
        <v>1920</v>
      </c>
      <c r="J77" s="26" t="str">
        <f>"HID_"&amp;STDLIGHTINEFCAT2[[#This Row],[Ineff DropDown 2]]</f>
        <v>HID_HID 351-500</v>
      </c>
      <c r="K77" s="243" t="str">
        <f>STDLIGHTINEFCAT2[[#This Row],[Match]]&amp;"_"&amp;STDLIGHTINEFCAT2[[#This Row],[Options]]</f>
        <v>HID_HID 351-500_310W Mogul Base</v>
      </c>
      <c r="L77" s="250" t="s">
        <v>1381</v>
      </c>
      <c r="M77" s="243">
        <v>310</v>
      </c>
      <c r="N77" s="243">
        <v>365</v>
      </c>
      <c r="O77">
        <v>75</v>
      </c>
    </row>
    <row r="78" spans="9:15">
      <c r="I78" s="26" t="s">
        <v>1920</v>
      </c>
      <c r="J78" s="26" t="str">
        <f>"HID_"&amp;STDLIGHTINEFCAT2[[#This Row],[Ineff DropDown 2]]</f>
        <v>HID_HID 351-500</v>
      </c>
      <c r="K78" s="247" t="str">
        <f>STDLIGHTINEFCAT2[[#This Row],[Match]]&amp;"_"&amp;STDLIGHTINEFCAT2[[#This Row],[Options]]</f>
        <v>HID_HID 351-500_400W Mogul Base</v>
      </c>
      <c r="L78" s="247" t="s">
        <v>1382</v>
      </c>
      <c r="M78" s="243">
        <v>400</v>
      </c>
      <c r="N78" s="247">
        <v>457</v>
      </c>
      <c r="O78">
        <v>76</v>
      </c>
    </row>
    <row r="79" spans="9:15">
      <c r="I79" s="26" t="s">
        <v>1921</v>
      </c>
      <c r="J79" s="26" t="str">
        <f>"HID_"&amp;STDLIGHTINEFCAT2[[#This Row],[Ineff DropDown 2]]</f>
        <v>HID_HID 501-850</v>
      </c>
      <c r="K79" s="247" t="str">
        <f>STDLIGHTINEFCAT2[[#This Row],[Match]]&amp;"_"&amp;STDLIGHTINEFCAT2[[#This Row],[Options]]</f>
        <v>HID_HID 501-850_--Metal Halide--</v>
      </c>
      <c r="L79" s="251" t="s">
        <v>1378</v>
      </c>
      <c r="M79" s="244"/>
      <c r="N79" s="251"/>
      <c r="O79">
        <v>77</v>
      </c>
    </row>
    <row r="80" spans="9:15">
      <c r="I80" s="26" t="s">
        <v>1921</v>
      </c>
      <c r="J80" s="26" t="str">
        <f>"HID_"&amp;STDLIGHTINEFCAT2[[#This Row],[Ineff DropDown 2]]</f>
        <v>HID_HID 501-850</v>
      </c>
      <c r="K80" s="247" t="str">
        <f>STDLIGHTINEFCAT2[[#This Row],[Match]]&amp;"_"&amp;STDLIGHTINEFCAT2[[#This Row],[Options]]</f>
        <v>HID_HID 501-850_750W Mogul Base</v>
      </c>
      <c r="L80" s="247" t="s">
        <v>1384</v>
      </c>
      <c r="M80" s="247">
        <v>750</v>
      </c>
      <c r="N80" s="247">
        <v>850</v>
      </c>
      <c r="O80">
        <v>78</v>
      </c>
    </row>
    <row r="81" spans="9:15">
      <c r="I81" s="26" t="s">
        <v>1921</v>
      </c>
      <c r="J81" s="26" t="str">
        <f>"HID_"&amp;STDLIGHTINEFCAT2[[#This Row],[Ineff DropDown 2]]</f>
        <v>HID_HID 501-850</v>
      </c>
      <c r="K81" s="247" t="str">
        <f>STDLIGHTINEFCAT2[[#This Row],[Match]]&amp;"_"&amp;STDLIGHTINEFCAT2[[#This Row],[Options]]</f>
        <v>HID_HID 501-850_--Mercury Vapor--</v>
      </c>
      <c r="L81" s="251" t="s">
        <v>1379</v>
      </c>
      <c r="M81" s="251"/>
      <c r="N81" s="251"/>
      <c r="O81">
        <v>79</v>
      </c>
    </row>
    <row r="82" spans="9:15">
      <c r="I82" s="26" t="s">
        <v>1921</v>
      </c>
      <c r="J82" s="26" t="str">
        <f>"HID_"&amp;STDLIGHTINEFCAT2[[#This Row],[Ineff DropDown 2]]</f>
        <v>HID_HID 501-850</v>
      </c>
      <c r="K82" s="247" t="str">
        <f>STDLIGHTINEFCAT2[[#This Row],[Match]]&amp;"_"&amp;STDLIGHTINEFCAT2[[#This Row],[Options]]</f>
        <v>HID_HID 501-850_700W Mogul Base</v>
      </c>
      <c r="L82" s="247" t="s">
        <v>1453</v>
      </c>
      <c r="M82" s="247">
        <v>700</v>
      </c>
      <c r="N82" s="247">
        <v>780</v>
      </c>
      <c r="O82">
        <v>80</v>
      </c>
    </row>
    <row r="83" spans="9:15">
      <c r="I83" s="26" t="s">
        <v>1921</v>
      </c>
      <c r="J83" s="26" t="str">
        <f>"HID_"&amp;STDLIGHTINEFCAT2[[#This Row],[Ineff DropDown 2]]</f>
        <v>HID_HID 501-850</v>
      </c>
      <c r="K83" s="247" t="str">
        <f>STDLIGHTINEFCAT2[[#This Row],[Match]]&amp;"_"&amp;STDLIGHTINEFCAT2[[#This Row],[Options]]</f>
        <v>HID_HID 501-850_--High Pres. Sodium--</v>
      </c>
      <c r="L83" s="251" t="s">
        <v>1380</v>
      </c>
      <c r="M83" s="251"/>
      <c r="N83" s="251"/>
      <c r="O83">
        <v>81</v>
      </c>
    </row>
    <row r="84" spans="9:15">
      <c r="I84" s="26" t="s">
        <v>1921</v>
      </c>
      <c r="J84" s="26" t="str">
        <f>"HID_"&amp;STDLIGHTINEFCAT2[[#This Row],[Ineff DropDown 2]]</f>
        <v>HID_HID 501-850</v>
      </c>
      <c r="K84" s="247" t="str">
        <f>STDLIGHTINEFCAT2[[#This Row],[Match]]&amp;"_"&amp;STDLIGHTINEFCAT2[[#This Row],[Options]]</f>
        <v>HID_HID 501-850_600W Mogul Base</v>
      </c>
      <c r="L84" s="247" t="s">
        <v>1383</v>
      </c>
      <c r="M84" s="247">
        <v>600</v>
      </c>
      <c r="N84" s="247">
        <v>665</v>
      </c>
      <c r="O84">
        <v>82</v>
      </c>
    </row>
    <row r="85" spans="9:15">
      <c r="I85" s="26" t="s">
        <v>1921</v>
      </c>
      <c r="J85" s="26" t="str">
        <f>"HID_"&amp;STDLIGHTINEFCAT2[[#This Row],[Ineff DropDown 2]]</f>
        <v>HID_HID 501-850</v>
      </c>
      <c r="K85" s="247" t="str">
        <f>STDLIGHTINEFCAT2[[#This Row],[Match]]&amp;"_"&amp;STDLIGHTINEFCAT2[[#This Row],[Options]]</f>
        <v>HID_HID 501-850_750W Mogul Base</v>
      </c>
      <c r="L85" s="247" t="s">
        <v>1384</v>
      </c>
      <c r="M85" s="247">
        <v>750</v>
      </c>
      <c r="N85" s="247">
        <v>840</v>
      </c>
      <c r="O85">
        <v>83</v>
      </c>
    </row>
    <row r="86" spans="9:15">
      <c r="I86" t="s">
        <v>1915</v>
      </c>
      <c r="J86" s="26" t="str">
        <f>"HID_"&amp;STDLIGHTINEFCAT2[[#This Row],[Ineff DropDown 2]]</f>
        <v>HID_PG &lt;=130</v>
      </c>
      <c r="K86" s="247" t="str">
        <f>STDLIGHTINEFCAT2[[#This Row],[Match]]&amp;"_"&amp;STDLIGHTINEFCAT2[[#This Row],[Options]]</f>
        <v>HID_PG &lt;=130_--Metal Halide--</v>
      </c>
      <c r="L86" s="247" t="s">
        <v>1378</v>
      </c>
      <c r="M86" s="247"/>
      <c r="N86" s="247"/>
      <c r="O86">
        <v>84</v>
      </c>
    </row>
    <row r="87" spans="9:15">
      <c r="I87" t="s">
        <v>1915</v>
      </c>
      <c r="J87" s="26" t="str">
        <f>"HID_"&amp;STDLIGHTINEFCAT2[[#This Row],[Ineff DropDown 2]]</f>
        <v>HID_PG &lt;=130</v>
      </c>
      <c r="K87" s="247" t="str">
        <f>STDLIGHTINEFCAT2[[#This Row],[Match]]&amp;"_"&amp;STDLIGHTINEFCAT2[[#This Row],[Options]]</f>
        <v>HID_PG &lt;=130_32W Med Base</v>
      </c>
      <c r="L87" s="247" t="s">
        <v>1602</v>
      </c>
      <c r="M87" s="247">
        <v>32</v>
      </c>
      <c r="N87" s="247">
        <v>38</v>
      </c>
      <c r="O87">
        <v>85</v>
      </c>
    </row>
    <row r="88" spans="9:15">
      <c r="I88" t="s">
        <v>1915</v>
      </c>
      <c r="J88" s="26" t="str">
        <f>"HID_"&amp;STDLIGHTINEFCAT2[[#This Row],[Ineff DropDown 2]]</f>
        <v>HID_PG &lt;=130</v>
      </c>
      <c r="K88" s="247" t="str">
        <f>STDLIGHTINEFCAT2[[#This Row],[Match]]&amp;"_"&amp;STDLIGHTINEFCAT2[[#This Row],[Options]]</f>
        <v xml:space="preserve">HID_PG &lt;=130_35W/39W Med Base </v>
      </c>
      <c r="L88" s="247" t="s">
        <v>1603</v>
      </c>
      <c r="M88" s="247">
        <v>35</v>
      </c>
      <c r="N88" s="247">
        <v>48</v>
      </c>
      <c r="O88">
        <v>86</v>
      </c>
    </row>
    <row r="89" spans="9:15">
      <c r="I89" t="s">
        <v>1915</v>
      </c>
      <c r="J89" s="26" t="str">
        <f>"HID_"&amp;STDLIGHTINEFCAT2[[#This Row],[Ineff DropDown 2]]</f>
        <v>HID_PG &lt;=130</v>
      </c>
      <c r="K89" s="247" t="str">
        <f>STDLIGHTINEFCAT2[[#This Row],[Match]]&amp;"_"&amp;STDLIGHTINEFCAT2[[#This Row],[Options]]</f>
        <v>HID_PG &lt;=130_50W Med Base</v>
      </c>
      <c r="L89" s="247" t="s">
        <v>1604</v>
      </c>
      <c r="M89" s="247">
        <v>50</v>
      </c>
      <c r="N89" s="247">
        <v>62</v>
      </c>
      <c r="O89">
        <v>87</v>
      </c>
    </row>
    <row r="90" spans="9:15">
      <c r="I90" t="s">
        <v>1915</v>
      </c>
      <c r="J90" s="26" t="str">
        <f>"HID_"&amp;STDLIGHTINEFCAT2[[#This Row],[Ineff DropDown 2]]</f>
        <v>HID_PG &lt;=130</v>
      </c>
      <c r="K90" s="247" t="str">
        <f>STDLIGHTINEFCAT2[[#This Row],[Match]]&amp;"_"&amp;STDLIGHTINEFCAT2[[#This Row],[Options]]</f>
        <v>HID_PG &lt;=130_70W Med Base</v>
      </c>
      <c r="L90" s="247" t="s">
        <v>1605</v>
      </c>
      <c r="M90" s="247">
        <v>70</v>
      </c>
      <c r="N90" s="247">
        <v>93</v>
      </c>
      <c r="O90">
        <v>88</v>
      </c>
    </row>
    <row r="91" spans="9:15">
      <c r="I91" t="s">
        <v>1915</v>
      </c>
      <c r="J91" s="26" t="str">
        <f>"HID_"&amp;STDLIGHTINEFCAT2[[#This Row],[Ineff DropDown 2]]</f>
        <v>HID_PG &lt;=130</v>
      </c>
      <c r="K91" s="247" t="str">
        <f>STDLIGHTINEFCAT2[[#This Row],[Match]]&amp;"_"&amp;STDLIGHTINEFCAT2[[#This Row],[Options]]</f>
        <v xml:space="preserve">HID_PG &lt;=130_70W Double Ended </v>
      </c>
      <c r="L91" s="247" t="s">
        <v>1606</v>
      </c>
      <c r="M91" s="247">
        <v>70</v>
      </c>
      <c r="N91" s="247">
        <v>94</v>
      </c>
      <c r="O91">
        <v>89</v>
      </c>
    </row>
    <row r="92" spans="9:15">
      <c r="I92" t="s">
        <v>1915</v>
      </c>
      <c r="J92" s="26" t="str">
        <f>"HID_"&amp;STDLIGHTINEFCAT2[[#This Row],[Ineff DropDown 2]]</f>
        <v>HID_PG &lt;=130</v>
      </c>
      <c r="K92" s="247" t="str">
        <f>STDLIGHTINEFCAT2[[#This Row],[Match]]&amp;"_"&amp;STDLIGHTINEFCAT2[[#This Row],[Options]]</f>
        <v>HID_PG &lt;=130_100W Med Base</v>
      </c>
      <c r="L92" s="247" t="s">
        <v>1607</v>
      </c>
      <c r="M92" s="247">
        <v>100</v>
      </c>
      <c r="N92" s="247">
        <v>125</v>
      </c>
      <c r="O92">
        <v>90</v>
      </c>
    </row>
    <row r="93" spans="9:15">
      <c r="I93" t="s">
        <v>1915</v>
      </c>
      <c r="J93" s="26" t="str">
        <f>"HID_"&amp;STDLIGHTINEFCAT2[[#This Row],[Ineff DropDown 2]]</f>
        <v>HID_PG &lt;=130</v>
      </c>
      <c r="K93" s="247" t="str">
        <f>STDLIGHTINEFCAT2[[#This Row],[Match]]&amp;"_"&amp;STDLIGHTINEFCAT2[[#This Row],[Options]]</f>
        <v xml:space="preserve">HID_PG &lt;=130_100W Double Ended </v>
      </c>
      <c r="L93" s="247" t="s">
        <v>1608</v>
      </c>
      <c r="M93" s="247">
        <v>100</v>
      </c>
      <c r="N93" s="247">
        <v>130</v>
      </c>
      <c r="O93">
        <v>91</v>
      </c>
    </row>
    <row r="94" spans="9:15">
      <c r="I94" t="s">
        <v>1915</v>
      </c>
      <c r="J94" s="26" t="str">
        <f>"HID_"&amp;STDLIGHTINEFCAT2[[#This Row],[Ineff DropDown 2]]</f>
        <v>HID_PG &lt;=130</v>
      </c>
      <c r="K94" s="247" t="str">
        <f>STDLIGHTINEFCAT2[[#This Row],[Match]]&amp;"_"&amp;STDLIGHTINEFCAT2[[#This Row],[Options]]</f>
        <v>HID_PG &lt;=130_--Mercury Vapor--</v>
      </c>
      <c r="L94" s="247" t="s">
        <v>1379</v>
      </c>
      <c r="M94" s="247"/>
      <c r="N94" s="247"/>
      <c r="O94">
        <v>92</v>
      </c>
    </row>
    <row r="95" spans="9:15">
      <c r="I95" t="s">
        <v>1915</v>
      </c>
      <c r="J95" s="26" t="str">
        <f>"HID_"&amp;STDLIGHTINEFCAT2[[#This Row],[Ineff DropDown 2]]</f>
        <v>HID_PG &lt;=130</v>
      </c>
      <c r="K95" s="247" t="str">
        <f>STDLIGHTINEFCAT2[[#This Row],[Match]]&amp;"_"&amp;STDLIGHTINEFCAT2[[#This Row],[Options]]</f>
        <v>HID_PG &lt;=130_50W Med Base</v>
      </c>
      <c r="L95" s="247" t="s">
        <v>1604</v>
      </c>
      <c r="M95" s="247">
        <v>50</v>
      </c>
      <c r="N95" s="247">
        <v>75</v>
      </c>
      <c r="O95">
        <v>93</v>
      </c>
    </row>
    <row r="96" spans="9:15">
      <c r="I96" t="s">
        <v>1915</v>
      </c>
      <c r="J96" s="26" t="str">
        <f>"HID_"&amp;STDLIGHTINEFCAT2[[#This Row],[Ineff DropDown 2]]</f>
        <v>HID_PG &lt;=130</v>
      </c>
      <c r="K96" s="247" t="str">
        <f>STDLIGHTINEFCAT2[[#This Row],[Match]]&amp;"_"&amp;STDLIGHTINEFCAT2[[#This Row],[Options]]</f>
        <v>HID_PG &lt;=130_75W Med Base</v>
      </c>
      <c r="L96" s="247" t="s">
        <v>1609</v>
      </c>
      <c r="M96" s="247">
        <v>75</v>
      </c>
      <c r="N96" s="247">
        <v>75</v>
      </c>
      <c r="O96">
        <v>94</v>
      </c>
    </row>
    <row r="97" spans="9:15">
      <c r="I97" t="s">
        <v>1915</v>
      </c>
      <c r="J97" s="26" t="str">
        <f>"HID_"&amp;STDLIGHTINEFCAT2[[#This Row],[Ineff DropDown 2]]</f>
        <v>HID_PG &lt;=130</v>
      </c>
      <c r="K97" s="247" t="str">
        <f>STDLIGHTINEFCAT2[[#This Row],[Match]]&amp;"_"&amp;STDLIGHTINEFCAT2[[#This Row],[Options]]</f>
        <v>HID_PG &lt;=130_100W Med Base</v>
      </c>
      <c r="L97" s="247" t="s">
        <v>1607</v>
      </c>
      <c r="M97" s="247">
        <v>100</v>
      </c>
      <c r="N97" s="247">
        <v>122</v>
      </c>
      <c r="O97">
        <v>95</v>
      </c>
    </row>
    <row r="98" spans="9:15">
      <c r="I98" t="s">
        <v>1915</v>
      </c>
      <c r="J98" s="26" t="str">
        <f>"HID_"&amp;STDLIGHTINEFCAT2[[#This Row],[Ineff DropDown 2]]</f>
        <v>HID_PG &lt;=130</v>
      </c>
      <c r="K98" s="243" t="str">
        <f>STDLIGHTINEFCAT2[[#This Row],[Match]]&amp;"_"&amp;STDLIGHTINEFCAT2[[#This Row],[Options]]</f>
        <v>HID_PG &lt;=130_--High Pres. Sodium--</v>
      </c>
      <c r="L98" s="247" t="s">
        <v>1380</v>
      </c>
      <c r="M98" s="247"/>
      <c r="N98" s="247"/>
      <c r="O98">
        <v>96</v>
      </c>
    </row>
    <row r="99" spans="9:15">
      <c r="I99" t="s">
        <v>1915</v>
      </c>
      <c r="J99" s="26" t="str">
        <f>"HID_"&amp;STDLIGHTINEFCAT2[[#This Row],[Ineff DropDown 2]]</f>
        <v>HID_PG &lt;=130</v>
      </c>
      <c r="K99" s="243" t="str">
        <f>STDLIGHTINEFCAT2[[#This Row],[Match]]&amp;"_"&amp;STDLIGHTINEFCAT2[[#This Row],[Options]]</f>
        <v>HID_PG &lt;=130_35W Med Base</v>
      </c>
      <c r="L99" s="247" t="s">
        <v>1610</v>
      </c>
      <c r="M99" s="247">
        <v>35</v>
      </c>
      <c r="N99" s="247">
        <v>43</v>
      </c>
      <c r="O99">
        <v>97</v>
      </c>
    </row>
    <row r="100" spans="9:15">
      <c r="I100" t="s">
        <v>1915</v>
      </c>
      <c r="J100" s="26" t="str">
        <f>"HID_"&amp;STDLIGHTINEFCAT2[[#This Row],[Ineff DropDown 2]]</f>
        <v>HID_PG &lt;=130</v>
      </c>
      <c r="K100" s="243" t="str">
        <f>STDLIGHTINEFCAT2[[#This Row],[Match]]&amp;"_"&amp;STDLIGHTINEFCAT2[[#This Row],[Options]]</f>
        <v>HID_PG &lt;=130_50W Med Base</v>
      </c>
      <c r="L100" s="247" t="s">
        <v>1604</v>
      </c>
      <c r="M100" s="247">
        <v>50</v>
      </c>
      <c r="N100" s="247">
        <v>64</v>
      </c>
      <c r="O100">
        <v>98</v>
      </c>
    </row>
    <row r="101" spans="9:15">
      <c r="I101" t="s">
        <v>1915</v>
      </c>
      <c r="J101" s="26" t="str">
        <f>"HID_"&amp;STDLIGHTINEFCAT2[[#This Row],[Ineff DropDown 2]]</f>
        <v>HID_PG &lt;=130</v>
      </c>
      <c r="K101" s="243" t="str">
        <f>STDLIGHTINEFCAT2[[#This Row],[Match]]&amp;"_"&amp;STDLIGHTINEFCAT2[[#This Row],[Options]]</f>
        <v>HID_PG &lt;=130_70W Med Base</v>
      </c>
      <c r="L101" s="247" t="s">
        <v>1605</v>
      </c>
      <c r="M101" s="247">
        <v>70</v>
      </c>
      <c r="N101" s="247">
        <v>86</v>
      </c>
      <c r="O101">
        <v>99</v>
      </c>
    </row>
    <row r="102" spans="9:15">
      <c r="I102" t="s">
        <v>1915</v>
      </c>
      <c r="J102" s="26" t="str">
        <f>"HID_"&amp;STDLIGHTINEFCAT2[[#This Row],[Ineff DropDown 2]]</f>
        <v>HID_PG &lt;=130</v>
      </c>
      <c r="K102" s="243" t="str">
        <f>STDLIGHTINEFCAT2[[#This Row],[Match]]&amp;"_"&amp;STDLIGHTINEFCAT2[[#This Row],[Options]]</f>
        <v>HID_PG &lt;=130_100W Med Base</v>
      </c>
      <c r="L102" s="247" t="s">
        <v>1607</v>
      </c>
      <c r="M102" s="247">
        <v>100</v>
      </c>
      <c r="N102" s="247">
        <v>126</v>
      </c>
      <c r="O102">
        <v>100</v>
      </c>
    </row>
    <row r="103" spans="9:15">
      <c r="I103" t="s">
        <v>1915</v>
      </c>
      <c r="J103" s="26" t="str">
        <f>"HID_"&amp;STDLIGHTINEFCAT2[[#This Row],[Ineff DropDown 2]]</f>
        <v>HID_PG &lt;=130</v>
      </c>
      <c r="K103" s="243" t="str">
        <f>STDLIGHTINEFCAT2[[#This Row],[Match]]&amp;"_"&amp;STDLIGHTINEFCAT2[[#This Row],[Options]]</f>
        <v>HID_PG &lt;=130_100W Mogul Base</v>
      </c>
      <c r="L103" s="247" t="s">
        <v>1611</v>
      </c>
      <c r="M103" s="247">
        <v>100</v>
      </c>
      <c r="N103" s="247">
        <v>130</v>
      </c>
      <c r="O103">
        <v>101</v>
      </c>
    </row>
    <row r="104" spans="9:15">
      <c r="I104" t="s">
        <v>1916</v>
      </c>
      <c r="J104" s="26" t="str">
        <f>"HID_"&amp;STDLIGHTINEFCAT2[[#This Row],[Ineff DropDown 2]]</f>
        <v>HID_PG &gt;210</v>
      </c>
      <c r="K104" s="243" t="str">
        <f>STDLIGHTINEFCAT2[[#This Row],[Match]]&amp;"_"&amp;STDLIGHTINEFCAT2[[#This Row],[Options]]</f>
        <v>HID_PG &gt;210_--Metal Halide--</v>
      </c>
      <c r="L104" s="247" t="s">
        <v>1378</v>
      </c>
      <c r="M104" s="247"/>
      <c r="N104" s="247"/>
      <c r="O104">
        <v>102</v>
      </c>
    </row>
    <row r="105" spans="9:15">
      <c r="I105" t="s">
        <v>1916</v>
      </c>
      <c r="J105" s="26" t="str">
        <f>"HID_"&amp;STDLIGHTINEFCAT2[[#This Row],[Ineff DropDown 2]]</f>
        <v>HID_PG &gt;210</v>
      </c>
      <c r="K105" s="243" t="str">
        <f>STDLIGHTINEFCAT2[[#This Row],[Match]]&amp;"_"&amp;STDLIGHTINEFCAT2[[#This Row],[Options]]</f>
        <v>HID_PG &gt;210_250W Mogul Base</v>
      </c>
      <c r="L105" s="247" t="s">
        <v>1373</v>
      </c>
      <c r="M105" s="247">
        <v>250</v>
      </c>
      <c r="N105" s="247">
        <v>295</v>
      </c>
      <c r="O105">
        <v>103</v>
      </c>
    </row>
    <row r="106" spans="9:15">
      <c r="I106" t="s">
        <v>1916</v>
      </c>
      <c r="J106" s="26" t="str">
        <f>"HID_"&amp;STDLIGHTINEFCAT2[[#This Row],[Ineff DropDown 2]]</f>
        <v>HID_PG &gt;210</v>
      </c>
      <c r="K106" s="243" t="str">
        <f>STDLIGHTINEFCAT2[[#This Row],[Match]]&amp;"_"&amp;STDLIGHTINEFCAT2[[#This Row],[Options]]</f>
        <v>HID_PG &gt;210_300W Mogul Base</v>
      </c>
      <c r="L106" s="247" t="s">
        <v>1450</v>
      </c>
      <c r="M106" s="247">
        <v>300</v>
      </c>
      <c r="N106" s="247">
        <v>342</v>
      </c>
      <c r="O106">
        <v>104</v>
      </c>
    </row>
    <row r="107" spans="9:15">
      <c r="I107" t="s">
        <v>1916</v>
      </c>
      <c r="J107" s="26" t="str">
        <f>"HID_"&amp;STDLIGHTINEFCAT2[[#This Row],[Ineff DropDown 2]]</f>
        <v>HID_PG &gt;210</v>
      </c>
      <c r="K107" s="243" t="str">
        <f>STDLIGHTINEFCAT2[[#This Row],[Match]]&amp;"_"&amp;STDLIGHTINEFCAT2[[#This Row],[Options]]</f>
        <v>HID_PG &gt;210_325W Mogul Base</v>
      </c>
      <c r="L107" s="247" t="s">
        <v>1451</v>
      </c>
      <c r="M107" s="247">
        <v>325</v>
      </c>
      <c r="N107" s="247">
        <v>375</v>
      </c>
      <c r="O107">
        <v>105</v>
      </c>
    </row>
    <row r="108" spans="9:15">
      <c r="I108" t="s">
        <v>1916</v>
      </c>
      <c r="J108" s="26" t="str">
        <f>"HID_"&amp;STDLIGHTINEFCAT2[[#This Row],[Ineff DropDown 2]]</f>
        <v>HID_PG &gt;210</v>
      </c>
      <c r="K108" s="243" t="str">
        <f>STDLIGHTINEFCAT2[[#This Row],[Match]]&amp;"_"&amp;STDLIGHTINEFCAT2[[#This Row],[Options]]</f>
        <v>HID_PG &gt;210_360W Mogul Base</v>
      </c>
      <c r="L108" s="247" t="s">
        <v>1452</v>
      </c>
      <c r="M108" s="247">
        <v>360</v>
      </c>
      <c r="N108" s="247">
        <v>430</v>
      </c>
      <c r="O108">
        <v>106</v>
      </c>
    </row>
    <row r="109" spans="9:15">
      <c r="I109" t="s">
        <v>1916</v>
      </c>
      <c r="J109" s="26" t="str">
        <f>"HID_"&amp;STDLIGHTINEFCAT2[[#This Row],[Ineff DropDown 2]]</f>
        <v>HID_PG &gt;210</v>
      </c>
      <c r="K109" s="243" t="str">
        <f>STDLIGHTINEFCAT2[[#This Row],[Match]]&amp;"_"&amp;STDLIGHTINEFCAT2[[#This Row],[Options]]</f>
        <v>HID_PG &gt;210_400W Mogul Base</v>
      </c>
      <c r="L109" s="247" t="s">
        <v>1382</v>
      </c>
      <c r="M109" s="247">
        <v>400</v>
      </c>
      <c r="N109" s="247">
        <v>458</v>
      </c>
      <c r="O109">
        <v>107</v>
      </c>
    </row>
    <row r="110" spans="9:15">
      <c r="I110" t="s">
        <v>1916</v>
      </c>
      <c r="J110" s="26" t="str">
        <f>"HID_"&amp;STDLIGHTINEFCAT2[[#This Row],[Ineff DropDown 2]]</f>
        <v>HID_PG &gt;210</v>
      </c>
      <c r="K110" s="243" t="str">
        <f>STDLIGHTINEFCAT2[[#This Row],[Match]]&amp;"_"&amp;STDLIGHTINEFCAT2[[#This Row],[Options]]</f>
        <v>HID_PG &gt;210_750W Mogul Base</v>
      </c>
      <c r="L110" s="247" t="s">
        <v>1384</v>
      </c>
      <c r="M110" s="247">
        <v>750</v>
      </c>
      <c r="N110" s="247">
        <v>850</v>
      </c>
      <c r="O110">
        <v>108</v>
      </c>
    </row>
    <row r="111" spans="9:15">
      <c r="I111" t="s">
        <v>1916</v>
      </c>
      <c r="J111" s="26" t="str">
        <f>"HID_"&amp;STDLIGHTINEFCAT2[[#This Row],[Ineff DropDown 2]]</f>
        <v>HID_PG &gt;210</v>
      </c>
      <c r="K111" s="243" t="str">
        <f>STDLIGHTINEFCAT2[[#This Row],[Match]]&amp;"_"&amp;STDLIGHTINEFCAT2[[#This Row],[Options]]</f>
        <v>HID_PG &gt;210_1,000W Mogul Base</v>
      </c>
      <c r="L111" s="247" t="s">
        <v>1454</v>
      </c>
      <c r="M111" s="247">
        <v>1000</v>
      </c>
      <c r="N111" s="247">
        <v>1080</v>
      </c>
      <c r="O111">
        <v>109</v>
      </c>
    </row>
    <row r="112" spans="9:15">
      <c r="I112" t="s">
        <v>1916</v>
      </c>
      <c r="J112" s="26" t="str">
        <f>"HID_"&amp;STDLIGHTINEFCAT2[[#This Row],[Ineff DropDown 2]]</f>
        <v>HID_PG &gt;210</v>
      </c>
      <c r="K112" s="243" t="str">
        <f>STDLIGHTINEFCAT2[[#This Row],[Match]]&amp;"_"&amp;STDLIGHTINEFCAT2[[#This Row],[Options]]</f>
        <v>HID_PG &gt;210_1,500W Mogul Base</v>
      </c>
      <c r="L112" s="247" t="s">
        <v>1455</v>
      </c>
      <c r="M112" s="247">
        <v>1500</v>
      </c>
      <c r="N112" s="247">
        <v>1610</v>
      </c>
      <c r="O112">
        <v>110</v>
      </c>
    </row>
    <row r="113" spans="9:15">
      <c r="I113" t="s">
        <v>1916</v>
      </c>
      <c r="J113" s="26" t="str">
        <f>"HID_"&amp;STDLIGHTINEFCAT2[[#This Row],[Ineff DropDown 2]]</f>
        <v>HID_PG &gt;210</v>
      </c>
      <c r="K113" s="243" t="str">
        <f>STDLIGHTINEFCAT2[[#This Row],[Match]]&amp;"_"&amp;STDLIGHTINEFCAT2[[#This Row],[Options]]</f>
        <v>HID_PG &gt;210_--Mercury Vapor--</v>
      </c>
      <c r="L113" s="247" t="s">
        <v>1379</v>
      </c>
      <c r="M113" s="247"/>
      <c r="N113" s="247"/>
      <c r="O113">
        <v>111</v>
      </c>
    </row>
    <row r="114" spans="9:15">
      <c r="I114" t="s">
        <v>1916</v>
      </c>
      <c r="J114" s="26" t="str">
        <f>"HID_"&amp;STDLIGHTINEFCAT2[[#This Row],[Ineff DropDown 2]]</f>
        <v>HID_PG &gt;210</v>
      </c>
      <c r="K114" s="243" t="str">
        <f>STDLIGHTINEFCAT2[[#This Row],[Match]]&amp;"_"&amp;STDLIGHTINEFCAT2[[#This Row],[Options]]</f>
        <v>HID_PG &gt;210_250W Mogul Base</v>
      </c>
      <c r="L114" s="247" t="s">
        <v>1373</v>
      </c>
      <c r="M114" s="247">
        <v>250</v>
      </c>
      <c r="N114" s="247">
        <v>285</v>
      </c>
      <c r="O114">
        <v>112</v>
      </c>
    </row>
    <row r="115" spans="9:15">
      <c r="I115" t="s">
        <v>1916</v>
      </c>
      <c r="J115" s="26" t="str">
        <f>"HID_"&amp;STDLIGHTINEFCAT2[[#This Row],[Ineff DropDown 2]]</f>
        <v>HID_PG &gt;210</v>
      </c>
      <c r="K115" s="243" t="str">
        <f>STDLIGHTINEFCAT2[[#This Row],[Match]]&amp;"_"&amp;STDLIGHTINEFCAT2[[#This Row],[Options]]</f>
        <v>HID_PG &gt;210_400W Mogul Base</v>
      </c>
      <c r="L115" s="250" t="s">
        <v>1382</v>
      </c>
      <c r="M115" s="247">
        <v>400</v>
      </c>
      <c r="N115" s="250">
        <v>454</v>
      </c>
      <c r="O115">
        <v>113</v>
      </c>
    </row>
    <row r="116" spans="9:15">
      <c r="I116" t="s">
        <v>1916</v>
      </c>
      <c r="J116" s="26" t="str">
        <f>"HID_"&amp;STDLIGHTINEFCAT2[[#This Row],[Ineff DropDown 2]]</f>
        <v>HID_PG &gt;210</v>
      </c>
      <c r="K116" s="243" t="str">
        <f>STDLIGHTINEFCAT2[[#This Row],[Match]]&amp;"_"&amp;STDLIGHTINEFCAT2[[#This Row],[Options]]</f>
        <v>HID_PG &gt;210_700W Mogul Base</v>
      </c>
      <c r="L116" s="247" t="s">
        <v>1453</v>
      </c>
      <c r="M116" s="247">
        <v>700</v>
      </c>
      <c r="N116" s="250">
        <v>780</v>
      </c>
      <c r="O116">
        <v>114</v>
      </c>
    </row>
    <row r="117" spans="9:15">
      <c r="I117" t="s">
        <v>1916</v>
      </c>
      <c r="J117" s="26" t="str">
        <f>"HID_"&amp;STDLIGHTINEFCAT2[[#This Row],[Ineff DropDown 2]]</f>
        <v>HID_PG &gt;210</v>
      </c>
      <c r="K117" s="247" t="str">
        <f>STDLIGHTINEFCAT2[[#This Row],[Match]]&amp;"_"&amp;STDLIGHTINEFCAT2[[#This Row],[Options]]</f>
        <v>HID_PG &gt;210_1,000W Mogul Base</v>
      </c>
      <c r="L117" s="245" t="s">
        <v>1454</v>
      </c>
      <c r="M117" s="247">
        <v>1000</v>
      </c>
      <c r="N117" s="247">
        <v>1080</v>
      </c>
      <c r="O117">
        <v>115</v>
      </c>
    </row>
    <row r="118" spans="9:15">
      <c r="I118" t="s">
        <v>1916</v>
      </c>
      <c r="J118" s="26" t="str">
        <f>"HID_"&amp;STDLIGHTINEFCAT2[[#This Row],[Ineff DropDown 2]]</f>
        <v>HID_PG &gt;210</v>
      </c>
      <c r="K118" s="247" t="str">
        <f>STDLIGHTINEFCAT2[[#This Row],[Match]]&amp;"_"&amp;STDLIGHTINEFCAT2[[#This Row],[Options]]</f>
        <v>HID_PG &gt;210_--High Pres. Sodium--</v>
      </c>
      <c r="L118" s="245" t="s">
        <v>1380</v>
      </c>
      <c r="M118" s="247"/>
      <c r="N118" s="247"/>
      <c r="O118">
        <v>116</v>
      </c>
    </row>
    <row r="119" spans="9:15">
      <c r="I119" t="s">
        <v>1916</v>
      </c>
      <c r="J119" s="26" t="str">
        <f>"HID_"&amp;STDLIGHTINEFCAT2[[#This Row],[Ineff DropDown 2]]</f>
        <v>HID_PG &gt;210</v>
      </c>
      <c r="K119" s="247" t="str">
        <f>STDLIGHTINEFCAT2[[#This Row],[Match]]&amp;"_"&amp;STDLIGHTINEFCAT2[[#This Row],[Options]]</f>
        <v>HID_PG &gt;210_200W Mogul Base</v>
      </c>
      <c r="L119" s="245" t="s">
        <v>1377</v>
      </c>
      <c r="M119" s="247">
        <v>200</v>
      </c>
      <c r="N119" s="247">
        <v>240</v>
      </c>
      <c r="O119">
        <v>117</v>
      </c>
    </row>
    <row r="120" spans="9:15">
      <c r="I120" t="s">
        <v>1916</v>
      </c>
      <c r="J120" s="26" t="str">
        <f>"HID_"&amp;STDLIGHTINEFCAT2[[#This Row],[Ineff DropDown 2]]</f>
        <v>HID_PG &gt;210</v>
      </c>
      <c r="K120" s="247" t="str">
        <f>STDLIGHTINEFCAT2[[#This Row],[Match]]&amp;"_"&amp;STDLIGHTINEFCAT2[[#This Row],[Options]]</f>
        <v>HID_PG &gt;210_250W Mogul Base</v>
      </c>
      <c r="L120" s="245" t="s">
        <v>1373</v>
      </c>
      <c r="M120" s="247">
        <v>250</v>
      </c>
      <c r="N120" s="247">
        <v>295</v>
      </c>
      <c r="O120">
        <v>118</v>
      </c>
    </row>
    <row r="121" spans="9:15">
      <c r="I121" t="s">
        <v>1916</v>
      </c>
      <c r="J121" s="26" t="str">
        <f>"HID_"&amp;STDLIGHTINEFCAT2[[#This Row],[Ineff DropDown 2]]</f>
        <v>HID_PG &gt;210</v>
      </c>
      <c r="K121" s="247" t="str">
        <f>STDLIGHTINEFCAT2[[#This Row],[Match]]&amp;"_"&amp;STDLIGHTINEFCAT2[[#This Row],[Options]]</f>
        <v>HID_PG &gt;210_310W Mogul Base</v>
      </c>
      <c r="L121" s="245" t="s">
        <v>1381</v>
      </c>
      <c r="M121" s="247">
        <v>310</v>
      </c>
      <c r="N121" s="247">
        <v>365</v>
      </c>
      <c r="O121">
        <v>119</v>
      </c>
    </row>
    <row r="122" spans="9:15">
      <c r="I122" t="s">
        <v>1916</v>
      </c>
      <c r="J122" s="26" t="str">
        <f>"HID_"&amp;STDLIGHTINEFCAT2[[#This Row],[Ineff DropDown 2]]</f>
        <v>HID_PG &gt;210</v>
      </c>
      <c r="K122" s="247" t="str">
        <f>STDLIGHTINEFCAT2[[#This Row],[Match]]&amp;"_"&amp;STDLIGHTINEFCAT2[[#This Row],[Options]]</f>
        <v>HID_PG &gt;210_400W Mogul Base</v>
      </c>
      <c r="L122" s="245" t="s">
        <v>1382</v>
      </c>
      <c r="M122" s="247">
        <v>400</v>
      </c>
      <c r="N122" s="247">
        <v>457</v>
      </c>
      <c r="O122">
        <v>120</v>
      </c>
    </row>
    <row r="123" spans="9:15">
      <c r="I123" t="s">
        <v>1916</v>
      </c>
      <c r="J123" s="26" t="str">
        <f>"HID_"&amp;STDLIGHTINEFCAT2[[#This Row],[Ineff DropDown 2]]</f>
        <v>HID_PG &gt;210</v>
      </c>
      <c r="K123" s="247" t="str">
        <f>STDLIGHTINEFCAT2[[#This Row],[Match]]&amp;"_"&amp;STDLIGHTINEFCAT2[[#This Row],[Options]]</f>
        <v>HID_PG &gt;210_600W Mogul Base</v>
      </c>
      <c r="L123" s="247" t="s">
        <v>1383</v>
      </c>
      <c r="M123" s="247">
        <v>600</v>
      </c>
      <c r="N123" s="247">
        <v>665</v>
      </c>
      <c r="O123">
        <v>121</v>
      </c>
    </row>
    <row r="124" spans="9:15">
      <c r="I124" t="s">
        <v>1916</v>
      </c>
      <c r="J124" s="26" t="str">
        <f>"HID_"&amp;STDLIGHTINEFCAT2[[#This Row],[Ineff DropDown 2]]</f>
        <v>HID_PG &gt;210</v>
      </c>
      <c r="K124" s="247" t="str">
        <f>STDLIGHTINEFCAT2[[#This Row],[Match]]&amp;"_"&amp;STDLIGHTINEFCAT2[[#This Row],[Options]]</f>
        <v>HID_PG &gt;210_750W Mogul Base</v>
      </c>
      <c r="L124" s="245" t="s">
        <v>1384</v>
      </c>
      <c r="M124" s="247">
        <v>750</v>
      </c>
      <c r="N124" s="247">
        <v>840</v>
      </c>
      <c r="O124">
        <v>122</v>
      </c>
    </row>
    <row r="125" spans="9:15">
      <c r="I125" t="s">
        <v>1916</v>
      </c>
      <c r="J125" s="26" t="str">
        <f>"HID_"&amp;STDLIGHTINEFCAT2[[#This Row],[Ineff DropDown 2]]</f>
        <v>HID_PG &gt;210</v>
      </c>
      <c r="K125" s="247" t="str">
        <f>STDLIGHTINEFCAT2[[#This Row],[Match]]&amp;"_"&amp;STDLIGHTINEFCAT2[[#This Row],[Options]]</f>
        <v>HID_PG &gt;210_1,000W Mogul Base</v>
      </c>
      <c r="L125" s="245" t="s">
        <v>1454</v>
      </c>
      <c r="M125" s="247">
        <v>1000</v>
      </c>
      <c r="N125" s="247">
        <v>1100</v>
      </c>
      <c r="O125">
        <v>123</v>
      </c>
    </row>
    <row r="126" spans="9:15">
      <c r="I126" s="26" t="s">
        <v>1917</v>
      </c>
      <c r="J126" s="26" t="str">
        <f>"HID_"&amp;STDLIGHTINEFCAT2[[#This Row],[Ineff DropDown 2]]</f>
        <v>HID_PG 131-210</v>
      </c>
      <c r="K126" s="247" t="str">
        <f>STDLIGHTINEFCAT2[[#This Row],[Match]]&amp;"_"&amp;STDLIGHTINEFCAT2[[#This Row],[Options]]</f>
        <v>HID_PG 131-210_--Metal Halide--</v>
      </c>
      <c r="L126" s="255" t="s">
        <v>1378</v>
      </c>
      <c r="M126" s="251"/>
      <c r="N126" s="247"/>
      <c r="O126">
        <v>124</v>
      </c>
    </row>
    <row r="127" spans="9:15">
      <c r="I127" s="26" t="s">
        <v>1917</v>
      </c>
      <c r="J127" s="26" t="str">
        <f>"HID_"&amp;STDLIGHTINEFCAT2[[#This Row],[Ineff DropDown 2]]</f>
        <v>HID_PG 131-210</v>
      </c>
      <c r="K127" s="247" t="str">
        <f>STDLIGHTINEFCAT2[[#This Row],[Match]]&amp;"_"&amp;STDLIGHTINEFCAT2[[#This Row],[Options]]</f>
        <v>HID_PG 131-210_150W Med Base</v>
      </c>
      <c r="L127" s="245" t="s">
        <v>1612</v>
      </c>
      <c r="M127" s="247">
        <v>150</v>
      </c>
      <c r="N127" s="247">
        <v>173</v>
      </c>
      <c r="O127">
        <v>125</v>
      </c>
    </row>
    <row r="128" spans="9:15">
      <c r="I128" s="26" t="s">
        <v>1917</v>
      </c>
      <c r="J128" s="26" t="str">
        <f>"HID_"&amp;STDLIGHTINEFCAT2[[#This Row],[Ineff DropDown 2]]</f>
        <v>HID_PG 131-210</v>
      </c>
      <c r="K128" s="247" t="str">
        <f>STDLIGHTINEFCAT2[[#This Row],[Match]]&amp;"_"&amp;STDLIGHTINEFCAT2[[#This Row],[Options]]</f>
        <v>HID_PG 131-210_150W Double Ended</v>
      </c>
      <c r="L128" s="247" t="s">
        <v>1375</v>
      </c>
      <c r="M128" s="247">
        <v>150</v>
      </c>
      <c r="N128" s="247">
        <v>185</v>
      </c>
      <c r="O128">
        <v>126</v>
      </c>
    </row>
    <row r="129" spans="9:16">
      <c r="I129" s="26" t="s">
        <v>1917</v>
      </c>
      <c r="J129" s="26" t="str">
        <f>"HID_"&amp;STDLIGHTINEFCAT2[[#This Row],[Ineff DropDown 2]]</f>
        <v>HID_PG 131-210</v>
      </c>
      <c r="K129" s="247" t="str">
        <f>STDLIGHTINEFCAT2[[#This Row],[Match]]&amp;"_"&amp;STDLIGHTINEFCAT2[[#This Row],[Options]]</f>
        <v>HID_PG 131-210_175W Mogul Base</v>
      </c>
      <c r="L129" s="245" t="s">
        <v>1372</v>
      </c>
      <c r="M129" s="247">
        <v>175</v>
      </c>
      <c r="N129" s="247">
        <v>210</v>
      </c>
      <c r="O129">
        <v>127</v>
      </c>
    </row>
    <row r="130" spans="9:16">
      <c r="I130" s="26" t="s">
        <v>1917</v>
      </c>
      <c r="J130" s="26" t="str">
        <f>"HID_"&amp;STDLIGHTINEFCAT2[[#This Row],[Ineff DropDown 2]]</f>
        <v>HID_PG 131-210</v>
      </c>
      <c r="K130" s="247" t="str">
        <f>STDLIGHTINEFCAT2[[#This Row],[Match]]&amp;"_"&amp;STDLIGHTINEFCAT2[[#This Row],[Options]]</f>
        <v>HID_PG 131-210_--Mercury Vapor--</v>
      </c>
      <c r="L130" s="255" t="s">
        <v>1379</v>
      </c>
      <c r="M130" s="251"/>
      <c r="N130" s="247"/>
      <c r="O130">
        <v>128</v>
      </c>
    </row>
    <row r="131" spans="9:16">
      <c r="I131" s="26" t="s">
        <v>1917</v>
      </c>
      <c r="J131" s="26" t="str">
        <f>"HID_"&amp;STDLIGHTINEFCAT2[[#This Row],[Ineff DropDown 2]]</f>
        <v>HID_PG 131-210</v>
      </c>
      <c r="K131" s="247" t="str">
        <f>STDLIGHTINEFCAT2[[#This Row],[Match]]&amp;"_"&amp;STDLIGHTINEFCAT2[[#This Row],[Options]]</f>
        <v>HID_PG 131-210_175W Med Base</v>
      </c>
      <c r="L131" s="245" t="s">
        <v>1613</v>
      </c>
      <c r="M131" s="247">
        <v>175</v>
      </c>
      <c r="N131" s="247">
        <v>205</v>
      </c>
      <c r="O131">
        <v>129</v>
      </c>
    </row>
    <row r="132" spans="9:16">
      <c r="I132" s="26" t="s">
        <v>1917</v>
      </c>
      <c r="J132" s="26" t="str">
        <f>"HID_"&amp;STDLIGHTINEFCAT2[[#This Row],[Ineff DropDown 2]]</f>
        <v>HID_PG 131-210</v>
      </c>
      <c r="K132" s="247" t="str">
        <f>STDLIGHTINEFCAT2[[#This Row],[Match]]&amp;"_"&amp;STDLIGHTINEFCAT2[[#This Row],[Options]]</f>
        <v>HID_PG 131-210_175W Mogul Base</v>
      </c>
      <c r="L132" s="245" t="s">
        <v>1372</v>
      </c>
      <c r="M132" s="247">
        <v>175</v>
      </c>
      <c r="N132" s="247">
        <v>205</v>
      </c>
      <c r="O132">
        <v>130</v>
      </c>
    </row>
    <row r="133" spans="9:16">
      <c r="I133" s="26" t="s">
        <v>1917</v>
      </c>
      <c r="J133" s="26" t="str">
        <f>"HID_"&amp;STDLIGHTINEFCAT2[[#This Row],[Ineff DropDown 2]]</f>
        <v>HID_PG 131-210</v>
      </c>
      <c r="K133" s="247" t="str">
        <f>STDLIGHTINEFCAT2[[#This Row],[Match]]&amp;"_"&amp;STDLIGHTINEFCAT2[[#This Row],[Options]]</f>
        <v>HID_PG 131-210_--High Pres. Sodium--</v>
      </c>
      <c r="L133" s="255" t="s">
        <v>1380</v>
      </c>
      <c r="M133" s="251"/>
      <c r="N133" s="247"/>
      <c r="O133">
        <v>131</v>
      </c>
    </row>
    <row r="134" spans="9:16">
      <c r="I134" s="26" t="s">
        <v>1917</v>
      </c>
      <c r="J134" s="26" t="str">
        <f>"HID_"&amp;STDLIGHTINEFCAT2[[#This Row],[Ineff DropDown 2]]</f>
        <v>HID_PG 131-210</v>
      </c>
      <c r="K134" s="247" t="str">
        <f>STDLIGHTINEFCAT2[[#This Row],[Match]]&amp;"_"&amp;STDLIGHTINEFCAT2[[#This Row],[Options]]</f>
        <v>HID_PG 131-210_150W Med Base</v>
      </c>
      <c r="L134" s="245" t="s">
        <v>1612</v>
      </c>
      <c r="M134" s="247">
        <v>150</v>
      </c>
      <c r="N134" s="247">
        <v>188</v>
      </c>
      <c r="O134">
        <v>132</v>
      </c>
    </row>
    <row r="135" spans="9:16">
      <c r="I135" s="26" t="s">
        <v>1917</v>
      </c>
      <c r="J135" s="26" t="str">
        <f>"HID_"&amp;STDLIGHTINEFCAT2[[#This Row],[Ineff DropDown 2]]</f>
        <v>HID_PG 131-210</v>
      </c>
      <c r="K135" s="243" t="str">
        <f>STDLIGHTINEFCAT2[[#This Row],[Match]]&amp;"_"&amp;STDLIGHTINEFCAT2[[#This Row],[Options]]</f>
        <v>HID_PG 131-210_150W Mogul Base</v>
      </c>
      <c r="L135" s="247" t="s">
        <v>1376</v>
      </c>
      <c r="M135" s="247">
        <v>150</v>
      </c>
      <c r="N135" s="243">
        <v>188</v>
      </c>
      <c r="O135">
        <v>133</v>
      </c>
      <c r="P135" s="196"/>
    </row>
    <row r="136" spans="9:16">
      <c r="I136" s="247" t="s">
        <v>1400</v>
      </c>
      <c r="J136" s="26" t="str">
        <f>"Incand./CFL_"&amp;STDLIGHTINEFCAT2[[#This Row],[Ineff DropDown 2]]</f>
        <v>Incand./CFL_Incand_CFL</v>
      </c>
      <c r="K136" s="243" t="str">
        <f>STDLIGHTINEFCAT2[[#This Row],[Match]]&amp;"_"&amp;STDLIGHTINEFCAT2[[#This Row],[Options]]</f>
        <v>Incand./CFL_Incand_CFL_Incandescent</v>
      </c>
      <c r="L136" s="247" t="s">
        <v>1947</v>
      </c>
      <c r="M136" s="243"/>
      <c r="N136" s="243"/>
      <c r="O136">
        <v>134</v>
      </c>
      <c r="P136" s="196"/>
    </row>
    <row r="137" spans="9:16">
      <c r="I137" s="247" t="s">
        <v>1400</v>
      </c>
      <c r="J137" s="26" t="str">
        <f>"Incand./CFL_"&amp;STDLIGHTINEFCAT2[[#This Row],[Ineff DropDown 2]]</f>
        <v>Incand./CFL_Incand_CFL</v>
      </c>
      <c r="K137" s="308" t="str">
        <f>STDLIGHTINEFCAT2[[#This Row],[Match]]&amp;"_"&amp;STDLIGHTINEFCAT2[[#This Row],[Options]]</f>
        <v>Incand./CFL_Incand_CFL_CFL</v>
      </c>
      <c r="L137" s="308" t="s">
        <v>570</v>
      </c>
      <c r="M137" s="247"/>
      <c r="N137" s="308"/>
      <c r="O137">
        <v>135</v>
      </c>
      <c r="P137" s="196"/>
    </row>
    <row r="138" spans="9:16">
      <c r="I138" s="26" t="s">
        <v>1368</v>
      </c>
      <c r="J138" s="26" t="str">
        <f>STDLIGHTINEFCAT2[[#This Row],[Ineff DropDown 2]]&amp;"_"&amp;STDLIGHTINEFCAT2[[#This Row],[Ineff DropDown 2]]</f>
        <v>MR-16_MR-16</v>
      </c>
      <c r="K138" s="243" t="str">
        <f>STDLIGHTINEFCAT2[[#This Row],[Match]]&amp;"_"&amp;STDLIGHTINEFCAT2[[#This Row],[Options]]</f>
        <v>MR-16_MR-16_MR-16</v>
      </c>
      <c r="L138" s="248" t="s">
        <v>1368</v>
      </c>
      <c r="M138" s="26"/>
      <c r="N138" s="243"/>
      <c r="O138">
        <v>136</v>
      </c>
      <c r="P138" s="196"/>
    </row>
    <row r="139" spans="9:16">
      <c r="I139" s="26" t="s">
        <v>1370</v>
      </c>
      <c r="J139" s="26" t="str">
        <f>STDLIGHTINEFCAT2[[#This Row],[Ineff DropDown 2]]&amp;"_"&amp;STDLIGHTINEFCAT2[[#This Row],[Ineff DropDown 2]]</f>
        <v>PAR_PAR</v>
      </c>
      <c r="K139" s="243" t="str">
        <f>STDLIGHTINEFCAT2[[#This Row],[Match]]&amp;"_"&amp;STDLIGHTINEFCAT2[[#This Row],[Options]]</f>
        <v>PAR_PAR_PAR</v>
      </c>
      <c r="L139" s="247" t="s">
        <v>1370</v>
      </c>
      <c r="M139" s="243"/>
      <c r="N139" s="243"/>
      <c r="O139">
        <v>137</v>
      </c>
      <c r="P139" s="196"/>
    </row>
    <row r="140" spans="9:16">
      <c r="I140" s="26" t="s">
        <v>1415</v>
      </c>
      <c r="J140" s="26" t="s">
        <v>1436</v>
      </c>
      <c r="K140" s="243" t="str">
        <f>STDLIGHTINEFCAT2[[#This Row],[Match]]&amp;"_"&amp;STDLIGHTINEFCAT2[[#This Row],[Options]]</f>
        <v>T12_2ft_Lamp_T12 2' 20W</v>
      </c>
      <c r="L140" s="247" t="s">
        <v>1353</v>
      </c>
      <c r="M140" s="243">
        <v>20</v>
      </c>
      <c r="N140" s="243">
        <v>20</v>
      </c>
      <c r="O140">
        <v>138</v>
      </c>
      <c r="P140" s="196"/>
    </row>
    <row r="141" spans="9:16">
      <c r="I141" s="26" t="s">
        <v>1415</v>
      </c>
      <c r="J141" s="26" t="s">
        <v>1436</v>
      </c>
      <c r="K141" s="243" t="str">
        <f>STDLIGHTINEFCAT2[[#This Row],[Match]]&amp;"_"&amp;STDLIGHTINEFCAT2[[#This Row],[Options]]</f>
        <v>T12_2ft_Lamp_T12 2' 35W</v>
      </c>
      <c r="L141" s="247" t="s">
        <v>1414</v>
      </c>
      <c r="M141" s="243">
        <v>35</v>
      </c>
      <c r="N141" s="243">
        <v>35</v>
      </c>
      <c r="O141">
        <v>139</v>
      </c>
      <c r="P141" s="196"/>
    </row>
    <row r="142" spans="9:16">
      <c r="I142" s="26" t="s">
        <v>1914</v>
      </c>
      <c r="J142" s="26" t="str">
        <f>"T12_"&amp;STDLIGHTINEFCAT2[[#This Row],[Ineff DropDown 2]]</f>
        <v>T12_301-500</v>
      </c>
      <c r="K142" s="243" t="str">
        <f>STDLIGHTINEFCAT2[[#This Row],[Match]]&amp;"_"&amp;STDLIGHTINEFCAT2[[#This Row],[Options]]</f>
        <v>T12_301-500_2L T12 8' 215W</v>
      </c>
      <c r="L142" s="252" t="s">
        <v>1537</v>
      </c>
      <c r="M142" s="242">
        <f>2*215</f>
        <v>430</v>
      </c>
      <c r="N142" s="287">
        <v>320</v>
      </c>
      <c r="O142">
        <v>140</v>
      </c>
      <c r="P142" s="196"/>
    </row>
    <row r="143" spans="9:16">
      <c r="I143" s="26" t="s">
        <v>1416</v>
      </c>
      <c r="J143" s="26" t="s">
        <v>1442</v>
      </c>
      <c r="K143" s="242" t="str">
        <f>STDLIGHTINEFCAT2[[#This Row],[Match]]&amp;"_"&amp;STDLIGHTINEFCAT2[[#This Row],[Options]]</f>
        <v>T12_4ft_Lamp_T12 4' 30W</v>
      </c>
      <c r="L143" s="267" t="s">
        <v>1354</v>
      </c>
      <c r="M143" s="243">
        <v>30</v>
      </c>
      <c r="N143" s="243">
        <v>30</v>
      </c>
      <c r="O143">
        <v>141</v>
      </c>
    </row>
    <row r="144" spans="9:16">
      <c r="I144" s="26" t="s">
        <v>1416</v>
      </c>
      <c r="J144" s="26" t="s">
        <v>1442</v>
      </c>
      <c r="K144" s="242" t="str">
        <f>STDLIGHTINEFCAT2[[#This Row],[Match]]&amp;"_"&amp;STDLIGHTINEFCAT2[[#This Row],[Options]]</f>
        <v>T12_4ft_Lamp_T12 4' 34W</v>
      </c>
      <c r="L144" s="252" t="s">
        <v>1355</v>
      </c>
      <c r="M144" s="243">
        <v>34</v>
      </c>
      <c r="N144" s="243">
        <v>34</v>
      </c>
      <c r="O144">
        <v>142</v>
      </c>
    </row>
    <row r="145" spans="9:16">
      <c r="I145" s="26" t="s">
        <v>1416</v>
      </c>
      <c r="J145" s="26" t="s">
        <v>1442</v>
      </c>
      <c r="K145" s="242" t="str">
        <f>STDLIGHTINEFCAT2[[#This Row],[Match]]&amp;"_"&amp;STDLIGHTINEFCAT2[[#This Row],[Options]]</f>
        <v>T12_4ft_Lamp_T12 4' 40W</v>
      </c>
      <c r="L145" s="267" t="s">
        <v>1356</v>
      </c>
      <c r="M145" s="243">
        <v>40</v>
      </c>
      <c r="N145" s="243">
        <v>40</v>
      </c>
      <c r="O145">
        <v>143</v>
      </c>
    </row>
    <row r="146" spans="9:16">
      <c r="I146" s="26" t="s">
        <v>1416</v>
      </c>
      <c r="J146" s="26" t="s">
        <v>1442</v>
      </c>
      <c r="K146" s="242" t="str">
        <f>STDLIGHTINEFCAT2[[#This Row],[Match]]&amp;"_"&amp;STDLIGHTINEFCAT2[[#This Row],[Options]]</f>
        <v>T12_4ft_Lamp_T12 4' 60W</v>
      </c>
      <c r="L146" s="252" t="s">
        <v>1405</v>
      </c>
      <c r="M146" s="243">
        <v>60</v>
      </c>
      <c r="N146" s="243">
        <v>60</v>
      </c>
      <c r="O146">
        <v>144</v>
      </c>
    </row>
    <row r="147" spans="9:16">
      <c r="I147" s="26" t="s">
        <v>1416</v>
      </c>
      <c r="J147" s="26" t="s">
        <v>1442</v>
      </c>
      <c r="K147" s="242" t="str">
        <f>STDLIGHTINEFCAT2[[#This Row],[Match]]&amp;"_"&amp;STDLIGHTINEFCAT2[[#This Row],[Options]]</f>
        <v>T12_4ft_Lamp_T12 4' 116W</v>
      </c>
      <c r="L147" s="267" t="s">
        <v>1406</v>
      </c>
      <c r="M147" s="243">
        <v>116</v>
      </c>
      <c r="N147" s="243">
        <v>116</v>
      </c>
      <c r="O147">
        <v>145</v>
      </c>
    </row>
    <row r="148" spans="9:16">
      <c r="I148" s="26" t="s">
        <v>1417</v>
      </c>
      <c r="J148" s="26" t="s">
        <v>1448</v>
      </c>
      <c r="K148" s="243" t="str">
        <f>STDLIGHTINEFCAT2[[#This Row],[Match]]&amp;"_"&amp;STDLIGHTINEFCAT2[[#This Row],[Options]]</f>
        <v>T12_8ft_Lamp_T12 8' 60W</v>
      </c>
      <c r="L148" s="267" t="s">
        <v>1357</v>
      </c>
      <c r="M148" s="243">
        <v>60</v>
      </c>
      <c r="N148" s="243">
        <v>60</v>
      </c>
      <c r="O148">
        <v>146</v>
      </c>
    </row>
    <row r="149" spans="9:16">
      <c r="I149" s="26" t="s">
        <v>1417</v>
      </c>
      <c r="J149" s="26" t="s">
        <v>1448</v>
      </c>
      <c r="K149" s="243" t="str">
        <f>STDLIGHTINEFCAT2[[#This Row],[Match]]&amp;"_"&amp;STDLIGHTINEFCAT2[[#This Row],[Options]]</f>
        <v>T12_8ft_Lamp_T12 8' 75W</v>
      </c>
      <c r="L149" s="267" t="s">
        <v>1358</v>
      </c>
      <c r="M149" s="243">
        <v>75</v>
      </c>
      <c r="N149" s="243">
        <v>75</v>
      </c>
      <c r="O149">
        <v>147</v>
      </c>
    </row>
    <row r="150" spans="9:16">
      <c r="I150" s="26" t="s">
        <v>1417</v>
      </c>
      <c r="J150" s="26" t="s">
        <v>1448</v>
      </c>
      <c r="K150" s="243" t="str">
        <f>STDLIGHTINEFCAT2[[#This Row],[Match]]&amp;"_"&amp;STDLIGHTINEFCAT2[[#This Row],[Options]]</f>
        <v>T12_8ft_Lamp_T12 8' 95W</v>
      </c>
      <c r="L150" s="252" t="s">
        <v>1407</v>
      </c>
      <c r="M150" s="243">
        <v>95</v>
      </c>
      <c r="N150" s="243">
        <v>95</v>
      </c>
      <c r="O150">
        <v>148</v>
      </c>
    </row>
    <row r="151" spans="9:16">
      <c r="I151" s="26" t="s">
        <v>1417</v>
      </c>
      <c r="J151" s="26" t="s">
        <v>1448</v>
      </c>
      <c r="K151" s="243" t="str">
        <f>STDLIGHTINEFCAT2[[#This Row],[Match]]&amp;"_"&amp;STDLIGHTINEFCAT2[[#This Row],[Options]]</f>
        <v>T12_8ft_Lamp_T12 8' 110W</v>
      </c>
      <c r="L151" s="252" t="s">
        <v>1408</v>
      </c>
      <c r="M151" s="243">
        <v>110</v>
      </c>
      <c r="N151" s="243">
        <v>110</v>
      </c>
      <c r="O151">
        <v>149</v>
      </c>
    </row>
    <row r="152" spans="9:16">
      <c r="I152" s="26" t="s">
        <v>1417</v>
      </c>
      <c r="J152" s="26" t="s">
        <v>1448</v>
      </c>
      <c r="K152" s="243" t="str">
        <f>STDLIGHTINEFCAT2[[#This Row],[Match]]&amp;"_"&amp;STDLIGHTINEFCAT2[[#This Row],[Options]]</f>
        <v>T12_8ft_Lamp_T12 8' 185W</v>
      </c>
      <c r="L152" s="267" t="s">
        <v>1409</v>
      </c>
      <c r="M152" s="243">
        <v>185</v>
      </c>
      <c r="N152" s="243">
        <v>185</v>
      </c>
      <c r="O152">
        <v>150</v>
      </c>
      <c r="P152" s="198"/>
    </row>
    <row r="153" spans="9:16">
      <c r="I153" s="26" t="s">
        <v>1417</v>
      </c>
      <c r="J153" s="26" t="s">
        <v>1448</v>
      </c>
      <c r="K153" s="243" t="str">
        <f>STDLIGHTINEFCAT2[[#This Row],[Match]]&amp;"_"&amp;STDLIGHTINEFCAT2[[#This Row],[Options]]</f>
        <v>T12_8ft_Lamp_T12 8' 215W</v>
      </c>
      <c r="L153" s="252" t="s">
        <v>1410</v>
      </c>
      <c r="M153" s="243">
        <v>215</v>
      </c>
      <c r="N153" s="243">
        <v>215</v>
      </c>
      <c r="O153">
        <v>151</v>
      </c>
    </row>
    <row r="154" spans="9:16">
      <c r="I154" s="26" t="s">
        <v>1910</v>
      </c>
      <c r="J154" s="26" t="str">
        <f>"T12_"&amp;STDLIGHTINEFCAT2[[#This Row],[Ineff DropDown 2]]</f>
        <v>T12_Ext  &gt;500</v>
      </c>
      <c r="K154" s="243" t="str">
        <f>STDLIGHTINEFCAT2[[#This Row],[Match]]&amp;"_"&amp;STDLIGHTINEFCAT2[[#This Row],[Options]]</f>
        <v>T12_Ext  &gt;500_----8 ft Lamps----</v>
      </c>
      <c r="L154" s="255" t="s">
        <v>1546</v>
      </c>
      <c r="M154" s="244"/>
      <c r="N154" s="247"/>
      <c r="O154">
        <v>152</v>
      </c>
    </row>
    <row r="155" spans="9:16">
      <c r="I155" s="26" t="s">
        <v>1910</v>
      </c>
      <c r="J155" s="26" t="str">
        <f>"T12_"&amp;STDLIGHTINEFCAT2[[#This Row],[Ineff DropDown 2]]</f>
        <v>T12_Ext  &gt;500</v>
      </c>
      <c r="K155" s="243" t="str">
        <f>STDLIGHTINEFCAT2[[#This Row],[Match]]&amp;"_"&amp;STDLIGHTINEFCAT2[[#This Row],[Options]]</f>
        <v>T12_Ext  &gt;500_3L T12 8' 185W</v>
      </c>
      <c r="L155" s="250" t="s">
        <v>1535</v>
      </c>
      <c r="M155" s="243">
        <f>3*185</f>
        <v>555</v>
      </c>
      <c r="N155" s="243">
        <v>550</v>
      </c>
      <c r="O155">
        <v>153</v>
      </c>
      <c r="P155" s="198"/>
    </row>
    <row r="156" spans="9:16">
      <c r="I156" s="26" t="s">
        <v>1910</v>
      </c>
      <c r="J156" s="26" t="str">
        <f>"T12_"&amp;STDLIGHTINEFCAT2[[#This Row],[Ineff DropDown 2]]</f>
        <v>T12_Ext  &gt;500</v>
      </c>
      <c r="K156" s="247" t="str">
        <f>STDLIGHTINEFCAT2[[#This Row],[Match]]&amp;"_"&amp;STDLIGHTINEFCAT2[[#This Row],[Options]]</f>
        <v>T12_Ext  &gt;500_3L T12 8' 215W</v>
      </c>
      <c r="L156" s="309" t="s">
        <v>1538</v>
      </c>
      <c r="M156" s="309">
        <f>3*215</f>
        <v>645</v>
      </c>
      <c r="N156" s="305">
        <v>518</v>
      </c>
      <c r="O156">
        <v>154</v>
      </c>
      <c r="P156" s="196"/>
    </row>
    <row r="157" spans="9:16">
      <c r="I157" s="26" t="s">
        <v>1911</v>
      </c>
      <c r="J157" s="26" t="str">
        <f>"T12_"&amp;STDLIGHTINEFCAT2[[#This Row],[Ineff DropDown 2]]</f>
        <v>T12_Ext ≤210</v>
      </c>
      <c r="K157" s="247" t="str">
        <f>STDLIGHTINEFCAT2[[#This Row],[Match]]&amp;"_"&amp;STDLIGHTINEFCAT2[[#This Row],[Options]]</f>
        <v>T12_Ext ≤210_----2 ft Lamps----</v>
      </c>
      <c r="L157" s="251" t="s">
        <v>1540</v>
      </c>
      <c r="M157" s="304"/>
      <c r="N157" s="247"/>
      <c r="O157">
        <v>155</v>
      </c>
    </row>
    <row r="158" spans="9:16">
      <c r="I158" s="26" t="s">
        <v>1911</v>
      </c>
      <c r="J158" s="26" t="str">
        <f>"T12_"&amp;STDLIGHTINEFCAT2[[#This Row],[Ineff DropDown 2]]</f>
        <v>T12_Ext ≤210</v>
      </c>
      <c r="K158" s="247" t="str">
        <f>STDLIGHTINEFCAT2[[#This Row],[Match]]&amp;"_"&amp;STDLIGHTINEFCAT2[[#This Row],[Options]]</f>
        <v>T12_Ext ≤210_1L T12 2' 20W</v>
      </c>
      <c r="L158" s="250" t="s">
        <v>1461</v>
      </c>
      <c r="M158" s="250">
        <v>20</v>
      </c>
      <c r="N158" s="247">
        <v>21</v>
      </c>
      <c r="O158">
        <v>156</v>
      </c>
      <c r="P158" s="196"/>
    </row>
    <row r="159" spans="9:16">
      <c r="I159" s="26" t="s">
        <v>1911</v>
      </c>
      <c r="J159" s="26" t="str">
        <f>"T12_"&amp;STDLIGHTINEFCAT2[[#This Row],[Ineff DropDown 2]]</f>
        <v>T12_Ext ≤210</v>
      </c>
      <c r="K159" s="247" t="str">
        <f>STDLIGHTINEFCAT2[[#This Row],[Match]]&amp;"_"&amp;STDLIGHTINEFCAT2[[#This Row],[Options]]</f>
        <v>T12_Ext ≤210_2L T12 2' 20W</v>
      </c>
      <c r="L159" s="247" t="s">
        <v>1462</v>
      </c>
      <c r="M159" s="250">
        <v>40</v>
      </c>
      <c r="N159" s="247">
        <v>53</v>
      </c>
      <c r="O159">
        <v>157</v>
      </c>
      <c r="P159" s="196"/>
    </row>
    <row r="160" spans="9:16">
      <c r="I160" s="26" t="s">
        <v>1911</v>
      </c>
      <c r="J160" s="26" t="str">
        <f>"T12_"&amp;STDLIGHTINEFCAT2[[#This Row],[Ineff DropDown 2]]</f>
        <v>T12_Ext ≤210</v>
      </c>
      <c r="K160" s="247" t="str">
        <f>STDLIGHTINEFCAT2[[#This Row],[Match]]&amp;"_"&amp;STDLIGHTINEFCAT2[[#This Row],[Options]]</f>
        <v>T12_Ext ≤210_3L T12 2' 20W</v>
      </c>
      <c r="L160" s="247" t="s">
        <v>1463</v>
      </c>
      <c r="M160" s="247">
        <v>60</v>
      </c>
      <c r="N160" s="247">
        <v>64</v>
      </c>
      <c r="O160">
        <v>158</v>
      </c>
      <c r="P160" s="196"/>
    </row>
    <row r="161" spans="9:16">
      <c r="I161" s="26" t="s">
        <v>1911</v>
      </c>
      <c r="J161" s="26" t="str">
        <f>"T12_"&amp;STDLIGHTINEFCAT2[[#This Row],[Ineff DropDown 2]]</f>
        <v>T12_Ext ≤210</v>
      </c>
      <c r="K161" s="247" t="str">
        <f>STDLIGHTINEFCAT2[[#This Row],[Match]]&amp;"_"&amp;STDLIGHTINEFCAT2[[#This Row],[Options]]</f>
        <v>T12_Ext ≤210_4L T12 2' 20W</v>
      </c>
      <c r="L161" s="247" t="s">
        <v>1464</v>
      </c>
      <c r="M161" s="247">
        <v>80</v>
      </c>
      <c r="N161" s="247">
        <v>91</v>
      </c>
      <c r="O161">
        <v>159</v>
      </c>
      <c r="P161" s="196"/>
    </row>
    <row r="162" spans="9:16">
      <c r="I162" s="26" t="s">
        <v>1911</v>
      </c>
      <c r="J162" s="26" t="str">
        <f>"T12_"&amp;STDLIGHTINEFCAT2[[#This Row],[Ineff DropDown 2]]</f>
        <v>T12_Ext ≤210</v>
      </c>
      <c r="K162" s="247" t="str">
        <f>STDLIGHTINEFCAT2[[#This Row],[Match]]&amp;"_"&amp;STDLIGHTINEFCAT2[[#This Row],[Options]]</f>
        <v>T12_Ext ≤210_1L T12 2' 35W</v>
      </c>
      <c r="L162" s="247" t="s">
        <v>1465</v>
      </c>
      <c r="M162" s="247">
        <v>35</v>
      </c>
      <c r="N162" s="247">
        <v>64</v>
      </c>
      <c r="O162">
        <v>160</v>
      </c>
      <c r="P162" s="196"/>
    </row>
    <row r="163" spans="9:16">
      <c r="I163" s="26" t="s">
        <v>1911</v>
      </c>
      <c r="J163" s="26" t="str">
        <f>"T12_"&amp;STDLIGHTINEFCAT2[[#This Row],[Ineff DropDown 2]]</f>
        <v>T12_Ext ≤210</v>
      </c>
      <c r="K163" s="247" t="str">
        <f>STDLIGHTINEFCAT2[[#This Row],[Match]]&amp;"_"&amp;STDLIGHTINEFCAT2[[#This Row],[Options]]</f>
        <v>T12_Ext ≤210_2L T12 2' 35W</v>
      </c>
      <c r="L163" s="247" t="s">
        <v>1466</v>
      </c>
      <c r="M163" s="247">
        <v>70</v>
      </c>
      <c r="N163" s="247">
        <v>95</v>
      </c>
      <c r="O163">
        <v>161</v>
      </c>
      <c r="P163" s="196"/>
    </row>
    <row r="164" spans="9:16">
      <c r="I164" s="26" t="s">
        <v>1911</v>
      </c>
      <c r="J164" s="26" t="str">
        <f>"T12_"&amp;STDLIGHTINEFCAT2[[#This Row],[Ineff DropDown 2]]</f>
        <v>T12_Ext ≤210</v>
      </c>
      <c r="K164" s="247" t="str">
        <f>STDLIGHTINEFCAT2[[#This Row],[Match]]&amp;"_"&amp;STDLIGHTINEFCAT2[[#This Row],[Options]]</f>
        <v>T12_Ext ≤210_3L T12 2' 35W</v>
      </c>
      <c r="L164" s="247" t="s">
        <v>1467</v>
      </c>
      <c r="M164" s="247">
        <v>105</v>
      </c>
      <c r="N164" s="247">
        <v>148</v>
      </c>
      <c r="O164">
        <v>162</v>
      </c>
    </row>
    <row r="165" spans="9:16">
      <c r="I165" s="26" t="s">
        <v>1911</v>
      </c>
      <c r="J165" s="26" t="str">
        <f>"T12_"&amp;STDLIGHTINEFCAT2[[#This Row],[Ineff DropDown 2]]</f>
        <v>T12_Ext ≤210</v>
      </c>
      <c r="K165" s="247" t="str">
        <f>STDLIGHTINEFCAT2[[#This Row],[Match]]&amp;"_"&amp;STDLIGHTINEFCAT2[[#This Row],[Options]]</f>
        <v>T12_Ext ≤210_4L T12 2' 35W</v>
      </c>
      <c r="L165" s="247" t="s">
        <v>1468</v>
      </c>
      <c r="M165" s="247">
        <f>4*35</f>
        <v>140</v>
      </c>
      <c r="N165" s="247">
        <v>183</v>
      </c>
      <c r="O165">
        <v>163</v>
      </c>
    </row>
    <row r="166" spans="9:16">
      <c r="I166" s="26" t="s">
        <v>1911</v>
      </c>
      <c r="J166" s="26" t="str">
        <f>"T12_"&amp;STDLIGHTINEFCAT2[[#This Row],[Ineff DropDown 2]]</f>
        <v>T12_Ext ≤210</v>
      </c>
      <c r="K166" s="247" t="str">
        <f>STDLIGHTINEFCAT2[[#This Row],[Match]]&amp;"_"&amp;STDLIGHTINEFCAT2[[#This Row],[Options]]</f>
        <v>T12_Ext ≤210_----3 ft Lamps----</v>
      </c>
      <c r="L166" s="251" t="s">
        <v>1541</v>
      </c>
      <c r="M166" s="251"/>
      <c r="N166" s="247"/>
      <c r="O166">
        <v>164</v>
      </c>
    </row>
    <row r="167" spans="9:16">
      <c r="I167" s="26" t="s">
        <v>1911</v>
      </c>
      <c r="J167" s="26" t="str">
        <f>"T12_"&amp;STDLIGHTINEFCAT2[[#This Row],[Ineff DropDown 2]]</f>
        <v>T12_Ext ≤210</v>
      </c>
      <c r="K167" s="247" t="str">
        <f>STDLIGHTINEFCAT2[[#This Row],[Match]]&amp;"_"&amp;STDLIGHTINEFCAT2[[#This Row],[Options]]</f>
        <v>T12_Ext ≤210_1L T12 3' 21W</v>
      </c>
      <c r="L167" s="247" t="s">
        <v>1469</v>
      </c>
      <c r="M167" s="247">
        <v>21</v>
      </c>
      <c r="N167" s="247">
        <v>25</v>
      </c>
      <c r="O167">
        <v>165</v>
      </c>
      <c r="P167" s="196"/>
    </row>
    <row r="168" spans="9:16">
      <c r="I168" s="26" t="s">
        <v>1911</v>
      </c>
      <c r="J168" s="26" t="str">
        <f>"T12_"&amp;STDLIGHTINEFCAT2[[#This Row],[Ineff DropDown 2]]</f>
        <v>T12_Ext ≤210</v>
      </c>
      <c r="K168" s="247" t="str">
        <f>STDLIGHTINEFCAT2[[#This Row],[Match]]&amp;"_"&amp;STDLIGHTINEFCAT2[[#This Row],[Options]]</f>
        <v>T12_Ext ≤210_2L T12 3' 21W</v>
      </c>
      <c r="L168" s="247" t="s">
        <v>1470</v>
      </c>
      <c r="M168" s="247">
        <v>42</v>
      </c>
      <c r="N168" s="247">
        <v>49</v>
      </c>
      <c r="O168">
        <v>166</v>
      </c>
    </row>
    <row r="169" spans="9:16">
      <c r="I169" s="26" t="s">
        <v>1911</v>
      </c>
      <c r="J169" s="26" t="str">
        <f>"T12_"&amp;STDLIGHTINEFCAT2[[#This Row],[Ineff DropDown 2]]</f>
        <v>T12_Ext ≤210</v>
      </c>
      <c r="K169" s="247" t="str">
        <f>STDLIGHTINEFCAT2[[#This Row],[Match]]&amp;"_"&amp;STDLIGHTINEFCAT2[[#This Row],[Options]]</f>
        <v>T12_Ext ≤210_1L T12 3' 24W</v>
      </c>
      <c r="L169" s="247" t="s">
        <v>1471</v>
      </c>
      <c r="M169" s="247">
        <v>24</v>
      </c>
      <c r="N169" s="247">
        <v>45</v>
      </c>
      <c r="O169">
        <v>167</v>
      </c>
    </row>
    <row r="170" spans="9:16">
      <c r="I170" s="26" t="s">
        <v>1911</v>
      </c>
      <c r="J170" s="26" t="str">
        <f>"T12_"&amp;STDLIGHTINEFCAT2[[#This Row],[Ineff DropDown 2]]</f>
        <v>T12_Ext ≤210</v>
      </c>
      <c r="K170" s="247" t="str">
        <f>STDLIGHTINEFCAT2[[#This Row],[Match]]&amp;"_"&amp;STDLIGHTINEFCAT2[[#This Row],[Options]]</f>
        <v>T12_Ext ≤210_2L T12 3' 24W</v>
      </c>
      <c r="L170" s="247" t="s">
        <v>1472</v>
      </c>
      <c r="M170" s="247">
        <v>48</v>
      </c>
      <c r="N170" s="247">
        <v>65</v>
      </c>
      <c r="O170">
        <v>168</v>
      </c>
      <c r="P170" s="196"/>
    </row>
    <row r="171" spans="9:16">
      <c r="I171" s="26" t="s">
        <v>1911</v>
      </c>
      <c r="J171" s="26" t="str">
        <f>"T12_"&amp;STDLIGHTINEFCAT2[[#This Row],[Ineff DropDown 2]]</f>
        <v>T12_Ext ≤210</v>
      </c>
      <c r="K171" s="247" t="str">
        <f>STDLIGHTINEFCAT2[[#This Row],[Match]]&amp;"_"&amp;STDLIGHTINEFCAT2[[#This Row],[Options]]</f>
        <v>T12_Ext ≤210_1L T12 3' 25W</v>
      </c>
      <c r="L171" s="247" t="s">
        <v>1473</v>
      </c>
      <c r="M171" s="247">
        <v>25</v>
      </c>
      <c r="N171" s="247">
        <v>35</v>
      </c>
      <c r="O171">
        <v>169</v>
      </c>
    </row>
    <row r="172" spans="9:16">
      <c r="I172" s="26" t="s">
        <v>1911</v>
      </c>
      <c r="J172" s="26" t="str">
        <f>"T12_"&amp;STDLIGHTINEFCAT2[[#This Row],[Ineff DropDown 2]]</f>
        <v>T12_Ext ≤210</v>
      </c>
      <c r="K172" s="247" t="str">
        <f>STDLIGHTINEFCAT2[[#This Row],[Match]]&amp;"_"&amp;STDLIGHTINEFCAT2[[#This Row],[Options]]</f>
        <v>T12_Ext ≤210_2L T12 3' 25W</v>
      </c>
      <c r="L172" s="247" t="s">
        <v>1474</v>
      </c>
      <c r="M172" s="247">
        <v>50</v>
      </c>
      <c r="N172" s="247">
        <v>71</v>
      </c>
      <c r="O172">
        <v>170</v>
      </c>
    </row>
    <row r="173" spans="9:16">
      <c r="I173" s="26" t="s">
        <v>1911</v>
      </c>
      <c r="J173" s="26" t="str">
        <f>"T12_"&amp;STDLIGHTINEFCAT2[[#This Row],[Ineff DropDown 2]]</f>
        <v>T12_Ext ≤210</v>
      </c>
      <c r="K173" s="247" t="str">
        <f>STDLIGHTINEFCAT2[[#This Row],[Match]]&amp;"_"&amp;STDLIGHTINEFCAT2[[#This Row],[Options]]</f>
        <v>T12_Ext ≤210_3L T12 3' 25W</v>
      </c>
      <c r="L173" s="247" t="s">
        <v>1475</v>
      </c>
      <c r="M173" s="247">
        <v>75</v>
      </c>
      <c r="N173" s="247">
        <v>70</v>
      </c>
      <c r="O173">
        <v>171</v>
      </c>
    </row>
    <row r="174" spans="9:16">
      <c r="I174" s="26" t="s">
        <v>1911</v>
      </c>
      <c r="J174" s="26" t="str">
        <f>"T12_"&amp;STDLIGHTINEFCAT2[[#This Row],[Ineff DropDown 2]]</f>
        <v>T12_Ext ≤210</v>
      </c>
      <c r="K174" s="247" t="str">
        <f>STDLIGHTINEFCAT2[[#This Row],[Match]]&amp;"_"&amp;STDLIGHTINEFCAT2[[#This Row],[Options]]</f>
        <v>T12_Ext ≤210_4L T12 3' 25W</v>
      </c>
      <c r="L174" s="247" t="s">
        <v>1476</v>
      </c>
      <c r="M174" s="247">
        <v>100</v>
      </c>
      <c r="N174" s="247">
        <v>88</v>
      </c>
      <c r="O174">
        <v>172</v>
      </c>
    </row>
    <row r="175" spans="9:16">
      <c r="I175" s="26" t="s">
        <v>1911</v>
      </c>
      <c r="J175" s="26" t="str">
        <f>"T12_"&amp;STDLIGHTINEFCAT2[[#This Row],[Ineff DropDown 2]]</f>
        <v>T12_Ext ≤210</v>
      </c>
      <c r="K175" s="247" t="str">
        <f>STDLIGHTINEFCAT2[[#This Row],[Match]]&amp;"_"&amp;STDLIGHTINEFCAT2[[#This Row],[Options]]</f>
        <v>T12_Ext ≤210_1L T12 3' 30W</v>
      </c>
      <c r="L175" s="247" t="s">
        <v>1477</v>
      </c>
      <c r="M175" s="247">
        <v>30</v>
      </c>
      <c r="N175" s="247">
        <v>40</v>
      </c>
      <c r="O175">
        <v>173</v>
      </c>
    </row>
    <row r="176" spans="9:16">
      <c r="I176" s="26" t="s">
        <v>1911</v>
      </c>
      <c r="J176" s="26" t="str">
        <f>"T12_"&amp;STDLIGHTINEFCAT2[[#This Row],[Ineff DropDown 2]]</f>
        <v>T12_Ext ≤210</v>
      </c>
      <c r="K176" s="247" t="str">
        <f>STDLIGHTINEFCAT2[[#This Row],[Match]]&amp;"_"&amp;STDLIGHTINEFCAT2[[#This Row],[Options]]</f>
        <v>T12_Ext ≤210_2L T12 3' 30W</v>
      </c>
      <c r="L176" s="247" t="s">
        <v>1478</v>
      </c>
      <c r="M176" s="247">
        <v>60</v>
      </c>
      <c r="N176" s="247">
        <v>75</v>
      </c>
      <c r="O176">
        <v>174</v>
      </c>
    </row>
    <row r="177" spans="9:16">
      <c r="I177" s="26" t="s">
        <v>1911</v>
      </c>
      <c r="J177" s="26" t="str">
        <f>"T12_"&amp;STDLIGHTINEFCAT2[[#This Row],[Ineff DropDown 2]]</f>
        <v>T12_Ext ≤210</v>
      </c>
      <c r="K177" s="247" t="str">
        <f>STDLIGHTINEFCAT2[[#This Row],[Match]]&amp;"_"&amp;STDLIGHTINEFCAT2[[#This Row],[Options]]</f>
        <v>T12_Ext ≤210_3L T12 3' 30W</v>
      </c>
      <c r="L177" s="247" t="s">
        <v>1479</v>
      </c>
      <c r="M177" s="247">
        <v>90</v>
      </c>
      <c r="N177" s="247">
        <v>113</v>
      </c>
      <c r="O177">
        <v>175</v>
      </c>
    </row>
    <row r="178" spans="9:16">
      <c r="I178" s="26" t="s">
        <v>1911</v>
      </c>
      <c r="J178" s="26" t="str">
        <f>"T12_"&amp;STDLIGHTINEFCAT2[[#This Row],[Ineff DropDown 2]]</f>
        <v>T12_Ext ≤210</v>
      </c>
      <c r="K178" s="247" t="str">
        <f>STDLIGHTINEFCAT2[[#This Row],[Match]]&amp;"_"&amp;STDLIGHTINEFCAT2[[#This Row],[Options]]</f>
        <v>T12_Ext ≤210_4L T12 3' 30W</v>
      </c>
      <c r="L178" s="247" t="s">
        <v>1480</v>
      </c>
      <c r="M178" s="247">
        <v>120</v>
      </c>
      <c r="N178" s="247">
        <v>138</v>
      </c>
      <c r="O178">
        <v>176</v>
      </c>
    </row>
    <row r="179" spans="9:16">
      <c r="I179" s="26" t="s">
        <v>1911</v>
      </c>
      <c r="J179" s="26" t="str">
        <f>"T12_"&amp;STDLIGHTINEFCAT2[[#This Row],[Ineff DropDown 2]]</f>
        <v>T12_Ext ≤210</v>
      </c>
      <c r="K179" s="247" t="str">
        <f>STDLIGHTINEFCAT2[[#This Row],[Match]]&amp;"_"&amp;STDLIGHTINEFCAT2[[#This Row],[Options]]</f>
        <v>T12_Ext ≤210_1L T12 3' 50W</v>
      </c>
      <c r="L179" s="245" t="s">
        <v>1481</v>
      </c>
      <c r="M179" s="247">
        <v>50</v>
      </c>
      <c r="N179" s="247">
        <v>72</v>
      </c>
      <c r="O179">
        <v>177</v>
      </c>
    </row>
    <row r="180" spans="9:16">
      <c r="I180" s="26" t="s">
        <v>1911</v>
      </c>
      <c r="J180" s="26" t="str">
        <f>"T12_"&amp;STDLIGHTINEFCAT2[[#This Row],[Ineff DropDown 2]]</f>
        <v>T12_Ext ≤210</v>
      </c>
      <c r="K180" s="247" t="str">
        <f>STDLIGHTINEFCAT2[[#This Row],[Match]]&amp;"_"&amp;STDLIGHTINEFCAT2[[#This Row],[Options]]</f>
        <v>T12_Ext ≤210_2L T12 3' 50W</v>
      </c>
      <c r="L180" s="245" t="s">
        <v>1482</v>
      </c>
      <c r="M180" s="247">
        <v>100</v>
      </c>
      <c r="N180" s="247">
        <v>110</v>
      </c>
      <c r="O180">
        <v>178</v>
      </c>
    </row>
    <row r="181" spans="9:16">
      <c r="I181" s="26" t="s">
        <v>1911</v>
      </c>
      <c r="J181" s="26" t="str">
        <f>"T12_"&amp;STDLIGHTINEFCAT2[[#This Row],[Ineff DropDown 2]]</f>
        <v>T12_Ext ≤210</v>
      </c>
      <c r="K181" s="247" t="str">
        <f>STDLIGHTINEFCAT2[[#This Row],[Match]]&amp;"_"&amp;STDLIGHTINEFCAT2[[#This Row],[Options]]</f>
        <v>T12_Ext ≤210_3L T12 3' 50W</v>
      </c>
      <c r="L181" s="247" t="s">
        <v>1483</v>
      </c>
      <c r="M181" s="247">
        <v>150</v>
      </c>
      <c r="N181" s="247">
        <v>166</v>
      </c>
      <c r="O181">
        <v>179</v>
      </c>
    </row>
    <row r="182" spans="9:16">
      <c r="I182" s="26" t="s">
        <v>1911</v>
      </c>
      <c r="J182" s="26" t="str">
        <f>"T12_"&amp;STDLIGHTINEFCAT2[[#This Row],[Ineff DropDown 2]]</f>
        <v>T12_Ext ≤210</v>
      </c>
      <c r="K182" s="247" t="str">
        <f>STDLIGHTINEFCAT2[[#This Row],[Match]]&amp;"_"&amp;STDLIGHTINEFCAT2[[#This Row],[Options]]</f>
        <v>T12_Ext ≤210_----4 ft Lamps----</v>
      </c>
      <c r="L182" s="251" t="s">
        <v>1542</v>
      </c>
      <c r="M182" s="251"/>
      <c r="N182" s="247"/>
      <c r="O182">
        <v>180</v>
      </c>
      <c r="P182" s="196"/>
    </row>
    <row r="183" spans="9:16">
      <c r="I183" s="26" t="s">
        <v>1911</v>
      </c>
      <c r="J183" s="26" t="str">
        <f>"T12_"&amp;STDLIGHTINEFCAT2[[#This Row],[Ineff DropDown 2]]</f>
        <v>T12_Ext ≤210</v>
      </c>
      <c r="K183" s="247" t="str">
        <f>STDLIGHTINEFCAT2[[#This Row],[Match]]&amp;"_"&amp;STDLIGHTINEFCAT2[[#This Row],[Options]]</f>
        <v>T12_Ext ≤210_1L T12 4' 30W</v>
      </c>
      <c r="L183" s="247" t="s">
        <v>1485</v>
      </c>
      <c r="M183" s="247">
        <v>30</v>
      </c>
      <c r="N183" s="247">
        <v>49</v>
      </c>
      <c r="O183">
        <v>181</v>
      </c>
      <c r="P183" s="196"/>
    </row>
    <row r="184" spans="9:16">
      <c r="I184" s="26" t="s">
        <v>1911</v>
      </c>
      <c r="J184" s="26" t="str">
        <f>"T12_"&amp;STDLIGHTINEFCAT2[[#This Row],[Ineff DropDown 2]]</f>
        <v>T12_Ext ≤210</v>
      </c>
      <c r="K184" s="247" t="str">
        <f>STDLIGHTINEFCAT2[[#This Row],[Match]]&amp;"_"&amp;STDLIGHTINEFCAT2[[#This Row],[Options]]</f>
        <v>T12_Ext ≤210_2L T12 4' 30W</v>
      </c>
      <c r="L184" s="247" t="s">
        <v>1486</v>
      </c>
      <c r="M184" s="247">
        <v>60</v>
      </c>
      <c r="N184" s="247">
        <v>80</v>
      </c>
      <c r="O184">
        <v>182</v>
      </c>
      <c r="P184" s="196"/>
    </row>
    <row r="185" spans="9:16">
      <c r="I185" s="26" t="s">
        <v>1911</v>
      </c>
      <c r="J185" s="26" t="str">
        <f>"T12_"&amp;STDLIGHTINEFCAT2[[#This Row],[Ineff DropDown 2]]</f>
        <v>T12_Ext ≤210</v>
      </c>
      <c r="K185" s="247" t="str">
        <f>STDLIGHTINEFCAT2[[#This Row],[Match]]&amp;"_"&amp;STDLIGHTINEFCAT2[[#This Row],[Options]]</f>
        <v>T12_Ext ≤210_1L T12 4' 34W</v>
      </c>
      <c r="L185" s="247" t="s">
        <v>1487</v>
      </c>
      <c r="M185" s="247">
        <v>34</v>
      </c>
      <c r="N185" s="247">
        <v>45</v>
      </c>
      <c r="O185">
        <v>183</v>
      </c>
    </row>
    <row r="186" spans="9:16">
      <c r="I186" s="26" t="s">
        <v>1911</v>
      </c>
      <c r="J186" s="26" t="str">
        <f>"T12_"&amp;STDLIGHTINEFCAT2[[#This Row],[Ineff DropDown 2]]</f>
        <v>T12_Ext ≤210</v>
      </c>
      <c r="K186" s="247" t="str">
        <f>STDLIGHTINEFCAT2[[#This Row],[Match]]&amp;"_"&amp;STDLIGHTINEFCAT2[[#This Row],[Options]]</f>
        <v>T12_Ext ≤210_2L T12 4' 34W</v>
      </c>
      <c r="L186" s="247" t="s">
        <v>1488</v>
      </c>
      <c r="M186" s="247">
        <v>68</v>
      </c>
      <c r="N186" s="247">
        <v>84</v>
      </c>
      <c r="O186">
        <v>184</v>
      </c>
    </row>
    <row r="187" spans="9:16">
      <c r="I187" s="26" t="s">
        <v>1911</v>
      </c>
      <c r="J187" s="26" t="str">
        <f>"T12_"&amp;STDLIGHTINEFCAT2[[#This Row],[Ineff DropDown 2]]</f>
        <v>T12_Ext ≤210</v>
      </c>
      <c r="K187" s="247" t="str">
        <f>STDLIGHTINEFCAT2[[#This Row],[Match]]&amp;"_"&amp;STDLIGHTINEFCAT2[[#This Row],[Options]]</f>
        <v>T12_Ext ≤210_3L T12 4' 34W</v>
      </c>
      <c r="L187" s="250" t="s">
        <v>1489</v>
      </c>
      <c r="M187" s="250">
        <v>102</v>
      </c>
      <c r="N187" s="250">
        <v>127</v>
      </c>
      <c r="O187">
        <v>185</v>
      </c>
    </row>
    <row r="188" spans="9:16">
      <c r="I188" s="26" t="s">
        <v>1911</v>
      </c>
      <c r="J188" s="26" t="str">
        <f>"T12_"&amp;STDLIGHTINEFCAT2[[#This Row],[Ineff DropDown 2]]</f>
        <v>T12_Ext ≤210</v>
      </c>
      <c r="K188" s="247" t="str">
        <f>STDLIGHTINEFCAT2[[#This Row],[Match]]&amp;"_"&amp;STDLIGHTINEFCAT2[[#This Row],[Options]]</f>
        <v>T12_Ext ≤210_4L T12 4' 34W</v>
      </c>
      <c r="L188" s="247" t="s">
        <v>1490</v>
      </c>
      <c r="M188" s="247">
        <v>136</v>
      </c>
      <c r="N188" s="247">
        <v>156</v>
      </c>
      <c r="O188">
        <v>186</v>
      </c>
      <c r="P188" s="196"/>
    </row>
    <row r="189" spans="9:16">
      <c r="I189" s="26" t="s">
        <v>1911</v>
      </c>
      <c r="J189" s="26" t="str">
        <f>"T12_"&amp;STDLIGHTINEFCAT2[[#This Row],[Ineff DropDown 2]]</f>
        <v>T12_Ext ≤210</v>
      </c>
      <c r="K189" s="247" t="str">
        <f>STDLIGHTINEFCAT2[[#This Row],[Match]]&amp;"_"&amp;STDLIGHTINEFCAT2[[#This Row],[Options]]</f>
        <v>T12_Ext ≤210_1L T12 4' 40W</v>
      </c>
      <c r="L189" s="247" t="s">
        <v>1491</v>
      </c>
      <c r="M189" s="247">
        <v>40</v>
      </c>
      <c r="N189" s="247">
        <v>51</v>
      </c>
      <c r="O189">
        <v>187</v>
      </c>
      <c r="P189" s="196"/>
    </row>
    <row r="190" spans="9:16">
      <c r="I190" s="26" t="s">
        <v>1911</v>
      </c>
      <c r="J190" s="26" t="str">
        <f>"T12_"&amp;STDLIGHTINEFCAT2[[#This Row],[Ineff DropDown 2]]</f>
        <v>T12_Ext ≤210</v>
      </c>
      <c r="K190" s="243" t="str">
        <f>STDLIGHTINEFCAT2[[#This Row],[Match]]&amp;"_"&amp;STDLIGHTINEFCAT2[[#This Row],[Options]]</f>
        <v>T12_Ext ≤210_2L T12 4' 40W</v>
      </c>
      <c r="L190" s="243" t="s">
        <v>1492</v>
      </c>
      <c r="M190" s="243">
        <v>80</v>
      </c>
      <c r="N190" s="247">
        <v>97</v>
      </c>
      <c r="O190">
        <v>188</v>
      </c>
    </row>
    <row r="191" spans="9:16">
      <c r="I191" s="26" t="s">
        <v>1911</v>
      </c>
      <c r="J191" s="26" t="str">
        <f>"T12_"&amp;STDLIGHTINEFCAT2[[#This Row],[Ineff DropDown 2]]</f>
        <v>T12_Ext ≤210</v>
      </c>
      <c r="K191" s="247" t="str">
        <f>STDLIGHTINEFCAT2[[#This Row],[Match]]&amp;"_"&amp;STDLIGHTINEFCAT2[[#This Row],[Options]]</f>
        <v>T12_Ext ≤210_3L T12 4' 40W</v>
      </c>
      <c r="L191" s="247" t="s">
        <v>1493</v>
      </c>
      <c r="M191" s="247">
        <f>3*40</f>
        <v>120</v>
      </c>
      <c r="N191" s="247">
        <v>135</v>
      </c>
      <c r="O191">
        <v>189</v>
      </c>
    </row>
    <row r="192" spans="9:16">
      <c r="I192" s="26" t="s">
        <v>1911</v>
      </c>
      <c r="J192" s="26" t="str">
        <f>"T12_"&amp;STDLIGHTINEFCAT2[[#This Row],[Ineff DropDown 2]]</f>
        <v>T12_Ext ≤210</v>
      </c>
      <c r="K192" s="247" t="str">
        <f>STDLIGHTINEFCAT2[[#This Row],[Match]]&amp;"_"&amp;STDLIGHTINEFCAT2[[#This Row],[Options]]</f>
        <v>T12_Ext ≤210_4L T12 4' 40W</v>
      </c>
      <c r="L192" s="247" t="s">
        <v>1494</v>
      </c>
      <c r="M192" s="247">
        <f>4*40</f>
        <v>160</v>
      </c>
      <c r="N192" s="247">
        <v>175</v>
      </c>
      <c r="O192">
        <v>190</v>
      </c>
    </row>
    <row r="193" spans="9:15">
      <c r="I193" s="26" t="s">
        <v>1911</v>
      </c>
      <c r="J193" s="26" t="str">
        <f>"T12_"&amp;STDLIGHTINEFCAT2[[#This Row],[Ineff DropDown 2]]</f>
        <v>T12_Ext ≤210</v>
      </c>
      <c r="K193" s="247" t="str">
        <f>STDLIGHTINEFCAT2[[#This Row],[Match]]&amp;"_"&amp;STDLIGHTINEFCAT2[[#This Row],[Options]]</f>
        <v>T12_Ext ≤210_1L T12 4' 60W</v>
      </c>
      <c r="L193" s="247" t="s">
        <v>1495</v>
      </c>
      <c r="M193" s="247">
        <v>60</v>
      </c>
      <c r="N193" s="247">
        <v>82</v>
      </c>
      <c r="O193">
        <v>191</v>
      </c>
    </row>
    <row r="194" spans="9:15">
      <c r="I194" s="26" t="s">
        <v>1911</v>
      </c>
      <c r="J194" s="26" t="str">
        <f>"T12_"&amp;STDLIGHTINEFCAT2[[#This Row],[Ineff DropDown 2]]</f>
        <v>T12_Ext ≤210</v>
      </c>
      <c r="K194" s="247" t="str">
        <f>STDLIGHTINEFCAT2[[#This Row],[Match]]&amp;"_"&amp;STDLIGHTINEFCAT2[[#This Row],[Options]]</f>
        <v>T12_Ext ≤210_2L T12 4' 60W</v>
      </c>
      <c r="L194" s="247" t="s">
        <v>1496</v>
      </c>
      <c r="M194" s="247">
        <v>120</v>
      </c>
      <c r="N194" s="247">
        <v>133</v>
      </c>
      <c r="O194">
        <v>192</v>
      </c>
    </row>
    <row r="195" spans="9:15">
      <c r="I195" s="26" t="s">
        <v>1911</v>
      </c>
      <c r="J195" s="26" t="str">
        <f>"T12_"&amp;STDLIGHTINEFCAT2[[#This Row],[Ineff DropDown 2]]</f>
        <v>T12_Ext ≤210</v>
      </c>
      <c r="K195" s="247" t="str">
        <f>STDLIGHTINEFCAT2[[#This Row],[Match]]&amp;"_"&amp;STDLIGHTINEFCAT2[[#This Row],[Options]]</f>
        <v>T12_Ext ≤210_3L T12 4' 60W</v>
      </c>
      <c r="L195" s="247" t="s">
        <v>1497</v>
      </c>
      <c r="M195" s="247">
        <f>3*60</f>
        <v>180</v>
      </c>
      <c r="N195" s="247">
        <v>204</v>
      </c>
      <c r="O195">
        <v>193</v>
      </c>
    </row>
    <row r="196" spans="9:15">
      <c r="I196" s="26" t="s">
        <v>1911</v>
      </c>
      <c r="J196" s="26" t="str">
        <f>"T12_"&amp;STDLIGHTINEFCAT2[[#This Row],[Ineff DropDown 2]]</f>
        <v>T12_Ext ≤210</v>
      </c>
      <c r="K196" s="247" t="str">
        <f>STDLIGHTINEFCAT2[[#This Row],[Match]]&amp;"_"&amp;STDLIGHTINEFCAT2[[#This Row],[Options]]</f>
        <v>T12_Ext ≤210_1L T12 4' 116W</v>
      </c>
      <c r="L196" s="247" t="s">
        <v>1499</v>
      </c>
      <c r="M196" s="247">
        <v>116</v>
      </c>
      <c r="N196" s="247">
        <v>130</v>
      </c>
      <c r="O196">
        <v>194</v>
      </c>
    </row>
    <row r="197" spans="9:15">
      <c r="I197" s="26" t="s">
        <v>1911</v>
      </c>
      <c r="J197" s="26" t="str">
        <f>"T12_"&amp;STDLIGHTINEFCAT2[[#This Row],[Ineff DropDown 2]]</f>
        <v>T12_Ext ≤210</v>
      </c>
      <c r="K197" s="247" t="str">
        <f>STDLIGHTINEFCAT2[[#This Row],[Match]]&amp;"_"&amp;STDLIGHTINEFCAT2[[#This Row],[Options]]</f>
        <v>T12_Ext ≤210_----6 ft Lamps----</v>
      </c>
      <c r="L197" s="251" t="s">
        <v>1544</v>
      </c>
      <c r="M197" s="251"/>
      <c r="N197" s="247"/>
      <c r="O197">
        <v>195</v>
      </c>
    </row>
    <row r="198" spans="9:15">
      <c r="I198" s="26" t="s">
        <v>1911</v>
      </c>
      <c r="J198" s="26" t="str">
        <f>"T12_"&amp;STDLIGHTINEFCAT2[[#This Row],[Ineff DropDown 2]]</f>
        <v>T12_Ext ≤210</v>
      </c>
      <c r="K198" s="247" t="str">
        <f>STDLIGHTINEFCAT2[[#This Row],[Match]]&amp;"_"&amp;STDLIGHTINEFCAT2[[#This Row],[Options]]</f>
        <v>T12_Ext ≤210_1L T12 6' 168W</v>
      </c>
      <c r="L198" s="247" t="s">
        <v>1510</v>
      </c>
      <c r="M198" s="247">
        <v>168</v>
      </c>
      <c r="N198" s="247">
        <v>169</v>
      </c>
      <c r="O198">
        <v>196</v>
      </c>
    </row>
    <row r="199" spans="9:15">
      <c r="I199" s="26" t="s">
        <v>1911</v>
      </c>
      <c r="J199" s="26" t="str">
        <f>"T12_"&amp;STDLIGHTINEFCAT2[[#This Row],[Ineff DropDown 2]]</f>
        <v>T12_Ext ≤210</v>
      </c>
      <c r="K199" s="247" t="str">
        <f>STDLIGHTINEFCAT2[[#This Row],[Match]]&amp;"_"&amp;STDLIGHTINEFCAT2[[#This Row],[Options]]</f>
        <v>T12_Ext ≤210_1L T12 6' 57W</v>
      </c>
      <c r="L199" s="247" t="s">
        <v>1513</v>
      </c>
      <c r="M199" s="247">
        <v>57</v>
      </c>
      <c r="N199" s="247">
        <v>80</v>
      </c>
      <c r="O199">
        <v>197</v>
      </c>
    </row>
    <row r="200" spans="9:15">
      <c r="I200" s="26" t="s">
        <v>1911</v>
      </c>
      <c r="J200" s="26" t="str">
        <f>"T12_"&amp;STDLIGHTINEFCAT2[[#This Row],[Ineff DropDown 2]]</f>
        <v>T12_Ext ≤210</v>
      </c>
      <c r="K200" s="247" t="str">
        <f>STDLIGHTINEFCAT2[[#This Row],[Match]]&amp;"_"&amp;STDLIGHTINEFCAT2[[#This Row],[Options]]</f>
        <v>T12_Ext ≤210_2L T12 6' 57W</v>
      </c>
      <c r="L200" s="247" t="s">
        <v>1514</v>
      </c>
      <c r="M200" s="247">
        <f>57*2</f>
        <v>114</v>
      </c>
      <c r="N200" s="247">
        <v>122</v>
      </c>
      <c r="O200">
        <v>198</v>
      </c>
    </row>
    <row r="201" spans="9:15">
      <c r="I201" s="26" t="s">
        <v>1911</v>
      </c>
      <c r="J201" s="26" t="str">
        <f>"T12_"&amp;STDLIGHTINEFCAT2[[#This Row],[Ineff DropDown 2]]</f>
        <v>T12_Ext ≤210</v>
      </c>
      <c r="K201" s="247" t="str">
        <f>STDLIGHTINEFCAT2[[#This Row],[Match]]&amp;"_"&amp;STDLIGHTINEFCAT2[[#This Row],[Options]]</f>
        <v>T12_Ext ≤210_1L T12 6' 85W</v>
      </c>
      <c r="L201" s="247" t="s">
        <v>1515</v>
      </c>
      <c r="M201" s="247">
        <v>85</v>
      </c>
      <c r="N201" s="247">
        <v>106</v>
      </c>
      <c r="O201">
        <v>199</v>
      </c>
    </row>
    <row r="202" spans="9:15">
      <c r="I202" s="26" t="s">
        <v>1911</v>
      </c>
      <c r="J202" s="26" t="str">
        <f>"T12_"&amp;STDLIGHTINEFCAT2[[#This Row],[Ineff DropDown 2]]</f>
        <v>T12_Ext ≤210</v>
      </c>
      <c r="K202" s="243" t="str">
        <f>STDLIGHTINEFCAT2[[#This Row],[Match]]&amp;"_"&amp;STDLIGHTINEFCAT2[[#This Row],[Options]]</f>
        <v>T12_Ext ≤210_2L T12 6' 85W</v>
      </c>
      <c r="L202" s="243" t="s">
        <v>1516</v>
      </c>
      <c r="M202" s="243">
        <f>2*85</f>
        <v>170</v>
      </c>
      <c r="N202" s="247">
        <v>190</v>
      </c>
      <c r="O202">
        <v>200</v>
      </c>
    </row>
    <row r="203" spans="9:15">
      <c r="I203" s="26" t="s">
        <v>1911</v>
      </c>
      <c r="J203" s="26" t="str">
        <f>"T12_"&amp;STDLIGHTINEFCAT2[[#This Row],[Ineff DropDown 2]]</f>
        <v>T12_Ext ≤210</v>
      </c>
      <c r="K203" s="243" t="str">
        <f>STDLIGHTINEFCAT2[[#This Row],[Match]]&amp;"_"&amp;STDLIGHTINEFCAT2[[#This Row],[Options]]</f>
        <v>T12_Ext ≤210_----8 ft Lamps----</v>
      </c>
      <c r="L203" s="244" t="s">
        <v>1546</v>
      </c>
      <c r="M203" s="244"/>
      <c r="N203" s="247"/>
      <c r="O203">
        <v>201</v>
      </c>
    </row>
    <row r="204" spans="9:15">
      <c r="I204" s="26" t="s">
        <v>1911</v>
      </c>
      <c r="J204" s="26" t="str">
        <f>"T12_"&amp;STDLIGHTINEFCAT2[[#This Row],[Ineff DropDown 2]]</f>
        <v>T12_Ext ≤210</v>
      </c>
      <c r="K204" s="243" t="str">
        <f>STDLIGHTINEFCAT2[[#This Row],[Match]]&amp;"_"&amp;STDLIGHTINEFCAT2[[#This Row],[Options]]</f>
        <v>T12_Ext ≤210_1L T12 8' 60W</v>
      </c>
      <c r="L204" s="243" t="s">
        <v>1524</v>
      </c>
      <c r="M204" s="243">
        <v>60</v>
      </c>
      <c r="N204" s="247">
        <v>74</v>
      </c>
      <c r="O204">
        <v>202</v>
      </c>
    </row>
    <row r="205" spans="9:15">
      <c r="I205" s="26" t="s">
        <v>1911</v>
      </c>
      <c r="J205" s="26" t="str">
        <f>"T12_"&amp;STDLIGHTINEFCAT2[[#This Row],[Ineff DropDown 2]]</f>
        <v>T12_Ext ≤210</v>
      </c>
      <c r="K205" s="243" t="str">
        <f>STDLIGHTINEFCAT2[[#This Row],[Match]]&amp;"_"&amp;STDLIGHTINEFCAT2[[#This Row],[Options]]</f>
        <v>T12_Ext ≤210_2L T12 8' 60W</v>
      </c>
      <c r="L205" s="243" t="s">
        <v>1525</v>
      </c>
      <c r="M205" s="243">
        <v>120</v>
      </c>
      <c r="N205" s="247">
        <v>113</v>
      </c>
      <c r="O205">
        <v>203</v>
      </c>
    </row>
    <row r="206" spans="9:15">
      <c r="I206" s="26" t="s">
        <v>1911</v>
      </c>
      <c r="J206" s="26" t="str">
        <f>"T12_"&amp;STDLIGHTINEFCAT2[[#This Row],[Ineff DropDown 2]]</f>
        <v>T12_Ext ≤210</v>
      </c>
      <c r="K206" s="243" t="str">
        <f>STDLIGHTINEFCAT2[[#This Row],[Match]]&amp;"_"&amp;STDLIGHTINEFCAT2[[#This Row],[Options]]</f>
        <v>T12_Ext ≤210_1L T12 8' 75W</v>
      </c>
      <c r="L206" s="243" t="s">
        <v>1527</v>
      </c>
      <c r="M206" s="243">
        <v>75</v>
      </c>
      <c r="N206" s="247">
        <v>94</v>
      </c>
      <c r="O206">
        <v>204</v>
      </c>
    </row>
    <row r="207" spans="9:15">
      <c r="I207" s="26" t="s">
        <v>1911</v>
      </c>
      <c r="J207" s="26" t="str">
        <f>"T12_"&amp;STDLIGHTINEFCAT2[[#This Row],[Ineff DropDown 2]]</f>
        <v>T12_Ext ≤210</v>
      </c>
      <c r="K207" s="243" t="str">
        <f>STDLIGHTINEFCAT2[[#This Row],[Match]]&amp;"_"&amp;STDLIGHTINEFCAT2[[#This Row],[Options]]</f>
        <v>T12_Ext ≤210_2L T12 8' 75W</v>
      </c>
      <c r="L207" s="243" t="s">
        <v>1528</v>
      </c>
      <c r="M207" s="243">
        <f>2*75</f>
        <v>150</v>
      </c>
      <c r="N207" s="247">
        <v>145</v>
      </c>
      <c r="O207">
        <v>205</v>
      </c>
    </row>
    <row r="208" spans="9:15">
      <c r="I208" s="26" t="s">
        <v>1911</v>
      </c>
      <c r="J208" s="26" t="str">
        <f>"T12_"&amp;STDLIGHTINEFCAT2[[#This Row],[Ineff DropDown 2]]</f>
        <v>T12_Ext ≤210</v>
      </c>
      <c r="K208" s="243" t="str">
        <f>STDLIGHTINEFCAT2[[#This Row],[Match]]&amp;"_"&amp;STDLIGHTINEFCAT2[[#This Row],[Options]]</f>
        <v>T12_Ext ≤210_1L T12 8' 95W</v>
      </c>
      <c r="L208" s="243" t="s">
        <v>1529</v>
      </c>
      <c r="M208" s="243">
        <v>95</v>
      </c>
      <c r="N208" s="247">
        <v>125</v>
      </c>
      <c r="O208">
        <v>206</v>
      </c>
    </row>
    <row r="209" spans="9:15">
      <c r="I209" s="26" t="s">
        <v>1911</v>
      </c>
      <c r="J209" s="26" t="str">
        <f>"T12_"&amp;STDLIGHTINEFCAT2[[#This Row],[Ineff DropDown 2]]</f>
        <v>T12_Ext ≤210</v>
      </c>
      <c r="K209" s="243" t="str">
        <f>STDLIGHTINEFCAT2[[#This Row],[Match]]&amp;"_"&amp;STDLIGHTINEFCAT2[[#This Row],[Options]]</f>
        <v>T12_Ext ≤210_1L T12 8' 110W</v>
      </c>
      <c r="L209" s="243" t="s">
        <v>1531</v>
      </c>
      <c r="M209" s="243">
        <v>110</v>
      </c>
      <c r="N209" s="247">
        <v>140</v>
      </c>
      <c r="O209">
        <v>207</v>
      </c>
    </row>
    <row r="210" spans="9:15">
      <c r="I210" s="26" t="s">
        <v>1911</v>
      </c>
      <c r="J210" s="26" t="str">
        <f>"T12_"&amp;STDLIGHTINEFCAT2[[#This Row],[Ineff DropDown 2]]</f>
        <v>T12_Ext ≤210</v>
      </c>
      <c r="K210" s="243" t="str">
        <f>STDLIGHTINEFCAT2[[#This Row],[Match]]&amp;"_"&amp;STDLIGHTINEFCAT2[[#This Row],[Options]]</f>
        <v>T12_Ext ≤210_1L T12 8' 185W</v>
      </c>
      <c r="L210" s="243" t="s">
        <v>1533</v>
      </c>
      <c r="M210" s="243">
        <v>185</v>
      </c>
      <c r="N210" s="247">
        <v>198</v>
      </c>
      <c r="O210">
        <v>208</v>
      </c>
    </row>
    <row r="211" spans="9:15">
      <c r="I211" s="26" t="s">
        <v>1912</v>
      </c>
      <c r="J211" s="26" t="str">
        <f>"T12_"&amp;STDLIGHTINEFCAT2[[#This Row],[Ineff DropDown 2]]</f>
        <v>T12_Ext 211-300</v>
      </c>
      <c r="K211" s="247" t="str">
        <f>STDLIGHTINEFCAT2[[#This Row],[Match]]&amp;"_"&amp;STDLIGHTINEFCAT2[[#This Row],[Options]]</f>
        <v>T12_Ext 211-300_----3 ft Lamps----</v>
      </c>
      <c r="L211" s="244" t="s">
        <v>1541</v>
      </c>
      <c r="M211" s="251"/>
      <c r="N211" s="247"/>
      <c r="O211">
        <v>209</v>
      </c>
    </row>
    <row r="212" spans="9:15">
      <c r="I212" s="26" t="s">
        <v>1912</v>
      </c>
      <c r="J212" s="26" t="str">
        <f>"T12_"&amp;STDLIGHTINEFCAT2[[#This Row],[Ineff DropDown 2]]</f>
        <v>T12_Ext 211-300</v>
      </c>
      <c r="K212" s="247" t="str">
        <f>STDLIGHTINEFCAT2[[#This Row],[Match]]&amp;"_"&amp;STDLIGHTINEFCAT2[[#This Row],[Options]]</f>
        <v>T12_Ext 211-300_4L T12 3' 50W</v>
      </c>
      <c r="L212" s="243" t="s">
        <v>1484</v>
      </c>
      <c r="M212" s="247">
        <f>4*50</f>
        <v>200</v>
      </c>
      <c r="N212" s="247">
        <v>212</v>
      </c>
      <c r="O212">
        <v>210</v>
      </c>
    </row>
    <row r="213" spans="9:15">
      <c r="I213" s="26" t="s">
        <v>1912</v>
      </c>
      <c r="J213" s="26" t="str">
        <f>"T12_"&amp;STDLIGHTINEFCAT2[[#This Row],[Ineff DropDown 2]]</f>
        <v>T12_Ext 211-300</v>
      </c>
      <c r="K213" s="243" t="str">
        <f>STDLIGHTINEFCAT2[[#This Row],[Match]]&amp;"_"&amp;STDLIGHTINEFCAT2[[#This Row],[Options]]</f>
        <v>T12_Ext 211-300_----4 ft Lamps----</v>
      </c>
      <c r="L213" s="244" t="s">
        <v>1542</v>
      </c>
      <c r="M213" s="244"/>
      <c r="N213" s="247"/>
      <c r="O213">
        <v>211</v>
      </c>
    </row>
    <row r="214" spans="9:15">
      <c r="I214" s="26" t="s">
        <v>1912</v>
      </c>
      <c r="J214" s="26" t="str">
        <f>"T12_"&amp;STDLIGHTINEFCAT2[[#This Row],[Ineff DropDown 2]]</f>
        <v>T12_Ext 211-300</v>
      </c>
      <c r="K214" s="243" t="str">
        <f>STDLIGHTINEFCAT2[[#This Row],[Match]]&amp;"_"&amp;STDLIGHTINEFCAT2[[#This Row],[Options]]</f>
        <v>T12_Ext 211-300_4L T12 4' 60W</v>
      </c>
      <c r="L214" s="242" t="s">
        <v>1498</v>
      </c>
      <c r="M214" s="242">
        <f>4*60</f>
        <v>240</v>
      </c>
      <c r="N214" s="254">
        <v>263</v>
      </c>
      <c r="O214">
        <v>212</v>
      </c>
    </row>
    <row r="215" spans="9:15">
      <c r="I215" s="26" t="s">
        <v>1912</v>
      </c>
      <c r="J215" s="26" t="str">
        <f>"T12_"&amp;STDLIGHTINEFCAT2[[#This Row],[Ineff DropDown 2]]</f>
        <v>T12_Ext 211-300</v>
      </c>
      <c r="K215" s="243" t="str">
        <f>STDLIGHTINEFCAT2[[#This Row],[Match]]&amp;"_"&amp;STDLIGHTINEFCAT2[[#This Row],[Options]]</f>
        <v>T12_Ext 211-300_2L T12 4' 116W</v>
      </c>
      <c r="L215" s="243" t="s">
        <v>1500</v>
      </c>
      <c r="M215" s="243">
        <f>2*116</f>
        <v>232</v>
      </c>
      <c r="N215" s="247">
        <v>230</v>
      </c>
      <c r="O215">
        <v>213</v>
      </c>
    </row>
    <row r="216" spans="9:15">
      <c r="I216" s="26" t="s">
        <v>1912</v>
      </c>
      <c r="J216" s="26" t="str">
        <f>"T12_"&amp;STDLIGHTINEFCAT2[[#This Row],[Ineff DropDown 2]]</f>
        <v>T12_Ext 211-300</v>
      </c>
      <c r="K216" s="303" t="str">
        <f>STDLIGHTINEFCAT2[[#This Row],[Match]]&amp;"_"&amp;STDLIGHTINEFCAT2[[#This Row],[Options]]</f>
        <v>T12_Ext 211-300_----6 ft Lamps----</v>
      </c>
      <c r="L216" s="251" t="s">
        <v>1544</v>
      </c>
      <c r="M216" s="247"/>
      <c r="N216" s="303"/>
      <c r="O216">
        <v>214</v>
      </c>
    </row>
    <row r="217" spans="9:15">
      <c r="I217" s="26" t="s">
        <v>1912</v>
      </c>
      <c r="J217" s="26" t="str">
        <f>"T12_"&amp;STDLIGHTINEFCAT2[[#This Row],[Ineff DropDown 2]]</f>
        <v>T12_Ext 211-300</v>
      </c>
      <c r="K217" s="247" t="str">
        <f>STDLIGHTINEFCAT2[[#This Row],[Match]]&amp;"_"&amp;STDLIGHTINEFCAT2[[#This Row],[Options]]</f>
        <v>T12_Ext 211-300_3L T12 6' 85W</v>
      </c>
      <c r="L217" s="242" t="s">
        <v>1517</v>
      </c>
      <c r="M217" s="252">
        <f>3*85</f>
        <v>255</v>
      </c>
      <c r="N217" s="254">
        <v>291</v>
      </c>
      <c r="O217">
        <v>215</v>
      </c>
    </row>
    <row r="218" spans="9:15">
      <c r="I218" s="26" t="s">
        <v>1912</v>
      </c>
      <c r="J218" s="26" t="str">
        <f>"T12_"&amp;STDLIGHTINEFCAT2[[#This Row],[Ineff DropDown 2]]</f>
        <v>T12_Ext 211-300</v>
      </c>
      <c r="K218" s="247" t="str">
        <f>STDLIGHTINEFCAT2[[#This Row],[Match]]&amp;"_"&amp;STDLIGHTINEFCAT2[[#This Row],[Options]]</f>
        <v>T12_Ext 211-300_----8 ft Lamps----</v>
      </c>
      <c r="L218" s="244" t="s">
        <v>1546</v>
      </c>
      <c r="M218" s="244"/>
      <c r="N218" s="247"/>
      <c r="O218">
        <v>216</v>
      </c>
    </row>
    <row r="219" spans="9:15">
      <c r="I219" s="26" t="s">
        <v>1912</v>
      </c>
      <c r="J219" s="26" t="str">
        <f>"T12_"&amp;STDLIGHTINEFCAT2[[#This Row],[Ineff DropDown 2]]</f>
        <v>T12_Ext 211-300</v>
      </c>
      <c r="K219" s="250" t="str">
        <f>STDLIGHTINEFCAT2[[#This Row],[Match]]&amp;"_"&amp;STDLIGHTINEFCAT2[[#This Row],[Options]]</f>
        <v>T12_Ext 211-300_4L T12 8' 60W</v>
      </c>
      <c r="L219" s="243" t="s">
        <v>1526</v>
      </c>
      <c r="M219" s="243">
        <f>4*60</f>
        <v>240</v>
      </c>
      <c r="N219" s="250">
        <v>246</v>
      </c>
      <c r="O219">
        <v>217</v>
      </c>
    </row>
    <row r="220" spans="9:15">
      <c r="I220" s="26" t="s">
        <v>1912</v>
      </c>
      <c r="J220" s="26" t="str">
        <f>"T12_"&amp;STDLIGHTINEFCAT2[[#This Row],[Ineff DropDown 2]]</f>
        <v>T12_Ext 211-300</v>
      </c>
      <c r="K220" s="250" t="str">
        <f>STDLIGHTINEFCAT2[[#This Row],[Match]]&amp;"_"&amp;STDLIGHTINEFCAT2[[#This Row],[Options]]</f>
        <v>T12_Ext 211-300_2L T12 8' 95W</v>
      </c>
      <c r="L220" s="243" t="s">
        <v>1530</v>
      </c>
      <c r="M220" s="243">
        <f>2*95</f>
        <v>190</v>
      </c>
      <c r="N220" s="247">
        <v>216</v>
      </c>
      <c r="O220">
        <v>218</v>
      </c>
    </row>
    <row r="221" spans="9:15">
      <c r="I221" s="26" t="s">
        <v>1912</v>
      </c>
      <c r="J221" s="26" t="str">
        <f>"T12_"&amp;STDLIGHTINEFCAT2[[#This Row],[Ineff DropDown 2]]</f>
        <v>T12_Ext 211-300</v>
      </c>
      <c r="K221" s="250" t="str">
        <f>STDLIGHTINEFCAT2[[#This Row],[Match]]&amp;"_"&amp;STDLIGHTINEFCAT2[[#This Row],[Options]]</f>
        <v>T12_Ext 211-300_2L T12 8' 110W</v>
      </c>
      <c r="L221" s="252" t="s">
        <v>1532</v>
      </c>
      <c r="M221" s="242">
        <f>2*110</f>
        <v>220</v>
      </c>
      <c r="N221" s="254">
        <v>258</v>
      </c>
      <c r="O221">
        <v>219</v>
      </c>
    </row>
    <row r="222" spans="9:15">
      <c r="I222" s="26" t="s">
        <v>1912</v>
      </c>
      <c r="J222" s="26" t="str">
        <f>"T12_"&amp;STDLIGHTINEFCAT2[[#This Row],[Ineff DropDown 2]]</f>
        <v>T12_Ext 211-300</v>
      </c>
      <c r="K222" s="247" t="str">
        <f>STDLIGHTINEFCAT2[[#This Row],[Match]]&amp;"_"&amp;STDLIGHTINEFCAT2[[#This Row],[Options]]</f>
        <v>T12_Ext 211-300_1L T12 8' 215W</v>
      </c>
      <c r="L222" s="243" t="s">
        <v>1536</v>
      </c>
      <c r="M222" s="243">
        <v>215</v>
      </c>
      <c r="N222" s="247">
        <v>213</v>
      </c>
      <c r="O222">
        <v>220</v>
      </c>
    </row>
    <row r="223" spans="9:15">
      <c r="I223" s="26" t="s">
        <v>1913</v>
      </c>
      <c r="J223" s="26" t="str">
        <f>"T12_"&amp;STDLIGHTINEFCAT2[[#This Row],[Ineff DropDown 2]]</f>
        <v>T12_Ext 301-500</v>
      </c>
      <c r="K223" s="250" t="str">
        <f>STDLIGHTINEFCAT2[[#This Row],[Match]]&amp;"_"&amp;STDLIGHTINEFCAT2[[#This Row],[Options]]</f>
        <v>T12_Ext 301-500_----4 ft Lamps----</v>
      </c>
      <c r="L223" s="251" t="s">
        <v>1542</v>
      </c>
      <c r="M223" s="244"/>
      <c r="N223" s="247"/>
      <c r="O223">
        <v>221</v>
      </c>
    </row>
    <row r="224" spans="9:15">
      <c r="I224" s="26" t="s">
        <v>1913</v>
      </c>
      <c r="J224" s="26" t="str">
        <f>"T12_"&amp;STDLIGHTINEFCAT2[[#This Row],[Ineff DropDown 2]]</f>
        <v>T12_Ext 301-500</v>
      </c>
      <c r="K224" s="250" t="str">
        <f>STDLIGHTINEFCAT2[[#This Row],[Match]]&amp;"_"&amp;STDLIGHTINEFCAT2[[#This Row],[Options]]</f>
        <v>T12_Ext 301-500_3L T12 4' 116W</v>
      </c>
      <c r="L224" s="252" t="s">
        <v>1501</v>
      </c>
      <c r="M224" s="252">
        <f>3*116</f>
        <v>348</v>
      </c>
      <c r="N224" s="254">
        <v>329</v>
      </c>
      <c r="O224">
        <v>222</v>
      </c>
    </row>
    <row r="225" spans="9:15">
      <c r="I225" s="26" t="s">
        <v>1913</v>
      </c>
      <c r="J225" s="26" t="str">
        <f>"T12_"&amp;STDLIGHTINEFCAT2[[#This Row],[Ineff DropDown 2]]</f>
        <v>T12_Ext 301-500</v>
      </c>
      <c r="K225" s="250" t="str">
        <f>STDLIGHTINEFCAT2[[#This Row],[Match]]&amp;"_"&amp;STDLIGHTINEFCAT2[[#This Row],[Options]]</f>
        <v>T12_Ext 301-500_----6 ft Lamps----</v>
      </c>
      <c r="L225" s="251" t="s">
        <v>1544</v>
      </c>
      <c r="M225" s="251"/>
      <c r="N225" s="254"/>
      <c r="O225">
        <v>223</v>
      </c>
    </row>
    <row r="226" spans="9:15">
      <c r="I226" s="26" t="s">
        <v>1913</v>
      </c>
      <c r="J226" s="26" t="str">
        <f>"T12_"&amp;STDLIGHTINEFCAT2[[#This Row],[Ineff DropDown 2]]</f>
        <v>T12_Ext 301-500</v>
      </c>
      <c r="K226" s="250" t="str">
        <f>STDLIGHTINEFCAT2[[#This Row],[Match]]&amp;"_"&amp;STDLIGHTINEFCAT2[[#This Row],[Options]]</f>
        <v>T12_Ext 301-500_2L T12 6' 168W</v>
      </c>
      <c r="L226" s="252" t="s">
        <v>1511</v>
      </c>
      <c r="M226" s="252">
        <f>2*168</f>
        <v>336</v>
      </c>
      <c r="N226" s="254">
        <v>314</v>
      </c>
      <c r="O226">
        <v>224</v>
      </c>
    </row>
    <row r="227" spans="9:15">
      <c r="I227" s="26" t="s">
        <v>1913</v>
      </c>
      <c r="J227" s="26" t="str">
        <f>"T12_"&amp;STDLIGHTINEFCAT2[[#This Row],[Ineff DropDown 2]]</f>
        <v>T12_Ext 301-500</v>
      </c>
      <c r="K227" s="250" t="str">
        <f>STDLIGHTINEFCAT2[[#This Row],[Match]]&amp;"_"&amp;STDLIGHTINEFCAT2[[#This Row],[Options]]</f>
        <v>T12_Ext 301-500_3L T12 6' 168W</v>
      </c>
      <c r="L227" s="252" t="s">
        <v>1512</v>
      </c>
      <c r="M227" s="252">
        <f>3*168</f>
        <v>504</v>
      </c>
      <c r="N227" s="254">
        <v>424</v>
      </c>
      <c r="O227">
        <v>225</v>
      </c>
    </row>
    <row r="228" spans="9:15">
      <c r="I228" s="26" t="s">
        <v>1913</v>
      </c>
      <c r="J228" s="26" t="str">
        <f>"T12_"&amp;STDLIGHTINEFCAT2[[#This Row],[Ineff DropDown 2]]</f>
        <v>T12_Ext 301-500</v>
      </c>
      <c r="K228" s="250" t="str">
        <f>STDLIGHTINEFCAT2[[#This Row],[Match]]&amp;"_"&amp;STDLIGHTINEFCAT2[[#This Row],[Options]]</f>
        <v>T12_Ext 301-500_4L T12 6' 85W</v>
      </c>
      <c r="L228" s="252" t="s">
        <v>1518</v>
      </c>
      <c r="M228" s="252">
        <f>4*85</f>
        <v>340</v>
      </c>
      <c r="N228" s="254">
        <v>323</v>
      </c>
      <c r="O228">
        <v>226</v>
      </c>
    </row>
    <row r="229" spans="9:15">
      <c r="I229" s="26" t="s">
        <v>1913</v>
      </c>
      <c r="J229" s="26" t="str">
        <f>"T12_"&amp;STDLIGHTINEFCAT2[[#This Row],[Ineff DropDown 2]]</f>
        <v>T12_Ext 301-500</v>
      </c>
      <c r="K229" s="250" t="str">
        <f>STDLIGHTINEFCAT2[[#This Row],[Match]]&amp;"_"&amp;STDLIGHTINEFCAT2[[#This Row],[Options]]</f>
        <v>T12_Ext 301-500_----8 ft Lamps----</v>
      </c>
      <c r="L229" s="251" t="s">
        <v>1546</v>
      </c>
      <c r="M229" s="251"/>
      <c r="N229" s="254"/>
      <c r="O229">
        <v>227</v>
      </c>
    </row>
    <row r="230" spans="9:15">
      <c r="I230" s="26" t="s">
        <v>1913</v>
      </c>
      <c r="J230" s="26" t="str">
        <f>"T12_"&amp;STDLIGHTINEFCAT2[[#This Row],[Ineff DropDown 2]]</f>
        <v>T12_Ext 301-500</v>
      </c>
      <c r="K230" s="250" t="str">
        <f>STDLIGHTINEFCAT2[[#This Row],[Match]]&amp;"_"&amp;STDLIGHTINEFCAT2[[#This Row],[Options]]</f>
        <v>T12_Ext 301-500_2L T12 8' 185W</v>
      </c>
      <c r="L230" s="252" t="s">
        <v>1534</v>
      </c>
      <c r="M230" s="252">
        <f>2*185</f>
        <v>370</v>
      </c>
      <c r="N230" s="254">
        <v>398</v>
      </c>
      <c r="O230">
        <v>228</v>
      </c>
    </row>
    <row r="231" spans="9:15">
      <c r="I231" s="26" t="s">
        <v>91</v>
      </c>
      <c r="J231" s="26" t="str">
        <f>"T12_"&amp;STDLIGHTINEFCAT2[[#This Row],[Ineff DropDown 2]]</f>
        <v>T12_Fixture</v>
      </c>
      <c r="K231" s="250" t="str">
        <f>STDLIGHTINEFCAT2[[#This Row],[Match]]&amp;"_"&amp;STDLIGHTINEFCAT2[[#This Row],[Options]]</f>
        <v>T12_Fixture_----2 ft Lamps----</v>
      </c>
      <c r="L231" s="251" t="s">
        <v>1540</v>
      </c>
      <c r="M231" s="251"/>
      <c r="N231" s="247"/>
      <c r="O231">
        <v>229</v>
      </c>
    </row>
    <row r="232" spans="9:15">
      <c r="I232" s="26" t="s">
        <v>91</v>
      </c>
      <c r="J232" s="26" t="str">
        <f>"T12_"&amp;STDLIGHTINEFCAT2[[#This Row],[Ineff DropDown 2]]</f>
        <v>T12_Fixture</v>
      </c>
      <c r="K232" s="250" t="str">
        <f>STDLIGHTINEFCAT2[[#This Row],[Match]]&amp;"_"&amp;STDLIGHTINEFCAT2[[#This Row],[Options]]</f>
        <v>T12_Fixture_1L T12 2' 20W</v>
      </c>
      <c r="L232" s="247" t="s">
        <v>1461</v>
      </c>
      <c r="M232" s="247">
        <v>20</v>
      </c>
      <c r="N232" s="247">
        <v>21</v>
      </c>
      <c r="O232">
        <v>230</v>
      </c>
    </row>
    <row r="233" spans="9:15">
      <c r="I233" s="26" t="s">
        <v>91</v>
      </c>
      <c r="J233" s="26" t="str">
        <f>"T12_"&amp;STDLIGHTINEFCAT2[[#This Row],[Ineff DropDown 2]]</f>
        <v>T12_Fixture</v>
      </c>
      <c r="K233" s="250" t="str">
        <f>STDLIGHTINEFCAT2[[#This Row],[Match]]&amp;"_"&amp;STDLIGHTINEFCAT2[[#This Row],[Options]]</f>
        <v>T12_Fixture_2L T12 2' 20W</v>
      </c>
      <c r="L233" s="250" t="s">
        <v>1462</v>
      </c>
      <c r="M233" s="247">
        <v>40</v>
      </c>
      <c r="N233" s="250">
        <v>53</v>
      </c>
      <c r="O233">
        <v>231</v>
      </c>
    </row>
    <row r="234" spans="9:15">
      <c r="I234" s="26" t="s">
        <v>91</v>
      </c>
      <c r="J234" s="26" t="str">
        <f>"T12_"&amp;STDLIGHTINEFCAT2[[#This Row],[Ineff DropDown 2]]</f>
        <v>T12_Fixture</v>
      </c>
      <c r="K234" s="250" t="str">
        <f>STDLIGHTINEFCAT2[[#This Row],[Match]]&amp;"_"&amp;STDLIGHTINEFCAT2[[#This Row],[Options]]</f>
        <v>T12_Fixture_3L T12 2' 20W</v>
      </c>
      <c r="L234" s="247" t="s">
        <v>1463</v>
      </c>
      <c r="M234" s="247">
        <v>60</v>
      </c>
      <c r="N234" s="247">
        <v>64</v>
      </c>
      <c r="O234">
        <v>232</v>
      </c>
    </row>
    <row r="235" spans="9:15">
      <c r="I235" s="26" t="s">
        <v>91</v>
      </c>
      <c r="J235" s="26" t="str">
        <f>"T12_"&amp;STDLIGHTINEFCAT2[[#This Row],[Ineff DropDown 2]]</f>
        <v>T12_Fixture</v>
      </c>
      <c r="K235" s="250" t="str">
        <f>STDLIGHTINEFCAT2[[#This Row],[Match]]&amp;"_"&amp;STDLIGHTINEFCAT2[[#This Row],[Options]]</f>
        <v>T12_Fixture_4L T12 2' 20W</v>
      </c>
      <c r="L235" s="247" t="s">
        <v>1464</v>
      </c>
      <c r="M235" s="247">
        <v>80</v>
      </c>
      <c r="N235" s="247">
        <v>91</v>
      </c>
      <c r="O235">
        <v>233</v>
      </c>
    </row>
    <row r="236" spans="9:15">
      <c r="I236" s="26" t="s">
        <v>91</v>
      </c>
      <c r="J236" s="26" t="str">
        <f>"T12_"&amp;STDLIGHTINEFCAT2[[#This Row],[Ineff DropDown 2]]</f>
        <v>T12_Fixture</v>
      </c>
      <c r="K236" s="250" t="str">
        <f>STDLIGHTINEFCAT2[[#This Row],[Match]]&amp;"_"&amp;STDLIGHTINEFCAT2[[#This Row],[Options]]</f>
        <v>T12_Fixture_1L T12 2' 35W</v>
      </c>
      <c r="L236" s="247" t="s">
        <v>1465</v>
      </c>
      <c r="M236" s="247">
        <v>35</v>
      </c>
      <c r="N236" s="247">
        <v>64</v>
      </c>
      <c r="O236">
        <v>234</v>
      </c>
    </row>
    <row r="237" spans="9:15">
      <c r="I237" s="26" t="s">
        <v>91</v>
      </c>
      <c r="J237" s="26" t="str">
        <f>"T12_"&amp;STDLIGHTINEFCAT2[[#This Row],[Ineff DropDown 2]]</f>
        <v>T12_Fixture</v>
      </c>
      <c r="K237" s="250" t="str">
        <f>STDLIGHTINEFCAT2[[#This Row],[Match]]&amp;"_"&amp;STDLIGHTINEFCAT2[[#This Row],[Options]]</f>
        <v>T12_Fixture_2L T12 2' 35W</v>
      </c>
      <c r="L237" s="247" t="s">
        <v>1466</v>
      </c>
      <c r="M237" s="247">
        <v>70</v>
      </c>
      <c r="N237" s="247">
        <v>95</v>
      </c>
      <c r="O237">
        <v>235</v>
      </c>
    </row>
    <row r="238" spans="9:15">
      <c r="I238" s="26" t="s">
        <v>91</v>
      </c>
      <c r="J238" s="26" t="str">
        <f>"T12_"&amp;STDLIGHTINEFCAT2[[#This Row],[Ineff DropDown 2]]</f>
        <v>T12_Fixture</v>
      </c>
      <c r="K238" s="250" t="str">
        <f>STDLIGHTINEFCAT2[[#This Row],[Match]]&amp;"_"&amp;STDLIGHTINEFCAT2[[#This Row],[Options]]</f>
        <v>T12_Fixture_3L T12 2' 35W</v>
      </c>
      <c r="L238" s="247" t="s">
        <v>1467</v>
      </c>
      <c r="M238" s="247">
        <v>105</v>
      </c>
      <c r="N238" s="247">
        <v>148</v>
      </c>
      <c r="O238">
        <v>236</v>
      </c>
    </row>
    <row r="239" spans="9:15">
      <c r="I239" s="26" t="s">
        <v>91</v>
      </c>
      <c r="J239" s="26" t="str">
        <f>"T12_"&amp;STDLIGHTINEFCAT2[[#This Row],[Ineff DropDown 2]]</f>
        <v>T12_Fixture</v>
      </c>
      <c r="K239" s="250" t="str">
        <f>STDLIGHTINEFCAT2[[#This Row],[Match]]&amp;"_"&amp;STDLIGHTINEFCAT2[[#This Row],[Options]]</f>
        <v>T12_Fixture_4L T12 2' 35W</v>
      </c>
      <c r="L239" s="247" t="s">
        <v>1468</v>
      </c>
      <c r="M239" s="247">
        <f>4*35</f>
        <v>140</v>
      </c>
      <c r="N239" s="247">
        <v>183</v>
      </c>
      <c r="O239">
        <v>237</v>
      </c>
    </row>
    <row r="240" spans="9:15">
      <c r="I240" s="26" t="s">
        <v>91</v>
      </c>
      <c r="J240" s="26" t="str">
        <f>"T12_"&amp;STDLIGHTINEFCAT2[[#This Row],[Ineff DropDown 2]]</f>
        <v>T12_Fixture</v>
      </c>
      <c r="K240" s="250" t="str">
        <f>STDLIGHTINEFCAT2[[#This Row],[Match]]&amp;"_"&amp;STDLIGHTINEFCAT2[[#This Row],[Options]]</f>
        <v>T12_Fixture_----3 ft Lamps----</v>
      </c>
      <c r="L240" s="251" t="s">
        <v>1541</v>
      </c>
      <c r="M240" s="251"/>
      <c r="N240" s="247"/>
      <c r="O240">
        <v>238</v>
      </c>
    </row>
    <row r="241" spans="9:15">
      <c r="I241" s="26" t="s">
        <v>91</v>
      </c>
      <c r="J241" s="26" t="str">
        <f>"T12_"&amp;STDLIGHTINEFCAT2[[#This Row],[Ineff DropDown 2]]</f>
        <v>T12_Fixture</v>
      </c>
      <c r="K241" s="250" t="str">
        <f>STDLIGHTINEFCAT2[[#This Row],[Match]]&amp;"_"&amp;STDLIGHTINEFCAT2[[#This Row],[Options]]</f>
        <v>T12_Fixture_1L T12 3' 21W</v>
      </c>
      <c r="L241" s="247" t="s">
        <v>1469</v>
      </c>
      <c r="M241" s="247">
        <v>21</v>
      </c>
      <c r="N241" s="247">
        <v>25</v>
      </c>
      <c r="O241">
        <v>239</v>
      </c>
    </row>
    <row r="242" spans="9:15">
      <c r="I242" s="26" t="s">
        <v>91</v>
      </c>
      <c r="J242" s="26" t="str">
        <f>"T12_"&amp;STDLIGHTINEFCAT2[[#This Row],[Ineff DropDown 2]]</f>
        <v>T12_Fixture</v>
      </c>
      <c r="K242" s="250" t="str">
        <f>STDLIGHTINEFCAT2[[#This Row],[Match]]&amp;"_"&amp;STDLIGHTINEFCAT2[[#This Row],[Options]]</f>
        <v>T12_Fixture_2L T12 3' 21W</v>
      </c>
      <c r="L242" s="243" t="s">
        <v>1470</v>
      </c>
      <c r="M242" s="247">
        <v>42</v>
      </c>
      <c r="N242" s="243">
        <v>49</v>
      </c>
      <c r="O242">
        <v>240</v>
      </c>
    </row>
    <row r="243" spans="9:15">
      <c r="I243" s="26" t="s">
        <v>91</v>
      </c>
      <c r="J243" s="26" t="str">
        <f>"T12_"&amp;STDLIGHTINEFCAT2[[#This Row],[Ineff DropDown 2]]</f>
        <v>T12_Fixture</v>
      </c>
      <c r="K243" s="250" t="str">
        <f>STDLIGHTINEFCAT2[[#This Row],[Match]]&amp;"_"&amp;STDLIGHTINEFCAT2[[#This Row],[Options]]</f>
        <v>T12_Fixture_1L T12 3' 24W</v>
      </c>
      <c r="L243" s="243" t="s">
        <v>1471</v>
      </c>
      <c r="M243" s="243">
        <v>24</v>
      </c>
      <c r="N243" s="243">
        <v>45</v>
      </c>
      <c r="O243">
        <v>241</v>
      </c>
    </row>
    <row r="244" spans="9:15">
      <c r="I244" s="26" t="s">
        <v>91</v>
      </c>
      <c r="J244" s="26" t="str">
        <f>"T12_"&amp;STDLIGHTINEFCAT2[[#This Row],[Ineff DropDown 2]]</f>
        <v>T12_Fixture</v>
      </c>
      <c r="K244" s="250" t="str">
        <f>STDLIGHTINEFCAT2[[#This Row],[Match]]&amp;"_"&amp;STDLIGHTINEFCAT2[[#This Row],[Options]]</f>
        <v>T12_Fixture_2L T12 3' 24W</v>
      </c>
      <c r="L244" s="243" t="s">
        <v>1472</v>
      </c>
      <c r="M244" s="243">
        <v>48</v>
      </c>
      <c r="N244" s="243">
        <v>65</v>
      </c>
      <c r="O244">
        <v>242</v>
      </c>
    </row>
    <row r="245" spans="9:15">
      <c r="I245" s="26" t="s">
        <v>91</v>
      </c>
      <c r="J245" s="26" t="str">
        <f>"T12_"&amp;STDLIGHTINEFCAT2[[#This Row],[Ineff DropDown 2]]</f>
        <v>T12_Fixture</v>
      </c>
      <c r="K245" s="250" t="str">
        <f>STDLIGHTINEFCAT2[[#This Row],[Match]]&amp;"_"&amp;STDLIGHTINEFCAT2[[#This Row],[Options]]</f>
        <v>T12_Fixture_1L T12 3' 25W</v>
      </c>
      <c r="L245" s="243" t="s">
        <v>1473</v>
      </c>
      <c r="M245" s="243">
        <v>25</v>
      </c>
      <c r="N245" s="243">
        <v>35</v>
      </c>
      <c r="O245">
        <v>243</v>
      </c>
    </row>
    <row r="246" spans="9:15">
      <c r="I246" s="26" t="s">
        <v>91</v>
      </c>
      <c r="J246" s="26" t="str">
        <f>"T12_"&amp;STDLIGHTINEFCAT2[[#This Row],[Ineff DropDown 2]]</f>
        <v>T12_Fixture</v>
      </c>
      <c r="K246" s="250" t="str">
        <f>STDLIGHTINEFCAT2[[#This Row],[Match]]&amp;"_"&amp;STDLIGHTINEFCAT2[[#This Row],[Options]]</f>
        <v>T12_Fixture_2L T12 3' 25W</v>
      </c>
      <c r="L246" s="243" t="s">
        <v>1474</v>
      </c>
      <c r="M246" s="243">
        <v>50</v>
      </c>
      <c r="N246" s="243">
        <v>71</v>
      </c>
      <c r="O246">
        <v>244</v>
      </c>
    </row>
    <row r="247" spans="9:15">
      <c r="I247" s="26" t="s">
        <v>91</v>
      </c>
      <c r="J247" s="26" t="str">
        <f>"T12_"&amp;STDLIGHTINEFCAT2[[#This Row],[Ineff DropDown 2]]</f>
        <v>T12_Fixture</v>
      </c>
      <c r="K247" s="250" t="str">
        <f>STDLIGHTINEFCAT2[[#This Row],[Match]]&amp;"_"&amp;STDLIGHTINEFCAT2[[#This Row],[Options]]</f>
        <v>T12_Fixture_3L T12 3' 25W</v>
      </c>
      <c r="L247" s="243" t="s">
        <v>1475</v>
      </c>
      <c r="M247" s="243">
        <v>75</v>
      </c>
      <c r="N247" s="243">
        <v>70</v>
      </c>
      <c r="O247">
        <v>245</v>
      </c>
    </row>
    <row r="248" spans="9:15">
      <c r="I248" s="26" t="s">
        <v>91</v>
      </c>
      <c r="J248" s="26" t="str">
        <f>"T12_"&amp;STDLIGHTINEFCAT2[[#This Row],[Ineff DropDown 2]]</f>
        <v>T12_Fixture</v>
      </c>
      <c r="K248" s="250" t="str">
        <f>STDLIGHTINEFCAT2[[#This Row],[Match]]&amp;"_"&amp;STDLIGHTINEFCAT2[[#This Row],[Options]]</f>
        <v>T12_Fixture_4L T12 3' 25W</v>
      </c>
      <c r="L248" s="243" t="s">
        <v>1476</v>
      </c>
      <c r="M248" s="243">
        <v>100</v>
      </c>
      <c r="N248" s="243">
        <v>88</v>
      </c>
      <c r="O248">
        <v>246</v>
      </c>
    </row>
    <row r="249" spans="9:15">
      <c r="I249" s="26" t="s">
        <v>91</v>
      </c>
      <c r="J249" s="26" t="str">
        <f>"T12_"&amp;STDLIGHTINEFCAT2[[#This Row],[Ineff DropDown 2]]</f>
        <v>T12_Fixture</v>
      </c>
      <c r="K249" s="250" t="str">
        <f>STDLIGHTINEFCAT2[[#This Row],[Match]]&amp;"_"&amp;STDLIGHTINEFCAT2[[#This Row],[Options]]</f>
        <v>T12_Fixture_1L T12 3' 30W</v>
      </c>
      <c r="L249" s="243" t="s">
        <v>1477</v>
      </c>
      <c r="M249" s="243">
        <v>30</v>
      </c>
      <c r="N249" s="243">
        <v>40</v>
      </c>
      <c r="O249">
        <v>247</v>
      </c>
    </row>
    <row r="250" spans="9:15">
      <c r="I250" s="26" t="s">
        <v>91</v>
      </c>
      <c r="J250" s="26" t="str">
        <f>"T12_"&amp;STDLIGHTINEFCAT2[[#This Row],[Ineff DropDown 2]]</f>
        <v>T12_Fixture</v>
      </c>
      <c r="K250" s="250" t="str">
        <f>STDLIGHTINEFCAT2[[#This Row],[Match]]&amp;"_"&amp;STDLIGHTINEFCAT2[[#This Row],[Options]]</f>
        <v>T12_Fixture_2L T12 3' 30W</v>
      </c>
      <c r="L250" s="243" t="s">
        <v>1478</v>
      </c>
      <c r="M250" s="243">
        <v>60</v>
      </c>
      <c r="N250" s="243">
        <v>75</v>
      </c>
      <c r="O250">
        <v>248</v>
      </c>
    </row>
    <row r="251" spans="9:15">
      <c r="I251" s="26" t="s">
        <v>91</v>
      </c>
      <c r="J251" s="26" t="str">
        <f>"T12_"&amp;STDLIGHTINEFCAT2[[#This Row],[Ineff DropDown 2]]</f>
        <v>T12_Fixture</v>
      </c>
      <c r="K251" s="250" t="str">
        <f>STDLIGHTINEFCAT2[[#This Row],[Match]]&amp;"_"&amp;STDLIGHTINEFCAT2[[#This Row],[Options]]</f>
        <v>T12_Fixture_3L T12 3' 30W</v>
      </c>
      <c r="L251" s="247" t="s">
        <v>1479</v>
      </c>
      <c r="M251" s="243">
        <v>90</v>
      </c>
      <c r="N251" s="247">
        <v>113</v>
      </c>
      <c r="O251">
        <v>249</v>
      </c>
    </row>
    <row r="252" spans="9:15">
      <c r="I252" s="26" t="s">
        <v>91</v>
      </c>
      <c r="J252" s="26" t="str">
        <f>"T12_"&amp;STDLIGHTINEFCAT2[[#This Row],[Ineff DropDown 2]]</f>
        <v>T12_Fixture</v>
      </c>
      <c r="K252" s="250" t="str">
        <f>STDLIGHTINEFCAT2[[#This Row],[Match]]&amp;"_"&amp;STDLIGHTINEFCAT2[[#This Row],[Options]]</f>
        <v>T12_Fixture_4L T12 3' 30W</v>
      </c>
      <c r="L252" s="243" t="s">
        <v>1480</v>
      </c>
      <c r="M252" s="243">
        <v>120</v>
      </c>
      <c r="N252" s="243">
        <v>138</v>
      </c>
      <c r="O252">
        <v>250</v>
      </c>
    </row>
    <row r="253" spans="9:15">
      <c r="I253" s="26" t="s">
        <v>91</v>
      </c>
      <c r="J253" s="26" t="str">
        <f>"T12_"&amp;STDLIGHTINEFCAT2[[#This Row],[Ineff DropDown 2]]</f>
        <v>T12_Fixture</v>
      </c>
      <c r="K253" s="250" t="str">
        <f>STDLIGHTINEFCAT2[[#This Row],[Match]]&amp;"_"&amp;STDLIGHTINEFCAT2[[#This Row],[Options]]</f>
        <v>T12_Fixture_1L T12 3' 50W</v>
      </c>
      <c r="L253" s="243" t="s">
        <v>1481</v>
      </c>
      <c r="M253" s="243">
        <v>50</v>
      </c>
      <c r="N253" s="243">
        <v>72</v>
      </c>
      <c r="O253">
        <v>251</v>
      </c>
    </row>
    <row r="254" spans="9:15">
      <c r="I254" s="26" t="s">
        <v>91</v>
      </c>
      <c r="J254" s="26" t="str">
        <f>"T12_"&amp;STDLIGHTINEFCAT2[[#This Row],[Ineff DropDown 2]]</f>
        <v>T12_Fixture</v>
      </c>
      <c r="K254" s="250" t="str">
        <f>STDLIGHTINEFCAT2[[#This Row],[Match]]&amp;"_"&amp;STDLIGHTINEFCAT2[[#This Row],[Options]]</f>
        <v>T12_Fixture_2L T12 3' 50W</v>
      </c>
      <c r="L254" s="243" t="s">
        <v>1482</v>
      </c>
      <c r="M254" s="243">
        <v>100</v>
      </c>
      <c r="N254" s="243">
        <v>110</v>
      </c>
      <c r="O254">
        <v>252</v>
      </c>
    </row>
    <row r="255" spans="9:15">
      <c r="I255" s="26" t="s">
        <v>91</v>
      </c>
      <c r="J255" s="26" t="str">
        <f>"T12_"&amp;STDLIGHTINEFCAT2[[#This Row],[Ineff DropDown 2]]</f>
        <v>T12_Fixture</v>
      </c>
      <c r="K255" s="250" t="str">
        <f>STDLIGHTINEFCAT2[[#This Row],[Match]]&amp;"_"&amp;STDLIGHTINEFCAT2[[#This Row],[Options]]</f>
        <v>T12_Fixture_3L T12 3' 50W</v>
      </c>
      <c r="L255" s="243" t="s">
        <v>1483</v>
      </c>
      <c r="M255" s="243">
        <v>150</v>
      </c>
      <c r="N255" s="243">
        <v>166</v>
      </c>
      <c r="O255">
        <v>253</v>
      </c>
    </row>
    <row r="256" spans="9:15">
      <c r="I256" s="26" t="s">
        <v>91</v>
      </c>
      <c r="J256" s="26" t="str">
        <f>"T12_"&amp;STDLIGHTINEFCAT2[[#This Row],[Ineff DropDown 2]]</f>
        <v>T12_Fixture</v>
      </c>
      <c r="K256" s="250" t="str">
        <f>STDLIGHTINEFCAT2[[#This Row],[Match]]&amp;"_"&amp;STDLIGHTINEFCAT2[[#This Row],[Options]]</f>
        <v>T12_Fixture_4L T12 3' 50W</v>
      </c>
      <c r="L256" s="243" t="s">
        <v>1484</v>
      </c>
      <c r="M256" s="243">
        <f>4*50</f>
        <v>200</v>
      </c>
      <c r="N256" s="243">
        <v>212</v>
      </c>
      <c r="O256">
        <v>254</v>
      </c>
    </row>
    <row r="257" spans="9:15">
      <c r="I257" s="26" t="s">
        <v>91</v>
      </c>
      <c r="J257" s="26" t="str">
        <f>"T12_"&amp;STDLIGHTINEFCAT2[[#This Row],[Ineff DropDown 2]]</f>
        <v>T12_Fixture</v>
      </c>
      <c r="K257" s="250" t="str">
        <f>STDLIGHTINEFCAT2[[#This Row],[Match]]&amp;"_"&amp;STDLIGHTINEFCAT2[[#This Row],[Options]]</f>
        <v>T12_Fixture_----4 ft Lamps----</v>
      </c>
      <c r="L257" s="244" t="s">
        <v>1542</v>
      </c>
      <c r="M257" s="244"/>
      <c r="N257" s="243"/>
      <c r="O257">
        <v>255</v>
      </c>
    </row>
    <row r="258" spans="9:15">
      <c r="I258" s="26" t="s">
        <v>91</v>
      </c>
      <c r="J258" s="26" t="str">
        <f>"T12_"&amp;STDLIGHTINEFCAT2[[#This Row],[Ineff DropDown 2]]</f>
        <v>T12_Fixture</v>
      </c>
      <c r="K258" s="250" t="str">
        <f>STDLIGHTINEFCAT2[[#This Row],[Match]]&amp;"_"&amp;STDLIGHTINEFCAT2[[#This Row],[Options]]</f>
        <v>T12_Fixture_1L T12 4' 30W</v>
      </c>
      <c r="L258" s="243" t="s">
        <v>1485</v>
      </c>
      <c r="M258" s="243">
        <v>30</v>
      </c>
      <c r="N258" s="243">
        <v>49</v>
      </c>
      <c r="O258">
        <v>256</v>
      </c>
    </row>
    <row r="259" spans="9:15">
      <c r="I259" s="26" t="s">
        <v>91</v>
      </c>
      <c r="J259" s="26" t="str">
        <f>"T12_"&amp;STDLIGHTINEFCAT2[[#This Row],[Ineff DropDown 2]]</f>
        <v>T12_Fixture</v>
      </c>
      <c r="K259" s="250" t="str">
        <f>STDLIGHTINEFCAT2[[#This Row],[Match]]&amp;"_"&amp;STDLIGHTINEFCAT2[[#This Row],[Options]]</f>
        <v>T12_Fixture_2L T12 4' 30W</v>
      </c>
      <c r="L259" s="247" t="s">
        <v>1486</v>
      </c>
      <c r="M259" s="247">
        <v>60</v>
      </c>
      <c r="N259" s="247">
        <v>80</v>
      </c>
      <c r="O259">
        <v>257</v>
      </c>
    </row>
    <row r="260" spans="9:15">
      <c r="I260" s="26" t="s">
        <v>91</v>
      </c>
      <c r="J260" s="26" t="str">
        <f>"T12_"&amp;STDLIGHTINEFCAT2[[#This Row],[Ineff DropDown 2]]</f>
        <v>T12_Fixture</v>
      </c>
      <c r="K260" s="250" t="str">
        <f>STDLIGHTINEFCAT2[[#This Row],[Match]]&amp;"_"&amp;STDLIGHTINEFCAT2[[#This Row],[Options]]</f>
        <v>T12_Fixture_1L T12 4' 34W</v>
      </c>
      <c r="L260" s="243" t="s">
        <v>1487</v>
      </c>
      <c r="M260" s="243">
        <v>34</v>
      </c>
      <c r="N260" s="243">
        <v>45</v>
      </c>
      <c r="O260">
        <v>258</v>
      </c>
    </row>
    <row r="261" spans="9:15">
      <c r="I261" s="26" t="s">
        <v>91</v>
      </c>
      <c r="J261" s="26" t="str">
        <f>"T12_"&amp;STDLIGHTINEFCAT2[[#This Row],[Ineff DropDown 2]]</f>
        <v>T12_Fixture</v>
      </c>
      <c r="K261" s="247" t="str">
        <f>STDLIGHTINEFCAT2[[#This Row],[Match]]&amp;"_"&amp;STDLIGHTINEFCAT2[[#This Row],[Options]]</f>
        <v>T12_Fixture_2L T12 4' 34W</v>
      </c>
      <c r="L261" s="243" t="s">
        <v>1488</v>
      </c>
      <c r="M261" s="243">
        <v>68</v>
      </c>
      <c r="N261" s="243">
        <v>84</v>
      </c>
      <c r="O261">
        <v>259</v>
      </c>
    </row>
    <row r="262" spans="9:15">
      <c r="I262" s="26" t="s">
        <v>91</v>
      </c>
      <c r="J262" s="26" t="str">
        <f>"T12_"&amp;STDLIGHTINEFCAT2[[#This Row],[Ineff DropDown 2]]</f>
        <v>T12_Fixture</v>
      </c>
      <c r="K262" s="247" t="str">
        <f>STDLIGHTINEFCAT2[[#This Row],[Match]]&amp;"_"&amp;STDLIGHTINEFCAT2[[#This Row],[Options]]</f>
        <v>T12_Fixture_3L T12 4' 34W</v>
      </c>
      <c r="L262" s="247" t="s">
        <v>1489</v>
      </c>
      <c r="M262" s="243">
        <v>102</v>
      </c>
      <c r="N262" s="243">
        <v>127</v>
      </c>
      <c r="O262">
        <v>260</v>
      </c>
    </row>
    <row r="263" spans="9:15">
      <c r="I263" s="26" t="s">
        <v>91</v>
      </c>
      <c r="J263" s="26" t="str">
        <f>"T12_"&amp;STDLIGHTINEFCAT2[[#This Row],[Ineff DropDown 2]]</f>
        <v>T12_Fixture</v>
      </c>
      <c r="K263" s="247" t="str">
        <f>STDLIGHTINEFCAT2[[#This Row],[Match]]&amp;"_"&amp;STDLIGHTINEFCAT2[[#This Row],[Options]]</f>
        <v>T12_Fixture_4L T12 4' 34W</v>
      </c>
      <c r="L263" s="243" t="s">
        <v>1490</v>
      </c>
      <c r="M263" s="243">
        <v>136</v>
      </c>
      <c r="N263" s="243">
        <v>156</v>
      </c>
      <c r="O263">
        <v>261</v>
      </c>
    </row>
    <row r="264" spans="9:15">
      <c r="I264" s="26" t="s">
        <v>91</v>
      </c>
      <c r="J264" s="26" t="str">
        <f>"T12_"&amp;STDLIGHTINEFCAT2[[#This Row],[Ineff DropDown 2]]</f>
        <v>T12_Fixture</v>
      </c>
      <c r="K264" s="247" t="str">
        <f>STDLIGHTINEFCAT2[[#This Row],[Match]]&amp;"_"&amp;STDLIGHTINEFCAT2[[#This Row],[Options]]</f>
        <v>T12_Fixture_1L T12 4' 40W</v>
      </c>
      <c r="L264" s="243" t="s">
        <v>1491</v>
      </c>
      <c r="M264" s="243">
        <v>40</v>
      </c>
      <c r="N264" s="243">
        <v>51</v>
      </c>
      <c r="O264">
        <v>262</v>
      </c>
    </row>
    <row r="265" spans="9:15">
      <c r="I265" s="26" t="s">
        <v>91</v>
      </c>
      <c r="J265" s="26" t="str">
        <f>"T12_"&amp;STDLIGHTINEFCAT2[[#This Row],[Ineff DropDown 2]]</f>
        <v>T12_Fixture</v>
      </c>
      <c r="K265" s="247" t="str">
        <f>STDLIGHTINEFCAT2[[#This Row],[Match]]&amp;"_"&amp;STDLIGHTINEFCAT2[[#This Row],[Options]]</f>
        <v>T12_Fixture_2L T12 4' 40W</v>
      </c>
      <c r="L265" s="243" t="s">
        <v>1492</v>
      </c>
      <c r="M265" s="243">
        <v>80</v>
      </c>
      <c r="N265" s="243">
        <v>97</v>
      </c>
      <c r="O265">
        <v>263</v>
      </c>
    </row>
    <row r="266" spans="9:15">
      <c r="I266" s="26" t="s">
        <v>91</v>
      </c>
      <c r="J266" s="26" t="str">
        <f>"T12_"&amp;STDLIGHTINEFCAT2[[#This Row],[Ineff DropDown 2]]</f>
        <v>T12_Fixture</v>
      </c>
      <c r="K266" s="247" t="str">
        <f>STDLIGHTINEFCAT2[[#This Row],[Match]]&amp;"_"&amp;STDLIGHTINEFCAT2[[#This Row],[Options]]</f>
        <v>T12_Fixture_3L T12 4' 40W</v>
      </c>
      <c r="L266" s="243" t="s">
        <v>1493</v>
      </c>
      <c r="M266" s="243">
        <f>3*40</f>
        <v>120</v>
      </c>
      <c r="N266" s="243">
        <v>135</v>
      </c>
      <c r="O266">
        <v>264</v>
      </c>
    </row>
    <row r="267" spans="9:15">
      <c r="I267" s="26" t="s">
        <v>91</v>
      </c>
      <c r="J267" s="26" t="str">
        <f>"T12_"&amp;STDLIGHTINEFCAT2[[#This Row],[Ineff DropDown 2]]</f>
        <v>T12_Fixture</v>
      </c>
      <c r="K267" s="247" t="str">
        <f>STDLIGHTINEFCAT2[[#This Row],[Match]]&amp;"_"&amp;STDLIGHTINEFCAT2[[#This Row],[Options]]</f>
        <v>T12_Fixture_4L T12 4' 40W</v>
      </c>
      <c r="L267" s="243" t="s">
        <v>1494</v>
      </c>
      <c r="M267" s="243">
        <f>4*40</f>
        <v>160</v>
      </c>
      <c r="N267" s="243">
        <v>175</v>
      </c>
      <c r="O267">
        <v>265</v>
      </c>
    </row>
    <row r="268" spans="9:15">
      <c r="I268" s="26" t="s">
        <v>91</v>
      </c>
      <c r="J268" s="26" t="str">
        <f>"T12_"&amp;STDLIGHTINEFCAT2[[#This Row],[Ineff DropDown 2]]</f>
        <v>T12_Fixture</v>
      </c>
      <c r="K268" s="247" t="str">
        <f>STDLIGHTINEFCAT2[[#This Row],[Match]]&amp;"_"&amp;STDLIGHTINEFCAT2[[#This Row],[Options]]</f>
        <v>T12_Fixture_1L T12 4' 60W</v>
      </c>
      <c r="L268" s="247" t="s">
        <v>1495</v>
      </c>
      <c r="M268" s="243">
        <v>60</v>
      </c>
      <c r="N268" s="247">
        <v>82</v>
      </c>
      <c r="O268">
        <v>266</v>
      </c>
    </row>
    <row r="269" spans="9:15">
      <c r="I269" s="26" t="s">
        <v>91</v>
      </c>
      <c r="J269" s="26" t="str">
        <f>"T12_"&amp;STDLIGHTINEFCAT2[[#This Row],[Ineff DropDown 2]]</f>
        <v>T12_Fixture</v>
      </c>
      <c r="K269" s="247" t="str">
        <f>STDLIGHTINEFCAT2[[#This Row],[Match]]&amp;"_"&amp;STDLIGHTINEFCAT2[[#This Row],[Options]]</f>
        <v>T12_Fixture_2L T12 4' 60W</v>
      </c>
      <c r="L269" s="243" t="s">
        <v>1496</v>
      </c>
      <c r="M269" s="243">
        <v>120</v>
      </c>
      <c r="N269" s="247">
        <v>133</v>
      </c>
      <c r="O269">
        <v>267</v>
      </c>
    </row>
    <row r="270" spans="9:15">
      <c r="I270" s="26" t="s">
        <v>91</v>
      </c>
      <c r="J270" s="26" t="str">
        <f>"T12_"&amp;STDLIGHTINEFCAT2[[#This Row],[Ineff DropDown 2]]</f>
        <v>T12_Fixture</v>
      </c>
      <c r="K270" s="247" t="str">
        <f>STDLIGHTINEFCAT2[[#This Row],[Match]]&amp;"_"&amp;STDLIGHTINEFCAT2[[#This Row],[Options]]</f>
        <v>T12_Fixture_3L T12 4' 60W</v>
      </c>
      <c r="L270" s="243" t="s">
        <v>1497</v>
      </c>
      <c r="M270" s="243">
        <f>3*60</f>
        <v>180</v>
      </c>
      <c r="N270" s="247">
        <v>204</v>
      </c>
      <c r="O270">
        <v>268</v>
      </c>
    </row>
    <row r="271" spans="9:15">
      <c r="I271" s="26" t="s">
        <v>91</v>
      </c>
      <c r="J271" s="26" t="str">
        <f>"T12_"&amp;STDLIGHTINEFCAT2[[#This Row],[Ineff DropDown 2]]</f>
        <v>T12_Fixture</v>
      </c>
      <c r="K271" s="247" t="str">
        <f>STDLIGHTINEFCAT2[[#This Row],[Match]]&amp;"_"&amp;STDLIGHTINEFCAT2[[#This Row],[Options]]</f>
        <v>T12_Fixture_4L T12 4' 60W</v>
      </c>
      <c r="L271" s="247" t="s">
        <v>1498</v>
      </c>
      <c r="M271" s="242">
        <f>4*60</f>
        <v>240</v>
      </c>
      <c r="N271" s="247">
        <v>263</v>
      </c>
      <c r="O271">
        <v>269</v>
      </c>
    </row>
    <row r="272" spans="9:15">
      <c r="I272" s="26" t="s">
        <v>91</v>
      </c>
      <c r="J272" s="26" t="str">
        <f>"T12_"&amp;STDLIGHTINEFCAT2[[#This Row],[Ineff DropDown 2]]</f>
        <v>T12_Fixture</v>
      </c>
      <c r="K272" s="247" t="str">
        <f>STDLIGHTINEFCAT2[[#This Row],[Match]]&amp;"_"&amp;STDLIGHTINEFCAT2[[#This Row],[Options]]</f>
        <v>T12_Fixture_1L T12 4' 116W</v>
      </c>
      <c r="L272" s="243" t="s">
        <v>1499</v>
      </c>
      <c r="M272" s="243">
        <v>116</v>
      </c>
      <c r="N272" s="247">
        <v>130</v>
      </c>
      <c r="O272">
        <v>270</v>
      </c>
    </row>
    <row r="273" spans="9:15">
      <c r="I273" s="26" t="s">
        <v>91</v>
      </c>
      <c r="J273" s="26" t="str">
        <f>"T12_"&amp;STDLIGHTINEFCAT2[[#This Row],[Ineff DropDown 2]]</f>
        <v>T12_Fixture</v>
      </c>
      <c r="K273" s="247" t="str">
        <f>STDLIGHTINEFCAT2[[#This Row],[Match]]&amp;"_"&amp;STDLIGHTINEFCAT2[[#This Row],[Options]]</f>
        <v>T12_Fixture_2L T12 4' 116W</v>
      </c>
      <c r="L273" s="243" t="s">
        <v>1500</v>
      </c>
      <c r="M273" s="243">
        <f>2*116</f>
        <v>232</v>
      </c>
      <c r="N273" s="247">
        <v>230</v>
      </c>
      <c r="O273">
        <v>271</v>
      </c>
    </row>
    <row r="274" spans="9:15">
      <c r="I274" s="26" t="s">
        <v>91</v>
      </c>
      <c r="J274" s="26" t="str">
        <f>"T12_"&amp;STDLIGHTINEFCAT2[[#This Row],[Ineff DropDown 2]]</f>
        <v>T12_Fixture</v>
      </c>
      <c r="K274" s="247" t="str">
        <f>STDLIGHTINEFCAT2[[#This Row],[Match]]&amp;"_"&amp;STDLIGHTINEFCAT2[[#This Row],[Options]]</f>
        <v>T12_Fixture_3L T12 4' 116W</v>
      </c>
      <c r="L274" s="243" t="s">
        <v>1501</v>
      </c>
      <c r="M274" s="242">
        <f>3*116</f>
        <v>348</v>
      </c>
      <c r="N274" s="247">
        <v>329</v>
      </c>
      <c r="O274">
        <v>272</v>
      </c>
    </row>
    <row r="275" spans="9:15">
      <c r="I275" s="26" t="s">
        <v>91</v>
      </c>
      <c r="J275" s="26" t="str">
        <f>"T12_"&amp;STDLIGHTINEFCAT2[[#This Row],[Ineff DropDown 2]]</f>
        <v>T12_Fixture</v>
      </c>
      <c r="K275" s="247" t="str">
        <f>STDLIGHTINEFCAT2[[#This Row],[Match]]&amp;"_"&amp;STDLIGHTINEFCAT2[[#This Row],[Options]]</f>
        <v>T12_Fixture_----5 ft Lamps----</v>
      </c>
      <c r="L275" s="251" t="s">
        <v>1543</v>
      </c>
      <c r="M275" s="244"/>
      <c r="N275" s="247"/>
      <c r="O275">
        <v>273</v>
      </c>
    </row>
    <row r="276" spans="9:15">
      <c r="I276" s="26" t="s">
        <v>91</v>
      </c>
      <c r="J276" s="26" t="str">
        <f>"T12_"&amp;STDLIGHTINEFCAT2[[#This Row],[Ineff DropDown 2]]</f>
        <v>T12_Fixture</v>
      </c>
      <c r="K276" s="250" t="str">
        <f>STDLIGHTINEFCAT2[[#This Row],[Match]]&amp;"_"&amp;STDLIGHTINEFCAT2[[#This Row],[Options]]</f>
        <v>T12_Fixture_1L T12 5' 138W</v>
      </c>
      <c r="L276" s="250" t="s">
        <v>1502</v>
      </c>
      <c r="M276" s="243">
        <v>138</v>
      </c>
      <c r="N276" s="250">
        <v>140</v>
      </c>
      <c r="O276">
        <v>274</v>
      </c>
    </row>
    <row r="277" spans="9:15">
      <c r="I277" s="26" t="s">
        <v>91</v>
      </c>
      <c r="J277" s="26" t="str">
        <f>"T12_"&amp;STDLIGHTINEFCAT2[[#This Row],[Ineff DropDown 2]]</f>
        <v>T12_Fixture</v>
      </c>
      <c r="K277" s="247" t="str">
        <f>STDLIGHTINEFCAT2[[#This Row],[Match]]&amp;"_"&amp;STDLIGHTINEFCAT2[[#This Row],[Options]]</f>
        <v>T12_Fixture_2L T12 5' 138W</v>
      </c>
      <c r="L277" s="247" t="s">
        <v>1503</v>
      </c>
      <c r="M277" s="247">
        <v>138</v>
      </c>
      <c r="N277" s="247">
        <v>241</v>
      </c>
      <c r="O277">
        <v>275</v>
      </c>
    </row>
    <row r="278" spans="9:15">
      <c r="I278" s="26" t="s">
        <v>91</v>
      </c>
      <c r="J278" s="26" t="str">
        <f>"T12_"&amp;STDLIGHTINEFCAT2[[#This Row],[Ineff DropDown 2]]</f>
        <v>T12_Fixture</v>
      </c>
      <c r="K278" s="247" t="str">
        <f>STDLIGHTINEFCAT2[[#This Row],[Match]]&amp;"_"&amp;STDLIGHTINEFCAT2[[#This Row],[Options]]</f>
        <v>T12_Fixture_1L T12 5' 50W</v>
      </c>
      <c r="L278" s="247" t="s">
        <v>1504</v>
      </c>
      <c r="M278" s="247">
        <v>50</v>
      </c>
      <c r="N278" s="247">
        <v>72</v>
      </c>
      <c r="O278">
        <v>276</v>
      </c>
    </row>
    <row r="279" spans="9:15">
      <c r="I279" s="26" t="s">
        <v>91</v>
      </c>
      <c r="J279" s="26" t="str">
        <f>"T12_"&amp;STDLIGHTINEFCAT2[[#This Row],[Ineff DropDown 2]]</f>
        <v>T12_Fixture</v>
      </c>
      <c r="K279" s="247" t="str">
        <f>STDLIGHTINEFCAT2[[#This Row],[Match]]&amp;"_"&amp;STDLIGHTINEFCAT2[[#This Row],[Options]]</f>
        <v>T12_Fixture_2L T12 5' 50W</v>
      </c>
      <c r="L279" s="247" t="s">
        <v>1505</v>
      </c>
      <c r="M279" s="247">
        <v>100</v>
      </c>
      <c r="N279" s="247">
        <v>111</v>
      </c>
      <c r="O279">
        <v>277</v>
      </c>
    </row>
    <row r="280" spans="9:15">
      <c r="I280" s="26" t="s">
        <v>91</v>
      </c>
      <c r="J280" s="26" t="str">
        <f>"T12_"&amp;STDLIGHTINEFCAT2[[#This Row],[Ineff DropDown 2]]</f>
        <v>T12_Fixture</v>
      </c>
      <c r="K280" s="247" t="str">
        <f>STDLIGHTINEFCAT2[[#This Row],[Match]]&amp;"_"&amp;STDLIGHTINEFCAT2[[#This Row],[Options]]</f>
        <v>T12_Fixture_1L T12 5' 75W</v>
      </c>
      <c r="L280" s="247" t="s">
        <v>1506</v>
      </c>
      <c r="M280" s="247">
        <v>75</v>
      </c>
      <c r="N280" s="247">
        <v>98</v>
      </c>
      <c r="O280">
        <v>278</v>
      </c>
    </row>
    <row r="281" spans="9:15">
      <c r="I281" s="26" t="s">
        <v>91</v>
      </c>
      <c r="J281" s="26" t="str">
        <f>"T12_"&amp;STDLIGHTINEFCAT2[[#This Row],[Ineff DropDown 2]]</f>
        <v>T12_Fixture</v>
      </c>
      <c r="K281" s="247" t="str">
        <f>STDLIGHTINEFCAT2[[#This Row],[Match]]&amp;"_"&amp;STDLIGHTINEFCAT2[[#This Row],[Options]]</f>
        <v>T12_Fixture_2L T12 5' 75W</v>
      </c>
      <c r="L281" s="247" t="s">
        <v>1507</v>
      </c>
      <c r="M281" s="247">
        <f>75*2</f>
        <v>150</v>
      </c>
      <c r="N281" s="247">
        <v>163</v>
      </c>
      <c r="O281">
        <v>279</v>
      </c>
    </row>
    <row r="282" spans="9:15">
      <c r="I282" s="26" t="s">
        <v>91</v>
      </c>
      <c r="J282" s="26" t="str">
        <f>"T12_"&amp;STDLIGHTINEFCAT2[[#This Row],[Ineff DropDown 2]]</f>
        <v>T12_Fixture</v>
      </c>
      <c r="K282" s="247" t="str">
        <f>STDLIGHTINEFCAT2[[#This Row],[Match]]&amp;"_"&amp;STDLIGHTINEFCAT2[[#This Row],[Options]]</f>
        <v>T12_Fixture_3L T12 5' 75W</v>
      </c>
      <c r="L282" s="247" t="s">
        <v>1508</v>
      </c>
      <c r="M282" s="247">
        <f>3*75</f>
        <v>225</v>
      </c>
      <c r="N282" s="247">
        <v>223</v>
      </c>
      <c r="O282">
        <v>280</v>
      </c>
    </row>
    <row r="283" spans="9:15">
      <c r="I283" s="26" t="s">
        <v>91</v>
      </c>
      <c r="J283" s="26" t="str">
        <f>"T12_"&amp;STDLIGHTINEFCAT2[[#This Row],[Ineff DropDown 2]]</f>
        <v>T12_Fixture</v>
      </c>
      <c r="K283" s="247" t="str">
        <f>STDLIGHTINEFCAT2[[#This Row],[Match]]&amp;"_"&amp;STDLIGHTINEFCAT2[[#This Row],[Options]]</f>
        <v>T12_Fixture_4L T12 5' 75W</v>
      </c>
      <c r="L283" s="247" t="s">
        <v>1509</v>
      </c>
      <c r="M283" s="247">
        <f>4*75</f>
        <v>300</v>
      </c>
      <c r="N283" s="247">
        <v>278</v>
      </c>
      <c r="O283">
        <v>281</v>
      </c>
    </row>
    <row r="284" spans="9:15">
      <c r="I284" s="26" t="s">
        <v>91</v>
      </c>
      <c r="J284" s="26" t="str">
        <f>"T12_"&amp;STDLIGHTINEFCAT2[[#This Row],[Ineff DropDown 2]]</f>
        <v>T12_Fixture</v>
      </c>
      <c r="K284" s="247" t="str">
        <f>STDLIGHTINEFCAT2[[#This Row],[Match]]&amp;"_"&amp;STDLIGHTINEFCAT2[[#This Row],[Options]]</f>
        <v>T12_Fixture_----6 ft Lamps----</v>
      </c>
      <c r="L284" s="251" t="s">
        <v>1544</v>
      </c>
      <c r="M284" s="251"/>
      <c r="N284" s="247"/>
      <c r="O284">
        <v>282</v>
      </c>
    </row>
    <row r="285" spans="9:15">
      <c r="I285" s="26" t="s">
        <v>91</v>
      </c>
      <c r="J285" s="26" t="str">
        <f>"T12_"&amp;STDLIGHTINEFCAT2[[#This Row],[Ineff DropDown 2]]</f>
        <v>T12_Fixture</v>
      </c>
      <c r="K285" s="247" t="str">
        <f>STDLIGHTINEFCAT2[[#This Row],[Match]]&amp;"_"&amp;STDLIGHTINEFCAT2[[#This Row],[Options]]</f>
        <v>T12_Fixture_1L T12 6' 168W</v>
      </c>
      <c r="L285" s="247" t="s">
        <v>1510</v>
      </c>
      <c r="M285" s="247">
        <v>168</v>
      </c>
      <c r="N285" s="247">
        <v>169</v>
      </c>
      <c r="O285">
        <v>283</v>
      </c>
    </row>
    <row r="286" spans="9:15">
      <c r="I286" s="26" t="s">
        <v>91</v>
      </c>
      <c r="J286" s="26" t="str">
        <f>"T12_"&amp;STDLIGHTINEFCAT2[[#This Row],[Ineff DropDown 2]]</f>
        <v>T12_Fixture</v>
      </c>
      <c r="K286" s="247" t="str">
        <f>STDLIGHTINEFCAT2[[#This Row],[Match]]&amp;"_"&amp;STDLIGHTINEFCAT2[[#This Row],[Options]]</f>
        <v>T12_Fixture_2L T12 6' 168W</v>
      </c>
      <c r="L286" s="247" t="s">
        <v>1511</v>
      </c>
      <c r="M286" s="252">
        <f>2*168</f>
        <v>336</v>
      </c>
      <c r="N286" s="247">
        <v>314</v>
      </c>
      <c r="O286">
        <v>284</v>
      </c>
    </row>
    <row r="287" spans="9:15">
      <c r="I287" s="26" t="s">
        <v>91</v>
      </c>
      <c r="J287" s="26" t="str">
        <f>"T12_"&amp;STDLIGHTINEFCAT2[[#This Row],[Ineff DropDown 2]]</f>
        <v>T12_Fixture</v>
      </c>
      <c r="K287" s="247" t="str">
        <f>STDLIGHTINEFCAT2[[#This Row],[Match]]&amp;"_"&amp;STDLIGHTINEFCAT2[[#This Row],[Options]]</f>
        <v>T12_Fixture_3L T12 6' 168W</v>
      </c>
      <c r="L287" s="247" t="s">
        <v>1512</v>
      </c>
      <c r="M287" s="253">
        <f>3*168</f>
        <v>504</v>
      </c>
      <c r="N287" s="247">
        <v>424</v>
      </c>
      <c r="O287">
        <v>285</v>
      </c>
    </row>
    <row r="288" spans="9:15">
      <c r="I288" s="26" t="s">
        <v>91</v>
      </c>
      <c r="J288" s="26" t="str">
        <f>"T12_"&amp;STDLIGHTINEFCAT2[[#This Row],[Ineff DropDown 2]]</f>
        <v>T12_Fixture</v>
      </c>
      <c r="K288" s="247" t="str">
        <f>STDLIGHTINEFCAT2[[#This Row],[Match]]&amp;"_"&amp;STDLIGHTINEFCAT2[[#This Row],[Options]]</f>
        <v>T12_Fixture_1L T12 6' 57W</v>
      </c>
      <c r="L288" s="247" t="s">
        <v>1513</v>
      </c>
      <c r="M288" s="247">
        <v>57</v>
      </c>
      <c r="N288" s="247">
        <v>80</v>
      </c>
      <c r="O288">
        <v>286</v>
      </c>
    </row>
    <row r="289" spans="9:15">
      <c r="I289" s="26" t="s">
        <v>91</v>
      </c>
      <c r="J289" s="26" t="str">
        <f>"T12_"&amp;STDLIGHTINEFCAT2[[#This Row],[Ineff DropDown 2]]</f>
        <v>T12_Fixture</v>
      </c>
      <c r="K289" s="247" t="str">
        <f>STDLIGHTINEFCAT2[[#This Row],[Match]]&amp;"_"&amp;STDLIGHTINEFCAT2[[#This Row],[Options]]</f>
        <v>T12_Fixture_2L T12 6' 57W</v>
      </c>
      <c r="L289" s="247" t="s">
        <v>1514</v>
      </c>
      <c r="M289" s="247">
        <f>57*2</f>
        <v>114</v>
      </c>
      <c r="N289" s="247">
        <v>122</v>
      </c>
      <c r="O289">
        <v>287</v>
      </c>
    </row>
    <row r="290" spans="9:15">
      <c r="I290" s="26" t="s">
        <v>91</v>
      </c>
      <c r="J290" s="26" t="str">
        <f>"T12_"&amp;STDLIGHTINEFCAT2[[#This Row],[Ineff DropDown 2]]</f>
        <v>T12_Fixture</v>
      </c>
      <c r="K290" s="247" t="str">
        <f>STDLIGHTINEFCAT2[[#This Row],[Match]]&amp;"_"&amp;STDLIGHTINEFCAT2[[#This Row],[Options]]</f>
        <v>T12_Fixture_1L T12 6' 85W</v>
      </c>
      <c r="L290" s="247" t="s">
        <v>1515</v>
      </c>
      <c r="M290" s="247">
        <v>85</v>
      </c>
      <c r="N290" s="247">
        <v>106</v>
      </c>
      <c r="O290">
        <v>288</v>
      </c>
    </row>
    <row r="291" spans="9:15">
      <c r="I291" s="26" t="s">
        <v>91</v>
      </c>
      <c r="J291" s="26" t="str">
        <f>"T12_"&amp;STDLIGHTINEFCAT2[[#This Row],[Ineff DropDown 2]]</f>
        <v>T12_Fixture</v>
      </c>
      <c r="K291" s="250" t="str">
        <f>STDLIGHTINEFCAT2[[#This Row],[Match]]&amp;"_"&amp;STDLIGHTINEFCAT2[[#This Row],[Options]]</f>
        <v>T12_Fixture_2L T12 6' 85W</v>
      </c>
      <c r="L291" s="250" t="s">
        <v>1516</v>
      </c>
      <c r="M291" s="250">
        <f>2*85</f>
        <v>170</v>
      </c>
      <c r="N291" s="250">
        <v>190</v>
      </c>
      <c r="O291">
        <v>289</v>
      </c>
    </row>
    <row r="292" spans="9:15">
      <c r="I292" s="26" t="s">
        <v>91</v>
      </c>
      <c r="J292" s="26" t="str">
        <f>"T12_"&amp;STDLIGHTINEFCAT2[[#This Row],[Ineff DropDown 2]]</f>
        <v>T12_Fixture</v>
      </c>
      <c r="K292" s="247" t="str">
        <f>STDLIGHTINEFCAT2[[#This Row],[Match]]&amp;"_"&amp;STDLIGHTINEFCAT2[[#This Row],[Options]]</f>
        <v>T12_Fixture_3L T12 6' 85W</v>
      </c>
      <c r="L292" s="247" t="s">
        <v>1517</v>
      </c>
      <c r="M292" s="267">
        <f>3*85</f>
        <v>255</v>
      </c>
      <c r="N292" s="247">
        <v>291</v>
      </c>
      <c r="O292">
        <v>290</v>
      </c>
    </row>
    <row r="293" spans="9:15">
      <c r="I293" s="26" t="s">
        <v>91</v>
      </c>
      <c r="J293" s="26" t="str">
        <f>"T12_"&amp;STDLIGHTINEFCAT2[[#This Row],[Ineff DropDown 2]]</f>
        <v>T12_Fixture</v>
      </c>
      <c r="K293" s="247" t="str">
        <f>STDLIGHTINEFCAT2[[#This Row],[Match]]&amp;"_"&amp;STDLIGHTINEFCAT2[[#This Row],[Options]]</f>
        <v>T12_Fixture_4L T12 6' 85W</v>
      </c>
      <c r="L293" s="247" t="s">
        <v>1518</v>
      </c>
      <c r="M293" s="267">
        <f>4*85</f>
        <v>340</v>
      </c>
      <c r="N293" s="247">
        <v>323</v>
      </c>
      <c r="O293">
        <v>291</v>
      </c>
    </row>
    <row r="294" spans="9:15">
      <c r="I294" s="26" t="s">
        <v>91</v>
      </c>
      <c r="J294" s="26" t="str">
        <f>"T12_"&amp;STDLIGHTINEFCAT2[[#This Row],[Ineff DropDown 2]]</f>
        <v>T12_Fixture</v>
      </c>
      <c r="K294" s="247" t="str">
        <f>STDLIGHTINEFCAT2[[#This Row],[Match]]&amp;"_"&amp;STDLIGHTINEFCAT2[[#This Row],[Options]]</f>
        <v>T12_Fixture_----7 ft Lamps----</v>
      </c>
      <c r="L294" s="251" t="s">
        <v>1545</v>
      </c>
      <c r="M294" s="304"/>
      <c r="N294" s="247"/>
      <c r="O294">
        <v>292</v>
      </c>
    </row>
    <row r="295" spans="9:15">
      <c r="I295" s="26" t="s">
        <v>91</v>
      </c>
      <c r="J295" s="26" t="str">
        <f>"T12_"&amp;STDLIGHTINEFCAT2[[#This Row],[Ineff DropDown 2]]</f>
        <v>T12_Fixture</v>
      </c>
      <c r="K295" s="247" t="str">
        <f>STDLIGHTINEFCAT2[[#This Row],[Match]]&amp;"_"&amp;STDLIGHTINEFCAT2[[#This Row],[Options]]</f>
        <v>T12_Fixture_1L T12 7' 65W</v>
      </c>
      <c r="L295" s="247" t="s">
        <v>1519</v>
      </c>
      <c r="M295" s="247">
        <v>65</v>
      </c>
      <c r="N295" s="247">
        <v>89</v>
      </c>
      <c r="O295">
        <v>293</v>
      </c>
    </row>
    <row r="296" spans="9:15">
      <c r="I296" s="26" t="s">
        <v>91</v>
      </c>
      <c r="J296" s="26" t="str">
        <f>"T12_"&amp;STDLIGHTINEFCAT2[[#This Row],[Ineff DropDown 2]]</f>
        <v>T12_Fixture</v>
      </c>
      <c r="K296" s="247" t="str">
        <f>STDLIGHTINEFCAT2[[#This Row],[Match]]&amp;"_"&amp;STDLIGHTINEFCAT2[[#This Row],[Options]]</f>
        <v>T12_Fixture_2L T12 7' 65W</v>
      </c>
      <c r="L296" s="247" t="s">
        <v>1520</v>
      </c>
      <c r="M296" s="247">
        <f>65*2</f>
        <v>130</v>
      </c>
      <c r="N296" s="247">
        <v>143</v>
      </c>
      <c r="O296">
        <v>294</v>
      </c>
    </row>
    <row r="297" spans="9:15">
      <c r="I297" s="26" t="s">
        <v>91</v>
      </c>
      <c r="J297" s="26" t="str">
        <f>"T12_"&amp;STDLIGHTINEFCAT2[[#This Row],[Ineff DropDown 2]]</f>
        <v>T12_Fixture</v>
      </c>
      <c r="K297" s="247" t="str">
        <f>STDLIGHTINEFCAT2[[#This Row],[Match]]&amp;"_"&amp;STDLIGHTINEFCAT2[[#This Row],[Options]]</f>
        <v>T12_Fixture_1L T12 7' 100W</v>
      </c>
      <c r="L297" s="247" t="s">
        <v>1521</v>
      </c>
      <c r="M297" s="247">
        <v>100</v>
      </c>
      <c r="N297" s="247">
        <v>113</v>
      </c>
      <c r="O297">
        <v>295</v>
      </c>
    </row>
    <row r="298" spans="9:15">
      <c r="I298" s="26" t="s">
        <v>91</v>
      </c>
      <c r="J298" s="26" t="str">
        <f>"T12_"&amp;STDLIGHTINEFCAT2[[#This Row],[Ineff DropDown 2]]</f>
        <v>T12_Fixture</v>
      </c>
      <c r="K298" s="247" t="str">
        <f>STDLIGHTINEFCAT2[[#This Row],[Match]]&amp;"_"&amp;STDLIGHTINEFCAT2[[#This Row],[Options]]</f>
        <v>T12_Fixture_2L T12 7' 100W</v>
      </c>
      <c r="L298" s="247" t="s">
        <v>1522</v>
      </c>
      <c r="M298" s="247">
        <v>200</v>
      </c>
      <c r="N298" s="247">
        <v>209</v>
      </c>
      <c r="O298">
        <v>296</v>
      </c>
    </row>
    <row r="299" spans="9:15">
      <c r="I299" s="26" t="s">
        <v>91</v>
      </c>
      <c r="J299" s="26" t="str">
        <f>"T12_"&amp;STDLIGHTINEFCAT2[[#This Row],[Ineff DropDown 2]]</f>
        <v>T12_Fixture</v>
      </c>
      <c r="K299" s="247" t="str">
        <f>STDLIGHTINEFCAT2[[#This Row],[Match]]&amp;"_"&amp;STDLIGHTINEFCAT2[[#This Row],[Options]]</f>
        <v>T12_Fixture_3L T12 7' 100W</v>
      </c>
      <c r="L299" s="247" t="s">
        <v>1523</v>
      </c>
      <c r="M299" s="247">
        <v>300</v>
      </c>
      <c r="N299" s="247">
        <v>278</v>
      </c>
      <c r="O299">
        <v>297</v>
      </c>
    </row>
    <row r="300" spans="9:15">
      <c r="I300" s="26" t="s">
        <v>91</v>
      </c>
      <c r="J300" s="26" t="str">
        <f>"T12_"&amp;STDLIGHTINEFCAT2[[#This Row],[Ineff DropDown 2]]</f>
        <v>T12_Fixture</v>
      </c>
      <c r="K300" s="247" t="str">
        <f>STDLIGHTINEFCAT2[[#This Row],[Match]]&amp;"_"&amp;STDLIGHTINEFCAT2[[#This Row],[Options]]</f>
        <v>T12_Fixture_----8 ft Lamps----</v>
      </c>
      <c r="L300" s="251" t="s">
        <v>1546</v>
      </c>
      <c r="M300" s="251"/>
      <c r="N300" s="247"/>
      <c r="O300">
        <v>298</v>
      </c>
    </row>
    <row r="301" spans="9:15">
      <c r="I301" s="26" t="s">
        <v>91</v>
      </c>
      <c r="J301" s="26" t="str">
        <f>"T12_"&amp;STDLIGHTINEFCAT2[[#This Row],[Ineff DropDown 2]]</f>
        <v>T12_Fixture</v>
      </c>
      <c r="K301" s="247" t="str">
        <f>STDLIGHTINEFCAT2[[#This Row],[Match]]&amp;"_"&amp;STDLIGHTINEFCAT2[[#This Row],[Options]]</f>
        <v>T12_Fixture_1L T12 8' 60W</v>
      </c>
      <c r="L301" s="247" t="s">
        <v>1524</v>
      </c>
      <c r="M301" s="247">
        <v>60</v>
      </c>
      <c r="N301" s="247">
        <v>74</v>
      </c>
      <c r="O301">
        <v>299</v>
      </c>
    </row>
    <row r="302" spans="9:15">
      <c r="I302" s="26" t="s">
        <v>91</v>
      </c>
      <c r="J302" s="26" t="str">
        <f>"T12_"&amp;STDLIGHTINEFCAT2[[#This Row],[Ineff DropDown 2]]</f>
        <v>T12_Fixture</v>
      </c>
      <c r="K302" s="247" t="str">
        <f>STDLIGHTINEFCAT2[[#This Row],[Match]]&amp;"_"&amp;STDLIGHTINEFCAT2[[#This Row],[Options]]</f>
        <v>T12_Fixture_2L T12 8' 60W</v>
      </c>
      <c r="L302" s="247" t="s">
        <v>1525</v>
      </c>
      <c r="M302" s="247">
        <v>120</v>
      </c>
      <c r="N302" s="247">
        <v>113</v>
      </c>
      <c r="O302">
        <v>300</v>
      </c>
    </row>
    <row r="303" spans="9:15">
      <c r="I303" s="26" t="s">
        <v>91</v>
      </c>
      <c r="J303" s="26" t="str">
        <f>"T12_"&amp;STDLIGHTINEFCAT2[[#This Row],[Ineff DropDown 2]]</f>
        <v>T12_Fixture</v>
      </c>
      <c r="K303" s="247" t="str">
        <f>STDLIGHTINEFCAT2[[#This Row],[Match]]&amp;"_"&amp;STDLIGHTINEFCAT2[[#This Row],[Options]]</f>
        <v>T12_Fixture_4L T12 8' 60W</v>
      </c>
      <c r="L303" s="247" t="s">
        <v>1526</v>
      </c>
      <c r="M303" s="247">
        <f>4*60</f>
        <v>240</v>
      </c>
      <c r="N303" s="247">
        <v>246</v>
      </c>
      <c r="O303">
        <v>301</v>
      </c>
    </row>
    <row r="304" spans="9:15">
      <c r="I304" s="26" t="s">
        <v>91</v>
      </c>
      <c r="J304" s="26" t="str">
        <f>"T12_"&amp;STDLIGHTINEFCAT2[[#This Row],[Ineff DropDown 2]]</f>
        <v>T12_Fixture</v>
      </c>
      <c r="K304" s="247" t="str">
        <f>STDLIGHTINEFCAT2[[#This Row],[Match]]&amp;"_"&amp;STDLIGHTINEFCAT2[[#This Row],[Options]]</f>
        <v>T12_Fixture_1L T12 8' 75W</v>
      </c>
      <c r="L304" s="247" t="s">
        <v>1527</v>
      </c>
      <c r="M304" s="247">
        <v>75</v>
      </c>
      <c r="N304" s="247">
        <v>94</v>
      </c>
      <c r="O304">
        <v>302</v>
      </c>
    </row>
    <row r="305" spans="9:15">
      <c r="I305" s="26" t="s">
        <v>91</v>
      </c>
      <c r="J305" s="26" t="str">
        <f>"T12_"&amp;STDLIGHTINEFCAT2[[#This Row],[Ineff DropDown 2]]</f>
        <v>T12_Fixture</v>
      </c>
      <c r="K305" s="247" t="str">
        <f>STDLIGHTINEFCAT2[[#This Row],[Match]]&amp;"_"&amp;STDLIGHTINEFCAT2[[#This Row],[Options]]</f>
        <v>T12_Fixture_2L T12 8' 75W</v>
      </c>
      <c r="L305" s="247" t="s">
        <v>1528</v>
      </c>
      <c r="M305" s="247">
        <f>2*75</f>
        <v>150</v>
      </c>
      <c r="N305" s="247">
        <v>145</v>
      </c>
      <c r="O305">
        <v>303</v>
      </c>
    </row>
    <row r="306" spans="9:15">
      <c r="I306" s="26" t="s">
        <v>91</v>
      </c>
      <c r="J306" s="26" t="str">
        <f>"T12_"&amp;STDLIGHTINEFCAT2[[#This Row],[Ineff DropDown 2]]</f>
        <v>T12_Fixture</v>
      </c>
      <c r="K306" s="247" t="str">
        <f>STDLIGHTINEFCAT2[[#This Row],[Match]]&amp;"_"&amp;STDLIGHTINEFCAT2[[#This Row],[Options]]</f>
        <v>T12_Fixture_1L T12 8' 95W</v>
      </c>
      <c r="L306" s="247" t="s">
        <v>1529</v>
      </c>
      <c r="M306" s="247">
        <v>95</v>
      </c>
      <c r="N306" s="247">
        <v>125</v>
      </c>
      <c r="O306">
        <v>304</v>
      </c>
    </row>
    <row r="307" spans="9:15">
      <c r="I307" s="26" t="s">
        <v>91</v>
      </c>
      <c r="J307" s="26" t="str">
        <f>"T12_"&amp;STDLIGHTINEFCAT2[[#This Row],[Ineff DropDown 2]]</f>
        <v>T12_Fixture</v>
      </c>
      <c r="K307" s="247" t="str">
        <f>STDLIGHTINEFCAT2[[#This Row],[Match]]&amp;"_"&amp;STDLIGHTINEFCAT2[[#This Row],[Options]]</f>
        <v>T12_Fixture_2L T12 8' 95W</v>
      </c>
      <c r="L307" s="247" t="s">
        <v>1530</v>
      </c>
      <c r="M307" s="247">
        <f>2*95</f>
        <v>190</v>
      </c>
      <c r="N307" s="247">
        <v>216</v>
      </c>
      <c r="O307">
        <v>305</v>
      </c>
    </row>
    <row r="308" spans="9:15">
      <c r="I308" s="26" t="s">
        <v>91</v>
      </c>
      <c r="J308" s="26" t="str">
        <f>"T12_"&amp;STDLIGHTINEFCAT2[[#This Row],[Ineff DropDown 2]]</f>
        <v>T12_Fixture</v>
      </c>
      <c r="K308" s="247" t="str">
        <f>STDLIGHTINEFCAT2[[#This Row],[Match]]&amp;"_"&amp;STDLIGHTINEFCAT2[[#This Row],[Options]]</f>
        <v>T12_Fixture_1L T12 8' 110W</v>
      </c>
      <c r="L308" s="247" t="s">
        <v>1531</v>
      </c>
      <c r="M308" s="247">
        <v>110</v>
      </c>
      <c r="N308" s="247">
        <v>140</v>
      </c>
      <c r="O308">
        <v>306</v>
      </c>
    </row>
    <row r="309" spans="9:15">
      <c r="I309" s="26" t="s">
        <v>91</v>
      </c>
      <c r="J309" s="26" t="str">
        <f>"T12_"&amp;STDLIGHTINEFCAT2[[#This Row],[Ineff DropDown 2]]</f>
        <v>T12_Fixture</v>
      </c>
      <c r="K309" s="247" t="str">
        <f>STDLIGHTINEFCAT2[[#This Row],[Match]]&amp;"_"&amp;STDLIGHTINEFCAT2[[#This Row],[Options]]</f>
        <v>T12_Fixture_2L T12 8' 110W</v>
      </c>
      <c r="L309" s="247" t="s">
        <v>1532</v>
      </c>
      <c r="M309" s="252">
        <f>2*110</f>
        <v>220</v>
      </c>
      <c r="N309" s="247">
        <v>258</v>
      </c>
      <c r="O309">
        <v>307</v>
      </c>
    </row>
    <row r="310" spans="9:15">
      <c r="I310" s="26" t="s">
        <v>91</v>
      </c>
      <c r="J310" s="26" t="str">
        <f>"T12_"&amp;STDLIGHTINEFCAT2[[#This Row],[Ineff DropDown 2]]</f>
        <v>T12_Fixture</v>
      </c>
      <c r="K310" s="247" t="str">
        <f>STDLIGHTINEFCAT2[[#This Row],[Match]]&amp;"_"&amp;STDLIGHTINEFCAT2[[#This Row],[Options]]</f>
        <v>T12_Fixture_1L T12 8' 185W</v>
      </c>
      <c r="L310" s="247" t="s">
        <v>1533</v>
      </c>
      <c r="M310" s="247">
        <v>185</v>
      </c>
      <c r="N310" s="247">
        <v>198</v>
      </c>
      <c r="O310">
        <v>308</v>
      </c>
    </row>
    <row r="311" spans="9:15">
      <c r="I311" s="26" t="s">
        <v>91</v>
      </c>
      <c r="J311" s="26" t="str">
        <f>"T12_"&amp;STDLIGHTINEFCAT2[[#This Row],[Ineff DropDown 2]]</f>
        <v>T12_Fixture</v>
      </c>
      <c r="K311" s="247" t="str">
        <f>STDLIGHTINEFCAT2[[#This Row],[Match]]&amp;"_"&amp;STDLIGHTINEFCAT2[[#This Row],[Options]]</f>
        <v>T12_Fixture_2L T12 8' 185W</v>
      </c>
      <c r="L311" s="247" t="s">
        <v>1534</v>
      </c>
      <c r="M311" s="252">
        <f>2*185</f>
        <v>370</v>
      </c>
      <c r="N311" s="247">
        <v>398</v>
      </c>
      <c r="O311">
        <v>309</v>
      </c>
    </row>
    <row r="312" spans="9:15">
      <c r="I312" s="26" t="s">
        <v>91</v>
      </c>
      <c r="J312" s="26" t="str">
        <f>"T12_"&amp;STDLIGHTINEFCAT2[[#This Row],[Ineff DropDown 2]]</f>
        <v>T12_Fixture</v>
      </c>
      <c r="K312" s="247" t="str">
        <f>STDLIGHTINEFCAT2[[#This Row],[Match]]&amp;"_"&amp;STDLIGHTINEFCAT2[[#This Row],[Options]]</f>
        <v>T12_Fixture_3L T12 8' 185W</v>
      </c>
      <c r="L312" s="247" t="s">
        <v>1535</v>
      </c>
      <c r="M312" s="247">
        <f>3*185</f>
        <v>555</v>
      </c>
      <c r="N312" s="247">
        <v>550</v>
      </c>
      <c r="O312">
        <v>310</v>
      </c>
    </row>
    <row r="313" spans="9:15">
      <c r="I313" s="26" t="s">
        <v>91</v>
      </c>
      <c r="J313" s="26" t="str">
        <f>"T12_"&amp;STDLIGHTINEFCAT2[[#This Row],[Ineff DropDown 2]]</f>
        <v>T12_Fixture</v>
      </c>
      <c r="K313" s="247" t="str">
        <f>STDLIGHTINEFCAT2[[#This Row],[Match]]&amp;"_"&amp;STDLIGHTINEFCAT2[[#This Row],[Options]]</f>
        <v>T12_Fixture_1L T12 8' 215W</v>
      </c>
      <c r="L313" s="247" t="s">
        <v>1536</v>
      </c>
      <c r="M313" s="247">
        <v>215</v>
      </c>
      <c r="N313" s="247">
        <v>213</v>
      </c>
      <c r="O313">
        <v>311</v>
      </c>
    </row>
    <row r="314" spans="9:15">
      <c r="I314" s="26" t="s">
        <v>91</v>
      </c>
      <c r="J314" s="26" t="str">
        <f>"T12_"&amp;STDLIGHTINEFCAT2[[#This Row],[Ineff DropDown 2]]</f>
        <v>T12_Fixture</v>
      </c>
      <c r="K314" s="247" t="str">
        <f>STDLIGHTINEFCAT2[[#This Row],[Match]]&amp;"_"&amp;STDLIGHTINEFCAT2[[#This Row],[Options]]</f>
        <v>T12_Fixture_2L T12 8' 215W</v>
      </c>
      <c r="L314" s="247" t="s">
        <v>1537</v>
      </c>
      <c r="M314" s="252">
        <f>2*215</f>
        <v>430</v>
      </c>
      <c r="N314" s="247">
        <v>320</v>
      </c>
      <c r="O314">
        <v>312</v>
      </c>
    </row>
    <row r="315" spans="9:15">
      <c r="I315" s="26" t="s">
        <v>91</v>
      </c>
      <c r="J315" s="26" t="str">
        <f>"T12_"&amp;STDLIGHTINEFCAT2[[#This Row],[Ineff DropDown 2]]</f>
        <v>T12_Fixture</v>
      </c>
      <c r="K315" s="247" t="str">
        <f>STDLIGHTINEFCAT2[[#This Row],[Match]]&amp;"_"&amp;STDLIGHTINEFCAT2[[#This Row],[Options]]</f>
        <v>T12_Fixture_3L T12 8' 215W</v>
      </c>
      <c r="L315" s="247" t="s">
        <v>1538</v>
      </c>
      <c r="M315" s="253">
        <f>3*215</f>
        <v>645</v>
      </c>
      <c r="N315" s="247">
        <v>518</v>
      </c>
      <c r="O315">
        <v>313</v>
      </c>
    </row>
    <row r="316" spans="9:15">
      <c r="I316" t="s">
        <v>1915</v>
      </c>
      <c r="J316" s="26" t="str">
        <f>"T12_"&amp;STDLIGHTINEFCAT2[[#This Row],[Ineff DropDown 2]]</f>
        <v>T12_PG &lt;=130</v>
      </c>
      <c r="K316" s="247" t="str">
        <f>STDLIGHTINEFCAT2[[#This Row],[Match]]&amp;"_"&amp;STDLIGHTINEFCAT2[[#This Row],[Options]]</f>
        <v>T12_PG &lt;=130_----2 ft Lamps----</v>
      </c>
      <c r="L316" s="251" t="s">
        <v>1540</v>
      </c>
      <c r="M316" s="251"/>
      <c r="N316" s="247"/>
      <c r="O316">
        <v>314</v>
      </c>
    </row>
    <row r="317" spans="9:15">
      <c r="I317" t="s">
        <v>1915</v>
      </c>
      <c r="J317" s="26" t="str">
        <f>"T12_"&amp;STDLIGHTINEFCAT2[[#This Row],[Ineff DropDown 2]]</f>
        <v>T12_PG &lt;=130</v>
      </c>
      <c r="K317" s="247" t="str">
        <f>STDLIGHTINEFCAT2[[#This Row],[Match]]&amp;"_"&amp;STDLIGHTINEFCAT2[[#This Row],[Options]]</f>
        <v>T12_PG &lt;=130_1L T12 2' 20W</v>
      </c>
      <c r="L317" s="247" t="s">
        <v>1461</v>
      </c>
      <c r="M317" s="247">
        <v>20</v>
      </c>
      <c r="N317" s="247">
        <v>21</v>
      </c>
      <c r="O317">
        <v>315</v>
      </c>
    </row>
    <row r="318" spans="9:15">
      <c r="I318" t="s">
        <v>1915</v>
      </c>
      <c r="J318" s="26" t="str">
        <f>"T12_"&amp;STDLIGHTINEFCAT2[[#This Row],[Ineff DropDown 2]]</f>
        <v>T12_PG &lt;=130</v>
      </c>
      <c r="K318" s="247" t="str">
        <f>STDLIGHTINEFCAT2[[#This Row],[Match]]&amp;"_"&amp;STDLIGHTINEFCAT2[[#This Row],[Options]]</f>
        <v>T12_PG &lt;=130_2L T12 2' 20W</v>
      </c>
      <c r="L318" s="247" t="s">
        <v>1462</v>
      </c>
      <c r="M318" s="247">
        <v>40</v>
      </c>
      <c r="N318" s="247">
        <v>53</v>
      </c>
      <c r="O318">
        <v>316</v>
      </c>
    </row>
    <row r="319" spans="9:15">
      <c r="I319" t="s">
        <v>1915</v>
      </c>
      <c r="J319" s="26" t="str">
        <f>"T12_"&amp;STDLIGHTINEFCAT2[[#This Row],[Ineff DropDown 2]]</f>
        <v>T12_PG &lt;=130</v>
      </c>
      <c r="K319" s="247" t="str">
        <f>STDLIGHTINEFCAT2[[#This Row],[Match]]&amp;"_"&amp;STDLIGHTINEFCAT2[[#This Row],[Options]]</f>
        <v>T12_PG &lt;=130_3L T12 2' 20W</v>
      </c>
      <c r="L319" s="247" t="s">
        <v>1463</v>
      </c>
      <c r="M319" s="247">
        <v>60</v>
      </c>
      <c r="N319" s="247">
        <v>64</v>
      </c>
      <c r="O319">
        <v>317</v>
      </c>
    </row>
    <row r="320" spans="9:15">
      <c r="I320" t="s">
        <v>1915</v>
      </c>
      <c r="J320" s="26" t="str">
        <f>"T12_"&amp;STDLIGHTINEFCAT2[[#This Row],[Ineff DropDown 2]]</f>
        <v>T12_PG &lt;=130</v>
      </c>
      <c r="K320" s="247" t="str">
        <f>STDLIGHTINEFCAT2[[#This Row],[Match]]&amp;"_"&amp;STDLIGHTINEFCAT2[[#This Row],[Options]]</f>
        <v>T12_PG &lt;=130_4L T12 2' 20W</v>
      </c>
      <c r="L320" s="247" t="s">
        <v>1464</v>
      </c>
      <c r="M320" s="247">
        <v>80</v>
      </c>
      <c r="N320" s="247">
        <v>91</v>
      </c>
      <c r="O320">
        <v>318</v>
      </c>
    </row>
    <row r="321" spans="9:15">
      <c r="I321" t="s">
        <v>1915</v>
      </c>
      <c r="J321" s="26" t="str">
        <f>"T12_"&amp;STDLIGHTINEFCAT2[[#This Row],[Ineff DropDown 2]]</f>
        <v>T12_PG &lt;=130</v>
      </c>
      <c r="K321" s="247" t="str">
        <f>STDLIGHTINEFCAT2[[#This Row],[Match]]&amp;"_"&amp;STDLIGHTINEFCAT2[[#This Row],[Options]]</f>
        <v>T12_PG &lt;=130_1L T12 2' 35W</v>
      </c>
      <c r="L321" s="247" t="s">
        <v>1465</v>
      </c>
      <c r="M321" s="247">
        <v>35</v>
      </c>
      <c r="N321" s="247">
        <v>64</v>
      </c>
      <c r="O321">
        <v>319</v>
      </c>
    </row>
    <row r="322" spans="9:15">
      <c r="I322" t="s">
        <v>1915</v>
      </c>
      <c r="J322" s="26" t="str">
        <f>"T12_"&amp;STDLIGHTINEFCAT2[[#This Row],[Ineff DropDown 2]]</f>
        <v>T12_PG &lt;=130</v>
      </c>
      <c r="K322" s="247" t="str">
        <f>STDLIGHTINEFCAT2[[#This Row],[Match]]&amp;"_"&amp;STDLIGHTINEFCAT2[[#This Row],[Options]]</f>
        <v>T12_PG &lt;=130_2L T12 2' 35W</v>
      </c>
      <c r="L322" s="247" t="s">
        <v>1466</v>
      </c>
      <c r="M322" s="247">
        <v>70</v>
      </c>
      <c r="N322" s="247">
        <v>95</v>
      </c>
      <c r="O322">
        <v>320</v>
      </c>
    </row>
    <row r="323" spans="9:15">
      <c r="I323" t="s">
        <v>1915</v>
      </c>
      <c r="J323" s="26" t="str">
        <f>"T12_"&amp;STDLIGHTINEFCAT2[[#This Row],[Ineff DropDown 2]]</f>
        <v>T12_PG &lt;=130</v>
      </c>
      <c r="K323" s="247" t="str">
        <f>STDLIGHTINEFCAT2[[#This Row],[Match]]&amp;"_"&amp;STDLIGHTINEFCAT2[[#This Row],[Options]]</f>
        <v>T12_PG &lt;=130_----3 ft Lamps----</v>
      </c>
      <c r="L323" s="251" t="s">
        <v>1541</v>
      </c>
      <c r="M323" s="251"/>
      <c r="N323" s="247"/>
      <c r="O323">
        <v>321</v>
      </c>
    </row>
    <row r="324" spans="9:15">
      <c r="I324" t="s">
        <v>1915</v>
      </c>
      <c r="J324" s="26" t="str">
        <f>"T12_"&amp;STDLIGHTINEFCAT2[[#This Row],[Ineff DropDown 2]]</f>
        <v>T12_PG &lt;=130</v>
      </c>
      <c r="K324" s="247" t="str">
        <f>STDLIGHTINEFCAT2[[#This Row],[Match]]&amp;"_"&amp;STDLIGHTINEFCAT2[[#This Row],[Options]]</f>
        <v>T12_PG &lt;=130_1L T12 3' 21W</v>
      </c>
      <c r="L324" s="247" t="s">
        <v>1469</v>
      </c>
      <c r="M324" s="247">
        <v>21</v>
      </c>
      <c r="N324" s="247">
        <v>25</v>
      </c>
      <c r="O324">
        <v>322</v>
      </c>
    </row>
    <row r="325" spans="9:15">
      <c r="I325" t="s">
        <v>1915</v>
      </c>
      <c r="J325" s="26" t="str">
        <f>"T12_"&amp;STDLIGHTINEFCAT2[[#This Row],[Ineff DropDown 2]]</f>
        <v>T12_PG &lt;=130</v>
      </c>
      <c r="K325" s="247" t="str">
        <f>STDLIGHTINEFCAT2[[#This Row],[Match]]&amp;"_"&amp;STDLIGHTINEFCAT2[[#This Row],[Options]]</f>
        <v>T12_PG &lt;=130_2L T12 3' 21W</v>
      </c>
      <c r="L325" s="247" t="s">
        <v>1470</v>
      </c>
      <c r="M325" s="247">
        <v>42</v>
      </c>
      <c r="N325" s="247">
        <v>49</v>
      </c>
      <c r="O325">
        <v>323</v>
      </c>
    </row>
    <row r="326" spans="9:15">
      <c r="I326" t="s">
        <v>1915</v>
      </c>
      <c r="J326" s="26" t="str">
        <f>"T12_"&amp;STDLIGHTINEFCAT2[[#This Row],[Ineff DropDown 2]]</f>
        <v>T12_PG &lt;=130</v>
      </c>
      <c r="K326" s="247" t="str">
        <f>STDLIGHTINEFCAT2[[#This Row],[Match]]&amp;"_"&amp;STDLIGHTINEFCAT2[[#This Row],[Options]]</f>
        <v>T12_PG &lt;=130_1L T12 3' 24W</v>
      </c>
      <c r="L326" s="247" t="s">
        <v>1471</v>
      </c>
      <c r="M326" s="247">
        <v>24</v>
      </c>
      <c r="N326" s="247">
        <v>45</v>
      </c>
      <c r="O326">
        <v>324</v>
      </c>
    </row>
    <row r="327" spans="9:15">
      <c r="I327" t="s">
        <v>1915</v>
      </c>
      <c r="J327" s="26" t="str">
        <f>"T12_"&amp;STDLIGHTINEFCAT2[[#This Row],[Ineff DropDown 2]]</f>
        <v>T12_PG &lt;=130</v>
      </c>
      <c r="K327" s="247" t="str">
        <f>STDLIGHTINEFCAT2[[#This Row],[Match]]&amp;"_"&amp;STDLIGHTINEFCAT2[[#This Row],[Options]]</f>
        <v>T12_PG &lt;=130_2L T12 3' 24W</v>
      </c>
      <c r="L327" s="247" t="s">
        <v>1472</v>
      </c>
      <c r="M327" s="247">
        <v>48</v>
      </c>
      <c r="N327" s="247">
        <v>65</v>
      </c>
      <c r="O327">
        <v>325</v>
      </c>
    </row>
    <row r="328" spans="9:15">
      <c r="I328" t="s">
        <v>1915</v>
      </c>
      <c r="J328" s="26" t="str">
        <f>"T12_"&amp;STDLIGHTINEFCAT2[[#This Row],[Ineff DropDown 2]]</f>
        <v>T12_PG &lt;=130</v>
      </c>
      <c r="K328" s="247" t="str">
        <f>STDLIGHTINEFCAT2[[#This Row],[Match]]&amp;"_"&amp;STDLIGHTINEFCAT2[[#This Row],[Options]]</f>
        <v>T12_PG &lt;=130_1L T12 3' 25W</v>
      </c>
      <c r="L328" s="247" t="s">
        <v>1473</v>
      </c>
      <c r="M328" s="247">
        <v>25</v>
      </c>
      <c r="N328" s="247">
        <v>35</v>
      </c>
      <c r="O328">
        <v>326</v>
      </c>
    </row>
    <row r="329" spans="9:15">
      <c r="I329" t="s">
        <v>1915</v>
      </c>
      <c r="J329" s="26" t="str">
        <f>"T12_"&amp;STDLIGHTINEFCAT2[[#This Row],[Ineff DropDown 2]]</f>
        <v>T12_PG &lt;=130</v>
      </c>
      <c r="K329" s="247" t="str">
        <f>STDLIGHTINEFCAT2[[#This Row],[Match]]&amp;"_"&amp;STDLIGHTINEFCAT2[[#This Row],[Options]]</f>
        <v>T12_PG &lt;=130_2L T12 3' 25W</v>
      </c>
      <c r="L329" s="247" t="s">
        <v>1474</v>
      </c>
      <c r="M329" s="247">
        <v>50</v>
      </c>
      <c r="N329" s="247">
        <v>71</v>
      </c>
      <c r="O329">
        <v>327</v>
      </c>
    </row>
    <row r="330" spans="9:15">
      <c r="I330" t="s">
        <v>1915</v>
      </c>
      <c r="J330" s="26" t="str">
        <f>"T12_"&amp;STDLIGHTINEFCAT2[[#This Row],[Ineff DropDown 2]]</f>
        <v>T12_PG &lt;=130</v>
      </c>
      <c r="K330" s="247" t="str">
        <f>STDLIGHTINEFCAT2[[#This Row],[Match]]&amp;"_"&amp;STDLIGHTINEFCAT2[[#This Row],[Options]]</f>
        <v>T12_PG &lt;=130_3L T12 3' 25W</v>
      </c>
      <c r="L330" s="247" t="s">
        <v>1475</v>
      </c>
      <c r="M330" s="247">
        <v>75</v>
      </c>
      <c r="N330" s="247">
        <v>70</v>
      </c>
      <c r="O330">
        <v>328</v>
      </c>
    </row>
    <row r="331" spans="9:15">
      <c r="I331" t="s">
        <v>1915</v>
      </c>
      <c r="J331" s="26" t="str">
        <f>"T12_"&amp;STDLIGHTINEFCAT2[[#This Row],[Ineff DropDown 2]]</f>
        <v>T12_PG &lt;=130</v>
      </c>
      <c r="K331" s="247" t="str">
        <f>STDLIGHTINEFCAT2[[#This Row],[Match]]&amp;"_"&amp;STDLIGHTINEFCAT2[[#This Row],[Options]]</f>
        <v>T12_PG &lt;=130_4L T12 3' 25W</v>
      </c>
      <c r="L331" s="247" t="s">
        <v>1476</v>
      </c>
      <c r="M331" s="247">
        <v>100</v>
      </c>
      <c r="N331" s="247">
        <v>88</v>
      </c>
      <c r="O331">
        <v>329</v>
      </c>
    </row>
    <row r="332" spans="9:15">
      <c r="I332" t="s">
        <v>1915</v>
      </c>
      <c r="J332" s="26" t="str">
        <f>"T12_"&amp;STDLIGHTINEFCAT2[[#This Row],[Ineff DropDown 2]]</f>
        <v>T12_PG &lt;=130</v>
      </c>
      <c r="K332" s="247" t="str">
        <f>STDLIGHTINEFCAT2[[#This Row],[Match]]&amp;"_"&amp;STDLIGHTINEFCAT2[[#This Row],[Options]]</f>
        <v>T12_PG &lt;=130_1L T12 3' 30W</v>
      </c>
      <c r="L332" s="247" t="s">
        <v>1477</v>
      </c>
      <c r="M332" s="247">
        <v>30</v>
      </c>
      <c r="N332" s="247">
        <v>40</v>
      </c>
      <c r="O332">
        <v>330</v>
      </c>
    </row>
    <row r="333" spans="9:15">
      <c r="I333" t="s">
        <v>1915</v>
      </c>
      <c r="J333" s="26" t="str">
        <f>"T12_"&amp;STDLIGHTINEFCAT2[[#This Row],[Ineff DropDown 2]]</f>
        <v>T12_PG &lt;=130</v>
      </c>
      <c r="K333" s="247" t="str">
        <f>STDLIGHTINEFCAT2[[#This Row],[Match]]&amp;"_"&amp;STDLIGHTINEFCAT2[[#This Row],[Options]]</f>
        <v>T12_PG &lt;=130_2L T12 3' 30W</v>
      </c>
      <c r="L333" s="247" t="s">
        <v>1478</v>
      </c>
      <c r="M333" s="247">
        <v>60</v>
      </c>
      <c r="N333" s="247">
        <v>75</v>
      </c>
      <c r="O333">
        <v>331</v>
      </c>
    </row>
    <row r="334" spans="9:15">
      <c r="I334" t="s">
        <v>1915</v>
      </c>
      <c r="J334" s="26" t="str">
        <f>"T12_"&amp;STDLIGHTINEFCAT2[[#This Row],[Ineff DropDown 2]]</f>
        <v>T12_PG &lt;=130</v>
      </c>
      <c r="K334" s="247" t="str">
        <f>STDLIGHTINEFCAT2[[#This Row],[Match]]&amp;"_"&amp;STDLIGHTINEFCAT2[[#This Row],[Options]]</f>
        <v>T12_PG &lt;=130_3L T12 3' 30W</v>
      </c>
      <c r="L334" s="247" t="s">
        <v>1479</v>
      </c>
      <c r="M334" s="247">
        <v>90</v>
      </c>
      <c r="N334" s="247">
        <v>113</v>
      </c>
      <c r="O334">
        <v>332</v>
      </c>
    </row>
    <row r="335" spans="9:15">
      <c r="I335" t="s">
        <v>1915</v>
      </c>
      <c r="J335" s="26" t="str">
        <f>"T12_"&amp;STDLIGHTINEFCAT2[[#This Row],[Ineff DropDown 2]]</f>
        <v>T12_PG &lt;=130</v>
      </c>
      <c r="K335" s="247" t="str">
        <f>STDLIGHTINEFCAT2[[#This Row],[Match]]&amp;"_"&amp;STDLIGHTINEFCAT2[[#This Row],[Options]]</f>
        <v>T12_PG &lt;=130_1L T12 3' 50W</v>
      </c>
      <c r="L335" s="247" t="s">
        <v>1481</v>
      </c>
      <c r="M335" s="247">
        <v>50</v>
      </c>
      <c r="N335" s="247">
        <v>72</v>
      </c>
      <c r="O335">
        <v>333</v>
      </c>
    </row>
    <row r="336" spans="9:15">
      <c r="I336" t="s">
        <v>1915</v>
      </c>
      <c r="J336" s="26" t="str">
        <f>"T12_"&amp;STDLIGHTINEFCAT2[[#This Row],[Ineff DropDown 2]]</f>
        <v>T12_PG &lt;=130</v>
      </c>
      <c r="K336" s="247" t="str">
        <f>STDLIGHTINEFCAT2[[#This Row],[Match]]&amp;"_"&amp;STDLIGHTINEFCAT2[[#This Row],[Options]]</f>
        <v>T12_PG &lt;=130_2L T12 3' 50W</v>
      </c>
      <c r="L336" s="247" t="s">
        <v>1482</v>
      </c>
      <c r="M336" s="247">
        <v>100</v>
      </c>
      <c r="N336" s="247">
        <v>110</v>
      </c>
      <c r="O336">
        <v>334</v>
      </c>
    </row>
    <row r="337" spans="9:15">
      <c r="I337" t="s">
        <v>1915</v>
      </c>
      <c r="J337" s="26" t="str">
        <f>"T12_"&amp;STDLIGHTINEFCAT2[[#This Row],[Ineff DropDown 2]]</f>
        <v>T12_PG &lt;=130</v>
      </c>
      <c r="K337" s="247" t="str">
        <f>STDLIGHTINEFCAT2[[#This Row],[Match]]&amp;"_"&amp;STDLIGHTINEFCAT2[[#This Row],[Options]]</f>
        <v>T12_PG &lt;=130_----4 ft Lamps----</v>
      </c>
      <c r="L337" s="251" t="s">
        <v>1542</v>
      </c>
      <c r="M337" s="251"/>
      <c r="N337" s="247"/>
      <c r="O337">
        <v>335</v>
      </c>
    </row>
    <row r="338" spans="9:15">
      <c r="I338" t="s">
        <v>1915</v>
      </c>
      <c r="J338" s="26" t="str">
        <f>"T12_"&amp;STDLIGHTINEFCAT2[[#This Row],[Ineff DropDown 2]]</f>
        <v>T12_PG &lt;=130</v>
      </c>
      <c r="K338" s="247" t="str">
        <f>STDLIGHTINEFCAT2[[#This Row],[Match]]&amp;"_"&amp;STDLIGHTINEFCAT2[[#This Row],[Options]]</f>
        <v>T12_PG &lt;=130_1L T12 4' 30W</v>
      </c>
      <c r="L338" s="247" t="s">
        <v>1485</v>
      </c>
      <c r="M338" s="247">
        <v>30</v>
      </c>
      <c r="N338" s="247">
        <v>49</v>
      </c>
      <c r="O338">
        <v>336</v>
      </c>
    </row>
    <row r="339" spans="9:15">
      <c r="I339" t="s">
        <v>1915</v>
      </c>
      <c r="J339" s="26" t="str">
        <f>"T12_"&amp;STDLIGHTINEFCAT2[[#This Row],[Ineff DropDown 2]]</f>
        <v>T12_PG &lt;=130</v>
      </c>
      <c r="K339" s="247" t="str">
        <f>STDLIGHTINEFCAT2[[#This Row],[Match]]&amp;"_"&amp;STDLIGHTINEFCAT2[[#This Row],[Options]]</f>
        <v>T12_PG &lt;=130_2L T12 4' 30W</v>
      </c>
      <c r="L339" s="247" t="s">
        <v>1486</v>
      </c>
      <c r="M339" s="247">
        <v>60</v>
      </c>
      <c r="N339" s="247">
        <v>80</v>
      </c>
      <c r="O339">
        <v>337</v>
      </c>
    </row>
    <row r="340" spans="9:15">
      <c r="I340" t="s">
        <v>1915</v>
      </c>
      <c r="J340" s="26" t="str">
        <f>"T12_"&amp;STDLIGHTINEFCAT2[[#This Row],[Ineff DropDown 2]]</f>
        <v>T12_PG &lt;=130</v>
      </c>
      <c r="K340" s="247" t="str">
        <f>STDLIGHTINEFCAT2[[#This Row],[Match]]&amp;"_"&amp;STDLIGHTINEFCAT2[[#This Row],[Options]]</f>
        <v>T12_PG &lt;=130_1L T12 4' 34W</v>
      </c>
      <c r="L340" s="247" t="s">
        <v>1487</v>
      </c>
      <c r="M340" s="247">
        <v>34</v>
      </c>
      <c r="N340" s="247">
        <v>45</v>
      </c>
      <c r="O340">
        <v>338</v>
      </c>
    </row>
    <row r="341" spans="9:15">
      <c r="I341" t="s">
        <v>1915</v>
      </c>
      <c r="J341" s="26" t="str">
        <f>"T12_"&amp;STDLIGHTINEFCAT2[[#This Row],[Ineff DropDown 2]]</f>
        <v>T12_PG &lt;=130</v>
      </c>
      <c r="K341" s="247" t="str">
        <f>STDLIGHTINEFCAT2[[#This Row],[Match]]&amp;"_"&amp;STDLIGHTINEFCAT2[[#This Row],[Options]]</f>
        <v>T12_PG &lt;=130_2L T12 4' 34W</v>
      </c>
      <c r="L341" s="247" t="s">
        <v>1488</v>
      </c>
      <c r="M341" s="247">
        <v>68</v>
      </c>
      <c r="N341" s="247">
        <v>84</v>
      </c>
      <c r="O341">
        <v>339</v>
      </c>
    </row>
    <row r="342" spans="9:15">
      <c r="I342" t="s">
        <v>1915</v>
      </c>
      <c r="J342" s="26" t="str">
        <f>"T12_"&amp;STDLIGHTINEFCAT2[[#This Row],[Ineff DropDown 2]]</f>
        <v>T12_PG &lt;=130</v>
      </c>
      <c r="K342" s="247" t="str">
        <f>STDLIGHTINEFCAT2[[#This Row],[Match]]&amp;"_"&amp;STDLIGHTINEFCAT2[[#This Row],[Options]]</f>
        <v>T12_PG &lt;=130_3L T12 4' 34W</v>
      </c>
      <c r="L342" s="247" t="s">
        <v>1489</v>
      </c>
      <c r="M342" s="247">
        <v>102</v>
      </c>
      <c r="N342" s="247">
        <v>127</v>
      </c>
      <c r="O342">
        <v>340</v>
      </c>
    </row>
    <row r="343" spans="9:15">
      <c r="I343" t="s">
        <v>1915</v>
      </c>
      <c r="J343" s="26" t="str">
        <f>"T12_"&amp;STDLIGHTINEFCAT2[[#This Row],[Ineff DropDown 2]]</f>
        <v>T12_PG &lt;=130</v>
      </c>
      <c r="K343" s="247" t="str">
        <f>STDLIGHTINEFCAT2[[#This Row],[Match]]&amp;"_"&amp;STDLIGHTINEFCAT2[[#This Row],[Options]]</f>
        <v>T12_PG &lt;=130_1L T12 4' 40W</v>
      </c>
      <c r="L343" s="247" t="s">
        <v>1491</v>
      </c>
      <c r="M343" s="247">
        <v>40</v>
      </c>
      <c r="N343" s="247">
        <v>51</v>
      </c>
      <c r="O343">
        <v>341</v>
      </c>
    </row>
    <row r="344" spans="9:15">
      <c r="I344" t="s">
        <v>1915</v>
      </c>
      <c r="J344" s="26" t="str">
        <f>"T12_"&amp;STDLIGHTINEFCAT2[[#This Row],[Ineff DropDown 2]]</f>
        <v>T12_PG &lt;=130</v>
      </c>
      <c r="K344" s="247" t="str">
        <f>STDLIGHTINEFCAT2[[#This Row],[Match]]&amp;"_"&amp;STDLIGHTINEFCAT2[[#This Row],[Options]]</f>
        <v>T12_PG &lt;=130_2L T12 4' 40W</v>
      </c>
      <c r="L344" s="247" t="s">
        <v>1492</v>
      </c>
      <c r="M344" s="247">
        <v>80</v>
      </c>
      <c r="N344" s="247">
        <v>97</v>
      </c>
      <c r="O344">
        <v>342</v>
      </c>
    </row>
    <row r="345" spans="9:15">
      <c r="I345" t="s">
        <v>1915</v>
      </c>
      <c r="J345" s="26" t="str">
        <f>"T12_"&amp;STDLIGHTINEFCAT2[[#This Row],[Ineff DropDown 2]]</f>
        <v>T12_PG &lt;=130</v>
      </c>
      <c r="K345" s="247" t="str">
        <f>STDLIGHTINEFCAT2[[#This Row],[Match]]&amp;"_"&amp;STDLIGHTINEFCAT2[[#This Row],[Options]]</f>
        <v>T12_PG &lt;=130_1L T12 4' 60W</v>
      </c>
      <c r="L345" s="247" t="s">
        <v>1495</v>
      </c>
      <c r="M345" s="247">
        <v>60</v>
      </c>
      <c r="N345" s="247">
        <v>82</v>
      </c>
      <c r="O345">
        <v>343</v>
      </c>
    </row>
    <row r="346" spans="9:15">
      <c r="I346" t="s">
        <v>1915</v>
      </c>
      <c r="J346" s="26" t="str">
        <f>"T12_"&amp;STDLIGHTINEFCAT2[[#This Row],[Ineff DropDown 2]]</f>
        <v>T12_PG &lt;=130</v>
      </c>
      <c r="K346" s="247" t="str">
        <f>STDLIGHTINEFCAT2[[#This Row],[Match]]&amp;"_"&amp;STDLIGHTINEFCAT2[[#This Row],[Options]]</f>
        <v>T12_PG &lt;=130_1L T12 4' 116W</v>
      </c>
      <c r="L346" s="247" t="s">
        <v>1499</v>
      </c>
      <c r="M346" s="247">
        <v>116</v>
      </c>
      <c r="N346" s="247">
        <v>130</v>
      </c>
      <c r="O346">
        <v>344</v>
      </c>
    </row>
    <row r="347" spans="9:15">
      <c r="I347" t="s">
        <v>1915</v>
      </c>
      <c r="J347" s="26" t="str">
        <f>"T12_"&amp;STDLIGHTINEFCAT2[[#This Row],[Ineff DropDown 2]]</f>
        <v>T12_PG &lt;=130</v>
      </c>
      <c r="K347" s="247" t="str">
        <f>STDLIGHTINEFCAT2[[#This Row],[Match]]&amp;"_"&amp;STDLIGHTINEFCAT2[[#This Row],[Options]]</f>
        <v>T12_PG &lt;=130_----6 ft Lamps----</v>
      </c>
      <c r="L347" s="251" t="s">
        <v>1544</v>
      </c>
      <c r="M347" s="251"/>
      <c r="N347" s="247"/>
      <c r="O347">
        <v>345</v>
      </c>
    </row>
    <row r="348" spans="9:15">
      <c r="I348" t="s">
        <v>1915</v>
      </c>
      <c r="J348" s="26" t="str">
        <f>"T12_"&amp;STDLIGHTINEFCAT2[[#This Row],[Ineff DropDown 2]]</f>
        <v>T12_PG &lt;=130</v>
      </c>
      <c r="K348" s="247" t="str">
        <f>STDLIGHTINEFCAT2[[#This Row],[Match]]&amp;"_"&amp;STDLIGHTINEFCAT2[[#This Row],[Options]]</f>
        <v>T12_PG &lt;=130_1L T12 6' 57W</v>
      </c>
      <c r="L348" s="247" t="s">
        <v>1513</v>
      </c>
      <c r="M348" s="247">
        <v>57</v>
      </c>
      <c r="N348" s="247">
        <v>80</v>
      </c>
      <c r="O348">
        <v>346</v>
      </c>
    </row>
    <row r="349" spans="9:15">
      <c r="I349" t="s">
        <v>1915</v>
      </c>
      <c r="J349" s="26" t="str">
        <f>"T12_"&amp;STDLIGHTINEFCAT2[[#This Row],[Ineff DropDown 2]]</f>
        <v>T12_PG &lt;=130</v>
      </c>
      <c r="K349" s="247" t="str">
        <f>STDLIGHTINEFCAT2[[#This Row],[Match]]&amp;"_"&amp;STDLIGHTINEFCAT2[[#This Row],[Options]]</f>
        <v>T12_PG &lt;=130_2L T12 6' 57W</v>
      </c>
      <c r="L349" s="247" t="s">
        <v>1514</v>
      </c>
      <c r="M349" s="247">
        <f>57*2</f>
        <v>114</v>
      </c>
      <c r="N349" s="247">
        <v>122</v>
      </c>
      <c r="O349">
        <v>347</v>
      </c>
    </row>
    <row r="350" spans="9:15">
      <c r="I350" t="s">
        <v>1915</v>
      </c>
      <c r="J350" s="26" t="str">
        <f>"T12_"&amp;STDLIGHTINEFCAT2[[#This Row],[Ineff DropDown 2]]</f>
        <v>T12_PG &lt;=130</v>
      </c>
      <c r="K350" s="247" t="str">
        <f>STDLIGHTINEFCAT2[[#This Row],[Match]]&amp;"_"&amp;STDLIGHTINEFCAT2[[#This Row],[Options]]</f>
        <v>T12_PG &lt;=130_1L T12 6' 85W</v>
      </c>
      <c r="L350" s="247" t="s">
        <v>1515</v>
      </c>
      <c r="M350" s="247">
        <v>85</v>
      </c>
      <c r="N350" s="247">
        <v>106</v>
      </c>
      <c r="O350">
        <v>348</v>
      </c>
    </row>
    <row r="351" spans="9:15">
      <c r="I351" t="s">
        <v>1915</v>
      </c>
      <c r="J351" s="26" t="str">
        <f>"T12_"&amp;STDLIGHTINEFCAT2[[#This Row],[Ineff DropDown 2]]</f>
        <v>T12_PG &lt;=130</v>
      </c>
      <c r="K351" s="247" t="str">
        <f>STDLIGHTINEFCAT2[[#This Row],[Match]]&amp;"_"&amp;STDLIGHTINEFCAT2[[#This Row],[Options]]</f>
        <v>T12_PG &lt;=130_----8 ft Lamps----</v>
      </c>
      <c r="L351" s="251" t="s">
        <v>1546</v>
      </c>
      <c r="M351" s="251"/>
      <c r="N351" s="247"/>
      <c r="O351">
        <v>349</v>
      </c>
    </row>
    <row r="352" spans="9:15">
      <c r="I352" t="s">
        <v>1915</v>
      </c>
      <c r="J352" s="26" t="str">
        <f>"T12_"&amp;STDLIGHTINEFCAT2[[#This Row],[Ineff DropDown 2]]</f>
        <v>T12_PG &lt;=130</v>
      </c>
      <c r="K352" s="247" t="str">
        <f>STDLIGHTINEFCAT2[[#This Row],[Match]]&amp;"_"&amp;STDLIGHTINEFCAT2[[#This Row],[Options]]</f>
        <v>T12_PG &lt;=130_1L T12 8' 60W</v>
      </c>
      <c r="L352" s="247" t="s">
        <v>1524</v>
      </c>
      <c r="M352" s="247">
        <v>60</v>
      </c>
      <c r="N352" s="247">
        <v>74</v>
      </c>
      <c r="O352">
        <v>350</v>
      </c>
    </row>
    <row r="353" spans="9:15">
      <c r="I353" t="s">
        <v>1915</v>
      </c>
      <c r="J353" s="26" t="str">
        <f>"T12_"&amp;STDLIGHTINEFCAT2[[#This Row],[Ineff DropDown 2]]</f>
        <v>T12_PG &lt;=130</v>
      </c>
      <c r="K353" s="247" t="str">
        <f>STDLIGHTINEFCAT2[[#This Row],[Match]]&amp;"_"&amp;STDLIGHTINEFCAT2[[#This Row],[Options]]</f>
        <v>T12_PG &lt;=130_1L T12 8' 75W</v>
      </c>
      <c r="L353" s="247" t="s">
        <v>1527</v>
      </c>
      <c r="M353" s="247">
        <v>75</v>
      </c>
      <c r="N353" s="247">
        <v>94</v>
      </c>
      <c r="O353">
        <v>351</v>
      </c>
    </row>
    <row r="354" spans="9:15">
      <c r="I354" t="s">
        <v>1915</v>
      </c>
      <c r="J354" s="26" t="str">
        <f>"T12_"&amp;STDLIGHTINEFCAT2[[#This Row],[Ineff DropDown 2]]</f>
        <v>T12_PG &lt;=130</v>
      </c>
      <c r="K354" s="247" t="str">
        <f>STDLIGHTINEFCAT2[[#This Row],[Match]]&amp;"_"&amp;STDLIGHTINEFCAT2[[#This Row],[Options]]</f>
        <v>T12_PG &lt;=130_1L T12 8' 95W</v>
      </c>
      <c r="L354" s="247" t="s">
        <v>1529</v>
      </c>
      <c r="M354" s="247">
        <v>95</v>
      </c>
      <c r="N354" s="247">
        <v>125</v>
      </c>
      <c r="O354">
        <v>352</v>
      </c>
    </row>
    <row r="355" spans="9:15">
      <c r="I355" t="s">
        <v>1915</v>
      </c>
      <c r="J355" s="26" t="str">
        <f>"T12_"&amp;STDLIGHTINEFCAT2[[#This Row],[Ineff DropDown 2]]</f>
        <v>T12_PG &lt;=130</v>
      </c>
      <c r="K355" s="247" t="str">
        <f>STDLIGHTINEFCAT2[[#This Row],[Match]]&amp;"_"&amp;STDLIGHTINEFCAT2[[#This Row],[Options]]</f>
        <v>T12_PG &lt;=130_2L T12 8' 60W</v>
      </c>
      <c r="L355" s="247" t="s">
        <v>1525</v>
      </c>
      <c r="M355" s="247">
        <v>120</v>
      </c>
      <c r="N355" s="247">
        <v>113</v>
      </c>
      <c r="O355">
        <v>353</v>
      </c>
    </row>
    <row r="356" spans="9:15">
      <c r="I356" t="s">
        <v>1916</v>
      </c>
      <c r="J356" s="26" t="str">
        <f>"T12_"&amp;STDLIGHTINEFCAT2[[#This Row],[Ineff DropDown 2]]</f>
        <v>T12_PG &gt;210</v>
      </c>
      <c r="K356" s="247" t="str">
        <f>STDLIGHTINEFCAT2[[#This Row],[Match]]&amp;"_"&amp;STDLIGHTINEFCAT2[[#This Row],[Options]]</f>
        <v>T12_PG &gt;210_----3 ft Lamps----</v>
      </c>
      <c r="L356" s="251" t="s">
        <v>1541</v>
      </c>
      <c r="M356" s="251"/>
      <c r="N356" s="247"/>
      <c r="O356">
        <v>354</v>
      </c>
    </row>
    <row r="357" spans="9:15">
      <c r="I357" t="s">
        <v>1916</v>
      </c>
      <c r="J357" s="26" t="str">
        <f>"T12_"&amp;STDLIGHTINEFCAT2[[#This Row],[Ineff DropDown 2]]</f>
        <v>T12_PG &gt;210</v>
      </c>
      <c r="K357" s="247" t="str">
        <f>STDLIGHTINEFCAT2[[#This Row],[Match]]&amp;"_"&amp;STDLIGHTINEFCAT2[[#This Row],[Options]]</f>
        <v>T12_PG &gt;210_4L T12 3' 50W</v>
      </c>
      <c r="L357" s="247" t="s">
        <v>1484</v>
      </c>
      <c r="M357" s="247">
        <f>4*50</f>
        <v>200</v>
      </c>
      <c r="N357" s="247">
        <v>212</v>
      </c>
      <c r="O357">
        <v>355</v>
      </c>
    </row>
    <row r="358" spans="9:15">
      <c r="I358" t="s">
        <v>1916</v>
      </c>
      <c r="J358" s="26" t="str">
        <f>"T12_"&amp;STDLIGHTINEFCAT2[[#This Row],[Ineff DropDown 2]]</f>
        <v>T12_PG &gt;210</v>
      </c>
      <c r="K358" s="247" t="str">
        <f>STDLIGHTINEFCAT2[[#This Row],[Match]]&amp;"_"&amp;STDLIGHTINEFCAT2[[#This Row],[Options]]</f>
        <v>T12_PG &gt;210_----4 ft Lamps----</v>
      </c>
      <c r="L358" s="251" t="s">
        <v>1542</v>
      </c>
      <c r="M358" s="251"/>
      <c r="N358" s="247"/>
      <c r="O358">
        <v>356</v>
      </c>
    </row>
    <row r="359" spans="9:15">
      <c r="I359" t="s">
        <v>1916</v>
      </c>
      <c r="J359" s="26" t="str">
        <f>"T12_"&amp;STDLIGHTINEFCAT2[[#This Row],[Ineff DropDown 2]]</f>
        <v>T12_PG &gt;210</v>
      </c>
      <c r="K359" s="247" t="str">
        <f>STDLIGHTINEFCAT2[[#This Row],[Match]]&amp;"_"&amp;STDLIGHTINEFCAT2[[#This Row],[Options]]</f>
        <v>T12_PG &gt;210_4L T12 4' 60W</v>
      </c>
      <c r="L359" s="247" t="s">
        <v>1498</v>
      </c>
      <c r="M359" s="252">
        <f>4*60</f>
        <v>240</v>
      </c>
      <c r="N359" s="247">
        <v>263</v>
      </c>
      <c r="O359">
        <v>357</v>
      </c>
    </row>
    <row r="360" spans="9:15">
      <c r="I360" t="s">
        <v>1916</v>
      </c>
      <c r="J360" s="26" t="str">
        <f>"T12_"&amp;STDLIGHTINEFCAT2[[#This Row],[Ineff DropDown 2]]</f>
        <v>T12_PG &gt;210</v>
      </c>
      <c r="K360" s="247" t="str">
        <f>STDLIGHTINEFCAT2[[#This Row],[Match]]&amp;"_"&amp;STDLIGHTINEFCAT2[[#This Row],[Options]]</f>
        <v>T12_PG &gt;210_2L T12 4' 116W</v>
      </c>
      <c r="L360" s="247" t="s">
        <v>1500</v>
      </c>
      <c r="M360" s="247">
        <f>2*116</f>
        <v>232</v>
      </c>
      <c r="N360" s="247">
        <v>230</v>
      </c>
      <c r="O360">
        <v>358</v>
      </c>
    </row>
    <row r="361" spans="9:15">
      <c r="I361" t="s">
        <v>1916</v>
      </c>
      <c r="J361" s="26" t="str">
        <f>"T12_"&amp;STDLIGHTINEFCAT2[[#This Row],[Ineff DropDown 2]]</f>
        <v>T12_PG &gt;210</v>
      </c>
      <c r="K361" s="247" t="str">
        <f>STDLIGHTINEFCAT2[[#This Row],[Match]]&amp;"_"&amp;STDLIGHTINEFCAT2[[#This Row],[Options]]</f>
        <v>T12_PG &gt;210_3L T12 4' 116W</v>
      </c>
      <c r="L361" s="247" t="s">
        <v>1501</v>
      </c>
      <c r="M361" s="252">
        <f>3*116</f>
        <v>348</v>
      </c>
      <c r="N361" s="247">
        <v>329</v>
      </c>
      <c r="O361">
        <v>359</v>
      </c>
    </row>
    <row r="362" spans="9:15">
      <c r="I362" t="s">
        <v>1916</v>
      </c>
      <c r="J362" s="26" t="str">
        <f>"T12_"&amp;STDLIGHTINEFCAT2[[#This Row],[Ineff DropDown 2]]</f>
        <v>T12_PG &gt;210</v>
      </c>
      <c r="K362" s="247" t="str">
        <f>STDLIGHTINEFCAT2[[#This Row],[Match]]&amp;"_"&amp;STDLIGHTINEFCAT2[[#This Row],[Options]]</f>
        <v>T12_PG &gt;210_----6 ft Lamps----</v>
      </c>
      <c r="L362" s="251" t="s">
        <v>1544</v>
      </c>
      <c r="M362" s="251"/>
      <c r="N362" s="247"/>
      <c r="O362">
        <v>360</v>
      </c>
    </row>
    <row r="363" spans="9:15">
      <c r="I363" t="s">
        <v>1916</v>
      </c>
      <c r="J363" s="26" t="str">
        <f>"T12_"&amp;STDLIGHTINEFCAT2[[#This Row],[Ineff DropDown 2]]</f>
        <v>T12_PG &gt;210</v>
      </c>
      <c r="K363" s="247" t="str">
        <f>STDLIGHTINEFCAT2[[#This Row],[Match]]&amp;"_"&amp;STDLIGHTINEFCAT2[[#This Row],[Options]]</f>
        <v>T12_PG &gt;210_2L T12 6' 168W</v>
      </c>
      <c r="L363" s="247" t="s">
        <v>1511</v>
      </c>
      <c r="M363" s="252">
        <f>2*168</f>
        <v>336</v>
      </c>
      <c r="N363" s="247">
        <v>314</v>
      </c>
      <c r="O363">
        <v>361</v>
      </c>
    </row>
    <row r="364" spans="9:15">
      <c r="I364" t="s">
        <v>1916</v>
      </c>
      <c r="J364" s="26" t="str">
        <f>"T12_"&amp;STDLIGHTINEFCAT2[[#This Row],[Ineff DropDown 2]]</f>
        <v>T12_PG &gt;210</v>
      </c>
      <c r="K364" s="247" t="str">
        <f>STDLIGHTINEFCAT2[[#This Row],[Match]]&amp;"_"&amp;STDLIGHTINEFCAT2[[#This Row],[Options]]</f>
        <v>T12_PG &gt;210_3L T12 6' 168W</v>
      </c>
      <c r="L364" s="247" t="s">
        <v>1512</v>
      </c>
      <c r="M364" s="253">
        <f>3*168</f>
        <v>504</v>
      </c>
      <c r="N364" s="247">
        <v>424</v>
      </c>
      <c r="O364">
        <v>362</v>
      </c>
    </row>
    <row r="365" spans="9:15">
      <c r="I365" t="s">
        <v>1916</v>
      </c>
      <c r="J365" s="26" t="str">
        <f>"T12_"&amp;STDLIGHTINEFCAT2[[#This Row],[Ineff DropDown 2]]</f>
        <v>T12_PG &gt;210</v>
      </c>
      <c r="K365" s="247" t="str">
        <f>STDLIGHTINEFCAT2[[#This Row],[Match]]&amp;"_"&amp;STDLIGHTINEFCAT2[[#This Row],[Options]]</f>
        <v>T12_PG &gt;210_3L T12 6' 85W</v>
      </c>
      <c r="L365" s="247" t="s">
        <v>1517</v>
      </c>
      <c r="M365" s="252">
        <f>3*85</f>
        <v>255</v>
      </c>
      <c r="N365" s="247">
        <v>291</v>
      </c>
      <c r="O365">
        <v>363</v>
      </c>
    </row>
    <row r="366" spans="9:15">
      <c r="I366" t="s">
        <v>1916</v>
      </c>
      <c r="J366" s="26" t="str">
        <f>"T12_"&amp;STDLIGHTINEFCAT2[[#This Row],[Ineff DropDown 2]]</f>
        <v>T12_PG &gt;210</v>
      </c>
      <c r="K366" s="247" t="str">
        <f>STDLIGHTINEFCAT2[[#This Row],[Match]]&amp;"_"&amp;STDLIGHTINEFCAT2[[#This Row],[Options]]</f>
        <v>T12_PG &gt;210_4L T12 6' 85W</v>
      </c>
      <c r="L366" s="247" t="s">
        <v>1518</v>
      </c>
      <c r="M366" s="252">
        <f>4*85</f>
        <v>340</v>
      </c>
      <c r="N366" s="247">
        <v>323</v>
      </c>
      <c r="O366">
        <v>364</v>
      </c>
    </row>
    <row r="367" spans="9:15">
      <c r="I367" t="s">
        <v>1916</v>
      </c>
      <c r="J367" s="26" t="str">
        <f>"T12_"&amp;STDLIGHTINEFCAT2[[#This Row],[Ineff DropDown 2]]</f>
        <v>T12_PG &gt;210</v>
      </c>
      <c r="K367" s="247" t="str">
        <f>STDLIGHTINEFCAT2[[#This Row],[Match]]&amp;"_"&amp;STDLIGHTINEFCAT2[[#This Row],[Options]]</f>
        <v>T12_PG &gt;210_----8 ft Lamps----</v>
      </c>
      <c r="L367" s="251" t="s">
        <v>1546</v>
      </c>
      <c r="M367" s="251"/>
      <c r="N367" s="247"/>
      <c r="O367">
        <v>365</v>
      </c>
    </row>
    <row r="368" spans="9:15">
      <c r="I368" t="s">
        <v>1916</v>
      </c>
      <c r="J368" s="26" t="str">
        <f>"T12_"&amp;STDLIGHTINEFCAT2[[#This Row],[Ineff DropDown 2]]</f>
        <v>T12_PG &gt;210</v>
      </c>
      <c r="K368" s="247" t="str">
        <f>STDLIGHTINEFCAT2[[#This Row],[Match]]&amp;"_"&amp;STDLIGHTINEFCAT2[[#This Row],[Options]]</f>
        <v>T12_PG &gt;210_4L T12 8' 60W</v>
      </c>
      <c r="L368" s="247" t="s">
        <v>1526</v>
      </c>
      <c r="M368" s="247">
        <f>4*60</f>
        <v>240</v>
      </c>
      <c r="N368" s="247">
        <v>246</v>
      </c>
      <c r="O368">
        <v>366</v>
      </c>
    </row>
    <row r="369" spans="9:15">
      <c r="I369" t="s">
        <v>1916</v>
      </c>
      <c r="J369" s="26" t="str">
        <f>"T12_"&amp;STDLIGHTINEFCAT2[[#This Row],[Ineff DropDown 2]]</f>
        <v>T12_PG &gt;210</v>
      </c>
      <c r="K369" s="247" t="str">
        <f>STDLIGHTINEFCAT2[[#This Row],[Match]]&amp;"_"&amp;STDLIGHTINEFCAT2[[#This Row],[Options]]</f>
        <v>T12_PG &gt;210_2L T12 8' 95W</v>
      </c>
      <c r="L369" s="247" t="s">
        <v>1530</v>
      </c>
      <c r="M369" s="247">
        <f>2*95</f>
        <v>190</v>
      </c>
      <c r="N369" s="247">
        <v>216</v>
      </c>
      <c r="O369">
        <v>367</v>
      </c>
    </row>
    <row r="370" spans="9:15">
      <c r="I370" t="s">
        <v>1916</v>
      </c>
      <c r="J370" s="26" t="str">
        <f>"T12_"&amp;STDLIGHTINEFCAT2[[#This Row],[Ineff DropDown 2]]</f>
        <v>T12_PG &gt;210</v>
      </c>
      <c r="K370" s="247" t="str">
        <f>STDLIGHTINEFCAT2[[#This Row],[Match]]&amp;"_"&amp;STDLIGHTINEFCAT2[[#This Row],[Options]]</f>
        <v>T12_PG &gt;210_2L T12 8' 110W</v>
      </c>
      <c r="L370" s="247" t="s">
        <v>1532</v>
      </c>
      <c r="M370" s="252">
        <f>2*110</f>
        <v>220</v>
      </c>
      <c r="N370" s="247">
        <v>258</v>
      </c>
      <c r="O370">
        <v>368</v>
      </c>
    </row>
    <row r="371" spans="9:15">
      <c r="I371" t="s">
        <v>1916</v>
      </c>
      <c r="J371" s="26" t="str">
        <f>"T12_"&amp;STDLIGHTINEFCAT2[[#This Row],[Ineff DropDown 2]]</f>
        <v>T12_PG &gt;210</v>
      </c>
      <c r="K371" s="247" t="str">
        <f>STDLIGHTINEFCAT2[[#This Row],[Match]]&amp;"_"&amp;STDLIGHTINEFCAT2[[#This Row],[Options]]</f>
        <v>T12_PG &gt;210_2L T12 8' 185W</v>
      </c>
      <c r="L371" s="247" t="s">
        <v>1534</v>
      </c>
      <c r="M371" s="252">
        <f>2*185</f>
        <v>370</v>
      </c>
      <c r="N371" s="247">
        <v>398</v>
      </c>
      <c r="O371">
        <v>369</v>
      </c>
    </row>
    <row r="372" spans="9:15">
      <c r="I372" t="s">
        <v>1916</v>
      </c>
      <c r="J372" s="26" t="str">
        <f>"T12_"&amp;STDLIGHTINEFCAT2[[#This Row],[Ineff DropDown 2]]</f>
        <v>T12_PG &gt;210</v>
      </c>
      <c r="K372" s="247" t="str">
        <f>STDLIGHTINEFCAT2[[#This Row],[Match]]&amp;"_"&amp;STDLIGHTINEFCAT2[[#This Row],[Options]]</f>
        <v>T12_PG &gt;210_3L T12 8' 185W</v>
      </c>
      <c r="L372" s="247" t="s">
        <v>1535</v>
      </c>
      <c r="M372" s="247">
        <f>3*185</f>
        <v>555</v>
      </c>
      <c r="N372" s="247">
        <v>550</v>
      </c>
      <c r="O372">
        <v>370</v>
      </c>
    </row>
    <row r="373" spans="9:15">
      <c r="I373" t="s">
        <v>1916</v>
      </c>
      <c r="J373" s="26" t="str">
        <f>"T12_"&amp;STDLIGHTINEFCAT2[[#This Row],[Ineff DropDown 2]]</f>
        <v>T12_PG &gt;210</v>
      </c>
      <c r="K373" s="247" t="str">
        <f>STDLIGHTINEFCAT2[[#This Row],[Match]]&amp;"_"&amp;STDLIGHTINEFCAT2[[#This Row],[Options]]</f>
        <v>T12_PG &gt;210_1L T12 8' 215W</v>
      </c>
      <c r="L373" s="247" t="s">
        <v>1536</v>
      </c>
      <c r="M373" s="247">
        <v>215</v>
      </c>
      <c r="N373" s="247">
        <v>213</v>
      </c>
      <c r="O373">
        <v>371</v>
      </c>
    </row>
    <row r="374" spans="9:15">
      <c r="I374" t="s">
        <v>1916</v>
      </c>
      <c r="J374" s="26" t="str">
        <f>"T12_"&amp;STDLIGHTINEFCAT2[[#This Row],[Ineff DropDown 2]]</f>
        <v>T12_PG &gt;210</v>
      </c>
      <c r="K374" s="247" t="str">
        <f>STDLIGHTINEFCAT2[[#This Row],[Match]]&amp;"_"&amp;STDLIGHTINEFCAT2[[#This Row],[Options]]</f>
        <v>T12_PG &gt;210_2L T12 8' 215W</v>
      </c>
      <c r="L374" s="247" t="s">
        <v>1537</v>
      </c>
      <c r="M374" s="252">
        <f>2*215</f>
        <v>430</v>
      </c>
      <c r="N374" s="247">
        <v>320</v>
      </c>
      <c r="O374">
        <v>372</v>
      </c>
    </row>
    <row r="375" spans="9:15">
      <c r="I375" t="s">
        <v>1916</v>
      </c>
      <c r="J375" s="26" t="str">
        <f>"T12_"&amp;STDLIGHTINEFCAT2[[#This Row],[Ineff DropDown 2]]</f>
        <v>T12_PG &gt;210</v>
      </c>
      <c r="K375" s="247" t="str">
        <f>STDLIGHTINEFCAT2[[#This Row],[Match]]&amp;"_"&amp;STDLIGHTINEFCAT2[[#This Row],[Options]]</f>
        <v>T12_PG &gt;210_3L T12 8' 215W</v>
      </c>
      <c r="L375" s="247" t="s">
        <v>1538</v>
      </c>
      <c r="M375" s="253">
        <f>3*215</f>
        <v>645</v>
      </c>
      <c r="N375" s="247">
        <v>518</v>
      </c>
      <c r="O375">
        <v>373</v>
      </c>
    </row>
    <row r="376" spans="9:15">
      <c r="I376" s="26" t="s">
        <v>1917</v>
      </c>
      <c r="J376" s="26" t="str">
        <f>"T12_"&amp;STDLIGHTINEFCAT2[[#This Row],[Ineff DropDown 2]]</f>
        <v>T12_PG 131-210</v>
      </c>
      <c r="K376" s="247" t="str">
        <f>STDLIGHTINEFCAT2[[#This Row],[Match]]&amp;"_"&amp;STDLIGHTINEFCAT2[[#This Row],[Options]]</f>
        <v>T12_PG 131-210_----2 ft Lamps----</v>
      </c>
      <c r="L376" s="251" t="s">
        <v>1540</v>
      </c>
      <c r="M376" s="251"/>
      <c r="N376" s="247"/>
      <c r="O376">
        <v>374</v>
      </c>
    </row>
    <row r="377" spans="9:15">
      <c r="I377" s="26" t="s">
        <v>1917</v>
      </c>
      <c r="J377" s="26" t="str">
        <f>"T12_"&amp;STDLIGHTINEFCAT2[[#This Row],[Ineff DropDown 2]]</f>
        <v>T12_PG 131-210</v>
      </c>
      <c r="K377" s="247" t="str">
        <f>STDLIGHTINEFCAT2[[#This Row],[Match]]&amp;"_"&amp;STDLIGHTINEFCAT2[[#This Row],[Options]]</f>
        <v>T12_PG 131-210_3L T12 2' 35W</v>
      </c>
      <c r="L377" s="247" t="s">
        <v>1467</v>
      </c>
      <c r="M377" s="247">
        <v>105</v>
      </c>
      <c r="N377" s="247">
        <v>148</v>
      </c>
      <c r="O377">
        <v>375</v>
      </c>
    </row>
    <row r="378" spans="9:15">
      <c r="I378" s="26" t="s">
        <v>1917</v>
      </c>
      <c r="J378" s="26" t="str">
        <f>"T12_"&amp;STDLIGHTINEFCAT2[[#This Row],[Ineff DropDown 2]]</f>
        <v>T12_PG 131-210</v>
      </c>
      <c r="K378" s="247" t="str">
        <f>STDLIGHTINEFCAT2[[#This Row],[Match]]&amp;"_"&amp;STDLIGHTINEFCAT2[[#This Row],[Options]]</f>
        <v>T12_PG 131-210_4L T12 2' 35W</v>
      </c>
      <c r="L378" s="247" t="s">
        <v>1468</v>
      </c>
      <c r="M378" s="247">
        <f>4*35</f>
        <v>140</v>
      </c>
      <c r="N378" s="247">
        <v>183</v>
      </c>
      <c r="O378">
        <v>376</v>
      </c>
    </row>
    <row r="379" spans="9:15">
      <c r="I379" s="26" t="s">
        <v>1917</v>
      </c>
      <c r="J379" s="26" t="str">
        <f>"T12_"&amp;STDLIGHTINEFCAT2[[#This Row],[Ineff DropDown 2]]</f>
        <v>T12_PG 131-210</v>
      </c>
      <c r="K379" s="247" t="str">
        <f>STDLIGHTINEFCAT2[[#This Row],[Match]]&amp;"_"&amp;STDLIGHTINEFCAT2[[#This Row],[Options]]</f>
        <v>T12_PG 131-210_----3 ft Lamps----</v>
      </c>
      <c r="L379" s="251" t="s">
        <v>1541</v>
      </c>
      <c r="M379" s="251"/>
      <c r="N379" s="247"/>
      <c r="O379">
        <v>377</v>
      </c>
    </row>
    <row r="380" spans="9:15">
      <c r="I380" s="26" t="s">
        <v>1917</v>
      </c>
      <c r="J380" s="26" t="str">
        <f>"T12_"&amp;STDLIGHTINEFCAT2[[#This Row],[Ineff DropDown 2]]</f>
        <v>T12_PG 131-210</v>
      </c>
      <c r="K380" s="247" t="str">
        <f>STDLIGHTINEFCAT2[[#This Row],[Match]]&amp;"_"&amp;STDLIGHTINEFCAT2[[#This Row],[Options]]</f>
        <v>T12_PG 131-210_4L T12 3' 30W</v>
      </c>
      <c r="L380" s="247" t="s">
        <v>1480</v>
      </c>
      <c r="M380" s="247">
        <v>120</v>
      </c>
      <c r="N380" s="247">
        <v>138</v>
      </c>
      <c r="O380">
        <v>378</v>
      </c>
    </row>
    <row r="381" spans="9:15">
      <c r="I381" s="26" t="s">
        <v>1917</v>
      </c>
      <c r="J381" s="26" t="str">
        <f>"T12_"&amp;STDLIGHTINEFCAT2[[#This Row],[Ineff DropDown 2]]</f>
        <v>T12_PG 131-210</v>
      </c>
      <c r="K381" s="247" t="str">
        <f>STDLIGHTINEFCAT2[[#This Row],[Match]]&amp;"_"&amp;STDLIGHTINEFCAT2[[#This Row],[Options]]</f>
        <v>T12_PG 131-210_3L T12 3' 50W</v>
      </c>
      <c r="L381" s="247" t="s">
        <v>1483</v>
      </c>
      <c r="M381" s="247">
        <v>150</v>
      </c>
      <c r="N381" s="247">
        <v>166</v>
      </c>
      <c r="O381">
        <v>379</v>
      </c>
    </row>
    <row r="382" spans="9:15">
      <c r="I382" s="26" t="s">
        <v>1917</v>
      </c>
      <c r="J382" s="26" t="str">
        <f>"T12_"&amp;STDLIGHTINEFCAT2[[#This Row],[Ineff DropDown 2]]</f>
        <v>T12_PG 131-210</v>
      </c>
      <c r="K382" s="247" t="str">
        <f>STDLIGHTINEFCAT2[[#This Row],[Match]]&amp;"_"&amp;STDLIGHTINEFCAT2[[#This Row],[Options]]</f>
        <v>T12_PG 131-210_----4 ft Lamps----</v>
      </c>
      <c r="L382" s="251" t="s">
        <v>1542</v>
      </c>
      <c r="M382" s="251"/>
      <c r="N382" s="247"/>
      <c r="O382">
        <v>380</v>
      </c>
    </row>
    <row r="383" spans="9:15">
      <c r="I383" s="26" t="s">
        <v>1917</v>
      </c>
      <c r="J383" s="26" t="str">
        <f>"T12_"&amp;STDLIGHTINEFCAT2[[#This Row],[Ineff DropDown 2]]</f>
        <v>T12_PG 131-210</v>
      </c>
      <c r="K383" s="247" t="str">
        <f>STDLIGHTINEFCAT2[[#This Row],[Match]]&amp;"_"&amp;STDLIGHTINEFCAT2[[#This Row],[Options]]</f>
        <v>T12_PG 131-210_4L T12 4' 34W</v>
      </c>
      <c r="L383" s="247" t="s">
        <v>1490</v>
      </c>
      <c r="M383" s="247">
        <v>136</v>
      </c>
      <c r="N383" s="247">
        <v>156</v>
      </c>
      <c r="O383">
        <v>381</v>
      </c>
    </row>
    <row r="384" spans="9:15">
      <c r="I384" s="26" t="s">
        <v>1917</v>
      </c>
      <c r="J384" s="26" t="str">
        <f>"T12_"&amp;STDLIGHTINEFCAT2[[#This Row],[Ineff DropDown 2]]</f>
        <v>T12_PG 131-210</v>
      </c>
      <c r="K384" s="247" t="str">
        <f>STDLIGHTINEFCAT2[[#This Row],[Match]]&amp;"_"&amp;STDLIGHTINEFCAT2[[#This Row],[Options]]</f>
        <v>T12_PG 131-210_3L T12 4' 40W</v>
      </c>
      <c r="L384" s="247" t="s">
        <v>1493</v>
      </c>
      <c r="M384" s="247">
        <f>3*40</f>
        <v>120</v>
      </c>
      <c r="N384" s="247">
        <v>135</v>
      </c>
      <c r="O384">
        <v>382</v>
      </c>
    </row>
    <row r="385" spans="9:15">
      <c r="I385" s="26" t="s">
        <v>1917</v>
      </c>
      <c r="J385" s="26" t="str">
        <f>"T12_"&amp;STDLIGHTINEFCAT2[[#This Row],[Ineff DropDown 2]]</f>
        <v>T12_PG 131-210</v>
      </c>
      <c r="K385" s="247" t="str">
        <f>STDLIGHTINEFCAT2[[#This Row],[Match]]&amp;"_"&amp;STDLIGHTINEFCAT2[[#This Row],[Options]]</f>
        <v>T12_PG 131-210_4L T12 4' 40W</v>
      </c>
      <c r="L385" s="247" t="s">
        <v>1494</v>
      </c>
      <c r="M385" s="247">
        <f>4*40</f>
        <v>160</v>
      </c>
      <c r="N385" s="247">
        <v>175</v>
      </c>
      <c r="O385">
        <v>383</v>
      </c>
    </row>
    <row r="386" spans="9:15">
      <c r="I386" s="26" t="s">
        <v>1917</v>
      </c>
      <c r="J386" s="26" t="str">
        <f>"T12_"&amp;STDLIGHTINEFCAT2[[#This Row],[Ineff DropDown 2]]</f>
        <v>T12_PG 131-210</v>
      </c>
      <c r="K386" s="247" t="str">
        <f>STDLIGHTINEFCAT2[[#This Row],[Match]]&amp;"_"&amp;STDLIGHTINEFCAT2[[#This Row],[Options]]</f>
        <v>T12_PG 131-210_2L T12 4' 60W</v>
      </c>
      <c r="L386" s="247" t="s">
        <v>1496</v>
      </c>
      <c r="M386" s="247">
        <v>120</v>
      </c>
      <c r="N386" s="247">
        <v>133</v>
      </c>
      <c r="O386">
        <v>384</v>
      </c>
    </row>
    <row r="387" spans="9:15">
      <c r="I387" s="26" t="s">
        <v>1917</v>
      </c>
      <c r="J387" s="26" t="str">
        <f>"T12_"&amp;STDLIGHTINEFCAT2[[#This Row],[Ineff DropDown 2]]</f>
        <v>T12_PG 131-210</v>
      </c>
      <c r="K387" s="247" t="str">
        <f>STDLIGHTINEFCAT2[[#This Row],[Match]]&amp;"_"&amp;STDLIGHTINEFCAT2[[#This Row],[Options]]</f>
        <v>T12_PG 131-210_3L T12 4' 60W</v>
      </c>
      <c r="L387" s="247" t="s">
        <v>1497</v>
      </c>
      <c r="M387" s="247">
        <f>3*60</f>
        <v>180</v>
      </c>
      <c r="N387" s="247">
        <v>204</v>
      </c>
      <c r="O387">
        <v>385</v>
      </c>
    </row>
    <row r="388" spans="9:15">
      <c r="I388" s="26" t="s">
        <v>1917</v>
      </c>
      <c r="J388" s="26" t="str">
        <f>"T12_"&amp;STDLIGHTINEFCAT2[[#This Row],[Ineff DropDown 2]]</f>
        <v>T12_PG 131-210</v>
      </c>
      <c r="K388" s="247" t="str">
        <f>STDLIGHTINEFCAT2[[#This Row],[Match]]&amp;"_"&amp;STDLIGHTINEFCAT2[[#This Row],[Options]]</f>
        <v>T12_PG 131-210_----6 ft Lamps----</v>
      </c>
      <c r="L388" s="251" t="s">
        <v>1544</v>
      </c>
      <c r="M388" s="251"/>
      <c r="N388" s="247"/>
      <c r="O388">
        <v>386</v>
      </c>
    </row>
    <row r="389" spans="9:15">
      <c r="I389" s="26" t="s">
        <v>1917</v>
      </c>
      <c r="J389" s="26" t="str">
        <f>"T12_"&amp;STDLIGHTINEFCAT2[[#This Row],[Ineff DropDown 2]]</f>
        <v>T12_PG 131-210</v>
      </c>
      <c r="K389" s="247" t="str">
        <f>STDLIGHTINEFCAT2[[#This Row],[Match]]&amp;"_"&amp;STDLIGHTINEFCAT2[[#This Row],[Options]]</f>
        <v>T12_PG 131-210_2L T12 6' 85W</v>
      </c>
      <c r="L389" s="247" t="s">
        <v>1516</v>
      </c>
      <c r="M389" s="247">
        <f>2*85</f>
        <v>170</v>
      </c>
      <c r="N389" s="247">
        <v>190</v>
      </c>
      <c r="O389">
        <v>387</v>
      </c>
    </row>
    <row r="390" spans="9:15">
      <c r="I390" s="26" t="s">
        <v>1917</v>
      </c>
      <c r="J390" s="26" t="str">
        <f>"T12_"&amp;STDLIGHTINEFCAT2[[#This Row],[Ineff DropDown 2]]</f>
        <v>T12_PG 131-210</v>
      </c>
      <c r="K390" s="247" t="str">
        <f>STDLIGHTINEFCAT2[[#This Row],[Match]]&amp;"_"&amp;STDLIGHTINEFCAT2[[#This Row],[Options]]</f>
        <v>T12_PG 131-210_1L T12 6' 168W</v>
      </c>
      <c r="L390" s="247" t="s">
        <v>1510</v>
      </c>
      <c r="M390" s="247">
        <v>168</v>
      </c>
      <c r="N390" s="247">
        <v>169</v>
      </c>
      <c r="O390">
        <v>388</v>
      </c>
    </row>
    <row r="391" spans="9:15">
      <c r="I391" s="26" t="s">
        <v>1917</v>
      </c>
      <c r="J391" s="26" t="str">
        <f>"T12_"&amp;STDLIGHTINEFCAT2[[#This Row],[Ineff DropDown 2]]</f>
        <v>T12_PG 131-210</v>
      </c>
      <c r="K391" s="247" t="str">
        <f>STDLIGHTINEFCAT2[[#This Row],[Match]]&amp;"_"&amp;STDLIGHTINEFCAT2[[#This Row],[Options]]</f>
        <v>T12_PG 131-210_----8 ft Lamps----</v>
      </c>
      <c r="L391" s="251" t="s">
        <v>1546</v>
      </c>
      <c r="M391" s="251"/>
      <c r="N391" s="247"/>
      <c r="O391">
        <v>389</v>
      </c>
    </row>
    <row r="392" spans="9:15">
      <c r="I392" s="26" t="s">
        <v>1917</v>
      </c>
      <c r="J392" s="26" t="str">
        <f>"T12_"&amp;STDLIGHTINEFCAT2[[#This Row],[Ineff DropDown 2]]</f>
        <v>T12_PG 131-210</v>
      </c>
      <c r="K392" s="247" t="str">
        <f>STDLIGHTINEFCAT2[[#This Row],[Match]]&amp;"_"&amp;STDLIGHTINEFCAT2[[#This Row],[Options]]</f>
        <v>T12_PG 131-210_2L T12 8' 75W</v>
      </c>
      <c r="L392" s="247" t="s">
        <v>1528</v>
      </c>
      <c r="M392" s="247">
        <f>2*75</f>
        <v>150</v>
      </c>
      <c r="N392" s="247">
        <v>145</v>
      </c>
      <c r="O392">
        <v>390</v>
      </c>
    </row>
    <row r="393" spans="9:15">
      <c r="I393" s="26" t="s">
        <v>1917</v>
      </c>
      <c r="J393" s="26" t="str">
        <f>"T12_"&amp;STDLIGHTINEFCAT2[[#This Row],[Ineff DropDown 2]]</f>
        <v>T12_PG 131-210</v>
      </c>
      <c r="K393" s="247" t="str">
        <f>STDLIGHTINEFCAT2[[#This Row],[Match]]&amp;"_"&amp;STDLIGHTINEFCAT2[[#This Row],[Options]]</f>
        <v>T12_PG 131-210_1L T12 8' 110W</v>
      </c>
      <c r="L393" s="247" t="s">
        <v>1531</v>
      </c>
      <c r="M393" s="247">
        <v>110</v>
      </c>
      <c r="N393" s="247">
        <v>140</v>
      </c>
      <c r="O393">
        <v>391</v>
      </c>
    </row>
    <row r="394" spans="9:15">
      <c r="I394" s="26" t="s">
        <v>1917</v>
      </c>
      <c r="J394" s="26" t="str">
        <f>"T12_"&amp;STDLIGHTINEFCAT2[[#This Row],[Ineff DropDown 2]]</f>
        <v>T12_PG 131-210</v>
      </c>
      <c r="K394" s="247" t="str">
        <f>STDLIGHTINEFCAT2[[#This Row],[Match]]&amp;"_"&amp;STDLIGHTINEFCAT2[[#This Row],[Options]]</f>
        <v>T12_PG 131-210_1L T12 8' 185W</v>
      </c>
      <c r="L394" s="247" t="s">
        <v>1533</v>
      </c>
      <c r="M394" s="247">
        <v>185</v>
      </c>
      <c r="N394" s="247">
        <v>198</v>
      </c>
      <c r="O394">
        <v>392</v>
      </c>
    </row>
    <row r="395" spans="9:15">
      <c r="I395" s="26" t="s">
        <v>1663</v>
      </c>
      <c r="J395" s="26" t="str">
        <f>"T12_"&amp;STDLIGHTINEFCAT2[[#This Row],[Ineff DropDown 2]]</f>
        <v>T12_Retrofit_2ft</v>
      </c>
      <c r="K395" s="247" t="str">
        <f>STDLIGHTINEFCAT2[[#This Row],[Match]]&amp;"_"&amp;STDLIGHTINEFCAT2[[#This Row],[Options]]</f>
        <v>T12_Retrofit_2ft_1L T12 2' 20W</v>
      </c>
      <c r="L395" s="247" t="s">
        <v>1461</v>
      </c>
      <c r="M395" s="247">
        <v>20</v>
      </c>
      <c r="N395" s="247">
        <v>21</v>
      </c>
      <c r="O395">
        <v>393</v>
      </c>
    </row>
    <row r="396" spans="9:15">
      <c r="I396" s="26" t="s">
        <v>1663</v>
      </c>
      <c r="J396" s="26" t="str">
        <f>"T12_"&amp;STDLIGHTINEFCAT2[[#This Row],[Ineff DropDown 2]]</f>
        <v>T12_Retrofit_2ft</v>
      </c>
      <c r="K396" s="247" t="str">
        <f>STDLIGHTINEFCAT2[[#This Row],[Match]]&amp;"_"&amp;STDLIGHTINEFCAT2[[#This Row],[Options]]</f>
        <v>T12_Retrofit_2ft_1L T12 2' 35W</v>
      </c>
      <c r="L396" s="250" t="s">
        <v>1465</v>
      </c>
      <c r="M396" s="247">
        <v>35</v>
      </c>
      <c r="N396" s="250">
        <v>64</v>
      </c>
      <c r="O396">
        <v>394</v>
      </c>
    </row>
    <row r="397" spans="9:15">
      <c r="I397" s="26" t="s">
        <v>1663</v>
      </c>
      <c r="J397" s="26" t="str">
        <f>"T12_"&amp;STDLIGHTINEFCAT2[[#This Row],[Ineff DropDown 2]]</f>
        <v>T12_Retrofit_2ft</v>
      </c>
      <c r="K397" s="247" t="str">
        <f>STDLIGHTINEFCAT2[[#This Row],[Match]]&amp;"_"&amp;STDLIGHTINEFCAT2[[#This Row],[Options]]</f>
        <v>T12_Retrofit_2ft_2L T12 2' 20W</v>
      </c>
      <c r="L397" s="247" t="s">
        <v>1462</v>
      </c>
      <c r="M397" s="247">
        <v>40</v>
      </c>
      <c r="N397" s="247">
        <v>53</v>
      </c>
      <c r="O397">
        <v>395</v>
      </c>
    </row>
    <row r="398" spans="9:15">
      <c r="I398" s="26" t="s">
        <v>1663</v>
      </c>
      <c r="J398" s="26" t="str">
        <f>"T12_"&amp;STDLIGHTINEFCAT2[[#This Row],[Ineff DropDown 2]]</f>
        <v>T12_Retrofit_2ft</v>
      </c>
      <c r="K398" s="247" t="str">
        <f>STDLIGHTINEFCAT2[[#This Row],[Match]]&amp;"_"&amp;STDLIGHTINEFCAT2[[#This Row],[Options]]</f>
        <v>T12_Retrofit_2ft_2L T12 2' 35W</v>
      </c>
      <c r="L398" s="247" t="s">
        <v>1466</v>
      </c>
      <c r="M398" s="247">
        <v>70</v>
      </c>
      <c r="N398" s="247">
        <v>95</v>
      </c>
      <c r="O398">
        <v>396</v>
      </c>
    </row>
    <row r="399" spans="9:15">
      <c r="I399" s="26" t="s">
        <v>1663</v>
      </c>
      <c r="J399" s="26" t="str">
        <f>"T12_"&amp;STDLIGHTINEFCAT2[[#This Row],[Ineff DropDown 2]]</f>
        <v>T12_Retrofit_2ft</v>
      </c>
      <c r="K399" s="247" t="str">
        <f>STDLIGHTINEFCAT2[[#This Row],[Match]]&amp;"_"&amp;STDLIGHTINEFCAT2[[#This Row],[Options]]</f>
        <v>T12_Retrofit_2ft_3L T12 2' 20W</v>
      </c>
      <c r="L399" s="247" t="s">
        <v>1463</v>
      </c>
      <c r="M399" s="247">
        <v>60</v>
      </c>
      <c r="N399" s="247">
        <v>64</v>
      </c>
      <c r="O399">
        <v>397</v>
      </c>
    </row>
    <row r="400" spans="9:15">
      <c r="I400" s="26" t="s">
        <v>1663</v>
      </c>
      <c r="J400" s="26" t="str">
        <f>"T12_"&amp;STDLIGHTINEFCAT2[[#This Row],[Ineff DropDown 2]]</f>
        <v>T12_Retrofit_2ft</v>
      </c>
      <c r="K400" s="247" t="str">
        <f>STDLIGHTINEFCAT2[[#This Row],[Match]]&amp;"_"&amp;STDLIGHTINEFCAT2[[#This Row],[Options]]</f>
        <v>T12_Retrofit_2ft_3L T12 2' 35W</v>
      </c>
      <c r="L400" s="247" t="s">
        <v>1467</v>
      </c>
      <c r="M400" s="247">
        <v>105</v>
      </c>
      <c r="N400" s="247">
        <v>148</v>
      </c>
      <c r="O400">
        <v>398</v>
      </c>
    </row>
    <row r="401" spans="9:16">
      <c r="I401" s="26" t="s">
        <v>1663</v>
      </c>
      <c r="J401" s="26" t="str">
        <f>"T12_"&amp;STDLIGHTINEFCAT2[[#This Row],[Ineff DropDown 2]]</f>
        <v>T12_Retrofit_2ft</v>
      </c>
      <c r="K401" s="247" t="str">
        <f>STDLIGHTINEFCAT2[[#This Row],[Match]]&amp;"_"&amp;STDLIGHTINEFCAT2[[#This Row],[Options]]</f>
        <v>T12_Retrofit_2ft_4L T12 2' 20W</v>
      </c>
      <c r="L401" s="247" t="s">
        <v>1464</v>
      </c>
      <c r="M401" s="247">
        <v>80</v>
      </c>
      <c r="N401" s="247">
        <v>91</v>
      </c>
      <c r="O401">
        <v>399</v>
      </c>
    </row>
    <row r="402" spans="9:16">
      <c r="I402" s="26" t="s">
        <v>1663</v>
      </c>
      <c r="J402" s="26" t="str">
        <f>"T12_"&amp;STDLIGHTINEFCAT2[[#This Row],[Ineff DropDown 2]]</f>
        <v>T12_Retrofit_2ft</v>
      </c>
      <c r="K402" s="247" t="str">
        <f>STDLIGHTINEFCAT2[[#This Row],[Match]]&amp;"_"&amp;STDLIGHTINEFCAT2[[#This Row],[Options]]</f>
        <v>T12_Retrofit_2ft_4L T12 2' 35W</v>
      </c>
      <c r="L402" s="247" t="s">
        <v>1468</v>
      </c>
      <c r="M402" s="247">
        <f>4*35</f>
        <v>140</v>
      </c>
      <c r="N402" s="247">
        <v>183</v>
      </c>
      <c r="O402">
        <v>400</v>
      </c>
    </row>
    <row r="403" spans="9:16">
      <c r="I403" s="26" t="s">
        <v>1926</v>
      </c>
      <c r="J403" s="26" t="str">
        <f>"T12_"&amp;STDLIGHTINEFCAT2[[#This Row],[Ineff DropDown 2]]</f>
        <v>T12_Retrofit_2U</v>
      </c>
      <c r="K403" s="247" t="str">
        <f>STDLIGHTINEFCAT2[[#This Row],[Match]]&amp;"_"&amp;STDLIGHTINEFCAT2[[#This Row],[Options]]</f>
        <v>T12_Retrofit_2U_1L T12 Ubend 34W</v>
      </c>
      <c r="L403" s="247" t="s">
        <v>1787</v>
      </c>
      <c r="M403" s="247">
        <v>34</v>
      </c>
      <c r="N403" s="247">
        <v>43</v>
      </c>
      <c r="O403">
        <v>401</v>
      </c>
      <c r="P403" t="s">
        <v>1791</v>
      </c>
    </row>
    <row r="404" spans="9:16">
      <c r="I404" s="26" t="s">
        <v>1926</v>
      </c>
      <c r="J404" s="26" t="str">
        <f>"T12_"&amp;STDLIGHTINEFCAT2[[#This Row],[Ineff DropDown 2]]</f>
        <v>T12_Retrofit_2U</v>
      </c>
      <c r="K404" s="247" t="str">
        <f>STDLIGHTINEFCAT2[[#This Row],[Match]]&amp;"_"&amp;STDLIGHTINEFCAT2[[#This Row],[Options]]</f>
        <v>T12_Retrofit_2U_1L T12 Ubend 40W</v>
      </c>
      <c r="L404" s="247" t="s">
        <v>1789</v>
      </c>
      <c r="M404" s="247">
        <v>40</v>
      </c>
      <c r="N404" s="247">
        <v>43</v>
      </c>
      <c r="O404">
        <v>402</v>
      </c>
      <c r="P404" t="s">
        <v>1791</v>
      </c>
    </row>
    <row r="405" spans="9:16">
      <c r="I405" s="26" t="s">
        <v>1926</v>
      </c>
      <c r="J405" s="26" t="str">
        <f>"T12_"&amp;STDLIGHTINEFCAT2[[#This Row],[Ineff DropDown 2]]</f>
        <v>T12_Retrofit_2U</v>
      </c>
      <c r="K405" s="247" t="str">
        <f>STDLIGHTINEFCAT2[[#This Row],[Match]]&amp;"_"&amp;STDLIGHTINEFCAT2[[#This Row],[Options]]</f>
        <v>T12_Retrofit_2U_2L T12 Ubend 34W</v>
      </c>
      <c r="L405" s="247" t="s">
        <v>1788</v>
      </c>
      <c r="M405" s="247">
        <f>34*2</f>
        <v>68</v>
      </c>
      <c r="N405" s="247">
        <v>63</v>
      </c>
      <c r="O405">
        <v>403</v>
      </c>
      <c r="P405" t="s">
        <v>1792</v>
      </c>
    </row>
    <row r="406" spans="9:16">
      <c r="I406" s="26" t="s">
        <v>1926</v>
      </c>
      <c r="J406" s="26" t="str">
        <f>"T12_"&amp;STDLIGHTINEFCAT2[[#This Row],[Ineff DropDown 2]]</f>
        <v>T12_Retrofit_2U</v>
      </c>
      <c r="K406" s="247" t="str">
        <f>STDLIGHTINEFCAT2[[#This Row],[Match]]&amp;"_"&amp;STDLIGHTINEFCAT2[[#This Row],[Options]]</f>
        <v>T12_Retrofit_2U_2L T12 Ubend 40W</v>
      </c>
      <c r="L406" s="247" t="s">
        <v>1790</v>
      </c>
      <c r="M406" s="247">
        <v>80</v>
      </c>
      <c r="N406" s="247">
        <v>63</v>
      </c>
      <c r="O406">
        <v>404</v>
      </c>
      <c r="P406" t="s">
        <v>1793</v>
      </c>
    </row>
    <row r="407" spans="9:16">
      <c r="I407" s="26" t="s">
        <v>1858</v>
      </c>
      <c r="J407" s="26" t="str">
        <f>"T12_"&amp;STDLIGHTINEFCAT2[[#This Row],[Ineff DropDown 2]]</f>
        <v>T12_Retrofit_4ft_1x4</v>
      </c>
      <c r="K407" s="247" t="str">
        <f>STDLIGHTINEFCAT2[[#This Row],[Match]]&amp;"_"&amp;STDLIGHTINEFCAT2[[#This Row],[Options]]</f>
        <v>T12_Retrofit_4ft_1x4_1L T12 4' 30W</v>
      </c>
      <c r="L407" s="247" t="s">
        <v>1485</v>
      </c>
      <c r="M407" s="247">
        <v>30</v>
      </c>
      <c r="N407" s="247">
        <v>49</v>
      </c>
      <c r="O407">
        <v>405</v>
      </c>
    </row>
    <row r="408" spans="9:16">
      <c r="I408" s="26" t="s">
        <v>1858</v>
      </c>
      <c r="J408" s="26" t="str">
        <f>"T12_"&amp;STDLIGHTINEFCAT2[[#This Row],[Ineff DropDown 2]]</f>
        <v>T12_Retrofit_4ft_1x4</v>
      </c>
      <c r="K408" s="247" t="str">
        <f>STDLIGHTINEFCAT2[[#This Row],[Match]]&amp;"_"&amp;STDLIGHTINEFCAT2[[#This Row],[Options]]</f>
        <v>T12_Retrofit_4ft_1x4_1L T12 4' 34W</v>
      </c>
      <c r="L408" s="247" t="s">
        <v>1487</v>
      </c>
      <c r="M408" s="247">
        <v>34</v>
      </c>
      <c r="N408" s="247">
        <v>45</v>
      </c>
      <c r="O408">
        <v>406</v>
      </c>
    </row>
    <row r="409" spans="9:16">
      <c r="I409" s="26" t="s">
        <v>1858</v>
      </c>
      <c r="J409" s="26" t="str">
        <f>"T12_"&amp;STDLIGHTINEFCAT2[[#This Row],[Ineff DropDown 2]]</f>
        <v>T12_Retrofit_4ft_1x4</v>
      </c>
      <c r="K409" s="247" t="str">
        <f>STDLIGHTINEFCAT2[[#This Row],[Match]]&amp;"_"&amp;STDLIGHTINEFCAT2[[#This Row],[Options]]</f>
        <v>T12_Retrofit_4ft_1x4_1L T12 4' 40W</v>
      </c>
      <c r="L409" s="247" t="s">
        <v>1491</v>
      </c>
      <c r="M409" s="247">
        <v>40</v>
      </c>
      <c r="N409" s="247">
        <v>51</v>
      </c>
      <c r="O409">
        <v>407</v>
      </c>
    </row>
    <row r="410" spans="9:16">
      <c r="I410" s="26" t="s">
        <v>1858</v>
      </c>
      <c r="J410" s="26" t="str">
        <f>"T12_"&amp;STDLIGHTINEFCAT2[[#This Row],[Ineff DropDown 2]]</f>
        <v>T12_Retrofit_4ft_1x4</v>
      </c>
      <c r="K410" s="247" t="str">
        <f>STDLIGHTINEFCAT2[[#This Row],[Match]]&amp;"_"&amp;STDLIGHTINEFCAT2[[#This Row],[Options]]</f>
        <v>T12_Retrofit_4ft_1x4_1L T12 4' 60W</v>
      </c>
      <c r="L410" s="247" t="s">
        <v>1495</v>
      </c>
      <c r="M410" s="247">
        <v>60</v>
      </c>
      <c r="N410" s="247">
        <v>82</v>
      </c>
      <c r="O410">
        <v>408</v>
      </c>
    </row>
    <row r="411" spans="9:16">
      <c r="I411" s="26" t="s">
        <v>1858</v>
      </c>
      <c r="J411" s="26" t="str">
        <f>"T12_"&amp;STDLIGHTINEFCAT2[[#This Row],[Ineff DropDown 2]]</f>
        <v>T12_Retrofit_4ft_1x4</v>
      </c>
      <c r="K411" s="247" t="str">
        <f>STDLIGHTINEFCAT2[[#This Row],[Match]]&amp;"_"&amp;STDLIGHTINEFCAT2[[#This Row],[Options]]</f>
        <v>T12_Retrofit_4ft_1x4_1L T12 4' 116W</v>
      </c>
      <c r="L411" s="247" t="s">
        <v>1499</v>
      </c>
      <c r="M411" s="247">
        <v>116</v>
      </c>
      <c r="N411" s="247">
        <v>130</v>
      </c>
      <c r="O411">
        <v>409</v>
      </c>
    </row>
    <row r="412" spans="9:16">
      <c r="I412" s="26" t="s">
        <v>1858</v>
      </c>
      <c r="J412" s="26" t="str">
        <f>"T12_"&amp;STDLIGHTINEFCAT2[[#This Row],[Ineff DropDown 2]]</f>
        <v>T12_Retrofit_4ft_1x4</v>
      </c>
      <c r="K412" s="247" t="str">
        <f>STDLIGHTINEFCAT2[[#This Row],[Match]]&amp;"_"&amp;STDLIGHTINEFCAT2[[#This Row],[Options]]</f>
        <v>T12_Retrofit_4ft_1x4_2L T12 4' 30W</v>
      </c>
      <c r="L412" s="247" t="s">
        <v>1486</v>
      </c>
      <c r="M412" s="247">
        <v>60</v>
      </c>
      <c r="N412" s="247">
        <v>80</v>
      </c>
      <c r="O412">
        <v>410</v>
      </c>
    </row>
    <row r="413" spans="9:16">
      <c r="I413" s="26" t="s">
        <v>1858</v>
      </c>
      <c r="J413" s="26" t="str">
        <f>"T12_"&amp;STDLIGHTINEFCAT2[[#This Row],[Ineff DropDown 2]]</f>
        <v>T12_Retrofit_4ft_1x4</v>
      </c>
      <c r="K413" s="247" t="str">
        <f>STDLIGHTINEFCAT2[[#This Row],[Match]]&amp;"_"&amp;STDLIGHTINEFCAT2[[#This Row],[Options]]</f>
        <v>T12_Retrofit_4ft_1x4_2L T12 4' 34W</v>
      </c>
      <c r="L413" s="247" t="s">
        <v>1488</v>
      </c>
      <c r="M413" s="247">
        <v>68</v>
      </c>
      <c r="N413" s="247">
        <v>84</v>
      </c>
      <c r="O413">
        <v>411</v>
      </c>
    </row>
    <row r="414" spans="9:16">
      <c r="I414" s="26" t="s">
        <v>1858</v>
      </c>
      <c r="J414" s="26" t="str">
        <f>"T12_"&amp;STDLIGHTINEFCAT2[[#This Row],[Ineff DropDown 2]]</f>
        <v>T12_Retrofit_4ft_1x4</v>
      </c>
      <c r="K414" s="247" t="str">
        <f>STDLIGHTINEFCAT2[[#This Row],[Match]]&amp;"_"&amp;STDLIGHTINEFCAT2[[#This Row],[Options]]</f>
        <v>T12_Retrofit_4ft_1x4_2L T12 4' 40W</v>
      </c>
      <c r="L414" s="247" t="s">
        <v>1492</v>
      </c>
      <c r="M414" s="247">
        <v>80</v>
      </c>
      <c r="N414" s="247">
        <v>97</v>
      </c>
      <c r="O414">
        <v>412</v>
      </c>
    </row>
    <row r="415" spans="9:16">
      <c r="I415" s="26" t="s">
        <v>1858</v>
      </c>
      <c r="J415" s="26" t="str">
        <f>"T12_"&amp;STDLIGHTINEFCAT2[[#This Row],[Ineff DropDown 2]]</f>
        <v>T12_Retrofit_4ft_1x4</v>
      </c>
      <c r="K415" s="247" t="str">
        <f>STDLIGHTINEFCAT2[[#This Row],[Match]]&amp;"_"&amp;STDLIGHTINEFCAT2[[#This Row],[Options]]</f>
        <v>T12_Retrofit_4ft_1x4_2L T12 4' 60W</v>
      </c>
      <c r="L415" s="247" t="s">
        <v>1496</v>
      </c>
      <c r="M415" s="247">
        <v>120</v>
      </c>
      <c r="N415" s="247">
        <v>133</v>
      </c>
      <c r="O415">
        <v>413</v>
      </c>
    </row>
    <row r="416" spans="9:16">
      <c r="I416" s="26" t="s">
        <v>1858</v>
      </c>
      <c r="J416" s="26" t="str">
        <f>"T12_"&amp;STDLIGHTINEFCAT2[[#This Row],[Ineff DropDown 2]]</f>
        <v>T12_Retrofit_4ft_1x4</v>
      </c>
      <c r="K416" s="247" t="str">
        <f>STDLIGHTINEFCAT2[[#This Row],[Match]]&amp;"_"&amp;STDLIGHTINEFCAT2[[#This Row],[Options]]</f>
        <v>T12_Retrofit_4ft_1x4_2L T12 4' 116W</v>
      </c>
      <c r="L416" s="247" t="s">
        <v>1500</v>
      </c>
      <c r="M416" s="247">
        <f>2*116</f>
        <v>232</v>
      </c>
      <c r="N416" s="247">
        <v>230</v>
      </c>
      <c r="O416">
        <v>414</v>
      </c>
    </row>
    <row r="417" spans="9:15">
      <c r="I417" s="26" t="s">
        <v>1859</v>
      </c>
      <c r="J417" s="26" t="str">
        <f>"T12_"&amp;STDLIGHTINEFCAT2[[#This Row],[Ineff DropDown 2]]</f>
        <v>T12_Retrofit_4ft_2x4</v>
      </c>
      <c r="K417" s="247" t="str">
        <f>STDLIGHTINEFCAT2[[#This Row],[Match]]&amp;"_"&amp;STDLIGHTINEFCAT2[[#This Row],[Options]]</f>
        <v>T12_Retrofit_4ft_2x4_3L T12 4' 34W</v>
      </c>
      <c r="L417" s="247" t="s">
        <v>1489</v>
      </c>
      <c r="M417" s="247">
        <v>102</v>
      </c>
      <c r="N417" s="247">
        <v>127</v>
      </c>
      <c r="O417">
        <v>415</v>
      </c>
    </row>
    <row r="418" spans="9:15">
      <c r="I418" s="26" t="s">
        <v>1859</v>
      </c>
      <c r="J418" s="26" t="str">
        <f>"T12_"&amp;STDLIGHTINEFCAT2[[#This Row],[Ineff DropDown 2]]</f>
        <v>T12_Retrofit_4ft_2x4</v>
      </c>
      <c r="K418" s="247" t="str">
        <f>STDLIGHTINEFCAT2[[#This Row],[Match]]&amp;"_"&amp;STDLIGHTINEFCAT2[[#This Row],[Options]]</f>
        <v>T12_Retrofit_4ft_2x4_3L T12 4' 40W</v>
      </c>
      <c r="L418" s="247" t="s">
        <v>1493</v>
      </c>
      <c r="M418" s="247">
        <f>3*40</f>
        <v>120</v>
      </c>
      <c r="N418" s="247">
        <v>135</v>
      </c>
      <c r="O418">
        <v>416</v>
      </c>
    </row>
    <row r="419" spans="9:15">
      <c r="I419" s="26" t="s">
        <v>1859</v>
      </c>
      <c r="J419" s="26" t="str">
        <f>"T12_"&amp;STDLIGHTINEFCAT2[[#This Row],[Ineff DropDown 2]]</f>
        <v>T12_Retrofit_4ft_2x4</v>
      </c>
      <c r="K419" s="247" t="str">
        <f>STDLIGHTINEFCAT2[[#This Row],[Match]]&amp;"_"&amp;STDLIGHTINEFCAT2[[#This Row],[Options]]</f>
        <v>T12_Retrofit_4ft_2x4_3L T12 4' 60W</v>
      </c>
      <c r="L419" s="247" t="s">
        <v>1497</v>
      </c>
      <c r="M419" s="247">
        <f>3*60</f>
        <v>180</v>
      </c>
      <c r="N419" s="247">
        <v>204</v>
      </c>
      <c r="O419">
        <v>417</v>
      </c>
    </row>
    <row r="420" spans="9:15">
      <c r="I420" s="26" t="s">
        <v>1859</v>
      </c>
      <c r="J420" s="26" t="str">
        <f>"T12_"&amp;STDLIGHTINEFCAT2[[#This Row],[Ineff DropDown 2]]</f>
        <v>T12_Retrofit_4ft_2x4</v>
      </c>
      <c r="K420" s="247" t="str">
        <f>STDLIGHTINEFCAT2[[#This Row],[Match]]&amp;"_"&amp;STDLIGHTINEFCAT2[[#This Row],[Options]]</f>
        <v>T12_Retrofit_4ft_2x4_3L T12 4' 116W</v>
      </c>
      <c r="L420" s="247" t="s">
        <v>1501</v>
      </c>
      <c r="M420" s="252">
        <f>3*116</f>
        <v>348</v>
      </c>
      <c r="N420" s="247">
        <v>329</v>
      </c>
      <c r="O420">
        <v>418</v>
      </c>
    </row>
    <row r="421" spans="9:15">
      <c r="I421" s="26" t="s">
        <v>1859</v>
      </c>
      <c r="J421" s="26" t="str">
        <f>"T12_"&amp;STDLIGHTINEFCAT2[[#This Row],[Ineff DropDown 2]]</f>
        <v>T12_Retrofit_4ft_2x4</v>
      </c>
      <c r="K421" s="247" t="str">
        <f>STDLIGHTINEFCAT2[[#This Row],[Match]]&amp;"_"&amp;STDLIGHTINEFCAT2[[#This Row],[Options]]</f>
        <v>T12_Retrofit_4ft_2x4_4L T12 4' 34W</v>
      </c>
      <c r="L421" s="247" t="s">
        <v>1490</v>
      </c>
      <c r="M421" s="247">
        <v>136</v>
      </c>
      <c r="N421" s="247">
        <v>156</v>
      </c>
      <c r="O421">
        <v>419</v>
      </c>
    </row>
    <row r="422" spans="9:15">
      <c r="I422" s="26" t="s">
        <v>1859</v>
      </c>
      <c r="J422" s="26" t="str">
        <f>"T12_"&amp;STDLIGHTINEFCAT2[[#This Row],[Ineff DropDown 2]]</f>
        <v>T12_Retrofit_4ft_2x4</v>
      </c>
      <c r="K422" s="247" t="str">
        <f>STDLIGHTINEFCAT2[[#This Row],[Match]]&amp;"_"&amp;STDLIGHTINEFCAT2[[#This Row],[Options]]</f>
        <v>T12_Retrofit_4ft_2x4_4L T12 4' 40W</v>
      </c>
      <c r="L422" s="247" t="s">
        <v>1494</v>
      </c>
      <c r="M422" s="247">
        <f>4*40</f>
        <v>160</v>
      </c>
      <c r="N422" s="247">
        <v>175</v>
      </c>
      <c r="O422">
        <v>420</v>
      </c>
    </row>
    <row r="423" spans="9:15">
      <c r="I423" s="26" t="s">
        <v>1859</v>
      </c>
      <c r="J423" s="26" t="str">
        <f>"T12_"&amp;STDLIGHTINEFCAT2[[#This Row],[Ineff DropDown 2]]</f>
        <v>T12_Retrofit_4ft_2x4</v>
      </c>
      <c r="K423" s="247" t="str">
        <f>STDLIGHTINEFCAT2[[#This Row],[Match]]&amp;"_"&amp;STDLIGHTINEFCAT2[[#This Row],[Options]]</f>
        <v>T12_Retrofit_4ft_2x4_4L T12 4' 60W</v>
      </c>
      <c r="L423" s="247" t="s">
        <v>1498</v>
      </c>
      <c r="M423" s="252">
        <f>4*60</f>
        <v>240</v>
      </c>
      <c r="N423" s="247">
        <v>263</v>
      </c>
      <c r="O423">
        <v>421</v>
      </c>
    </row>
    <row r="424" spans="9:15">
      <c r="I424" s="26" t="s">
        <v>1859</v>
      </c>
      <c r="J424" s="26" t="str">
        <f>"T12_"&amp;STDLIGHTINEFCAT2[[#This Row],[Ineff DropDown 2]]</f>
        <v>T12_Retrofit_4ft_2x4</v>
      </c>
      <c r="K424" s="299" t="str">
        <f>STDLIGHTINEFCAT2[[#This Row],[Match]]&amp;"_"&amp;STDLIGHTINEFCAT2[[#This Row],[Options]]</f>
        <v>T12_Retrofit_4ft_2x4_5L T12 4' 40W</v>
      </c>
      <c r="L424" s="299" t="s">
        <v>1870</v>
      </c>
      <c r="M424" s="247">
        <v>200</v>
      </c>
      <c r="N424" s="299">
        <v>176</v>
      </c>
      <c r="O424">
        <v>422</v>
      </c>
    </row>
    <row r="425" spans="9:15">
      <c r="I425" s="26" t="s">
        <v>1859</v>
      </c>
      <c r="J425" s="26" t="str">
        <f>"T12_"&amp;STDLIGHTINEFCAT2[[#This Row],[Ineff DropDown 2]]</f>
        <v>T12_Retrofit_4ft_2x4</v>
      </c>
      <c r="K425" s="299" t="str">
        <f>STDLIGHTINEFCAT2[[#This Row],[Match]]&amp;"_"&amp;STDLIGHTINEFCAT2[[#This Row],[Options]]</f>
        <v>T12_Retrofit_4ft_2x4_6L T12 4' 40W</v>
      </c>
      <c r="L425" s="299" t="s">
        <v>1869</v>
      </c>
      <c r="M425" s="247">
        <v>240</v>
      </c>
      <c r="N425" s="299">
        <v>282</v>
      </c>
      <c r="O425">
        <v>423</v>
      </c>
    </row>
    <row r="426" spans="9:15">
      <c r="I426" s="26" t="s">
        <v>1664</v>
      </c>
      <c r="J426" s="26" t="str">
        <f>"T12_"&amp;STDLIGHTINEFCAT2[[#This Row],[Ineff DropDown 2]]</f>
        <v>T12_Retrofit_8ft</v>
      </c>
      <c r="K426" s="247" t="str">
        <f>STDLIGHTINEFCAT2[[#This Row],[Match]]&amp;"_"&amp;STDLIGHTINEFCAT2[[#This Row],[Options]]</f>
        <v>T12_Retrofit_8ft_1L T12 8' 60W</v>
      </c>
      <c r="L426" s="247" t="s">
        <v>1524</v>
      </c>
      <c r="M426" s="247">
        <v>60</v>
      </c>
      <c r="N426" s="247">
        <v>74</v>
      </c>
      <c r="O426">
        <v>424</v>
      </c>
    </row>
    <row r="427" spans="9:15">
      <c r="I427" s="26" t="s">
        <v>1664</v>
      </c>
      <c r="J427" s="26" t="str">
        <f>"T12_"&amp;STDLIGHTINEFCAT2[[#This Row],[Ineff DropDown 2]]</f>
        <v>T12_Retrofit_8ft</v>
      </c>
      <c r="K427" s="247" t="str">
        <f>STDLIGHTINEFCAT2[[#This Row],[Match]]&amp;"_"&amp;STDLIGHTINEFCAT2[[#This Row],[Options]]</f>
        <v>T12_Retrofit_8ft_1L T12 8' 75W</v>
      </c>
      <c r="L427" s="247" t="s">
        <v>1527</v>
      </c>
      <c r="M427" s="247">
        <v>75</v>
      </c>
      <c r="N427" s="247">
        <v>94</v>
      </c>
      <c r="O427">
        <v>425</v>
      </c>
    </row>
    <row r="428" spans="9:15">
      <c r="I428" s="26" t="s">
        <v>1664</v>
      </c>
      <c r="J428" s="26" t="str">
        <f>"T12_"&amp;STDLIGHTINEFCAT2[[#This Row],[Ineff DropDown 2]]</f>
        <v>T12_Retrofit_8ft</v>
      </c>
      <c r="K428" s="247" t="str">
        <f>STDLIGHTINEFCAT2[[#This Row],[Match]]&amp;"_"&amp;STDLIGHTINEFCAT2[[#This Row],[Options]]</f>
        <v>T12_Retrofit_8ft_1L T12 8' 95W</v>
      </c>
      <c r="L428" s="247" t="s">
        <v>1529</v>
      </c>
      <c r="M428" s="247">
        <v>95</v>
      </c>
      <c r="N428" s="247">
        <v>125</v>
      </c>
      <c r="O428">
        <v>426</v>
      </c>
    </row>
    <row r="429" spans="9:15">
      <c r="I429" s="26" t="s">
        <v>1664</v>
      </c>
      <c r="J429" s="26" t="str">
        <f>"T12_"&amp;STDLIGHTINEFCAT2[[#This Row],[Ineff DropDown 2]]</f>
        <v>T12_Retrofit_8ft</v>
      </c>
      <c r="K429" s="247" t="str">
        <f>STDLIGHTINEFCAT2[[#This Row],[Match]]&amp;"_"&amp;STDLIGHTINEFCAT2[[#This Row],[Options]]</f>
        <v>T12_Retrofit_8ft_1L T12 8' 110W</v>
      </c>
      <c r="L429" s="247" t="s">
        <v>1531</v>
      </c>
      <c r="M429" s="247">
        <v>110</v>
      </c>
      <c r="N429" s="247">
        <v>140</v>
      </c>
      <c r="O429">
        <v>427</v>
      </c>
    </row>
    <row r="430" spans="9:15">
      <c r="I430" s="26" t="s">
        <v>1664</v>
      </c>
      <c r="J430" s="26" t="str">
        <f>"T12_"&amp;STDLIGHTINEFCAT2[[#This Row],[Ineff DropDown 2]]</f>
        <v>T12_Retrofit_8ft</v>
      </c>
      <c r="K430" s="247" t="str">
        <f>STDLIGHTINEFCAT2[[#This Row],[Match]]&amp;"_"&amp;STDLIGHTINEFCAT2[[#This Row],[Options]]</f>
        <v>T12_Retrofit_8ft_1L T12 8' 185W</v>
      </c>
      <c r="L430" s="247" t="s">
        <v>1533</v>
      </c>
      <c r="M430" s="247">
        <v>185</v>
      </c>
      <c r="N430" s="247">
        <v>198</v>
      </c>
      <c r="O430">
        <v>428</v>
      </c>
    </row>
    <row r="431" spans="9:15">
      <c r="I431" s="26" t="s">
        <v>1664</v>
      </c>
      <c r="J431" s="26" t="str">
        <f>"T12_"&amp;STDLIGHTINEFCAT2[[#This Row],[Ineff DropDown 2]]</f>
        <v>T12_Retrofit_8ft</v>
      </c>
      <c r="K431" s="247" t="str">
        <f>STDLIGHTINEFCAT2[[#This Row],[Match]]&amp;"_"&amp;STDLIGHTINEFCAT2[[#This Row],[Options]]</f>
        <v>T12_Retrofit_8ft_1L T12 8' 215W</v>
      </c>
      <c r="L431" s="247" t="s">
        <v>1536</v>
      </c>
      <c r="M431" s="247">
        <v>215</v>
      </c>
      <c r="N431" s="247">
        <v>213</v>
      </c>
      <c r="O431">
        <v>429</v>
      </c>
    </row>
    <row r="432" spans="9:15">
      <c r="I432" s="26" t="s">
        <v>1664</v>
      </c>
      <c r="J432" s="26" t="str">
        <f>"T12_"&amp;STDLIGHTINEFCAT2[[#This Row],[Ineff DropDown 2]]</f>
        <v>T12_Retrofit_8ft</v>
      </c>
      <c r="K432" s="247" t="str">
        <f>STDLIGHTINEFCAT2[[#This Row],[Match]]&amp;"_"&amp;STDLIGHTINEFCAT2[[#This Row],[Options]]</f>
        <v>T12_Retrofit_8ft_2L T12 8' 60W</v>
      </c>
      <c r="L432" s="247" t="s">
        <v>1525</v>
      </c>
      <c r="M432" s="247">
        <v>120</v>
      </c>
      <c r="N432" s="247">
        <v>113</v>
      </c>
      <c r="O432">
        <v>430</v>
      </c>
    </row>
    <row r="433" spans="9:15">
      <c r="I433" s="26" t="s">
        <v>1664</v>
      </c>
      <c r="J433" s="26" t="str">
        <f>"T12_"&amp;STDLIGHTINEFCAT2[[#This Row],[Ineff DropDown 2]]</f>
        <v>T12_Retrofit_8ft</v>
      </c>
      <c r="K433" s="247" t="str">
        <f>STDLIGHTINEFCAT2[[#This Row],[Match]]&amp;"_"&amp;STDLIGHTINEFCAT2[[#This Row],[Options]]</f>
        <v>T12_Retrofit_8ft_2L T12 8' 75W</v>
      </c>
      <c r="L433" s="250" t="s">
        <v>1528</v>
      </c>
      <c r="M433" s="247">
        <f>2*75</f>
        <v>150</v>
      </c>
      <c r="N433" s="247">
        <v>145</v>
      </c>
      <c r="O433">
        <v>431</v>
      </c>
    </row>
    <row r="434" spans="9:15">
      <c r="I434" s="26" t="s">
        <v>1664</v>
      </c>
      <c r="J434" s="26" t="str">
        <f>"T12_"&amp;STDLIGHTINEFCAT2[[#This Row],[Ineff DropDown 2]]</f>
        <v>T12_Retrofit_8ft</v>
      </c>
      <c r="K434" s="247" t="str">
        <f>STDLIGHTINEFCAT2[[#This Row],[Match]]&amp;"_"&amp;STDLIGHTINEFCAT2[[#This Row],[Options]]</f>
        <v>T12_Retrofit_8ft_2L T12 8' 95W</v>
      </c>
      <c r="L434" s="247" t="s">
        <v>1530</v>
      </c>
      <c r="M434" s="247">
        <f>2*95</f>
        <v>190</v>
      </c>
      <c r="N434" s="247">
        <v>216</v>
      </c>
      <c r="O434">
        <v>432</v>
      </c>
    </row>
    <row r="435" spans="9:15">
      <c r="I435" s="26" t="s">
        <v>1664</v>
      </c>
      <c r="J435" s="26" t="str">
        <f>"T12_"&amp;STDLIGHTINEFCAT2[[#This Row],[Ineff DropDown 2]]</f>
        <v>T12_Retrofit_8ft</v>
      </c>
      <c r="K435" s="247" t="str">
        <f>STDLIGHTINEFCAT2[[#This Row],[Match]]&amp;"_"&amp;STDLIGHTINEFCAT2[[#This Row],[Options]]</f>
        <v>T12_Retrofit_8ft_2L T12 8' 110W</v>
      </c>
      <c r="L435" s="250" t="s">
        <v>1532</v>
      </c>
      <c r="M435" s="252">
        <f>2*110</f>
        <v>220</v>
      </c>
      <c r="N435" s="247">
        <v>258</v>
      </c>
      <c r="O435">
        <v>433</v>
      </c>
    </row>
    <row r="436" spans="9:15">
      <c r="I436" s="26" t="s">
        <v>1664</v>
      </c>
      <c r="J436" s="26" t="str">
        <f>"T12_"&amp;STDLIGHTINEFCAT2[[#This Row],[Ineff DropDown 2]]</f>
        <v>T12_Retrofit_8ft</v>
      </c>
      <c r="K436" s="247" t="str">
        <f>STDLIGHTINEFCAT2[[#This Row],[Match]]&amp;"_"&amp;STDLIGHTINEFCAT2[[#This Row],[Options]]</f>
        <v>T12_Retrofit_8ft_2L T12 8' 185W</v>
      </c>
      <c r="L436" s="247" t="s">
        <v>1534</v>
      </c>
      <c r="M436" s="252">
        <f>2*185</f>
        <v>370</v>
      </c>
      <c r="N436" s="247">
        <v>398</v>
      </c>
      <c r="O436">
        <v>434</v>
      </c>
    </row>
    <row r="437" spans="9:15">
      <c r="I437" s="26" t="s">
        <v>1664</v>
      </c>
      <c r="J437" s="26" t="str">
        <f>"T12_"&amp;STDLIGHTINEFCAT2[[#This Row],[Ineff DropDown 2]]</f>
        <v>T12_Retrofit_8ft</v>
      </c>
      <c r="K437" s="247" t="str">
        <f>STDLIGHTINEFCAT2[[#This Row],[Match]]&amp;"_"&amp;STDLIGHTINEFCAT2[[#This Row],[Options]]</f>
        <v>T12_Retrofit_8ft_2L T12 8' 215W</v>
      </c>
      <c r="L437" s="250" t="s">
        <v>1537</v>
      </c>
      <c r="M437" s="252">
        <f>2*215</f>
        <v>430</v>
      </c>
      <c r="N437" s="247">
        <v>320</v>
      </c>
      <c r="O437">
        <v>435</v>
      </c>
    </row>
    <row r="438" spans="9:15">
      <c r="I438" s="26" t="s">
        <v>1415</v>
      </c>
      <c r="J438" s="26" t="s">
        <v>1438</v>
      </c>
      <c r="K438" s="251" t="str">
        <f>STDLIGHTINEFCAT2[[#This Row],[Match]]&amp;"_"&amp;STDLIGHTINEFCAT2[[#This Row],[Options]]</f>
        <v>T5_2ft_Lamp_T5 2' 13W</v>
      </c>
      <c r="L438" s="251" t="s">
        <v>1363</v>
      </c>
      <c r="M438" s="247">
        <v>13</v>
      </c>
      <c r="N438" s="247">
        <v>13</v>
      </c>
      <c r="O438">
        <v>436</v>
      </c>
    </row>
    <row r="439" spans="9:15">
      <c r="I439" s="26" t="s">
        <v>1415</v>
      </c>
      <c r="J439" s="26" t="s">
        <v>1438</v>
      </c>
      <c r="K439" s="247" t="str">
        <f>STDLIGHTINEFCAT2[[#This Row],[Match]]&amp;"_"&amp;STDLIGHTINEFCAT2[[#This Row],[Options]]</f>
        <v>T5_2ft_Lamp_T5 2' 14W</v>
      </c>
      <c r="L439" s="247" t="s">
        <v>1364</v>
      </c>
      <c r="M439" s="247">
        <v>14</v>
      </c>
      <c r="N439" s="247">
        <v>14</v>
      </c>
      <c r="O439">
        <v>437</v>
      </c>
    </row>
    <row r="440" spans="9:15">
      <c r="I440" s="26" t="s">
        <v>1416</v>
      </c>
      <c r="J440" s="26" t="s">
        <v>1444</v>
      </c>
      <c r="K440" s="251" t="str">
        <f>STDLIGHTINEFCAT2[[#This Row],[Match]]&amp;"_"&amp;STDLIGHTINEFCAT2[[#This Row],[Options]]</f>
        <v>T5_4ft_Lamp_T5 4' 28W</v>
      </c>
      <c r="L440" s="251" t="s">
        <v>1365</v>
      </c>
      <c r="M440" s="247">
        <v>28</v>
      </c>
      <c r="N440" s="247">
        <v>28</v>
      </c>
      <c r="O440">
        <v>438</v>
      </c>
    </row>
    <row r="441" spans="9:15">
      <c r="I441" s="26" t="s">
        <v>1911</v>
      </c>
      <c r="J441" s="26" t="str">
        <f>"T5_"&amp;STDLIGHTINEFCAT2[[#This Row],[Ineff DropDown 2]]</f>
        <v>T5_Ext ≤210</v>
      </c>
      <c r="K441" s="247" t="str">
        <f>STDLIGHTINEFCAT2[[#This Row],[Match]]&amp;"_"&amp;STDLIGHTINEFCAT2[[#This Row],[Options]]</f>
        <v>T5_Ext ≤210_----2 ft Lamps----</v>
      </c>
      <c r="L441" s="251" t="s">
        <v>1540</v>
      </c>
      <c r="M441" s="251"/>
      <c r="N441" s="247"/>
      <c r="O441">
        <v>439</v>
      </c>
    </row>
    <row r="442" spans="9:15">
      <c r="I442" s="26" t="s">
        <v>1911</v>
      </c>
      <c r="J442" s="26" t="str">
        <f>"T5_"&amp;STDLIGHTINEFCAT2[[#This Row],[Ineff DropDown 2]]</f>
        <v>T5_Ext ≤210</v>
      </c>
      <c r="K442" s="247" t="str">
        <f>STDLIGHTINEFCAT2[[#This Row],[Match]]&amp;"_"&amp;STDLIGHTINEFCAT2[[#This Row],[Options]]</f>
        <v>T5_Ext ≤210_1L T5 2' 13W</v>
      </c>
      <c r="L442" s="247" t="s">
        <v>1587</v>
      </c>
      <c r="M442" s="247">
        <v>13</v>
      </c>
      <c r="N442" s="247">
        <v>14</v>
      </c>
      <c r="O442">
        <v>440</v>
      </c>
    </row>
    <row r="443" spans="9:15">
      <c r="I443" s="26" t="s">
        <v>1911</v>
      </c>
      <c r="J443" s="26" t="str">
        <f>"T5_"&amp;STDLIGHTINEFCAT2[[#This Row],[Ineff DropDown 2]]</f>
        <v>T5_Ext ≤210</v>
      </c>
      <c r="K443" s="247" t="str">
        <f>STDLIGHTINEFCAT2[[#This Row],[Match]]&amp;"_"&amp;STDLIGHTINEFCAT2[[#This Row],[Options]]</f>
        <v>T5_Ext ≤210_2L T5 2' 13W</v>
      </c>
      <c r="L443" s="247" t="s">
        <v>1588</v>
      </c>
      <c r="M443" s="247">
        <v>36</v>
      </c>
      <c r="N443" s="247">
        <v>27</v>
      </c>
      <c r="O443">
        <v>441</v>
      </c>
    </row>
    <row r="444" spans="9:15">
      <c r="I444" s="26" t="s">
        <v>1911</v>
      </c>
      <c r="J444" s="26" t="str">
        <f>"T5_"&amp;STDLIGHTINEFCAT2[[#This Row],[Ineff DropDown 2]]</f>
        <v>T5_Ext ≤210</v>
      </c>
      <c r="K444" s="247" t="str">
        <f>STDLIGHTINEFCAT2[[#This Row],[Match]]&amp;"_"&amp;STDLIGHTINEFCAT2[[#This Row],[Options]]</f>
        <v>T5_Ext ≤210_1L T5 2' 14W</v>
      </c>
      <c r="L444" s="247" t="s">
        <v>1589</v>
      </c>
      <c r="M444" s="247">
        <v>14</v>
      </c>
      <c r="N444" s="247">
        <v>14</v>
      </c>
      <c r="O444">
        <v>442</v>
      </c>
    </row>
    <row r="445" spans="9:15">
      <c r="I445" s="26" t="s">
        <v>1911</v>
      </c>
      <c r="J445" s="26" t="str">
        <f>"T5_"&amp;STDLIGHTINEFCAT2[[#This Row],[Ineff DropDown 2]]</f>
        <v>T5_Ext ≤210</v>
      </c>
      <c r="K445" s="247" t="str">
        <f>STDLIGHTINEFCAT2[[#This Row],[Match]]&amp;"_"&amp;STDLIGHTINEFCAT2[[#This Row],[Options]]</f>
        <v>T5_Ext ≤210_2L T5 2' 14W</v>
      </c>
      <c r="L445" s="247" t="s">
        <v>1590</v>
      </c>
      <c r="M445" s="247">
        <v>28</v>
      </c>
      <c r="N445" s="247">
        <v>28</v>
      </c>
      <c r="O445">
        <v>443</v>
      </c>
    </row>
    <row r="446" spans="9:15">
      <c r="I446" s="26" t="s">
        <v>1911</v>
      </c>
      <c r="J446" s="26" t="str">
        <f>"T5_"&amp;STDLIGHTINEFCAT2[[#This Row],[Ineff DropDown 2]]</f>
        <v>T5_Ext ≤210</v>
      </c>
      <c r="K446" s="247" t="str">
        <f>STDLIGHTINEFCAT2[[#This Row],[Match]]&amp;"_"&amp;STDLIGHTINEFCAT2[[#This Row],[Options]]</f>
        <v>T5_Ext ≤210_----3 ft Lamps----</v>
      </c>
      <c r="L446" s="251" t="s">
        <v>1541</v>
      </c>
      <c r="M446" s="251"/>
      <c r="N446" s="247"/>
      <c r="O446">
        <v>444</v>
      </c>
    </row>
    <row r="447" spans="9:15">
      <c r="I447" s="26" t="s">
        <v>1911</v>
      </c>
      <c r="J447" s="26" t="str">
        <f>"T5_"&amp;STDLIGHTINEFCAT2[[#This Row],[Ineff DropDown 2]]</f>
        <v>T5_Ext ≤210</v>
      </c>
      <c r="K447" s="247" t="str">
        <f>STDLIGHTINEFCAT2[[#This Row],[Match]]&amp;"_"&amp;STDLIGHTINEFCAT2[[#This Row],[Options]]</f>
        <v>T5_Ext ≤210_1L T5 3' 21W</v>
      </c>
      <c r="L447" s="247" t="s">
        <v>1591</v>
      </c>
      <c r="M447" s="247">
        <v>21</v>
      </c>
      <c r="N447" s="247">
        <v>25</v>
      </c>
      <c r="O447">
        <v>445</v>
      </c>
    </row>
    <row r="448" spans="9:15">
      <c r="I448" s="26" t="s">
        <v>1911</v>
      </c>
      <c r="J448" s="26" t="str">
        <f>"T5_"&amp;STDLIGHTINEFCAT2[[#This Row],[Ineff DropDown 2]]</f>
        <v>T5_Ext ≤210</v>
      </c>
      <c r="K448" s="247" t="str">
        <f>STDLIGHTINEFCAT2[[#This Row],[Match]]&amp;"_"&amp;STDLIGHTINEFCAT2[[#This Row],[Options]]</f>
        <v>T5_Ext ≤210_2L T5 3' 21W</v>
      </c>
      <c r="L448" s="247" t="s">
        <v>1592</v>
      </c>
      <c r="M448" s="247">
        <v>42</v>
      </c>
      <c r="N448" s="247">
        <v>49</v>
      </c>
      <c r="O448">
        <v>446</v>
      </c>
    </row>
    <row r="449" spans="9:16">
      <c r="I449" s="26" t="s">
        <v>1911</v>
      </c>
      <c r="J449" s="26" t="str">
        <f>"T5_"&amp;STDLIGHTINEFCAT2[[#This Row],[Ineff DropDown 2]]</f>
        <v>T5_Ext ≤210</v>
      </c>
      <c r="K449" s="247" t="str">
        <f>STDLIGHTINEFCAT2[[#This Row],[Match]]&amp;"_"&amp;STDLIGHTINEFCAT2[[#This Row],[Options]]</f>
        <v>T5_Ext ≤210_1L T5 3' 39W</v>
      </c>
      <c r="L449" s="247" t="s">
        <v>1593</v>
      </c>
      <c r="M449" s="247">
        <v>39</v>
      </c>
      <c r="N449" s="247">
        <v>42</v>
      </c>
      <c r="O449">
        <v>447</v>
      </c>
    </row>
    <row r="450" spans="9:16">
      <c r="I450" s="26" t="s">
        <v>1911</v>
      </c>
      <c r="J450" s="26" t="str">
        <f>"T5_"&amp;STDLIGHTINEFCAT2[[#This Row],[Ineff DropDown 2]]</f>
        <v>T5_Ext ≤210</v>
      </c>
      <c r="K450" s="247" t="str">
        <f>STDLIGHTINEFCAT2[[#This Row],[Match]]&amp;"_"&amp;STDLIGHTINEFCAT2[[#This Row],[Options]]</f>
        <v>T5_Ext ≤210_----4 ft Lamps----</v>
      </c>
      <c r="L450" s="251" t="s">
        <v>1542</v>
      </c>
      <c r="M450" s="251"/>
      <c r="N450" s="247"/>
      <c r="O450">
        <v>448</v>
      </c>
    </row>
    <row r="451" spans="9:16">
      <c r="I451" s="26" t="s">
        <v>1911</v>
      </c>
      <c r="J451" s="26" t="str">
        <f>"T5_"&amp;STDLIGHTINEFCAT2[[#This Row],[Ineff DropDown 2]]</f>
        <v>T5_Ext ≤210</v>
      </c>
      <c r="K451" s="247" t="str">
        <f>STDLIGHTINEFCAT2[[#This Row],[Match]]&amp;"_"&amp;STDLIGHTINEFCAT2[[#This Row],[Options]]</f>
        <v>T5_Ext ≤210_1L T5 4' 28W</v>
      </c>
      <c r="L451" s="247" t="s">
        <v>1594</v>
      </c>
      <c r="M451" s="247">
        <v>28</v>
      </c>
      <c r="N451" s="247">
        <v>32</v>
      </c>
      <c r="O451">
        <v>449</v>
      </c>
      <c r="P451" t="s">
        <v>2139</v>
      </c>
    </row>
    <row r="452" spans="9:16">
      <c r="I452" s="26" t="s">
        <v>1911</v>
      </c>
      <c r="J452" s="26" t="str">
        <f>"T5_"&amp;STDLIGHTINEFCAT2[[#This Row],[Ineff DropDown 2]]</f>
        <v>T5_Ext ≤210</v>
      </c>
      <c r="K452" s="247" t="str">
        <f>STDLIGHTINEFCAT2[[#This Row],[Match]]&amp;"_"&amp;STDLIGHTINEFCAT2[[#This Row],[Options]]</f>
        <v>T5_Ext ≤210_2L T5 4' 28W</v>
      </c>
      <c r="L452" s="247" t="s">
        <v>1595</v>
      </c>
      <c r="M452" s="247">
        <f>2*28</f>
        <v>56</v>
      </c>
      <c r="N452" s="247">
        <v>63</v>
      </c>
      <c r="O452">
        <v>450</v>
      </c>
      <c r="P452" t="s">
        <v>2139</v>
      </c>
    </row>
    <row r="453" spans="9:16">
      <c r="I453" s="26" t="s">
        <v>1911</v>
      </c>
      <c r="J453" s="26" t="str">
        <f>"T5_"&amp;STDLIGHTINEFCAT2[[#This Row],[Ineff DropDown 2]]</f>
        <v>T5_Ext ≤210</v>
      </c>
      <c r="K453" s="247" t="str">
        <f>STDLIGHTINEFCAT2[[#This Row],[Match]]&amp;"_"&amp;STDLIGHTINEFCAT2[[#This Row],[Options]]</f>
        <v>T5_Ext ≤210_3L T5 4' 28W</v>
      </c>
      <c r="L453" s="247" t="s">
        <v>1596</v>
      </c>
      <c r="M453" s="247">
        <f>3*28</f>
        <v>84</v>
      </c>
      <c r="N453" s="247">
        <v>95</v>
      </c>
      <c r="O453">
        <v>451</v>
      </c>
      <c r="P453" t="s">
        <v>2139</v>
      </c>
    </row>
    <row r="454" spans="9:16">
      <c r="I454" s="26" t="s">
        <v>1911</v>
      </c>
      <c r="J454" s="26" t="str">
        <f>"T5_"&amp;STDLIGHTINEFCAT2[[#This Row],[Ineff DropDown 2]]</f>
        <v>T5_Ext ≤210</v>
      </c>
      <c r="K454" s="247" t="str">
        <f>STDLIGHTINEFCAT2[[#This Row],[Match]]&amp;"_"&amp;STDLIGHTINEFCAT2[[#This Row],[Options]]</f>
        <v>T5_Ext ≤210_4L T5 4' 28W</v>
      </c>
      <c r="L454" s="247" t="s">
        <v>1597</v>
      </c>
      <c r="M454" s="247">
        <f>4*28</f>
        <v>112</v>
      </c>
      <c r="N454" s="247">
        <v>126</v>
      </c>
      <c r="O454">
        <v>452</v>
      </c>
      <c r="P454" t="s">
        <v>2139</v>
      </c>
    </row>
    <row r="455" spans="9:16">
      <c r="I455" s="26" t="s">
        <v>91</v>
      </c>
      <c r="J455" s="26" t="str">
        <f>"T5_"&amp;STDLIGHTINEFCAT2[[#This Row],[Ineff DropDown 2]]</f>
        <v>T5_Fixture</v>
      </c>
      <c r="K455" s="247" t="str">
        <f>STDLIGHTINEFCAT2[[#This Row],[Match]]&amp;"_"&amp;STDLIGHTINEFCAT2[[#This Row],[Options]]</f>
        <v>T5_Fixture_----2 ft Lamps----</v>
      </c>
      <c r="L455" s="251" t="s">
        <v>1540</v>
      </c>
      <c r="M455" s="251"/>
      <c r="N455" s="247"/>
      <c r="O455">
        <v>453</v>
      </c>
    </row>
    <row r="456" spans="9:16">
      <c r="I456" s="26" t="s">
        <v>91</v>
      </c>
      <c r="J456" s="26" t="str">
        <f>"T5_"&amp;STDLIGHTINEFCAT2[[#This Row],[Ineff DropDown 2]]</f>
        <v>T5_Fixture</v>
      </c>
      <c r="K456" s="247" t="str">
        <f>STDLIGHTINEFCAT2[[#This Row],[Match]]&amp;"_"&amp;STDLIGHTINEFCAT2[[#This Row],[Options]]</f>
        <v>T5_Fixture_1L T5 2' 13W</v>
      </c>
      <c r="L456" s="247" t="s">
        <v>1587</v>
      </c>
      <c r="M456" s="247">
        <v>13</v>
      </c>
      <c r="N456" s="247">
        <v>14</v>
      </c>
      <c r="O456">
        <v>454</v>
      </c>
    </row>
    <row r="457" spans="9:16">
      <c r="I457" s="26" t="s">
        <v>91</v>
      </c>
      <c r="J457" s="26" t="str">
        <f>"T5_"&amp;STDLIGHTINEFCAT2[[#This Row],[Ineff DropDown 2]]</f>
        <v>T5_Fixture</v>
      </c>
      <c r="K457" s="247" t="str">
        <f>STDLIGHTINEFCAT2[[#This Row],[Match]]&amp;"_"&amp;STDLIGHTINEFCAT2[[#This Row],[Options]]</f>
        <v>T5_Fixture_2L T5 2' 13W</v>
      </c>
      <c r="L457" s="247" t="s">
        <v>1588</v>
      </c>
      <c r="M457" s="247">
        <v>36</v>
      </c>
      <c r="N457" s="247">
        <v>27</v>
      </c>
      <c r="O457">
        <v>455</v>
      </c>
    </row>
    <row r="458" spans="9:16">
      <c r="I458" s="26" t="s">
        <v>91</v>
      </c>
      <c r="J458" s="26" t="str">
        <f>"T5_"&amp;STDLIGHTINEFCAT2[[#This Row],[Ineff DropDown 2]]</f>
        <v>T5_Fixture</v>
      </c>
      <c r="K458" s="250" t="str">
        <f>STDLIGHTINEFCAT2[[#This Row],[Match]]&amp;"_"&amp;STDLIGHTINEFCAT2[[#This Row],[Options]]</f>
        <v>T5_Fixture_1L T5 2' 14W</v>
      </c>
      <c r="L458" s="250" t="s">
        <v>1589</v>
      </c>
      <c r="M458" s="250">
        <v>14</v>
      </c>
      <c r="N458" s="250">
        <v>14</v>
      </c>
      <c r="O458">
        <v>456</v>
      </c>
    </row>
    <row r="459" spans="9:16">
      <c r="I459" s="26" t="s">
        <v>91</v>
      </c>
      <c r="J459" s="26" t="str">
        <f>"T5_"&amp;STDLIGHTINEFCAT2[[#This Row],[Ineff DropDown 2]]</f>
        <v>T5_Fixture</v>
      </c>
      <c r="K459" s="247" t="str">
        <f>STDLIGHTINEFCAT2[[#This Row],[Match]]&amp;"_"&amp;STDLIGHTINEFCAT2[[#This Row],[Options]]</f>
        <v>T5_Fixture_2L T5 2' 14W</v>
      </c>
      <c r="L459" s="247" t="s">
        <v>1590</v>
      </c>
      <c r="M459" s="247">
        <v>28</v>
      </c>
      <c r="N459" s="247">
        <v>28</v>
      </c>
      <c r="O459">
        <v>457</v>
      </c>
    </row>
    <row r="460" spans="9:16">
      <c r="I460" s="26" t="s">
        <v>91</v>
      </c>
      <c r="J460" s="26" t="str">
        <f>"T5_"&amp;STDLIGHTINEFCAT2[[#This Row],[Ineff DropDown 2]]</f>
        <v>T5_Fixture</v>
      </c>
      <c r="K460" s="247" t="str">
        <f>STDLIGHTINEFCAT2[[#This Row],[Match]]&amp;"_"&amp;STDLIGHTINEFCAT2[[#This Row],[Options]]</f>
        <v>T5_Fixture_----3 ft Lamps----</v>
      </c>
      <c r="L460" s="251" t="s">
        <v>1541</v>
      </c>
      <c r="M460" s="251"/>
      <c r="N460" s="247"/>
      <c r="O460">
        <v>458</v>
      </c>
    </row>
    <row r="461" spans="9:16">
      <c r="I461" s="26" t="s">
        <v>91</v>
      </c>
      <c r="J461" s="26" t="str">
        <f>"T5_"&amp;STDLIGHTINEFCAT2[[#This Row],[Ineff DropDown 2]]</f>
        <v>T5_Fixture</v>
      </c>
      <c r="K461" s="247" t="str">
        <f>STDLIGHTINEFCAT2[[#This Row],[Match]]&amp;"_"&amp;STDLIGHTINEFCAT2[[#This Row],[Options]]</f>
        <v>T5_Fixture_1L T5 3' 21W</v>
      </c>
      <c r="L461" s="247" t="s">
        <v>1591</v>
      </c>
      <c r="M461" s="247">
        <v>21</v>
      </c>
      <c r="N461" s="247">
        <v>25</v>
      </c>
      <c r="O461">
        <v>459</v>
      </c>
    </row>
    <row r="462" spans="9:16">
      <c r="I462" s="26" t="s">
        <v>91</v>
      </c>
      <c r="J462" s="26" t="str">
        <f>"T5_"&amp;STDLIGHTINEFCAT2[[#This Row],[Ineff DropDown 2]]</f>
        <v>T5_Fixture</v>
      </c>
      <c r="K462" s="247" t="str">
        <f>STDLIGHTINEFCAT2[[#This Row],[Match]]&amp;"_"&amp;STDLIGHTINEFCAT2[[#This Row],[Options]]</f>
        <v>T5_Fixture_2L T5 3' 21W</v>
      </c>
      <c r="L462" s="247" t="s">
        <v>1592</v>
      </c>
      <c r="M462" s="247">
        <v>42</v>
      </c>
      <c r="N462" s="247">
        <v>49</v>
      </c>
      <c r="O462">
        <v>460</v>
      </c>
    </row>
    <row r="463" spans="9:16">
      <c r="I463" s="26" t="s">
        <v>91</v>
      </c>
      <c r="J463" s="26" t="str">
        <f>"T5_"&amp;STDLIGHTINEFCAT2[[#This Row],[Ineff DropDown 2]]</f>
        <v>T5_Fixture</v>
      </c>
      <c r="K463" s="247" t="str">
        <f>STDLIGHTINEFCAT2[[#This Row],[Match]]&amp;"_"&amp;STDLIGHTINEFCAT2[[#This Row],[Options]]</f>
        <v>T5_Fixture_1L T5 3' 39W</v>
      </c>
      <c r="L463" s="247" t="s">
        <v>1593</v>
      </c>
      <c r="M463" s="247">
        <v>39</v>
      </c>
      <c r="N463" s="247">
        <v>42</v>
      </c>
      <c r="O463">
        <v>461</v>
      </c>
    </row>
    <row r="464" spans="9:16">
      <c r="I464" s="26" t="s">
        <v>91</v>
      </c>
      <c r="J464" s="26" t="str">
        <f>"T5_"&amp;STDLIGHTINEFCAT2[[#This Row],[Ineff DropDown 2]]</f>
        <v>T5_Fixture</v>
      </c>
      <c r="K464" s="247" t="str">
        <f>STDLIGHTINEFCAT2[[#This Row],[Match]]&amp;"_"&amp;STDLIGHTINEFCAT2[[#This Row],[Options]]</f>
        <v>T5_Fixture_----4 ft Lamps----</v>
      </c>
      <c r="L464" s="251" t="s">
        <v>1542</v>
      </c>
      <c r="M464" s="251"/>
      <c r="N464" s="247"/>
      <c r="O464">
        <v>462</v>
      </c>
    </row>
    <row r="465" spans="9:16">
      <c r="I465" s="26" t="s">
        <v>91</v>
      </c>
      <c r="J465" s="26" t="str">
        <f>"T5_"&amp;STDLIGHTINEFCAT2[[#This Row],[Ineff DropDown 2]]</f>
        <v>T5_Fixture</v>
      </c>
      <c r="K465" s="247" t="str">
        <f>STDLIGHTINEFCAT2[[#This Row],[Match]]&amp;"_"&amp;STDLIGHTINEFCAT2[[#This Row],[Options]]</f>
        <v>T5_Fixture_1L T5 4' 28W</v>
      </c>
      <c r="L465" s="247" t="s">
        <v>1594</v>
      </c>
      <c r="M465" s="247">
        <v>28</v>
      </c>
      <c r="N465" s="247">
        <v>32</v>
      </c>
      <c r="O465">
        <v>463</v>
      </c>
      <c r="P465" t="s">
        <v>2139</v>
      </c>
    </row>
    <row r="466" spans="9:16">
      <c r="I466" s="26" t="s">
        <v>91</v>
      </c>
      <c r="J466" s="26" t="str">
        <f>"T5_"&amp;STDLIGHTINEFCAT2[[#This Row],[Ineff DropDown 2]]</f>
        <v>T5_Fixture</v>
      </c>
      <c r="K466" s="247" t="str">
        <f>STDLIGHTINEFCAT2[[#This Row],[Match]]&amp;"_"&amp;STDLIGHTINEFCAT2[[#This Row],[Options]]</f>
        <v>T5_Fixture_2L T5 4' 28W</v>
      </c>
      <c r="L466" s="247" t="s">
        <v>1595</v>
      </c>
      <c r="M466" s="247">
        <f>2*28</f>
        <v>56</v>
      </c>
      <c r="N466" s="247">
        <v>63</v>
      </c>
      <c r="O466">
        <v>464</v>
      </c>
      <c r="P466" t="s">
        <v>2139</v>
      </c>
    </row>
    <row r="467" spans="9:16">
      <c r="I467" s="26" t="s">
        <v>91</v>
      </c>
      <c r="J467" s="26" t="str">
        <f>"T5_"&amp;STDLIGHTINEFCAT2[[#This Row],[Ineff DropDown 2]]</f>
        <v>T5_Fixture</v>
      </c>
      <c r="K467" s="247" t="str">
        <f>STDLIGHTINEFCAT2[[#This Row],[Match]]&amp;"_"&amp;STDLIGHTINEFCAT2[[#This Row],[Options]]</f>
        <v>T5_Fixture_3L T5 4' 28W</v>
      </c>
      <c r="L467" s="247" t="s">
        <v>1596</v>
      </c>
      <c r="M467" s="247">
        <f>3*28</f>
        <v>84</v>
      </c>
      <c r="N467" s="247">
        <v>95</v>
      </c>
      <c r="O467">
        <v>465</v>
      </c>
      <c r="P467" t="s">
        <v>2139</v>
      </c>
    </row>
    <row r="468" spans="9:16">
      <c r="I468" s="26" t="s">
        <v>91</v>
      </c>
      <c r="J468" s="26" t="str">
        <f>"T5_"&amp;STDLIGHTINEFCAT2[[#This Row],[Ineff DropDown 2]]</f>
        <v>T5_Fixture</v>
      </c>
      <c r="K468" s="247" t="str">
        <f>STDLIGHTINEFCAT2[[#This Row],[Match]]&amp;"_"&amp;STDLIGHTINEFCAT2[[#This Row],[Options]]</f>
        <v>T5_Fixture_4L T5 4' 28W</v>
      </c>
      <c r="L468" s="247" t="s">
        <v>1597</v>
      </c>
      <c r="M468" s="247">
        <f>4*28</f>
        <v>112</v>
      </c>
      <c r="N468" s="247">
        <v>126</v>
      </c>
      <c r="O468">
        <v>466</v>
      </c>
      <c r="P468" t="s">
        <v>2139</v>
      </c>
    </row>
    <row r="469" spans="9:16">
      <c r="I469" s="26" t="s">
        <v>91</v>
      </c>
      <c r="J469" s="26" t="str">
        <f>"T5_"&amp;STDLIGHTINEFCAT2[[#This Row],[Ineff DropDown 2]]</f>
        <v>T5_Fixture</v>
      </c>
      <c r="K469" s="247" t="str">
        <f>STDLIGHTINEFCAT2[[#This Row],[Match]]&amp;"_"&amp;STDLIGHTINEFCAT2[[#This Row],[Options]]</f>
        <v>T5_Fixture_----5 ft Lamps----</v>
      </c>
      <c r="L469" s="251" t="s">
        <v>1543</v>
      </c>
      <c r="M469" s="251"/>
      <c r="N469" s="247"/>
      <c r="O469">
        <v>467</v>
      </c>
    </row>
    <row r="470" spans="9:16">
      <c r="I470" s="26" t="s">
        <v>91</v>
      </c>
      <c r="J470" s="26" t="str">
        <f>"T5_"&amp;STDLIGHTINEFCAT2[[#This Row],[Ineff DropDown 2]]</f>
        <v>T5_Fixture</v>
      </c>
      <c r="K470" s="247" t="str">
        <f>STDLIGHTINEFCAT2[[#This Row],[Match]]&amp;"_"&amp;STDLIGHTINEFCAT2[[#This Row],[Options]]</f>
        <v>T5_Fixture_1L T5 5' 35W</v>
      </c>
      <c r="L470" s="247" t="s">
        <v>1598</v>
      </c>
      <c r="M470" s="247">
        <v>35</v>
      </c>
      <c r="N470" s="247">
        <v>40</v>
      </c>
      <c r="O470">
        <v>468</v>
      </c>
    </row>
    <row r="471" spans="9:16">
      <c r="I471" s="26" t="s">
        <v>91</v>
      </c>
      <c r="J471" s="26" t="str">
        <f>"T5_"&amp;STDLIGHTINEFCAT2[[#This Row],[Ineff DropDown 2]]</f>
        <v>T5_Fixture</v>
      </c>
      <c r="K471" s="247" t="str">
        <f>STDLIGHTINEFCAT2[[#This Row],[Match]]&amp;"_"&amp;STDLIGHTINEFCAT2[[#This Row],[Options]]</f>
        <v>T5_Fixture_2L T5 5' 35W</v>
      </c>
      <c r="L471" s="247" t="s">
        <v>1599</v>
      </c>
      <c r="M471" s="247">
        <f>35*2</f>
        <v>70</v>
      </c>
      <c r="N471" s="247">
        <v>77</v>
      </c>
      <c r="O471">
        <v>469</v>
      </c>
    </row>
    <row r="472" spans="9:16">
      <c r="I472" t="s">
        <v>1915</v>
      </c>
      <c r="J472" s="26" t="str">
        <f>"T5_"&amp;STDLIGHTINEFCAT2[[#This Row],[Ineff DropDown 2]]</f>
        <v>T5_PG &lt;=130</v>
      </c>
      <c r="K472" s="247" t="str">
        <f>STDLIGHTINEFCAT2[[#This Row],[Match]]&amp;"_"&amp;STDLIGHTINEFCAT2[[#This Row],[Options]]</f>
        <v>T5_PG &lt;=130_----2 ft Lamps----</v>
      </c>
      <c r="L472" s="251" t="s">
        <v>1540</v>
      </c>
      <c r="M472" s="251"/>
      <c r="N472" s="247"/>
      <c r="O472">
        <v>470</v>
      </c>
    </row>
    <row r="473" spans="9:16">
      <c r="I473" t="s">
        <v>1915</v>
      </c>
      <c r="J473" s="26" t="str">
        <f>"T5_"&amp;STDLIGHTINEFCAT2[[#This Row],[Ineff DropDown 2]]</f>
        <v>T5_PG &lt;=130</v>
      </c>
      <c r="K473" s="247" t="str">
        <f>STDLIGHTINEFCAT2[[#This Row],[Match]]&amp;"_"&amp;STDLIGHTINEFCAT2[[#This Row],[Options]]</f>
        <v>T5_PG &lt;=130_1L T5 2' 13W</v>
      </c>
      <c r="L473" s="247" t="s">
        <v>1587</v>
      </c>
      <c r="M473" s="247">
        <v>13</v>
      </c>
      <c r="N473" s="247">
        <v>14</v>
      </c>
      <c r="O473">
        <v>471</v>
      </c>
    </row>
    <row r="474" spans="9:16">
      <c r="I474" t="s">
        <v>1915</v>
      </c>
      <c r="J474" s="26" t="str">
        <f>"T5_"&amp;STDLIGHTINEFCAT2[[#This Row],[Ineff DropDown 2]]</f>
        <v>T5_PG &lt;=130</v>
      </c>
      <c r="K474" s="247" t="str">
        <f>STDLIGHTINEFCAT2[[#This Row],[Match]]&amp;"_"&amp;STDLIGHTINEFCAT2[[#This Row],[Options]]</f>
        <v>T5_PG &lt;=130_2L T5 2' 13W</v>
      </c>
      <c r="L474" s="247" t="s">
        <v>1588</v>
      </c>
      <c r="M474" s="247">
        <v>36</v>
      </c>
      <c r="N474" s="247">
        <v>27</v>
      </c>
      <c r="O474">
        <v>472</v>
      </c>
    </row>
    <row r="475" spans="9:16">
      <c r="I475" t="s">
        <v>1915</v>
      </c>
      <c r="J475" s="26" t="str">
        <f>"T5_"&amp;STDLIGHTINEFCAT2[[#This Row],[Ineff DropDown 2]]</f>
        <v>T5_PG &lt;=130</v>
      </c>
      <c r="K475" s="247" t="str">
        <f>STDLIGHTINEFCAT2[[#This Row],[Match]]&amp;"_"&amp;STDLIGHTINEFCAT2[[#This Row],[Options]]</f>
        <v>T5_PG &lt;=130_1L T5 2' 14W</v>
      </c>
      <c r="L475" s="247" t="s">
        <v>1589</v>
      </c>
      <c r="M475" s="247">
        <v>14</v>
      </c>
      <c r="N475" s="247">
        <v>14</v>
      </c>
      <c r="O475">
        <v>473</v>
      </c>
    </row>
    <row r="476" spans="9:16">
      <c r="I476" t="s">
        <v>1915</v>
      </c>
      <c r="J476" s="26" t="str">
        <f>"T5_"&amp;STDLIGHTINEFCAT2[[#This Row],[Ineff DropDown 2]]</f>
        <v>T5_PG &lt;=130</v>
      </c>
      <c r="K476" s="247" t="str">
        <f>STDLIGHTINEFCAT2[[#This Row],[Match]]&amp;"_"&amp;STDLIGHTINEFCAT2[[#This Row],[Options]]</f>
        <v>T5_PG &lt;=130_2L T5 2' 14W</v>
      </c>
      <c r="L476" s="247" t="s">
        <v>1590</v>
      </c>
      <c r="M476" s="247">
        <v>28</v>
      </c>
      <c r="N476" s="247">
        <v>28</v>
      </c>
      <c r="O476">
        <v>474</v>
      </c>
    </row>
    <row r="477" spans="9:16">
      <c r="I477" t="s">
        <v>1915</v>
      </c>
      <c r="J477" s="26" t="str">
        <f>"T5_"&amp;STDLIGHTINEFCAT2[[#This Row],[Ineff DropDown 2]]</f>
        <v>T5_PG &lt;=130</v>
      </c>
      <c r="K477" s="247" t="str">
        <f>STDLIGHTINEFCAT2[[#This Row],[Match]]&amp;"_"&amp;STDLIGHTINEFCAT2[[#This Row],[Options]]</f>
        <v>T5_PG &lt;=130_----3 ft Lamps----</v>
      </c>
      <c r="L477" s="251" t="s">
        <v>1541</v>
      </c>
      <c r="M477" s="251"/>
      <c r="N477" s="247"/>
      <c r="O477">
        <v>475</v>
      </c>
    </row>
    <row r="478" spans="9:16">
      <c r="I478" t="s">
        <v>1915</v>
      </c>
      <c r="J478" s="26" t="str">
        <f>"T5_"&amp;STDLIGHTINEFCAT2[[#This Row],[Ineff DropDown 2]]</f>
        <v>T5_PG &lt;=130</v>
      </c>
      <c r="K478" s="250" t="str">
        <f>STDLIGHTINEFCAT2[[#This Row],[Match]]&amp;"_"&amp;STDLIGHTINEFCAT2[[#This Row],[Options]]</f>
        <v>T5_PG &lt;=130_1L T5 3' 21W</v>
      </c>
      <c r="L478" s="250" t="s">
        <v>1591</v>
      </c>
      <c r="M478" s="250">
        <v>21</v>
      </c>
      <c r="N478" s="250">
        <v>25</v>
      </c>
      <c r="O478">
        <v>476</v>
      </c>
    </row>
    <row r="479" spans="9:16">
      <c r="I479" t="s">
        <v>1915</v>
      </c>
      <c r="J479" s="26" t="str">
        <f>"T5_"&amp;STDLIGHTINEFCAT2[[#This Row],[Ineff DropDown 2]]</f>
        <v>T5_PG &lt;=130</v>
      </c>
      <c r="K479" s="247" t="str">
        <f>STDLIGHTINEFCAT2[[#This Row],[Match]]&amp;"_"&amp;STDLIGHTINEFCAT2[[#This Row],[Options]]</f>
        <v>T5_PG &lt;=130_2L T5 3' 21W</v>
      </c>
      <c r="L479" s="247" t="s">
        <v>1592</v>
      </c>
      <c r="M479" s="247">
        <v>42</v>
      </c>
      <c r="N479" s="247">
        <v>49</v>
      </c>
      <c r="O479">
        <v>477</v>
      </c>
    </row>
    <row r="480" spans="9:16">
      <c r="I480" t="s">
        <v>1915</v>
      </c>
      <c r="J480" s="26" t="str">
        <f>"T5_"&amp;STDLIGHTINEFCAT2[[#This Row],[Ineff DropDown 2]]</f>
        <v>T5_PG &lt;=130</v>
      </c>
      <c r="K480" s="247" t="str">
        <f>STDLIGHTINEFCAT2[[#This Row],[Match]]&amp;"_"&amp;STDLIGHTINEFCAT2[[#This Row],[Options]]</f>
        <v>T5_PG &lt;=130_1L T5 3' 39W</v>
      </c>
      <c r="L480" s="247" t="s">
        <v>1593</v>
      </c>
      <c r="M480" s="247">
        <v>39</v>
      </c>
      <c r="N480" s="247">
        <v>42</v>
      </c>
      <c r="O480">
        <v>478</v>
      </c>
    </row>
    <row r="481" spans="9:16">
      <c r="I481" t="s">
        <v>1915</v>
      </c>
      <c r="J481" s="26" t="str">
        <f>"T5_"&amp;STDLIGHTINEFCAT2[[#This Row],[Ineff DropDown 2]]</f>
        <v>T5_PG &lt;=130</v>
      </c>
      <c r="K481" s="247" t="str">
        <f>STDLIGHTINEFCAT2[[#This Row],[Match]]&amp;"_"&amp;STDLIGHTINEFCAT2[[#This Row],[Options]]</f>
        <v>T5_PG &lt;=130_----4 ft Lamps----</v>
      </c>
      <c r="L481" s="251" t="s">
        <v>1542</v>
      </c>
      <c r="M481" s="251"/>
      <c r="N481" s="247"/>
      <c r="O481">
        <v>479</v>
      </c>
    </row>
    <row r="482" spans="9:16">
      <c r="I482" t="s">
        <v>1915</v>
      </c>
      <c r="J482" s="26" t="str">
        <f>"T5_"&amp;STDLIGHTINEFCAT2[[#This Row],[Ineff DropDown 2]]</f>
        <v>T5_PG &lt;=130</v>
      </c>
      <c r="K482" s="247" t="str">
        <f>STDLIGHTINEFCAT2[[#This Row],[Match]]&amp;"_"&amp;STDLIGHTINEFCAT2[[#This Row],[Options]]</f>
        <v>T5_PG &lt;=130_1L T5 4' 28W</v>
      </c>
      <c r="L482" s="247" t="s">
        <v>1594</v>
      </c>
      <c r="M482" s="247">
        <v>28</v>
      </c>
      <c r="N482" s="247">
        <v>32</v>
      </c>
      <c r="O482">
        <v>480</v>
      </c>
      <c r="P482" t="s">
        <v>2139</v>
      </c>
    </row>
    <row r="483" spans="9:16">
      <c r="I483" t="s">
        <v>1915</v>
      </c>
      <c r="J483" s="26" t="str">
        <f>"T5_"&amp;STDLIGHTINEFCAT2[[#This Row],[Ineff DropDown 2]]</f>
        <v>T5_PG &lt;=130</v>
      </c>
      <c r="K483" s="247" t="str">
        <f>STDLIGHTINEFCAT2[[#This Row],[Match]]&amp;"_"&amp;STDLIGHTINEFCAT2[[#This Row],[Options]]</f>
        <v>T5_PG &lt;=130_2L T5 4' 28W</v>
      </c>
      <c r="L483" s="247" t="s">
        <v>1595</v>
      </c>
      <c r="M483" s="247">
        <f>2*28</f>
        <v>56</v>
      </c>
      <c r="N483" s="247">
        <v>63</v>
      </c>
      <c r="O483">
        <v>481</v>
      </c>
      <c r="P483" t="s">
        <v>2139</v>
      </c>
    </row>
    <row r="484" spans="9:16">
      <c r="I484" t="s">
        <v>1915</v>
      </c>
      <c r="J484" s="26" t="str">
        <f>"T5_"&amp;STDLIGHTINEFCAT2[[#This Row],[Ineff DropDown 2]]</f>
        <v>T5_PG &lt;=130</v>
      </c>
      <c r="K484" s="247" t="str">
        <f>STDLIGHTINEFCAT2[[#This Row],[Match]]&amp;"_"&amp;STDLIGHTINEFCAT2[[#This Row],[Options]]</f>
        <v>T5_PG &lt;=130_3L T5 4' 28W</v>
      </c>
      <c r="L484" s="247" t="s">
        <v>1596</v>
      </c>
      <c r="M484" s="247">
        <f>3*28</f>
        <v>84</v>
      </c>
      <c r="N484" s="247">
        <v>95</v>
      </c>
      <c r="O484">
        <v>482</v>
      </c>
      <c r="P484" t="s">
        <v>2139</v>
      </c>
    </row>
    <row r="485" spans="9:16">
      <c r="I485" t="s">
        <v>1915</v>
      </c>
      <c r="J485" s="26" t="str">
        <f>"T5_"&amp;STDLIGHTINEFCAT2[[#This Row],[Ineff DropDown 2]]</f>
        <v>T5_PG &lt;=130</v>
      </c>
      <c r="K485" s="247" t="str">
        <f>STDLIGHTINEFCAT2[[#This Row],[Match]]&amp;"_"&amp;STDLIGHTINEFCAT2[[#This Row],[Options]]</f>
        <v>T5_PG &lt;=130_4L T5 4' 28W</v>
      </c>
      <c r="L485" s="247" t="s">
        <v>1597</v>
      </c>
      <c r="M485" s="247">
        <f>4*28</f>
        <v>112</v>
      </c>
      <c r="N485" s="247">
        <v>126</v>
      </c>
      <c r="O485">
        <v>483</v>
      </c>
      <c r="P485" t="s">
        <v>2139</v>
      </c>
    </row>
    <row r="486" spans="9:16">
      <c r="I486" s="26" t="s">
        <v>1663</v>
      </c>
      <c r="J486" s="26" t="str">
        <f>"T5_"&amp;STDLIGHTINEFCAT2[[#This Row],[Ineff DropDown 2]]</f>
        <v>T5_Retrofit_2ft</v>
      </c>
      <c r="K486" s="247" t="str">
        <f>STDLIGHTINEFCAT2[[#This Row],[Match]]&amp;"_"&amp;STDLIGHTINEFCAT2[[#This Row],[Options]]</f>
        <v>T5_Retrofit_2ft_1L T5 2' 13W</v>
      </c>
      <c r="L486" s="247" t="s">
        <v>1587</v>
      </c>
      <c r="M486" s="247">
        <v>13</v>
      </c>
      <c r="N486" s="247">
        <v>14</v>
      </c>
      <c r="O486">
        <v>484</v>
      </c>
    </row>
    <row r="487" spans="9:16">
      <c r="I487" s="26" t="s">
        <v>1663</v>
      </c>
      <c r="J487" s="26" t="str">
        <f>"T5_"&amp;STDLIGHTINEFCAT2[[#This Row],[Ineff DropDown 2]]</f>
        <v>T5_Retrofit_2ft</v>
      </c>
      <c r="K487" s="247" t="str">
        <f>STDLIGHTINEFCAT2[[#This Row],[Match]]&amp;"_"&amp;STDLIGHTINEFCAT2[[#This Row],[Options]]</f>
        <v>T5_Retrofit_2ft_1L T5 2' 14W</v>
      </c>
      <c r="L487" s="247" t="s">
        <v>1589</v>
      </c>
      <c r="M487" s="247">
        <v>14</v>
      </c>
      <c r="N487" s="247">
        <v>14</v>
      </c>
      <c r="O487">
        <v>485</v>
      </c>
    </row>
    <row r="488" spans="9:16">
      <c r="I488" s="26" t="s">
        <v>1663</v>
      </c>
      <c r="J488" s="26" t="str">
        <f>"T5_"&amp;STDLIGHTINEFCAT2[[#This Row],[Ineff DropDown 2]]</f>
        <v>T5_Retrofit_2ft</v>
      </c>
      <c r="K488" s="247" t="str">
        <f>STDLIGHTINEFCAT2[[#This Row],[Match]]&amp;"_"&amp;STDLIGHTINEFCAT2[[#This Row],[Options]]</f>
        <v>T5_Retrofit_2ft_2L T5 2' 13W</v>
      </c>
      <c r="L488" s="247" t="s">
        <v>1588</v>
      </c>
      <c r="M488" s="247">
        <v>36</v>
      </c>
      <c r="N488" s="247">
        <v>27</v>
      </c>
      <c r="O488">
        <v>486</v>
      </c>
    </row>
    <row r="489" spans="9:16">
      <c r="I489" s="26" t="s">
        <v>1663</v>
      </c>
      <c r="J489" s="26" t="str">
        <f>"T5_"&amp;STDLIGHTINEFCAT2[[#This Row],[Ineff DropDown 2]]</f>
        <v>T5_Retrofit_2ft</v>
      </c>
      <c r="K489" s="247" t="str">
        <f>STDLIGHTINEFCAT2[[#This Row],[Match]]&amp;"_"&amp;STDLIGHTINEFCAT2[[#This Row],[Options]]</f>
        <v>T5_Retrofit_2ft_2L T5 2' 14W</v>
      </c>
      <c r="L489" s="247" t="s">
        <v>1590</v>
      </c>
      <c r="M489" s="247">
        <v>28</v>
      </c>
      <c r="N489" s="247">
        <v>28</v>
      </c>
      <c r="O489">
        <v>487</v>
      </c>
    </row>
    <row r="490" spans="9:16">
      <c r="I490" s="26" t="s">
        <v>1858</v>
      </c>
      <c r="J490" s="26" t="str">
        <f>"T5_"&amp;STDLIGHTINEFCAT2[[#This Row],[Ineff DropDown 2]]</f>
        <v>T5_Retrofit_4ft_1x4</v>
      </c>
      <c r="K490" s="247" t="str">
        <f>STDLIGHTINEFCAT2[[#This Row],[Match]]&amp;"_"&amp;STDLIGHTINEFCAT2[[#This Row],[Options]]</f>
        <v>T5_Retrofit_4ft_1x4_1L T5 4' 28W</v>
      </c>
      <c r="L490" s="247" t="s">
        <v>1594</v>
      </c>
      <c r="M490" s="247">
        <v>28</v>
      </c>
      <c r="N490" s="247">
        <v>32</v>
      </c>
      <c r="O490">
        <v>488</v>
      </c>
      <c r="P490" t="s">
        <v>2139</v>
      </c>
    </row>
    <row r="491" spans="9:16">
      <c r="I491" s="26" t="s">
        <v>1858</v>
      </c>
      <c r="J491" s="26" t="str">
        <f>"T5_"&amp;STDLIGHTINEFCAT2[[#This Row],[Ineff DropDown 2]]</f>
        <v>T5_Retrofit_4ft_1x4</v>
      </c>
      <c r="K491" s="247" t="str">
        <f>STDLIGHTINEFCAT2[[#This Row],[Match]]&amp;"_"&amp;STDLIGHTINEFCAT2[[#This Row],[Options]]</f>
        <v>T5_Retrofit_4ft_1x4_2L T5 4' 28W</v>
      </c>
      <c r="L491" s="247" t="s">
        <v>1595</v>
      </c>
      <c r="M491" s="247">
        <f>2*28</f>
        <v>56</v>
      </c>
      <c r="N491" s="247">
        <v>63</v>
      </c>
      <c r="O491">
        <v>489</v>
      </c>
      <c r="P491" t="s">
        <v>2139</v>
      </c>
    </row>
    <row r="492" spans="9:16">
      <c r="I492" s="26" t="s">
        <v>1859</v>
      </c>
      <c r="J492" s="26" t="str">
        <f>"T5_"&amp;STDLIGHTINEFCAT2[[#This Row],[Ineff DropDown 2]]</f>
        <v>T5_Retrofit_4ft_2x4</v>
      </c>
      <c r="K492" s="247" t="str">
        <f>STDLIGHTINEFCAT2[[#This Row],[Match]]&amp;"_"&amp;STDLIGHTINEFCAT2[[#This Row],[Options]]</f>
        <v>T5_Retrofit_4ft_2x4_3L T5 4' 28W</v>
      </c>
      <c r="L492" s="247" t="s">
        <v>1596</v>
      </c>
      <c r="M492" s="247">
        <f>3*28</f>
        <v>84</v>
      </c>
      <c r="N492" s="247">
        <v>95</v>
      </c>
      <c r="O492">
        <v>490</v>
      </c>
      <c r="P492" t="s">
        <v>2139</v>
      </c>
    </row>
    <row r="493" spans="9:16">
      <c r="I493" s="26" t="s">
        <v>1859</v>
      </c>
      <c r="J493" s="26" t="str">
        <f>"T5_"&amp;STDLIGHTINEFCAT2[[#This Row],[Ineff DropDown 2]]</f>
        <v>T5_Retrofit_4ft_2x4</v>
      </c>
      <c r="K493" s="247" t="str">
        <f>STDLIGHTINEFCAT2[[#This Row],[Match]]&amp;"_"&amp;STDLIGHTINEFCAT2[[#This Row],[Options]]</f>
        <v>T5_Retrofit_4ft_2x4_4L T5 4' 28W</v>
      </c>
      <c r="L493" s="247" t="s">
        <v>1597</v>
      </c>
      <c r="M493" s="247">
        <f>4*28</f>
        <v>112</v>
      </c>
      <c r="N493" s="247">
        <v>126</v>
      </c>
      <c r="O493">
        <v>491</v>
      </c>
      <c r="P493" t="s">
        <v>2139</v>
      </c>
    </row>
    <row r="494" spans="9:16">
      <c r="I494" s="26" t="s">
        <v>1859</v>
      </c>
      <c r="J494" s="26" t="str">
        <f>"T5_"&amp;STDLIGHTINEFCAT2[[#This Row],[Ineff DropDown 2]]</f>
        <v>T5_Retrofit_4ft_2x4</v>
      </c>
      <c r="K494" s="299" t="str">
        <f>STDLIGHTINEFCAT2[[#This Row],[Match]]&amp;"_"&amp;STDLIGHTINEFCAT2[[#This Row],[Options]]</f>
        <v>T5_Retrofit_4ft_2x4_5L T5 4' 28W</v>
      </c>
      <c r="L494" s="299" t="s">
        <v>1872</v>
      </c>
      <c r="M494" s="247">
        <v>140</v>
      </c>
      <c r="N494" s="299">
        <v>159</v>
      </c>
      <c r="O494">
        <v>492</v>
      </c>
      <c r="P494" t="s">
        <v>2140</v>
      </c>
    </row>
    <row r="495" spans="9:16">
      <c r="I495" s="26" t="s">
        <v>1859</v>
      </c>
      <c r="J495" s="26" t="str">
        <f>"T5_"&amp;STDLIGHTINEFCAT2[[#This Row],[Ineff DropDown 2]]</f>
        <v>T5_Retrofit_4ft_2x4</v>
      </c>
      <c r="K495" s="299" t="str">
        <f>STDLIGHTINEFCAT2[[#This Row],[Match]]&amp;"_"&amp;STDLIGHTINEFCAT2[[#This Row],[Options]]</f>
        <v>T5_Retrofit_4ft_2x4_6L T5 4' 28W</v>
      </c>
      <c r="L495" s="299" t="s">
        <v>1871</v>
      </c>
      <c r="M495" s="247">
        <v>168</v>
      </c>
      <c r="N495" s="299">
        <v>192</v>
      </c>
      <c r="O495">
        <v>493</v>
      </c>
      <c r="P495" t="s">
        <v>2139</v>
      </c>
    </row>
    <row r="496" spans="9:16">
      <c r="I496" s="26" t="s">
        <v>1415</v>
      </c>
      <c r="J496" s="26" t="s">
        <v>1931</v>
      </c>
      <c r="K496" s="247" t="str">
        <f>STDLIGHTINEFCAT2[[#This Row],[Match]]&amp;"_"&amp;STDLIGHTINEFCAT2[[#This Row],[Options]]</f>
        <v>T5HO_2ft_Lamp_T5HO 2' 24W</v>
      </c>
      <c r="L496" s="247" t="s">
        <v>1930</v>
      </c>
      <c r="M496" s="247">
        <v>24</v>
      </c>
      <c r="N496" s="247">
        <v>24</v>
      </c>
      <c r="O496">
        <v>494</v>
      </c>
    </row>
    <row r="497" spans="9:16">
      <c r="I497" s="26" t="s">
        <v>1416</v>
      </c>
      <c r="J497" s="26" t="s">
        <v>1843</v>
      </c>
      <c r="K497" s="289" t="str">
        <f>STDLIGHTINEFCAT2[[#This Row],[Match]]&amp;"_"&amp;STDLIGHTINEFCAT2[[#This Row],[Options]]</f>
        <v>T5HO_4ft_Lamp_T5HO 4' 54W</v>
      </c>
      <c r="L497" s="248" t="s">
        <v>1826</v>
      </c>
      <c r="M497" s="247">
        <v>54</v>
      </c>
      <c r="N497" s="247">
        <v>54</v>
      </c>
      <c r="O497">
        <v>495</v>
      </c>
    </row>
    <row r="498" spans="9:16">
      <c r="I498" s="26" t="s">
        <v>1911</v>
      </c>
      <c r="J498" s="26" t="str">
        <f>"T5HO_"&amp;STDLIGHTINEFCAT2[[#This Row],[Ineff DropDown 2]]</f>
        <v>T5HO_Ext ≤210</v>
      </c>
      <c r="K498" s="306" t="str">
        <f>STDLIGHTINEFCAT2[[#This Row],[Match]]&amp;"_"&amp;STDLIGHTINEFCAT2[[#This Row],[Options]]</f>
        <v>T5HO_Ext ≤210_----2 ft Lamps----</v>
      </c>
      <c r="L498" s="251" t="s">
        <v>1540</v>
      </c>
      <c r="M498" s="247"/>
      <c r="N498" s="303"/>
      <c r="O498">
        <v>496</v>
      </c>
    </row>
    <row r="499" spans="9:16">
      <c r="I499" s="26" t="s">
        <v>1911</v>
      </c>
      <c r="J499" s="26" t="str">
        <f>"T5HO_"&amp;STDLIGHTINEFCAT2[[#This Row],[Ineff DropDown 2]]</f>
        <v>T5HO_Ext ≤210</v>
      </c>
      <c r="K499" s="247" t="str">
        <f>STDLIGHTINEFCAT2[[#This Row],[Match]]&amp;"_"&amp;STDLIGHTINEFCAT2[[#This Row],[Options]]</f>
        <v>T5HO_Ext ≤210_1L T5HO 2' 24W</v>
      </c>
      <c r="L499" s="247" t="s">
        <v>1860</v>
      </c>
      <c r="M499" s="247">
        <v>24</v>
      </c>
      <c r="N499" s="247">
        <v>27</v>
      </c>
      <c r="O499">
        <v>497</v>
      </c>
    </row>
    <row r="500" spans="9:16">
      <c r="I500" s="26" t="s">
        <v>1911</v>
      </c>
      <c r="J500" s="26" t="str">
        <f>"T5HO_"&amp;STDLIGHTINEFCAT2[[#This Row],[Ineff DropDown 2]]</f>
        <v>T5HO_Ext ≤210</v>
      </c>
      <c r="K500" s="247" t="str">
        <f>STDLIGHTINEFCAT2[[#This Row],[Match]]&amp;"_"&amp;STDLIGHTINEFCAT2[[#This Row],[Options]]</f>
        <v>T5HO_Ext ≤210_2L T5HO 2' 24W</v>
      </c>
      <c r="L500" s="247" t="s">
        <v>1861</v>
      </c>
      <c r="M500" s="247">
        <v>48</v>
      </c>
      <c r="N500" s="247">
        <v>54</v>
      </c>
      <c r="O500">
        <v>498</v>
      </c>
    </row>
    <row r="501" spans="9:16">
      <c r="I501" s="26" t="s">
        <v>1911</v>
      </c>
      <c r="J501" s="26" t="str">
        <f>"T5HO_"&amp;STDLIGHTINEFCAT2[[#This Row],[Ineff DropDown 2]]</f>
        <v>T5HO_Ext ≤210</v>
      </c>
      <c r="K501" s="303" t="str">
        <f>STDLIGHTINEFCAT2[[#This Row],[Match]]&amp;"_"&amp;STDLIGHTINEFCAT2[[#This Row],[Options]]</f>
        <v>T5HO_Ext ≤210_----3 ft Lamps----</v>
      </c>
      <c r="L501" s="251" t="s">
        <v>1541</v>
      </c>
      <c r="M501" s="247"/>
      <c r="N501" s="303"/>
      <c r="O501">
        <v>499</v>
      </c>
    </row>
    <row r="502" spans="9:16">
      <c r="I502" s="26" t="s">
        <v>1911</v>
      </c>
      <c r="J502" s="26" t="str">
        <f>"T5HO_"&amp;STDLIGHTINEFCAT2[[#This Row],[Ineff DropDown 2]]</f>
        <v>T5HO_Ext ≤210</v>
      </c>
      <c r="K502" s="247" t="str">
        <f>STDLIGHTINEFCAT2[[#This Row],[Match]]&amp;"_"&amp;STDLIGHTINEFCAT2[[#This Row],[Options]]</f>
        <v>T5HO_Ext ≤210_2L T5HO 3' 39W</v>
      </c>
      <c r="L502" s="247" t="s">
        <v>1925</v>
      </c>
      <c r="M502" s="247">
        <f>2*39</f>
        <v>78</v>
      </c>
      <c r="N502" s="247">
        <v>85</v>
      </c>
      <c r="O502">
        <v>500</v>
      </c>
    </row>
    <row r="503" spans="9:16">
      <c r="I503" s="26" t="s">
        <v>1911</v>
      </c>
      <c r="J503" s="26" t="str">
        <f>"T5HO_"&amp;STDLIGHTINEFCAT2[[#This Row],[Ineff DropDown 2]]</f>
        <v>T5HO_Ext ≤210</v>
      </c>
      <c r="K503" s="303" t="str">
        <f>STDLIGHTINEFCAT2[[#This Row],[Match]]&amp;"_"&amp;STDLIGHTINEFCAT2[[#This Row],[Options]]</f>
        <v>T5HO_Ext ≤210_----4 ft Lamps----</v>
      </c>
      <c r="L503" s="251" t="s">
        <v>1542</v>
      </c>
      <c r="M503" s="247"/>
      <c r="N503" s="303"/>
      <c r="O503">
        <v>501</v>
      </c>
    </row>
    <row r="504" spans="9:16">
      <c r="I504" s="26" t="s">
        <v>1911</v>
      </c>
      <c r="J504" s="26" t="str">
        <f>"T5HO_"&amp;STDLIGHTINEFCAT2[[#This Row],[Ineff DropDown 2]]</f>
        <v>T5HO_Ext ≤210</v>
      </c>
      <c r="K504" s="247" t="str">
        <f>STDLIGHTINEFCAT2[[#This Row],[Match]]&amp;"_"&amp;STDLIGHTINEFCAT2[[#This Row],[Options]]</f>
        <v>T5HO_Ext ≤210_1L T5HO 4' 54W</v>
      </c>
      <c r="L504" s="247" t="s">
        <v>1862</v>
      </c>
      <c r="M504" s="247">
        <v>54</v>
      </c>
      <c r="N504" s="247">
        <v>61</v>
      </c>
      <c r="O504">
        <v>502</v>
      </c>
      <c r="P504" t="s">
        <v>2139</v>
      </c>
    </row>
    <row r="505" spans="9:16">
      <c r="I505" s="26" t="s">
        <v>1911</v>
      </c>
      <c r="J505" s="26" t="str">
        <f>"T5HO_"&amp;STDLIGHTINEFCAT2[[#This Row],[Ineff DropDown 2]]</f>
        <v>T5HO_Ext ≤210</v>
      </c>
      <c r="K505" s="247" t="str">
        <f>STDLIGHTINEFCAT2[[#This Row],[Match]]&amp;"_"&amp;STDLIGHTINEFCAT2[[#This Row],[Options]]</f>
        <v>T5HO_Ext ≤210_2L T5HO 4' 54W</v>
      </c>
      <c r="L505" s="247" t="s">
        <v>1863</v>
      </c>
      <c r="M505" s="247">
        <f>2*54</f>
        <v>108</v>
      </c>
      <c r="N505" s="247">
        <v>117</v>
      </c>
      <c r="O505">
        <v>503</v>
      </c>
      <c r="P505" t="s">
        <v>2139</v>
      </c>
    </row>
    <row r="506" spans="9:16">
      <c r="I506" s="26" t="s">
        <v>1911</v>
      </c>
      <c r="J506" s="26" t="str">
        <f>"T5HO_"&amp;STDLIGHTINEFCAT2[[#This Row],[Ineff DropDown 2]]</f>
        <v>T5HO_Ext ≤210</v>
      </c>
      <c r="K506" s="247" t="str">
        <f>STDLIGHTINEFCAT2[[#This Row],[Match]]&amp;"_"&amp;STDLIGHTINEFCAT2[[#This Row],[Options]]</f>
        <v>T5HO_Ext ≤210_3L T5HO 4' 54W</v>
      </c>
      <c r="L506" s="247" t="s">
        <v>1864</v>
      </c>
      <c r="M506" s="247">
        <f>3*54</f>
        <v>162</v>
      </c>
      <c r="N506" s="247">
        <v>179</v>
      </c>
      <c r="O506">
        <v>504</v>
      </c>
      <c r="P506" t="s">
        <v>2139</v>
      </c>
    </row>
    <row r="507" spans="9:16">
      <c r="I507" s="26" t="s">
        <v>1912</v>
      </c>
      <c r="J507" s="26" t="str">
        <f>"T5HO_"&amp;STDLIGHTINEFCAT2[[#This Row],[Ineff DropDown 2]]</f>
        <v>T5HO_Ext 211-300</v>
      </c>
      <c r="K507" s="303" t="str">
        <f>STDLIGHTINEFCAT2[[#This Row],[Match]]&amp;"_"&amp;STDLIGHTINEFCAT2[[#This Row],[Options]]</f>
        <v>T5HO_Ext 211-300_----4 ft Lamps----</v>
      </c>
      <c r="L507" s="251" t="s">
        <v>1542</v>
      </c>
      <c r="M507" s="247"/>
      <c r="N507" s="303"/>
      <c r="O507">
        <v>505</v>
      </c>
    </row>
    <row r="508" spans="9:16">
      <c r="I508" s="26" t="s">
        <v>1912</v>
      </c>
      <c r="J508" s="26" t="str">
        <f>"T5HO_"&amp;STDLIGHTINEFCAT2[[#This Row],[Ineff DropDown 2]]</f>
        <v>T5HO_Ext 211-300</v>
      </c>
      <c r="K508" s="247" t="str">
        <f>STDLIGHTINEFCAT2[[#This Row],[Match]]&amp;"_"&amp;STDLIGHTINEFCAT2[[#This Row],[Options]]</f>
        <v>T5HO_Ext 211-300_4L T5HO 4' 54W</v>
      </c>
      <c r="L508" s="247" t="s">
        <v>1865</v>
      </c>
      <c r="M508" s="247">
        <f>4*54</f>
        <v>216</v>
      </c>
      <c r="N508" s="247">
        <v>235</v>
      </c>
      <c r="O508">
        <v>506</v>
      </c>
      <c r="P508" t="s">
        <v>2139</v>
      </c>
    </row>
    <row r="509" spans="9:16">
      <c r="I509" s="26" t="s">
        <v>1912</v>
      </c>
      <c r="J509" s="26" t="str">
        <f>"T5HO_"&amp;STDLIGHTINEFCAT2[[#This Row],[Ineff DropDown 2]]</f>
        <v>T5HO_Ext 211-300</v>
      </c>
      <c r="K509" s="247" t="str">
        <f>STDLIGHTINEFCAT2[[#This Row],[Match]]&amp;"_"&amp;STDLIGHTINEFCAT2[[#This Row],[Options]]</f>
        <v>T5HO_Ext 211-300_5L T5HO 4' 54W</v>
      </c>
      <c r="L509" s="247" t="s">
        <v>1866</v>
      </c>
      <c r="M509" s="247">
        <f>5*54</f>
        <v>270</v>
      </c>
      <c r="N509" s="247">
        <v>295</v>
      </c>
      <c r="O509">
        <v>507</v>
      </c>
      <c r="P509" t="s">
        <v>2139</v>
      </c>
    </row>
    <row r="510" spans="9:16">
      <c r="I510" s="26" t="s">
        <v>1913</v>
      </c>
      <c r="J510" s="26" t="str">
        <f>"T5HO_"&amp;STDLIGHTINEFCAT2[[#This Row],[Ineff DropDown 2]]</f>
        <v>T5HO_Ext 301-500</v>
      </c>
      <c r="K510" s="303" t="str">
        <f>STDLIGHTINEFCAT2[[#This Row],[Match]]&amp;"_"&amp;STDLIGHTINEFCAT2[[#This Row],[Options]]</f>
        <v>T5HO_Ext 301-500_----4 ft Lamps----</v>
      </c>
      <c r="L510" s="251" t="s">
        <v>1542</v>
      </c>
      <c r="M510" s="247"/>
      <c r="N510" s="303"/>
      <c r="O510">
        <v>508</v>
      </c>
    </row>
    <row r="511" spans="9:16">
      <c r="I511" s="26" t="s">
        <v>1913</v>
      </c>
      <c r="J511" s="26" t="str">
        <f>"T5HO_"&amp;STDLIGHTINEFCAT2[[#This Row],[Ineff DropDown 2]]</f>
        <v>T5HO_Ext 301-500</v>
      </c>
      <c r="K511" s="247" t="str">
        <f>STDLIGHTINEFCAT2[[#This Row],[Match]]&amp;"_"&amp;STDLIGHTINEFCAT2[[#This Row],[Options]]</f>
        <v>T5HO_Ext 301-500_6L T5HO 4' 54W</v>
      </c>
      <c r="L511" s="247" t="s">
        <v>1867</v>
      </c>
      <c r="M511" s="247">
        <f>6*54</f>
        <v>324</v>
      </c>
      <c r="N511" s="247">
        <v>355</v>
      </c>
      <c r="O511">
        <v>509</v>
      </c>
      <c r="P511" t="s">
        <v>2139</v>
      </c>
    </row>
    <row r="512" spans="9:16">
      <c r="I512" s="26" t="s">
        <v>91</v>
      </c>
      <c r="J512" s="26" t="str">
        <f>"T5HO_"&amp;STDLIGHTINEFCAT2[[#This Row],[Ineff DropDown 2]]</f>
        <v>T5HO_Fixture</v>
      </c>
      <c r="K512" s="247" t="str">
        <f>STDLIGHTINEFCAT2[[#This Row],[Match]]&amp;"_"&amp;STDLIGHTINEFCAT2[[#This Row],[Options]]</f>
        <v>T5HO_Fixture_1L T5HO 2' 24W</v>
      </c>
      <c r="L512" s="247" t="s">
        <v>1860</v>
      </c>
      <c r="M512" s="247">
        <v>24</v>
      </c>
      <c r="N512" s="247">
        <v>27</v>
      </c>
      <c r="O512">
        <v>510</v>
      </c>
    </row>
    <row r="513" spans="9:16">
      <c r="I513" s="26" t="s">
        <v>91</v>
      </c>
      <c r="J513" s="26" t="str">
        <f>"T5HO_"&amp;STDLIGHTINEFCAT2[[#This Row],[Ineff DropDown 2]]</f>
        <v>T5HO_Fixture</v>
      </c>
      <c r="K513" s="247" t="str">
        <f>STDLIGHTINEFCAT2[[#This Row],[Match]]&amp;"_"&amp;STDLIGHTINEFCAT2[[#This Row],[Options]]</f>
        <v>T5HO_Fixture_2L T5HO 2' 24W</v>
      </c>
      <c r="L513" s="247" t="s">
        <v>1861</v>
      </c>
      <c r="M513" s="247">
        <v>48</v>
      </c>
      <c r="N513" s="247">
        <v>54</v>
      </c>
      <c r="O513">
        <v>511</v>
      </c>
    </row>
    <row r="514" spans="9:16">
      <c r="I514" s="26" t="s">
        <v>91</v>
      </c>
      <c r="J514" s="26" t="str">
        <f>"T5HO_"&amp;STDLIGHTINEFCAT2[[#This Row],[Ineff DropDown 2]]</f>
        <v>T5HO_Fixture</v>
      </c>
      <c r="K514" s="247" t="str">
        <f>STDLIGHTINEFCAT2[[#This Row],[Match]]&amp;"_"&amp;STDLIGHTINEFCAT2[[#This Row],[Options]]</f>
        <v>T5HO_Fixture_2L T5HO 3' 39W</v>
      </c>
      <c r="L514" s="247" t="s">
        <v>1925</v>
      </c>
      <c r="M514" s="247">
        <f>2*39</f>
        <v>78</v>
      </c>
      <c r="N514" s="247">
        <v>85</v>
      </c>
      <c r="O514">
        <v>512</v>
      </c>
    </row>
    <row r="515" spans="9:16">
      <c r="I515" s="26" t="s">
        <v>91</v>
      </c>
      <c r="J515" s="26" t="str">
        <f>"T5HO_"&amp;STDLIGHTINEFCAT2[[#This Row],[Ineff DropDown 2]]</f>
        <v>T5HO_Fixture</v>
      </c>
      <c r="K515" s="247" t="str">
        <f>STDLIGHTINEFCAT2[[#This Row],[Match]]&amp;"_"&amp;STDLIGHTINEFCAT2[[#This Row],[Options]]</f>
        <v>T5HO_Fixture_1L T5HOHO 4' 54W</v>
      </c>
      <c r="L515" s="247" t="s">
        <v>1923</v>
      </c>
      <c r="M515" s="247">
        <v>54</v>
      </c>
      <c r="N515" s="247">
        <v>61</v>
      </c>
      <c r="O515">
        <v>513</v>
      </c>
      <c r="P515" t="s">
        <v>2139</v>
      </c>
    </row>
    <row r="516" spans="9:16">
      <c r="I516" s="26" t="s">
        <v>91</v>
      </c>
      <c r="J516" s="26" t="str">
        <f>"T5HO_"&amp;STDLIGHTINEFCAT2[[#This Row],[Ineff DropDown 2]]</f>
        <v>T5HO_Fixture</v>
      </c>
      <c r="K516" s="247" t="str">
        <f>STDLIGHTINEFCAT2[[#This Row],[Match]]&amp;"_"&amp;STDLIGHTINEFCAT2[[#This Row],[Options]]</f>
        <v>T5HO_Fixture_2L T5HO 4' 54W</v>
      </c>
      <c r="L516" s="247" t="s">
        <v>1863</v>
      </c>
      <c r="M516" s="247">
        <f>2*54</f>
        <v>108</v>
      </c>
      <c r="N516" s="247">
        <v>117</v>
      </c>
      <c r="O516">
        <v>514</v>
      </c>
      <c r="P516" t="s">
        <v>2139</v>
      </c>
    </row>
    <row r="517" spans="9:16">
      <c r="I517" s="26" t="s">
        <v>91</v>
      </c>
      <c r="J517" s="26" t="str">
        <f>"T5HO_"&amp;STDLIGHTINEFCAT2[[#This Row],[Ineff DropDown 2]]</f>
        <v>T5HO_Fixture</v>
      </c>
      <c r="K517" s="247" t="str">
        <f>STDLIGHTINEFCAT2[[#This Row],[Match]]&amp;"_"&amp;STDLIGHTINEFCAT2[[#This Row],[Options]]</f>
        <v>T5HO_Fixture_3L T5HO 4' 54W</v>
      </c>
      <c r="L517" s="247" t="s">
        <v>1864</v>
      </c>
      <c r="M517" s="247">
        <f>3*54</f>
        <v>162</v>
      </c>
      <c r="N517" s="247">
        <v>179</v>
      </c>
      <c r="O517">
        <v>515</v>
      </c>
      <c r="P517" t="s">
        <v>2139</v>
      </c>
    </row>
    <row r="518" spans="9:16">
      <c r="I518" s="26" t="s">
        <v>91</v>
      </c>
      <c r="J518" s="26" t="str">
        <f>"T5HO_"&amp;STDLIGHTINEFCAT2[[#This Row],[Ineff DropDown 2]]</f>
        <v>T5HO_Fixture</v>
      </c>
      <c r="K518" s="247" t="str">
        <f>STDLIGHTINEFCAT2[[#This Row],[Match]]&amp;"_"&amp;STDLIGHTINEFCAT2[[#This Row],[Options]]</f>
        <v>T5HO_Fixture_4L T5HO 4' 54W</v>
      </c>
      <c r="L518" s="247" t="s">
        <v>1865</v>
      </c>
      <c r="M518" s="247">
        <f>4*54</f>
        <v>216</v>
      </c>
      <c r="N518" s="247">
        <v>235</v>
      </c>
      <c r="O518">
        <v>516</v>
      </c>
      <c r="P518" t="s">
        <v>2139</v>
      </c>
    </row>
    <row r="519" spans="9:16">
      <c r="I519" s="26" t="s">
        <v>91</v>
      </c>
      <c r="J519" s="26" t="str">
        <f>"T5HO_"&amp;STDLIGHTINEFCAT2[[#This Row],[Ineff DropDown 2]]</f>
        <v>T5HO_Fixture</v>
      </c>
      <c r="K519" s="247" t="str">
        <f>STDLIGHTINEFCAT2[[#This Row],[Match]]&amp;"_"&amp;STDLIGHTINEFCAT2[[#This Row],[Options]]</f>
        <v>T5HO_Fixture_5L T5HO 4' 54W</v>
      </c>
      <c r="L519" s="247" t="s">
        <v>1866</v>
      </c>
      <c r="M519" s="247">
        <f>5*54</f>
        <v>270</v>
      </c>
      <c r="N519" s="247">
        <v>295</v>
      </c>
      <c r="O519">
        <v>517</v>
      </c>
      <c r="P519" t="s">
        <v>2139</v>
      </c>
    </row>
    <row r="520" spans="9:16">
      <c r="I520" s="26" t="s">
        <v>91</v>
      </c>
      <c r="J520" s="26" t="str">
        <f>"T5HO_"&amp;STDLIGHTINEFCAT2[[#This Row],[Ineff DropDown 2]]</f>
        <v>T5HO_Fixture</v>
      </c>
      <c r="K520" s="247" t="str">
        <f>STDLIGHTINEFCAT2[[#This Row],[Match]]&amp;"_"&amp;STDLIGHTINEFCAT2[[#This Row],[Options]]</f>
        <v>T5HO_Fixture_6L T5HO 4' 54W</v>
      </c>
      <c r="L520" s="247" t="s">
        <v>1867</v>
      </c>
      <c r="M520" s="247">
        <f>6*54</f>
        <v>324</v>
      </c>
      <c r="N520" s="247">
        <v>355</v>
      </c>
      <c r="O520">
        <v>518</v>
      </c>
      <c r="P520" t="s">
        <v>2139</v>
      </c>
    </row>
    <row r="521" spans="9:16">
      <c r="I521" s="26" t="s">
        <v>91</v>
      </c>
      <c r="J521" s="26" t="str">
        <f>"T5HO_"&amp;STDLIGHTINEFCAT2[[#This Row],[Ineff DropDown 2]]</f>
        <v>T5HO_Fixture</v>
      </c>
      <c r="K521" s="247" t="str">
        <f>STDLIGHTINEFCAT2[[#This Row],[Match]]&amp;"_"&amp;STDLIGHTINEFCAT2[[#This Row],[Options]]</f>
        <v>T5HO_Fixture_1L T5HO 5' 80W</v>
      </c>
      <c r="L521" s="247" t="s">
        <v>1924</v>
      </c>
      <c r="M521" s="247">
        <v>80</v>
      </c>
      <c r="N521" s="247">
        <v>89</v>
      </c>
      <c r="O521">
        <v>519</v>
      </c>
    </row>
    <row r="522" spans="9:16">
      <c r="I522" t="s">
        <v>1915</v>
      </c>
      <c r="J522" s="26" t="str">
        <f>"T5HO_"&amp;STDLIGHTINEFCAT2[[#This Row],[Ineff DropDown 2]]</f>
        <v>T5HO_PG &lt;=130</v>
      </c>
      <c r="K522" s="303" t="str">
        <f>STDLIGHTINEFCAT2[[#This Row],[Match]]&amp;"_"&amp;STDLIGHTINEFCAT2[[#This Row],[Options]]</f>
        <v>T5HO_PG &lt;=130_----2 ft Lamps----</v>
      </c>
      <c r="L522" s="251" t="s">
        <v>1540</v>
      </c>
      <c r="M522" s="247"/>
      <c r="N522" s="303"/>
      <c r="O522">
        <v>520</v>
      </c>
    </row>
    <row r="523" spans="9:16">
      <c r="I523" t="s">
        <v>1915</v>
      </c>
      <c r="J523" s="26" t="str">
        <f>"T5HO_"&amp;STDLIGHTINEFCAT2[[#This Row],[Ineff DropDown 2]]</f>
        <v>T5HO_PG &lt;=130</v>
      </c>
      <c r="K523" s="247" t="str">
        <f>STDLIGHTINEFCAT2[[#This Row],[Match]]&amp;"_"&amp;STDLIGHTINEFCAT2[[#This Row],[Options]]</f>
        <v>T5HO_PG &lt;=130_1L T5HO 2' 24W</v>
      </c>
      <c r="L523" s="247" t="s">
        <v>1860</v>
      </c>
      <c r="M523" s="247">
        <v>24</v>
      </c>
      <c r="N523" s="247">
        <v>27</v>
      </c>
      <c r="O523">
        <v>521</v>
      </c>
    </row>
    <row r="524" spans="9:16">
      <c r="I524" t="s">
        <v>1915</v>
      </c>
      <c r="J524" s="26" t="str">
        <f>"T5HO_"&amp;STDLIGHTINEFCAT2[[#This Row],[Ineff DropDown 2]]</f>
        <v>T5HO_PG &lt;=130</v>
      </c>
      <c r="K524" s="247" t="str">
        <f>STDLIGHTINEFCAT2[[#This Row],[Match]]&amp;"_"&amp;STDLIGHTINEFCAT2[[#This Row],[Options]]</f>
        <v>T5HO_PG &lt;=130_2L T5HO 2' 24W</v>
      </c>
      <c r="L524" s="247" t="s">
        <v>1861</v>
      </c>
      <c r="M524" s="247">
        <v>48</v>
      </c>
      <c r="N524" s="247">
        <v>54</v>
      </c>
      <c r="O524">
        <v>522</v>
      </c>
    </row>
    <row r="525" spans="9:16">
      <c r="I525" t="s">
        <v>1915</v>
      </c>
      <c r="J525" s="26" t="str">
        <f>"T5HO_"&amp;STDLIGHTINEFCAT2[[#This Row],[Ineff DropDown 2]]</f>
        <v>T5HO_PG &lt;=130</v>
      </c>
      <c r="K525" s="303" t="str">
        <f>STDLIGHTINEFCAT2[[#This Row],[Match]]&amp;"_"&amp;STDLIGHTINEFCAT2[[#This Row],[Options]]</f>
        <v>T5HO_PG &lt;=130_----3 ft Lamps----</v>
      </c>
      <c r="L525" s="251" t="s">
        <v>1541</v>
      </c>
      <c r="M525" s="247"/>
      <c r="N525" s="303"/>
      <c r="O525">
        <v>523</v>
      </c>
    </row>
    <row r="526" spans="9:16">
      <c r="I526" t="s">
        <v>1915</v>
      </c>
      <c r="J526" s="26" t="str">
        <f>"T5HO_"&amp;STDLIGHTINEFCAT2[[#This Row],[Ineff DropDown 2]]</f>
        <v>T5HO_PG &lt;=130</v>
      </c>
      <c r="K526" s="247" t="str">
        <f>STDLIGHTINEFCAT2[[#This Row],[Match]]&amp;"_"&amp;STDLIGHTINEFCAT2[[#This Row],[Options]]</f>
        <v>T5HO_PG &lt;=130_2L T5HO 3' 39W</v>
      </c>
      <c r="L526" s="247" t="s">
        <v>1925</v>
      </c>
      <c r="M526" s="247">
        <f>2*39</f>
        <v>78</v>
      </c>
      <c r="N526" s="247">
        <v>85</v>
      </c>
      <c r="O526">
        <v>524</v>
      </c>
    </row>
    <row r="527" spans="9:16">
      <c r="I527" t="s">
        <v>1915</v>
      </c>
      <c r="J527" s="26" t="str">
        <f>"T5HO_"&amp;STDLIGHTINEFCAT2[[#This Row],[Ineff DropDown 2]]</f>
        <v>T5HO_PG &lt;=130</v>
      </c>
      <c r="K527" s="303" t="str">
        <f>STDLIGHTINEFCAT2[[#This Row],[Match]]&amp;"_"&amp;STDLIGHTINEFCAT2[[#This Row],[Options]]</f>
        <v>T5HO_PG &lt;=130_----4 ft Lamps----</v>
      </c>
      <c r="L527" s="251" t="s">
        <v>1542</v>
      </c>
      <c r="M527" s="247"/>
      <c r="N527" s="303"/>
      <c r="O527">
        <v>525</v>
      </c>
    </row>
    <row r="528" spans="9:16">
      <c r="I528" t="s">
        <v>1915</v>
      </c>
      <c r="J528" s="26" t="str">
        <f>"T5HO_"&amp;STDLIGHTINEFCAT2[[#This Row],[Ineff DropDown 2]]</f>
        <v>T5HO_PG &lt;=130</v>
      </c>
      <c r="K528" s="247" t="str">
        <f>STDLIGHTINEFCAT2[[#This Row],[Match]]&amp;"_"&amp;STDLIGHTINEFCAT2[[#This Row],[Options]]</f>
        <v>T5HO_PG &lt;=130_1L T5HO 4' 54W</v>
      </c>
      <c r="L528" s="247" t="s">
        <v>1862</v>
      </c>
      <c r="M528" s="247">
        <v>54</v>
      </c>
      <c r="N528" s="247">
        <v>61</v>
      </c>
      <c r="O528">
        <v>526</v>
      </c>
      <c r="P528" t="s">
        <v>2139</v>
      </c>
    </row>
    <row r="529" spans="9:16">
      <c r="I529" t="s">
        <v>1915</v>
      </c>
      <c r="J529" s="26" t="str">
        <f>"T5HO_"&amp;STDLIGHTINEFCAT2[[#This Row],[Ineff DropDown 2]]</f>
        <v>T5HO_PG &lt;=130</v>
      </c>
      <c r="K529" s="247" t="str">
        <f>STDLIGHTINEFCAT2[[#This Row],[Match]]&amp;"_"&amp;STDLIGHTINEFCAT2[[#This Row],[Options]]</f>
        <v>T5HO_PG &lt;=130_2L T5HO 4' 54W</v>
      </c>
      <c r="L529" s="247" t="s">
        <v>1863</v>
      </c>
      <c r="M529" s="247">
        <f>2*54</f>
        <v>108</v>
      </c>
      <c r="N529" s="247">
        <v>117</v>
      </c>
      <c r="O529">
        <v>527</v>
      </c>
      <c r="P529" t="s">
        <v>2139</v>
      </c>
    </row>
    <row r="530" spans="9:16">
      <c r="I530" t="s">
        <v>1916</v>
      </c>
      <c r="J530" s="26" t="str">
        <f>"T5HO_"&amp;STDLIGHTINEFCAT2[[#This Row],[Ineff DropDown 2]]</f>
        <v>T5HO_PG &gt;210</v>
      </c>
      <c r="K530" s="303" t="str">
        <f>STDLIGHTINEFCAT2[[#This Row],[Match]]&amp;"_"&amp;STDLIGHTINEFCAT2[[#This Row],[Options]]</f>
        <v>T5HO_PG &gt;210_----4 ft Lamps----</v>
      </c>
      <c r="L530" s="251" t="s">
        <v>1542</v>
      </c>
      <c r="M530" s="247"/>
      <c r="N530" s="303"/>
      <c r="O530">
        <v>528</v>
      </c>
    </row>
    <row r="531" spans="9:16">
      <c r="I531" t="s">
        <v>1916</v>
      </c>
      <c r="J531" s="26" t="str">
        <f>"T5HO_"&amp;STDLIGHTINEFCAT2[[#This Row],[Ineff DropDown 2]]</f>
        <v>T5HO_PG &gt;210</v>
      </c>
      <c r="K531" s="247" t="str">
        <f>STDLIGHTINEFCAT2[[#This Row],[Match]]&amp;"_"&amp;STDLIGHTINEFCAT2[[#This Row],[Options]]</f>
        <v>T5HO_PG &gt;210_4L T5HO 4' 54W</v>
      </c>
      <c r="L531" s="247" t="s">
        <v>1865</v>
      </c>
      <c r="M531" s="247">
        <f>4*54</f>
        <v>216</v>
      </c>
      <c r="N531" s="247">
        <v>235</v>
      </c>
      <c r="O531">
        <v>529</v>
      </c>
      <c r="P531" t="s">
        <v>2139</v>
      </c>
    </row>
    <row r="532" spans="9:16">
      <c r="I532" t="s">
        <v>1916</v>
      </c>
      <c r="J532" s="26" t="str">
        <f>"T5HO_"&amp;STDLIGHTINEFCAT2[[#This Row],[Ineff DropDown 2]]</f>
        <v>T5HO_PG &gt;210</v>
      </c>
      <c r="K532" s="247" t="str">
        <f>STDLIGHTINEFCAT2[[#This Row],[Match]]&amp;"_"&amp;STDLIGHTINEFCAT2[[#This Row],[Options]]</f>
        <v>T5HO_PG &gt;210_5L T5HO 4' 54W</v>
      </c>
      <c r="L532" s="247" t="s">
        <v>1866</v>
      </c>
      <c r="M532" s="247">
        <f>5*54</f>
        <v>270</v>
      </c>
      <c r="N532" s="247">
        <v>295</v>
      </c>
      <c r="O532">
        <v>530</v>
      </c>
      <c r="P532" t="s">
        <v>2139</v>
      </c>
    </row>
    <row r="533" spans="9:16">
      <c r="I533" t="s">
        <v>1916</v>
      </c>
      <c r="J533" s="26" t="str">
        <f>"T5HO_"&amp;STDLIGHTINEFCAT2[[#This Row],[Ineff DropDown 2]]</f>
        <v>T5HO_PG &gt;210</v>
      </c>
      <c r="K533" s="247" t="str">
        <f>STDLIGHTINEFCAT2[[#This Row],[Match]]&amp;"_"&amp;STDLIGHTINEFCAT2[[#This Row],[Options]]</f>
        <v>T5HO_PG &gt;210_6L T5HO 4' 54W</v>
      </c>
      <c r="L533" s="247" t="s">
        <v>1867</v>
      </c>
      <c r="M533" s="247">
        <f>6*54</f>
        <v>324</v>
      </c>
      <c r="N533" s="247">
        <v>355</v>
      </c>
      <c r="O533">
        <v>531</v>
      </c>
      <c r="P533" t="s">
        <v>2139</v>
      </c>
    </row>
    <row r="534" spans="9:16">
      <c r="I534" s="26" t="s">
        <v>1917</v>
      </c>
      <c r="J534" s="26" t="str">
        <f>"T5HO_"&amp;STDLIGHTINEFCAT2[[#This Row],[Ineff DropDown 2]]</f>
        <v>T5HO_PG 131-210</v>
      </c>
      <c r="K534" s="303" t="str">
        <f>STDLIGHTINEFCAT2[[#This Row],[Match]]&amp;"_"&amp;STDLIGHTINEFCAT2[[#This Row],[Options]]</f>
        <v>T5HO_PG 131-210_----4 ft Lamps----</v>
      </c>
      <c r="L534" s="251" t="s">
        <v>1542</v>
      </c>
      <c r="M534" s="247"/>
      <c r="N534" s="303"/>
      <c r="O534">
        <v>532</v>
      </c>
    </row>
    <row r="535" spans="9:16">
      <c r="I535" s="26" t="s">
        <v>1917</v>
      </c>
      <c r="J535" s="26" t="str">
        <f>"T5HO_"&amp;STDLIGHTINEFCAT2[[#This Row],[Ineff DropDown 2]]</f>
        <v>T5HO_PG 131-210</v>
      </c>
      <c r="K535" s="247" t="str">
        <f>STDLIGHTINEFCAT2[[#This Row],[Match]]&amp;"_"&amp;STDLIGHTINEFCAT2[[#This Row],[Options]]</f>
        <v>T5HO_PG 131-210_3L T5HO 4' 54W</v>
      </c>
      <c r="L535" s="243" t="s">
        <v>1864</v>
      </c>
      <c r="M535" s="247">
        <f>3*54</f>
        <v>162</v>
      </c>
      <c r="N535" s="247">
        <v>179</v>
      </c>
      <c r="O535">
        <v>533</v>
      </c>
      <c r="P535" t="s">
        <v>2139</v>
      </c>
    </row>
    <row r="536" spans="9:16">
      <c r="I536" s="26" t="s">
        <v>1663</v>
      </c>
      <c r="J536" s="26" t="str">
        <f>"T5HO_"&amp;STDLIGHTINEFCAT2[[#This Row],[Ineff DropDown 2]]</f>
        <v>T5HO_Retrofit_2ft</v>
      </c>
      <c r="K536" s="247" t="str">
        <f>STDLIGHTINEFCAT2[[#This Row],[Match]]&amp;"_"&amp;STDLIGHTINEFCAT2[[#This Row],[Options]]</f>
        <v>T5HO_Retrofit_2ft_1L T5HO 2' 24W</v>
      </c>
      <c r="L536" s="247" t="s">
        <v>1860</v>
      </c>
      <c r="M536" s="247">
        <v>24</v>
      </c>
      <c r="N536" s="247">
        <v>27</v>
      </c>
      <c r="O536">
        <v>534</v>
      </c>
    </row>
    <row r="537" spans="9:16">
      <c r="I537" s="26" t="s">
        <v>1663</v>
      </c>
      <c r="J537" s="26" t="str">
        <f>"T5HO_"&amp;STDLIGHTINEFCAT2[[#This Row],[Ineff DropDown 2]]</f>
        <v>T5HO_Retrofit_2ft</v>
      </c>
      <c r="K537" s="247" t="str">
        <f>STDLIGHTINEFCAT2[[#This Row],[Match]]&amp;"_"&amp;STDLIGHTINEFCAT2[[#This Row],[Options]]</f>
        <v>T5HO_Retrofit_2ft_2L T5HO 2' 24W</v>
      </c>
      <c r="L537" s="247" t="s">
        <v>1861</v>
      </c>
      <c r="M537" s="247">
        <v>48</v>
      </c>
      <c r="N537" s="247">
        <v>54</v>
      </c>
      <c r="O537">
        <v>535</v>
      </c>
    </row>
    <row r="538" spans="9:16">
      <c r="I538" s="26" t="s">
        <v>1858</v>
      </c>
      <c r="J538" s="26" t="str">
        <f>"T5HO_"&amp;STDLIGHTINEFCAT2[[#This Row],[Ineff DropDown 2]]</f>
        <v>T5HO_Retrofit_4ft_1x4</v>
      </c>
      <c r="K538" s="247" t="str">
        <f>STDLIGHTINEFCAT2[[#This Row],[Match]]&amp;"_"&amp;STDLIGHTINEFCAT2[[#This Row],[Options]]</f>
        <v>T5HO_Retrofit_4ft_1x4_1L T5HO 4' 54W</v>
      </c>
      <c r="L538" s="247" t="s">
        <v>1862</v>
      </c>
      <c r="M538" s="247">
        <v>54</v>
      </c>
      <c r="N538" s="247">
        <v>61</v>
      </c>
      <c r="O538">
        <v>536</v>
      </c>
      <c r="P538" t="s">
        <v>2139</v>
      </c>
    </row>
    <row r="539" spans="9:16">
      <c r="I539" s="26" t="s">
        <v>1858</v>
      </c>
      <c r="J539" s="26" t="str">
        <f>"T5HO_"&amp;STDLIGHTINEFCAT2[[#This Row],[Ineff DropDown 2]]</f>
        <v>T5HO_Retrofit_4ft_1x4</v>
      </c>
      <c r="K539" s="247" t="str">
        <f>STDLIGHTINEFCAT2[[#This Row],[Match]]&amp;"_"&amp;STDLIGHTINEFCAT2[[#This Row],[Options]]</f>
        <v>T5HO_Retrofit_4ft_1x4_2L T5HO 4' 54W</v>
      </c>
      <c r="L539" s="247" t="s">
        <v>1863</v>
      </c>
      <c r="M539" s="247">
        <f>2*54</f>
        <v>108</v>
      </c>
      <c r="N539" s="247">
        <v>117</v>
      </c>
      <c r="O539">
        <v>537</v>
      </c>
      <c r="P539" t="s">
        <v>2139</v>
      </c>
    </row>
    <row r="540" spans="9:16">
      <c r="I540" s="26" t="s">
        <v>1859</v>
      </c>
      <c r="J540" s="26" t="str">
        <f>"T5HO_"&amp;STDLIGHTINEFCAT2[[#This Row],[Ineff DropDown 2]]</f>
        <v>T5HO_Retrofit_4ft_2x4</v>
      </c>
      <c r="K540" s="247" t="str">
        <f>STDLIGHTINEFCAT2[[#This Row],[Match]]&amp;"_"&amp;STDLIGHTINEFCAT2[[#This Row],[Options]]</f>
        <v>T5HO_Retrofit_4ft_2x4_3L T5HO 4' 54W</v>
      </c>
      <c r="L540" s="247" t="s">
        <v>1864</v>
      </c>
      <c r="M540" s="247">
        <f>3*54</f>
        <v>162</v>
      </c>
      <c r="N540" s="247">
        <v>179</v>
      </c>
      <c r="O540">
        <v>538</v>
      </c>
      <c r="P540" t="s">
        <v>2139</v>
      </c>
    </row>
    <row r="541" spans="9:16">
      <c r="I541" s="26" t="s">
        <v>1859</v>
      </c>
      <c r="J541" s="26" t="str">
        <f>"T5HO_"&amp;STDLIGHTINEFCAT2[[#This Row],[Ineff DropDown 2]]</f>
        <v>T5HO_Retrofit_4ft_2x4</v>
      </c>
      <c r="K541" s="247" t="str">
        <f>STDLIGHTINEFCAT2[[#This Row],[Match]]&amp;"_"&amp;STDLIGHTINEFCAT2[[#This Row],[Options]]</f>
        <v>T5HO_Retrofit_4ft_2x4_4L T5HO 4' 54W</v>
      </c>
      <c r="L541" s="247" t="s">
        <v>1865</v>
      </c>
      <c r="M541" s="247">
        <f>4*54</f>
        <v>216</v>
      </c>
      <c r="N541" s="247">
        <v>235</v>
      </c>
      <c r="O541">
        <v>539</v>
      </c>
      <c r="P541" t="s">
        <v>2139</v>
      </c>
    </row>
    <row r="542" spans="9:16">
      <c r="I542" s="26" t="s">
        <v>1859</v>
      </c>
      <c r="J542" s="26" t="str">
        <f>"T5HO_"&amp;STDLIGHTINEFCAT2[[#This Row],[Ineff DropDown 2]]</f>
        <v>T5HO_Retrofit_4ft_2x4</v>
      </c>
      <c r="K542" s="247" t="str">
        <f>STDLIGHTINEFCAT2[[#This Row],[Match]]&amp;"_"&amp;STDLIGHTINEFCAT2[[#This Row],[Options]]</f>
        <v>T5HO_Retrofit_4ft_2x4_5L T5HO 4' 54W</v>
      </c>
      <c r="L542" s="247" t="s">
        <v>1866</v>
      </c>
      <c r="M542" s="247">
        <f>5*54</f>
        <v>270</v>
      </c>
      <c r="N542" s="247">
        <v>295</v>
      </c>
      <c r="O542">
        <v>540</v>
      </c>
      <c r="P542" t="s">
        <v>2139</v>
      </c>
    </row>
    <row r="543" spans="9:16">
      <c r="I543" s="26" t="s">
        <v>1859</v>
      </c>
      <c r="J543" s="26" t="str">
        <f>"T5HO_"&amp;STDLIGHTINEFCAT2[[#This Row],[Ineff DropDown 2]]</f>
        <v>T5HO_Retrofit_4ft_2x4</v>
      </c>
      <c r="K543" s="247" t="str">
        <f>STDLIGHTINEFCAT2[[#This Row],[Match]]&amp;"_"&amp;STDLIGHTINEFCAT2[[#This Row],[Options]]</f>
        <v>T5HO_Retrofit_4ft_2x4_6L T5HO 4' 54W</v>
      </c>
      <c r="L543" s="247" t="s">
        <v>1867</v>
      </c>
      <c r="M543" s="247">
        <f>6*54</f>
        <v>324</v>
      </c>
      <c r="N543" s="247">
        <v>355</v>
      </c>
      <c r="O543">
        <v>541</v>
      </c>
      <c r="P543" t="s">
        <v>2139</v>
      </c>
    </row>
    <row r="544" spans="9:16">
      <c r="I544" s="26" t="s">
        <v>1415</v>
      </c>
      <c r="J544" s="26" t="s">
        <v>1437</v>
      </c>
      <c r="K544" s="247" t="str">
        <f>STDLIGHTINEFCAT2[[#This Row],[Match]]&amp;"_"&amp;STDLIGHTINEFCAT2[[#This Row],[Options]]</f>
        <v>T8_2ft_Lamp_T8 2' 17W</v>
      </c>
      <c r="L544" s="247" t="s">
        <v>1359</v>
      </c>
      <c r="M544" s="247">
        <v>17</v>
      </c>
      <c r="N544" s="247">
        <v>17</v>
      </c>
      <c r="O544">
        <v>542</v>
      </c>
    </row>
    <row r="545" spans="9:16">
      <c r="I545" s="26" t="s">
        <v>1416</v>
      </c>
      <c r="J545" s="26" t="s">
        <v>1443</v>
      </c>
      <c r="K545" s="247" t="str">
        <f>STDLIGHTINEFCAT2[[#This Row],[Match]]&amp;"_"&amp;STDLIGHTINEFCAT2[[#This Row],[Options]]</f>
        <v>T8_4ft_Lamp_T8 4' 25W</v>
      </c>
      <c r="L545" s="247" t="s">
        <v>1360</v>
      </c>
      <c r="M545" s="247">
        <v>25</v>
      </c>
      <c r="N545" s="247">
        <v>25</v>
      </c>
      <c r="O545">
        <v>543</v>
      </c>
    </row>
    <row r="546" spans="9:16">
      <c r="I546" s="26" t="s">
        <v>1416</v>
      </c>
      <c r="J546" s="26" t="s">
        <v>1443</v>
      </c>
      <c r="K546" s="247" t="str">
        <f>STDLIGHTINEFCAT2[[#This Row],[Match]]&amp;"_"&amp;STDLIGHTINEFCAT2[[#This Row],[Options]]</f>
        <v>T8_4ft_Lamp_T8 4' 28W</v>
      </c>
      <c r="L546" s="247" t="s">
        <v>1361</v>
      </c>
      <c r="M546" s="247">
        <v>28</v>
      </c>
      <c r="N546" s="247">
        <v>28</v>
      </c>
      <c r="O546">
        <v>544</v>
      </c>
    </row>
    <row r="547" spans="9:16">
      <c r="I547" s="26" t="s">
        <v>1416</v>
      </c>
      <c r="J547" s="26" t="s">
        <v>1443</v>
      </c>
      <c r="K547" s="247" t="str">
        <f>STDLIGHTINEFCAT2[[#This Row],[Match]]&amp;"_"&amp;STDLIGHTINEFCAT2[[#This Row],[Options]]</f>
        <v>T8_4ft_Lamp_T8 4' 32W</v>
      </c>
      <c r="L547" s="247" t="s">
        <v>1362</v>
      </c>
      <c r="M547" s="247">
        <v>32</v>
      </c>
      <c r="N547" s="247">
        <v>32</v>
      </c>
      <c r="O547">
        <v>545</v>
      </c>
    </row>
    <row r="548" spans="9:16">
      <c r="I548" s="26" t="s">
        <v>1416</v>
      </c>
      <c r="J548" s="26" t="s">
        <v>1443</v>
      </c>
      <c r="K548" s="252" t="str">
        <f>STDLIGHTINEFCAT2[[#This Row],[Match]]&amp;"_"&amp;STDLIGHTINEFCAT2[[#This Row],[Options]]</f>
        <v>T8_4ft_Lamp_T8 4' 44W</v>
      </c>
      <c r="L548" s="252" t="s">
        <v>1411</v>
      </c>
      <c r="M548" s="247">
        <v>44</v>
      </c>
      <c r="N548" s="247">
        <v>44</v>
      </c>
      <c r="O548">
        <v>546</v>
      </c>
    </row>
    <row r="549" spans="9:16">
      <c r="I549" s="26" t="s">
        <v>1417</v>
      </c>
      <c r="J549" s="26" t="s">
        <v>1449</v>
      </c>
      <c r="K549" s="247" t="str">
        <f>STDLIGHTINEFCAT2[[#This Row],[Match]]&amp;"_"&amp;STDLIGHTINEFCAT2[[#This Row],[Options]]</f>
        <v>T8_8ft_Lamp_T8 8' 59W</v>
      </c>
      <c r="L549" s="247" t="s">
        <v>1412</v>
      </c>
      <c r="M549" s="247">
        <v>59</v>
      </c>
      <c r="N549" s="247">
        <v>59</v>
      </c>
      <c r="O549">
        <v>547</v>
      </c>
    </row>
    <row r="550" spans="9:16">
      <c r="I550" s="26" t="s">
        <v>1417</v>
      </c>
      <c r="J550" s="26" t="s">
        <v>1449</v>
      </c>
      <c r="K550" s="247" t="str">
        <f>STDLIGHTINEFCAT2[[#This Row],[Match]]&amp;"_"&amp;STDLIGHTINEFCAT2[[#This Row],[Options]]</f>
        <v>T8_8ft_Lamp_T8 8' 86W</v>
      </c>
      <c r="L550" s="247" t="s">
        <v>1413</v>
      </c>
      <c r="M550" s="247">
        <v>86</v>
      </c>
      <c r="N550" s="247">
        <v>86</v>
      </c>
      <c r="O550">
        <v>548</v>
      </c>
    </row>
    <row r="551" spans="9:16">
      <c r="I551" s="26" t="s">
        <v>1911</v>
      </c>
      <c r="J551" s="26" t="str">
        <f>"T8_"&amp;STDLIGHTINEFCAT2[[#This Row],[Ineff DropDown 2]]</f>
        <v>T8_Ext ≤210</v>
      </c>
      <c r="K551" s="247" t="str">
        <f>STDLIGHTINEFCAT2[[#This Row],[Match]]&amp;"_"&amp;STDLIGHTINEFCAT2[[#This Row],[Options]]</f>
        <v>T8_Ext ≤210_----2 ft Lamps----</v>
      </c>
      <c r="L551" s="251" t="s">
        <v>1540</v>
      </c>
      <c r="M551" s="251"/>
      <c r="N551" s="247"/>
      <c r="O551">
        <v>549</v>
      </c>
    </row>
    <row r="552" spans="9:16">
      <c r="I552" s="26" t="s">
        <v>1911</v>
      </c>
      <c r="J552" s="26" t="str">
        <f>"T8_"&amp;STDLIGHTINEFCAT2[[#This Row],[Ineff DropDown 2]]</f>
        <v>T8_Ext ≤210</v>
      </c>
      <c r="K552" s="247" t="str">
        <f>STDLIGHTINEFCAT2[[#This Row],[Match]]&amp;"_"&amp;STDLIGHTINEFCAT2[[#This Row],[Options]]</f>
        <v>T8_Ext ≤210_1L T8 2' 17W</v>
      </c>
      <c r="L552" s="247" t="s">
        <v>1550</v>
      </c>
      <c r="M552" s="247">
        <v>17</v>
      </c>
      <c r="N552" s="247">
        <v>24</v>
      </c>
      <c r="O552">
        <v>550</v>
      </c>
      <c r="P552" t="s">
        <v>2139</v>
      </c>
    </row>
    <row r="553" spans="9:16">
      <c r="I553" s="26" t="s">
        <v>1911</v>
      </c>
      <c r="J553" s="26" t="str">
        <f>"T8_"&amp;STDLIGHTINEFCAT2[[#This Row],[Ineff DropDown 2]]</f>
        <v>T8_Ext ≤210</v>
      </c>
      <c r="K553" s="247" t="str">
        <f>STDLIGHTINEFCAT2[[#This Row],[Match]]&amp;"_"&amp;STDLIGHTINEFCAT2[[#This Row],[Options]]</f>
        <v>T8_Ext ≤210_2L T8 2' 17W</v>
      </c>
      <c r="L553" s="247" t="s">
        <v>1551</v>
      </c>
      <c r="M553" s="247">
        <f>17*2</f>
        <v>34</v>
      </c>
      <c r="N553" s="247">
        <v>45</v>
      </c>
      <c r="O553">
        <v>551</v>
      </c>
      <c r="P553" t="s">
        <v>2139</v>
      </c>
    </row>
    <row r="554" spans="9:16">
      <c r="I554" s="26" t="s">
        <v>1911</v>
      </c>
      <c r="J554" s="26" t="str">
        <f>"T8_"&amp;STDLIGHTINEFCAT2[[#This Row],[Ineff DropDown 2]]</f>
        <v>T8_Ext ≤210</v>
      </c>
      <c r="K554" s="247" t="str">
        <f>STDLIGHTINEFCAT2[[#This Row],[Match]]&amp;"_"&amp;STDLIGHTINEFCAT2[[#This Row],[Options]]</f>
        <v>T8_Ext ≤210_3L T8 2' 17W</v>
      </c>
      <c r="L554" s="247" t="s">
        <v>1552</v>
      </c>
      <c r="M554" s="247">
        <f>3*17</f>
        <v>51</v>
      </c>
      <c r="N554" s="247">
        <v>65</v>
      </c>
      <c r="O554">
        <v>552</v>
      </c>
      <c r="P554" t="s">
        <v>2139</v>
      </c>
    </row>
    <row r="555" spans="9:16">
      <c r="I555" s="26" t="s">
        <v>1911</v>
      </c>
      <c r="J555" s="26" t="str">
        <f>"T8_"&amp;STDLIGHTINEFCAT2[[#This Row],[Ineff DropDown 2]]</f>
        <v>T8_Ext ≤210</v>
      </c>
      <c r="K555" s="247" t="str">
        <f>STDLIGHTINEFCAT2[[#This Row],[Match]]&amp;"_"&amp;STDLIGHTINEFCAT2[[#This Row],[Options]]</f>
        <v>T8_Ext ≤210_4L T8 2' 17W</v>
      </c>
      <c r="L555" s="247" t="s">
        <v>1553</v>
      </c>
      <c r="M555" s="247">
        <f>4*17</f>
        <v>68</v>
      </c>
      <c r="N555" s="247">
        <v>87</v>
      </c>
      <c r="O555">
        <v>553</v>
      </c>
      <c r="P555" t="s">
        <v>2139</v>
      </c>
    </row>
    <row r="556" spans="9:16">
      <c r="I556" s="26" t="s">
        <v>1911</v>
      </c>
      <c r="J556" s="26" t="str">
        <f>"T8_"&amp;STDLIGHTINEFCAT2[[#This Row],[Ineff DropDown 2]]</f>
        <v>T8_Ext ≤210</v>
      </c>
      <c r="K556" s="247" t="str">
        <f>STDLIGHTINEFCAT2[[#This Row],[Match]]&amp;"_"&amp;STDLIGHTINEFCAT2[[#This Row],[Options]]</f>
        <v>T8_Ext ≤210_----3 ft Lamps----</v>
      </c>
      <c r="L556" s="251" t="s">
        <v>1541</v>
      </c>
      <c r="M556" s="251"/>
      <c r="N556" s="247"/>
      <c r="O556">
        <v>554</v>
      </c>
    </row>
    <row r="557" spans="9:16">
      <c r="I557" s="26" t="s">
        <v>1911</v>
      </c>
      <c r="J557" s="26" t="str">
        <f>"T8_"&amp;STDLIGHTINEFCAT2[[#This Row],[Ineff DropDown 2]]</f>
        <v>T8_Ext ≤210</v>
      </c>
      <c r="K557" s="247" t="str">
        <f>STDLIGHTINEFCAT2[[#This Row],[Match]]&amp;"_"&amp;STDLIGHTINEFCAT2[[#This Row],[Options]]</f>
        <v>T8_Ext ≤210_1L T8 3' 25W</v>
      </c>
      <c r="L557" s="247" t="s">
        <v>1554</v>
      </c>
      <c r="M557" s="247">
        <v>25</v>
      </c>
      <c r="N557" s="247">
        <v>24</v>
      </c>
      <c r="O557">
        <v>555</v>
      </c>
      <c r="P557" t="s">
        <v>2139</v>
      </c>
    </row>
    <row r="558" spans="9:16">
      <c r="I558" s="26" t="s">
        <v>1911</v>
      </c>
      <c r="J558" s="26" t="str">
        <f>"T8_"&amp;STDLIGHTINEFCAT2[[#This Row],[Ineff DropDown 2]]</f>
        <v>T8_Ext ≤210</v>
      </c>
      <c r="K558" s="247" t="str">
        <f>STDLIGHTINEFCAT2[[#This Row],[Match]]&amp;"_"&amp;STDLIGHTINEFCAT2[[#This Row],[Options]]</f>
        <v>T8_Ext ≤210_2L T8 3' 25W</v>
      </c>
      <c r="L558" s="247" t="s">
        <v>1555</v>
      </c>
      <c r="M558" s="247">
        <v>50</v>
      </c>
      <c r="N558" s="247">
        <v>45</v>
      </c>
      <c r="O558">
        <v>556</v>
      </c>
      <c r="P558" t="s">
        <v>2139</v>
      </c>
    </row>
    <row r="559" spans="9:16">
      <c r="I559" s="26" t="s">
        <v>1911</v>
      </c>
      <c r="J559" s="26" t="str">
        <f>"T8_"&amp;STDLIGHTINEFCAT2[[#This Row],[Ineff DropDown 2]]</f>
        <v>T8_Ext ≤210</v>
      </c>
      <c r="K559" s="247" t="str">
        <f>STDLIGHTINEFCAT2[[#This Row],[Match]]&amp;"_"&amp;STDLIGHTINEFCAT2[[#This Row],[Options]]</f>
        <v>T8_Ext ≤210_3L T8 3' 25W</v>
      </c>
      <c r="L559" s="247" t="s">
        <v>1556</v>
      </c>
      <c r="M559" s="247">
        <v>75</v>
      </c>
      <c r="N559" s="247">
        <v>65</v>
      </c>
      <c r="O559">
        <v>557</v>
      </c>
      <c r="P559" t="s">
        <v>2139</v>
      </c>
    </row>
    <row r="560" spans="9:16">
      <c r="I560" s="26" t="s">
        <v>1911</v>
      </c>
      <c r="J560" s="26" t="str">
        <f>"T8_"&amp;STDLIGHTINEFCAT2[[#This Row],[Ineff DropDown 2]]</f>
        <v>T8_Ext ≤210</v>
      </c>
      <c r="K560" s="247" t="str">
        <f>STDLIGHTINEFCAT2[[#This Row],[Match]]&amp;"_"&amp;STDLIGHTINEFCAT2[[#This Row],[Options]]</f>
        <v>T8_Ext ≤210_4L T8 3' 25W</v>
      </c>
      <c r="L560" s="247" t="s">
        <v>1557</v>
      </c>
      <c r="M560" s="247">
        <v>100</v>
      </c>
      <c r="N560" s="247">
        <v>87</v>
      </c>
      <c r="O560">
        <v>558</v>
      </c>
      <c r="P560" t="s">
        <v>2139</v>
      </c>
    </row>
    <row r="561" spans="9:16">
      <c r="I561" s="26" t="s">
        <v>1911</v>
      </c>
      <c r="J561" s="26" t="str">
        <f>"T8_"&amp;STDLIGHTINEFCAT2[[#This Row],[Ineff DropDown 2]]</f>
        <v>T8_Ext ≤210</v>
      </c>
      <c r="K561" s="247" t="str">
        <f>STDLIGHTINEFCAT2[[#This Row],[Match]]&amp;"_"&amp;STDLIGHTINEFCAT2[[#This Row],[Options]]</f>
        <v>T8_Ext ≤210_----4 ft Lamps----</v>
      </c>
      <c r="L561" s="251" t="s">
        <v>1542</v>
      </c>
      <c r="M561" s="251"/>
      <c r="N561" s="247"/>
      <c r="O561">
        <v>559</v>
      </c>
    </row>
    <row r="562" spans="9:16">
      <c r="I562" s="26" t="s">
        <v>1911</v>
      </c>
      <c r="J562" s="26" t="str">
        <f>"T8_"&amp;STDLIGHTINEFCAT2[[#This Row],[Ineff DropDown 2]]</f>
        <v>T8_Ext ≤210</v>
      </c>
      <c r="K562" s="247" t="str">
        <f>STDLIGHTINEFCAT2[[#This Row],[Match]]&amp;"_"&amp;STDLIGHTINEFCAT2[[#This Row],[Options]]</f>
        <v>T8_Ext ≤210_1L T8 4' 25W</v>
      </c>
      <c r="L562" s="247" t="s">
        <v>1558</v>
      </c>
      <c r="M562" s="247">
        <v>25</v>
      </c>
      <c r="N562" s="247">
        <v>23</v>
      </c>
      <c r="O562">
        <v>560</v>
      </c>
      <c r="P562" t="s">
        <v>2139</v>
      </c>
    </row>
    <row r="563" spans="9:16">
      <c r="I563" s="26" t="s">
        <v>1911</v>
      </c>
      <c r="J563" s="26" t="str">
        <f>"T8_"&amp;STDLIGHTINEFCAT2[[#This Row],[Ineff DropDown 2]]</f>
        <v>T8_Ext ≤210</v>
      </c>
      <c r="K563" s="247" t="str">
        <f>STDLIGHTINEFCAT2[[#This Row],[Match]]&amp;"_"&amp;STDLIGHTINEFCAT2[[#This Row],[Options]]</f>
        <v>T8_Ext ≤210_2L T8 4' 25W</v>
      </c>
      <c r="L563" s="247" t="s">
        <v>1559</v>
      </c>
      <c r="M563" s="247">
        <v>50</v>
      </c>
      <c r="N563" s="247">
        <v>44</v>
      </c>
      <c r="O563">
        <v>561</v>
      </c>
      <c r="P563" t="s">
        <v>2139</v>
      </c>
    </row>
    <row r="564" spans="9:16">
      <c r="I564" s="26" t="s">
        <v>1911</v>
      </c>
      <c r="J564" s="26" t="str">
        <f>"T8_"&amp;STDLIGHTINEFCAT2[[#This Row],[Ineff DropDown 2]]</f>
        <v>T8_Ext ≤210</v>
      </c>
      <c r="K564" s="247" t="str">
        <f>STDLIGHTINEFCAT2[[#This Row],[Match]]&amp;"_"&amp;STDLIGHTINEFCAT2[[#This Row],[Options]]</f>
        <v>T8_Ext ≤210_3L T8 4' 25W</v>
      </c>
      <c r="L564" s="247" t="s">
        <v>1560</v>
      </c>
      <c r="M564" s="247">
        <v>75</v>
      </c>
      <c r="N564" s="247">
        <v>66</v>
      </c>
      <c r="O564">
        <v>562</v>
      </c>
      <c r="P564" t="s">
        <v>2139</v>
      </c>
    </row>
    <row r="565" spans="9:16">
      <c r="I565" s="26" t="s">
        <v>1911</v>
      </c>
      <c r="J565" s="26" t="str">
        <f>"T8_"&amp;STDLIGHTINEFCAT2[[#This Row],[Ineff DropDown 2]]</f>
        <v>T8_Ext ≤210</v>
      </c>
      <c r="K565" s="247" t="str">
        <f>STDLIGHTINEFCAT2[[#This Row],[Match]]&amp;"_"&amp;STDLIGHTINEFCAT2[[#This Row],[Options]]</f>
        <v>T8_Ext ≤210_4L T8 4' 25W</v>
      </c>
      <c r="L565" s="247" t="s">
        <v>1561</v>
      </c>
      <c r="M565" s="247">
        <v>100</v>
      </c>
      <c r="N565" s="247">
        <v>88</v>
      </c>
      <c r="O565">
        <v>563</v>
      </c>
      <c r="P565" t="s">
        <v>2139</v>
      </c>
    </row>
    <row r="566" spans="9:16">
      <c r="I566" s="26" t="s">
        <v>1911</v>
      </c>
      <c r="J566" s="26" t="str">
        <f>"T8_"&amp;STDLIGHTINEFCAT2[[#This Row],[Ineff DropDown 2]]</f>
        <v>T8_Ext ≤210</v>
      </c>
      <c r="K566" s="247" t="str">
        <f>STDLIGHTINEFCAT2[[#This Row],[Match]]&amp;"_"&amp;STDLIGHTINEFCAT2[[#This Row],[Options]]</f>
        <v>T8_Ext ≤210_1L T8 4' 28W</v>
      </c>
      <c r="L566" s="247" t="s">
        <v>1562</v>
      </c>
      <c r="M566" s="247">
        <v>28</v>
      </c>
      <c r="N566" s="247">
        <v>25</v>
      </c>
      <c r="O566">
        <v>564</v>
      </c>
      <c r="P566" t="s">
        <v>2139</v>
      </c>
    </row>
    <row r="567" spans="9:16">
      <c r="I567" s="26" t="s">
        <v>1911</v>
      </c>
      <c r="J567" s="26" t="str">
        <f>"T8_"&amp;STDLIGHTINEFCAT2[[#This Row],[Ineff DropDown 2]]</f>
        <v>T8_Ext ≤210</v>
      </c>
      <c r="K567" s="247" t="str">
        <f>STDLIGHTINEFCAT2[[#This Row],[Match]]&amp;"_"&amp;STDLIGHTINEFCAT2[[#This Row],[Options]]</f>
        <v>T8_Ext ≤210_2L T8 4' 28W</v>
      </c>
      <c r="L567" s="247" t="s">
        <v>1563</v>
      </c>
      <c r="M567" s="247">
        <f>2*28</f>
        <v>56</v>
      </c>
      <c r="N567" s="247">
        <v>49</v>
      </c>
      <c r="O567">
        <v>565</v>
      </c>
      <c r="P567" t="s">
        <v>2139</v>
      </c>
    </row>
    <row r="568" spans="9:16">
      <c r="I568" s="26" t="s">
        <v>1911</v>
      </c>
      <c r="J568" s="26" t="str">
        <f>"T8_"&amp;STDLIGHTINEFCAT2[[#This Row],[Ineff DropDown 2]]</f>
        <v>T8_Ext ≤210</v>
      </c>
      <c r="K568" s="247" t="str">
        <f>STDLIGHTINEFCAT2[[#This Row],[Match]]&amp;"_"&amp;STDLIGHTINEFCAT2[[#This Row],[Options]]</f>
        <v>T8_Ext ≤210_3L T8 4' 28W</v>
      </c>
      <c r="L568" s="247" t="s">
        <v>1564</v>
      </c>
      <c r="M568" s="247">
        <f>3*28</f>
        <v>84</v>
      </c>
      <c r="N568" s="247">
        <v>73</v>
      </c>
      <c r="O568">
        <v>566</v>
      </c>
      <c r="P568" t="s">
        <v>2139</v>
      </c>
    </row>
    <row r="569" spans="9:16">
      <c r="I569" s="26" t="s">
        <v>1911</v>
      </c>
      <c r="J569" s="26" t="str">
        <f>"T8_"&amp;STDLIGHTINEFCAT2[[#This Row],[Ineff DropDown 2]]</f>
        <v>T8_Ext ≤210</v>
      </c>
      <c r="K569" s="247" t="str">
        <f>STDLIGHTINEFCAT2[[#This Row],[Match]]&amp;"_"&amp;STDLIGHTINEFCAT2[[#This Row],[Options]]</f>
        <v>T8_Ext ≤210_4L T8 4' 28W</v>
      </c>
      <c r="L569" s="247" t="s">
        <v>1565</v>
      </c>
      <c r="M569" s="247">
        <f>4*28</f>
        <v>112</v>
      </c>
      <c r="N569" s="247">
        <v>96</v>
      </c>
      <c r="O569">
        <v>567</v>
      </c>
      <c r="P569" t="s">
        <v>2139</v>
      </c>
    </row>
    <row r="570" spans="9:16">
      <c r="I570" s="26" t="s">
        <v>1911</v>
      </c>
      <c r="J570" s="26" t="str">
        <f>"T8_"&amp;STDLIGHTINEFCAT2[[#This Row],[Ineff DropDown 2]]</f>
        <v>T8_Ext ≤210</v>
      </c>
      <c r="K570" s="247" t="str">
        <f>STDLIGHTINEFCAT2[[#This Row],[Match]]&amp;"_"&amp;STDLIGHTINEFCAT2[[#This Row],[Options]]</f>
        <v>T8_Ext ≤210_1L T8 4' 32W</v>
      </c>
      <c r="L570" s="247" t="s">
        <v>1566</v>
      </c>
      <c r="M570" s="247">
        <v>32</v>
      </c>
      <c r="N570" s="247">
        <v>29</v>
      </c>
      <c r="O570">
        <v>568</v>
      </c>
      <c r="P570" t="s">
        <v>2139</v>
      </c>
    </row>
    <row r="571" spans="9:16">
      <c r="I571" s="26" t="s">
        <v>1911</v>
      </c>
      <c r="J571" s="26" t="str">
        <f>"T8_"&amp;STDLIGHTINEFCAT2[[#This Row],[Ineff DropDown 2]]</f>
        <v>T8_Ext ≤210</v>
      </c>
      <c r="K571" s="247" t="str">
        <f>STDLIGHTINEFCAT2[[#This Row],[Match]]&amp;"_"&amp;STDLIGHTINEFCAT2[[#This Row],[Options]]</f>
        <v>T8_Ext ≤210_2L T8 4' 32W</v>
      </c>
      <c r="L571" s="247" t="s">
        <v>1567</v>
      </c>
      <c r="M571" s="247">
        <f>2*32</f>
        <v>64</v>
      </c>
      <c r="N571" s="247">
        <v>56</v>
      </c>
      <c r="O571">
        <v>569</v>
      </c>
      <c r="P571" t="s">
        <v>2139</v>
      </c>
    </row>
    <row r="572" spans="9:16">
      <c r="I572" s="26" t="s">
        <v>1911</v>
      </c>
      <c r="J572" s="26" t="str">
        <f>"T8_"&amp;STDLIGHTINEFCAT2[[#This Row],[Ineff DropDown 2]]</f>
        <v>T8_Ext ≤210</v>
      </c>
      <c r="K572" s="247" t="str">
        <f>STDLIGHTINEFCAT2[[#This Row],[Match]]&amp;"_"&amp;STDLIGHTINEFCAT2[[#This Row],[Options]]</f>
        <v>T8_Ext ≤210_3L T8 4' 32W</v>
      </c>
      <c r="L572" s="247" t="s">
        <v>1568</v>
      </c>
      <c r="M572" s="247">
        <f>3*32</f>
        <v>96</v>
      </c>
      <c r="N572" s="247">
        <v>84</v>
      </c>
      <c r="O572">
        <v>570</v>
      </c>
      <c r="P572" t="s">
        <v>2139</v>
      </c>
    </row>
    <row r="573" spans="9:16">
      <c r="I573" s="26" t="s">
        <v>1911</v>
      </c>
      <c r="J573" s="26" t="str">
        <f>"T8_"&amp;STDLIGHTINEFCAT2[[#This Row],[Ineff DropDown 2]]</f>
        <v>T8_Ext ≤210</v>
      </c>
      <c r="K573" s="247" t="str">
        <f>STDLIGHTINEFCAT2[[#This Row],[Match]]&amp;"_"&amp;STDLIGHTINEFCAT2[[#This Row],[Options]]</f>
        <v>T8_Ext ≤210_4L T8 4' 32W</v>
      </c>
      <c r="L573" s="247" t="s">
        <v>1569</v>
      </c>
      <c r="M573" s="247">
        <f>4*32</f>
        <v>128</v>
      </c>
      <c r="N573" s="247">
        <v>110</v>
      </c>
      <c r="O573">
        <v>571</v>
      </c>
      <c r="P573" t="s">
        <v>2139</v>
      </c>
    </row>
    <row r="574" spans="9:16">
      <c r="I574" s="26" t="s">
        <v>1911</v>
      </c>
      <c r="J574" s="26" t="str">
        <f>"T8_"&amp;STDLIGHTINEFCAT2[[#This Row],[Ineff DropDown 2]]</f>
        <v>T8_Ext ≤210</v>
      </c>
      <c r="K574" s="247" t="str">
        <f>STDLIGHTINEFCAT2[[#This Row],[Match]]&amp;"_"&amp;STDLIGHTINEFCAT2[[#This Row],[Options]]</f>
        <v>T8_Ext ≤210_6L T8 4' 32W</v>
      </c>
      <c r="L574" s="247" t="s">
        <v>1570</v>
      </c>
      <c r="M574" s="247">
        <f>6*32</f>
        <v>192</v>
      </c>
      <c r="N574" s="247">
        <v>169</v>
      </c>
      <c r="O574">
        <v>572</v>
      </c>
    </row>
    <row r="575" spans="9:16">
      <c r="I575" s="26" t="s">
        <v>1911</v>
      </c>
      <c r="J575" s="26" t="str">
        <f>"T8_"&amp;STDLIGHTINEFCAT2[[#This Row],[Ineff DropDown 2]]</f>
        <v>T8_Ext ≤210</v>
      </c>
      <c r="K575" s="247" t="str">
        <f>STDLIGHTINEFCAT2[[#This Row],[Match]]&amp;"_"&amp;STDLIGHTINEFCAT2[[#This Row],[Options]]</f>
        <v>T8_Ext ≤210_1L T8 4' 44W</v>
      </c>
      <c r="L575" s="247" t="s">
        <v>1571</v>
      </c>
      <c r="M575" s="247">
        <v>44</v>
      </c>
      <c r="N575" s="247">
        <v>51</v>
      </c>
      <c r="O575">
        <v>573</v>
      </c>
      <c r="P575" t="s">
        <v>2139</v>
      </c>
    </row>
    <row r="576" spans="9:16">
      <c r="I576" s="26" t="s">
        <v>1911</v>
      </c>
      <c r="J576" s="26" t="str">
        <f>"T8_"&amp;STDLIGHTINEFCAT2[[#This Row],[Ineff DropDown 2]]</f>
        <v>T8_Ext ≤210</v>
      </c>
      <c r="K576" s="247" t="str">
        <f>STDLIGHTINEFCAT2[[#This Row],[Match]]&amp;"_"&amp;STDLIGHTINEFCAT2[[#This Row],[Options]]</f>
        <v>T8_Ext ≤210_2L T8 4' 44W</v>
      </c>
      <c r="L576" s="247" t="s">
        <v>1572</v>
      </c>
      <c r="M576" s="247">
        <v>88</v>
      </c>
      <c r="N576" s="247">
        <v>82</v>
      </c>
      <c r="O576">
        <v>574</v>
      </c>
      <c r="P576" t="s">
        <v>2139</v>
      </c>
    </row>
    <row r="577" spans="9:16">
      <c r="I577" s="26" t="s">
        <v>1911</v>
      </c>
      <c r="J577" s="26" t="str">
        <f>"T8_"&amp;STDLIGHTINEFCAT2[[#This Row],[Ineff DropDown 2]]</f>
        <v>T8_Ext ≤210</v>
      </c>
      <c r="K577" s="247" t="str">
        <f>STDLIGHTINEFCAT2[[#This Row],[Match]]&amp;"_"&amp;STDLIGHTINEFCAT2[[#This Row],[Options]]</f>
        <v>T8_Ext ≤210_----6 ft Lamps----</v>
      </c>
      <c r="L577" s="251" t="s">
        <v>1544</v>
      </c>
      <c r="M577" s="251"/>
      <c r="N577" s="247"/>
      <c r="O577">
        <v>575</v>
      </c>
    </row>
    <row r="578" spans="9:16">
      <c r="I578" s="26" t="s">
        <v>1911</v>
      </c>
      <c r="J578" s="26" t="str">
        <f>"T8_"&amp;STDLIGHTINEFCAT2[[#This Row],[Ineff DropDown 2]]</f>
        <v>T8_Ext ≤210</v>
      </c>
      <c r="K578" s="247" t="str">
        <f>STDLIGHTINEFCAT2[[#This Row],[Match]]&amp;"_"&amp;STDLIGHTINEFCAT2[[#This Row],[Options]]</f>
        <v>T8_Ext ≤210_1L T8 6' 46W</v>
      </c>
      <c r="L578" s="247" t="s">
        <v>1579</v>
      </c>
      <c r="M578" s="247">
        <v>46</v>
      </c>
      <c r="N578" s="247">
        <v>52</v>
      </c>
      <c r="O578">
        <v>576</v>
      </c>
    </row>
    <row r="579" spans="9:16">
      <c r="I579" s="26" t="s">
        <v>1911</v>
      </c>
      <c r="J579" s="26" t="str">
        <f>"T8_"&amp;STDLIGHTINEFCAT2[[#This Row],[Ineff DropDown 2]]</f>
        <v>T8_Ext ≤210</v>
      </c>
      <c r="K579" s="247" t="str">
        <f>STDLIGHTINEFCAT2[[#This Row],[Match]]&amp;"_"&amp;STDLIGHTINEFCAT2[[#This Row],[Options]]</f>
        <v>T8_Ext ≤210_2L T8 6' 46W</v>
      </c>
      <c r="L579" s="247" t="s">
        <v>1580</v>
      </c>
      <c r="M579" s="247">
        <f>2*46</f>
        <v>92</v>
      </c>
      <c r="N579" s="247">
        <v>97</v>
      </c>
      <c r="O579">
        <v>577</v>
      </c>
    </row>
    <row r="580" spans="9:16">
      <c r="I580" s="26" t="s">
        <v>1911</v>
      </c>
      <c r="J580" s="26" t="str">
        <f>"T8_"&amp;STDLIGHTINEFCAT2[[#This Row],[Ineff DropDown 2]]</f>
        <v>T8_Ext ≤210</v>
      </c>
      <c r="K580" s="247" t="str">
        <f>STDLIGHTINEFCAT2[[#This Row],[Match]]&amp;"_"&amp;STDLIGHTINEFCAT2[[#This Row],[Options]]</f>
        <v>T8_Ext ≤210_1L T8 6' 66W</v>
      </c>
      <c r="L580" s="247" t="s">
        <v>1583</v>
      </c>
      <c r="M580" s="247">
        <f>1*66</f>
        <v>66</v>
      </c>
      <c r="N580" s="247">
        <v>71</v>
      </c>
      <c r="O580">
        <v>578</v>
      </c>
      <c r="P580" t="s">
        <v>2139</v>
      </c>
    </row>
    <row r="581" spans="9:16">
      <c r="I581" s="26" t="s">
        <v>1911</v>
      </c>
      <c r="J581" s="26" t="str">
        <f>"T8_"&amp;STDLIGHTINEFCAT2[[#This Row],[Ineff DropDown 2]]</f>
        <v>T8_Ext ≤210</v>
      </c>
      <c r="K581" s="247" t="str">
        <f>STDLIGHTINEFCAT2[[#This Row],[Match]]&amp;"_"&amp;STDLIGHTINEFCAT2[[#This Row],[Options]]</f>
        <v>T8_Ext ≤210_2L T8 6' 66W</v>
      </c>
      <c r="L581" s="247" t="s">
        <v>1584</v>
      </c>
      <c r="M581" s="247">
        <f>2*66</f>
        <v>132</v>
      </c>
      <c r="N581" s="247">
        <v>118</v>
      </c>
      <c r="O581">
        <v>579</v>
      </c>
      <c r="P581" t="s">
        <v>2139</v>
      </c>
    </row>
    <row r="582" spans="9:16">
      <c r="I582" s="26" t="s">
        <v>1911</v>
      </c>
      <c r="J582" s="26" t="str">
        <f>"T8_"&amp;STDLIGHTINEFCAT2[[#This Row],[Ineff DropDown 2]]</f>
        <v>T8_Ext ≤210</v>
      </c>
      <c r="K582" s="247" t="str">
        <f>STDLIGHTINEFCAT2[[#This Row],[Match]]&amp;"_"&amp;STDLIGHTINEFCAT2[[#This Row],[Options]]</f>
        <v>T8_Ext ≤210_----8 ft Lamps----</v>
      </c>
      <c r="L582" s="251" t="s">
        <v>1546</v>
      </c>
      <c r="M582" s="251"/>
      <c r="N582" s="247"/>
      <c r="O582">
        <v>580</v>
      </c>
    </row>
    <row r="583" spans="9:16">
      <c r="I583" s="26" t="s">
        <v>1911</v>
      </c>
      <c r="J583" s="26" t="str">
        <f>"T8_"&amp;STDLIGHTINEFCAT2[[#This Row],[Ineff DropDown 2]]</f>
        <v>T8_Ext ≤210</v>
      </c>
      <c r="K583" s="247" t="str">
        <f>STDLIGHTINEFCAT2[[#This Row],[Match]]&amp;"_"&amp;STDLIGHTINEFCAT2[[#This Row],[Options]]</f>
        <v>T8_Ext ≤210_1L T8 8' 59W</v>
      </c>
      <c r="L583" s="247" t="s">
        <v>1581</v>
      </c>
      <c r="M583" s="247">
        <v>59</v>
      </c>
      <c r="N583" s="247">
        <v>62</v>
      </c>
      <c r="O583">
        <v>581</v>
      </c>
      <c r="P583" t="s">
        <v>2139</v>
      </c>
    </row>
    <row r="584" spans="9:16">
      <c r="I584" s="26" t="s">
        <v>1911</v>
      </c>
      <c r="J584" s="26" t="str">
        <f>"T8_"&amp;STDLIGHTINEFCAT2[[#This Row],[Ineff DropDown 2]]</f>
        <v>T8_Ext ≤210</v>
      </c>
      <c r="K584" s="247" t="str">
        <f>STDLIGHTINEFCAT2[[#This Row],[Match]]&amp;"_"&amp;STDLIGHTINEFCAT2[[#This Row],[Options]]</f>
        <v>T8_Ext ≤210_2L T8 8' 59W</v>
      </c>
      <c r="L584" s="247" t="s">
        <v>1582</v>
      </c>
      <c r="M584" s="247">
        <f>2*59</f>
        <v>118</v>
      </c>
      <c r="N584" s="247">
        <v>109</v>
      </c>
      <c r="O584">
        <v>582</v>
      </c>
      <c r="P584" t="s">
        <v>2139</v>
      </c>
    </row>
    <row r="585" spans="9:16">
      <c r="I585" s="26" t="s">
        <v>1911</v>
      </c>
      <c r="J585" s="26" t="str">
        <f>"T8_"&amp;STDLIGHTINEFCAT2[[#This Row],[Ineff DropDown 2]]</f>
        <v>T8_Ext ≤210</v>
      </c>
      <c r="K585" s="247" t="str">
        <f>STDLIGHTINEFCAT2[[#This Row],[Match]]&amp;"_"&amp;STDLIGHTINEFCAT2[[#This Row],[Options]]</f>
        <v>T8_Ext ≤210_1L T8 8' 86W</v>
      </c>
      <c r="L585" s="247" t="s">
        <v>1585</v>
      </c>
      <c r="M585" s="247">
        <v>86</v>
      </c>
      <c r="N585" s="247">
        <v>90</v>
      </c>
      <c r="O585">
        <v>583</v>
      </c>
      <c r="P585" t="s">
        <v>2139</v>
      </c>
    </row>
    <row r="586" spans="9:16">
      <c r="I586" s="26" t="s">
        <v>1911</v>
      </c>
      <c r="J586" s="26" t="str">
        <f>"T8_"&amp;STDLIGHTINEFCAT2[[#This Row],[Ineff DropDown 2]]</f>
        <v>T8_Ext ≤210</v>
      </c>
      <c r="K586" s="247" t="str">
        <f>STDLIGHTINEFCAT2[[#This Row],[Match]]&amp;"_"&amp;STDLIGHTINEFCAT2[[#This Row],[Options]]</f>
        <v>T8_Ext ≤210_2L T8 8' 86W</v>
      </c>
      <c r="L586" s="247" t="s">
        <v>1586</v>
      </c>
      <c r="M586" s="247">
        <f>2*86</f>
        <v>172</v>
      </c>
      <c r="N586" s="247">
        <v>160</v>
      </c>
      <c r="O586">
        <v>584</v>
      </c>
      <c r="P586" t="s">
        <v>2139</v>
      </c>
    </row>
    <row r="587" spans="9:16">
      <c r="I587" s="26" t="s">
        <v>1912</v>
      </c>
      <c r="J587" s="26" t="str">
        <f>"T8_"&amp;STDLIGHTINEFCAT2[[#This Row],[Ineff DropDown 2]]</f>
        <v>T8_Ext 211-300</v>
      </c>
      <c r="K587" s="247" t="str">
        <f>STDLIGHTINEFCAT2[[#This Row],[Match]]&amp;"_"&amp;STDLIGHTINEFCAT2[[#This Row],[Options]]</f>
        <v>T8_Ext 211-300_----8 ft Lamps----</v>
      </c>
      <c r="L587" s="251" t="s">
        <v>1546</v>
      </c>
      <c r="M587" s="251"/>
      <c r="N587" s="247"/>
      <c r="O587">
        <v>585</v>
      </c>
    </row>
    <row r="588" spans="9:16">
      <c r="I588" s="26" t="s">
        <v>1912</v>
      </c>
      <c r="J588" s="26" t="str">
        <f>"T8_"&amp;STDLIGHTINEFCAT2[[#This Row],[Ineff DropDown 2]]</f>
        <v>T8_Ext 211-300</v>
      </c>
      <c r="K588" s="247" t="str">
        <f>STDLIGHTINEFCAT2[[#This Row],[Match]]&amp;"_"&amp;STDLIGHTINEFCAT2[[#This Row],[Options]]</f>
        <v>T8_Ext 211-300_8L T8 4' 32W</v>
      </c>
      <c r="L588" s="247" t="s">
        <v>1600</v>
      </c>
      <c r="M588" s="247">
        <f>8*32</f>
        <v>256</v>
      </c>
      <c r="N588" s="247">
        <v>225</v>
      </c>
      <c r="O588">
        <v>586</v>
      </c>
    </row>
    <row r="589" spans="9:16">
      <c r="I589" s="26" t="s">
        <v>91</v>
      </c>
      <c r="J589" s="26" t="str">
        <f>"T8_"&amp;STDLIGHTINEFCAT2[[#This Row],[Ineff DropDown 2]]</f>
        <v>T8_Fixture</v>
      </c>
      <c r="K589" s="247" t="str">
        <f>STDLIGHTINEFCAT2[[#This Row],[Match]]&amp;"_"&amp;STDLIGHTINEFCAT2[[#This Row],[Options]]</f>
        <v>T8_Fixture_----2 ft Lamps----</v>
      </c>
      <c r="L589" s="251" t="s">
        <v>1540</v>
      </c>
      <c r="M589" s="251"/>
      <c r="N589" s="247"/>
      <c r="O589">
        <v>587</v>
      </c>
    </row>
    <row r="590" spans="9:16">
      <c r="I590" s="26" t="s">
        <v>91</v>
      </c>
      <c r="J590" s="26" t="str">
        <f>"T8_"&amp;STDLIGHTINEFCAT2[[#This Row],[Ineff DropDown 2]]</f>
        <v>T8_Fixture</v>
      </c>
      <c r="K590" s="247" t="str">
        <f>STDLIGHTINEFCAT2[[#This Row],[Match]]&amp;"_"&amp;STDLIGHTINEFCAT2[[#This Row],[Options]]</f>
        <v>T8_Fixture_1L T8 2' 17W</v>
      </c>
      <c r="L590" s="247" t="s">
        <v>1550</v>
      </c>
      <c r="M590" s="247">
        <v>17</v>
      </c>
      <c r="N590" s="247">
        <v>24</v>
      </c>
      <c r="O590">
        <v>588</v>
      </c>
      <c r="P590" t="s">
        <v>2139</v>
      </c>
    </row>
    <row r="591" spans="9:16">
      <c r="I591" s="26" t="s">
        <v>91</v>
      </c>
      <c r="J591" s="26" t="str">
        <f>"T8_"&amp;STDLIGHTINEFCAT2[[#This Row],[Ineff DropDown 2]]</f>
        <v>T8_Fixture</v>
      </c>
      <c r="K591" s="247" t="str">
        <f>STDLIGHTINEFCAT2[[#This Row],[Match]]&amp;"_"&amp;STDLIGHTINEFCAT2[[#This Row],[Options]]</f>
        <v>T8_Fixture_2L T8 2' 17W</v>
      </c>
      <c r="L591" s="247" t="s">
        <v>1551</v>
      </c>
      <c r="M591" s="247">
        <f>17*2</f>
        <v>34</v>
      </c>
      <c r="N591" s="247">
        <v>45</v>
      </c>
      <c r="O591">
        <v>589</v>
      </c>
      <c r="P591" t="s">
        <v>2139</v>
      </c>
    </row>
    <row r="592" spans="9:16">
      <c r="I592" s="26" t="s">
        <v>91</v>
      </c>
      <c r="J592" s="26" t="str">
        <f>"T8_"&amp;STDLIGHTINEFCAT2[[#This Row],[Ineff DropDown 2]]</f>
        <v>T8_Fixture</v>
      </c>
      <c r="K592" s="247" t="str">
        <f>STDLIGHTINEFCAT2[[#This Row],[Match]]&amp;"_"&amp;STDLIGHTINEFCAT2[[#This Row],[Options]]</f>
        <v>T8_Fixture_3L T8 2' 17W</v>
      </c>
      <c r="L592" s="247" t="s">
        <v>1552</v>
      </c>
      <c r="M592" s="247">
        <f>3*17</f>
        <v>51</v>
      </c>
      <c r="N592" s="247">
        <v>65</v>
      </c>
      <c r="O592">
        <v>590</v>
      </c>
      <c r="P592" t="s">
        <v>2139</v>
      </c>
    </row>
    <row r="593" spans="9:16">
      <c r="I593" s="26" t="s">
        <v>91</v>
      </c>
      <c r="J593" s="26" t="str">
        <f>"T8_"&amp;STDLIGHTINEFCAT2[[#This Row],[Ineff DropDown 2]]</f>
        <v>T8_Fixture</v>
      </c>
      <c r="K593" s="247" t="str">
        <f>STDLIGHTINEFCAT2[[#This Row],[Match]]&amp;"_"&amp;STDLIGHTINEFCAT2[[#This Row],[Options]]</f>
        <v>T8_Fixture_4L T8 2' 17W</v>
      </c>
      <c r="L593" s="247" t="s">
        <v>1553</v>
      </c>
      <c r="M593" s="247">
        <f>4*17</f>
        <v>68</v>
      </c>
      <c r="N593" s="247">
        <v>87</v>
      </c>
      <c r="O593">
        <v>591</v>
      </c>
      <c r="P593" t="s">
        <v>2139</v>
      </c>
    </row>
    <row r="594" spans="9:16">
      <c r="I594" s="26" t="s">
        <v>91</v>
      </c>
      <c r="J594" s="26" t="str">
        <f>"T8_"&amp;STDLIGHTINEFCAT2[[#This Row],[Ineff DropDown 2]]</f>
        <v>T8_Fixture</v>
      </c>
      <c r="K594" s="247" t="str">
        <f>STDLIGHTINEFCAT2[[#This Row],[Match]]&amp;"_"&amp;STDLIGHTINEFCAT2[[#This Row],[Options]]</f>
        <v>T8_Fixture_----3 ft Lamps----</v>
      </c>
      <c r="L594" s="251" t="s">
        <v>1541</v>
      </c>
      <c r="M594" s="251"/>
      <c r="N594" s="247"/>
      <c r="O594">
        <v>592</v>
      </c>
    </row>
    <row r="595" spans="9:16">
      <c r="I595" s="26" t="s">
        <v>91</v>
      </c>
      <c r="J595" s="26" t="str">
        <f>"T8_"&amp;STDLIGHTINEFCAT2[[#This Row],[Ineff DropDown 2]]</f>
        <v>T8_Fixture</v>
      </c>
      <c r="K595" s="247" t="str">
        <f>STDLIGHTINEFCAT2[[#This Row],[Match]]&amp;"_"&amp;STDLIGHTINEFCAT2[[#This Row],[Options]]</f>
        <v>T8_Fixture_1L T8 3' 25W</v>
      </c>
      <c r="L595" s="247" t="s">
        <v>1554</v>
      </c>
      <c r="M595" s="247">
        <v>25</v>
      </c>
      <c r="N595" s="247">
        <v>24</v>
      </c>
      <c r="O595">
        <v>593</v>
      </c>
      <c r="P595" t="s">
        <v>2139</v>
      </c>
    </row>
    <row r="596" spans="9:16">
      <c r="I596" s="26" t="s">
        <v>91</v>
      </c>
      <c r="J596" s="26" t="str">
        <f>"T8_"&amp;STDLIGHTINEFCAT2[[#This Row],[Ineff DropDown 2]]</f>
        <v>T8_Fixture</v>
      </c>
      <c r="K596" s="247" t="str">
        <f>STDLIGHTINEFCAT2[[#This Row],[Match]]&amp;"_"&amp;STDLIGHTINEFCAT2[[#This Row],[Options]]</f>
        <v>T8_Fixture_2L T8 3' 25W</v>
      </c>
      <c r="L596" s="247" t="s">
        <v>1555</v>
      </c>
      <c r="M596" s="247">
        <v>50</v>
      </c>
      <c r="N596" s="247">
        <v>45</v>
      </c>
      <c r="O596">
        <v>594</v>
      </c>
      <c r="P596" t="s">
        <v>2139</v>
      </c>
    </row>
    <row r="597" spans="9:16">
      <c r="I597" s="26" t="s">
        <v>91</v>
      </c>
      <c r="J597" s="26" t="str">
        <f>"T8_"&amp;STDLIGHTINEFCAT2[[#This Row],[Ineff DropDown 2]]</f>
        <v>T8_Fixture</v>
      </c>
      <c r="K597" s="247" t="str">
        <f>STDLIGHTINEFCAT2[[#This Row],[Match]]&amp;"_"&amp;STDLIGHTINEFCAT2[[#This Row],[Options]]</f>
        <v>T8_Fixture_3L T8 3' 25W</v>
      </c>
      <c r="L597" s="247" t="s">
        <v>1556</v>
      </c>
      <c r="M597" s="247">
        <v>75</v>
      </c>
      <c r="N597" s="247">
        <v>65</v>
      </c>
      <c r="O597">
        <v>595</v>
      </c>
      <c r="P597" t="s">
        <v>2139</v>
      </c>
    </row>
    <row r="598" spans="9:16">
      <c r="I598" s="26" t="s">
        <v>91</v>
      </c>
      <c r="J598" s="26" t="str">
        <f>"T8_"&amp;STDLIGHTINEFCAT2[[#This Row],[Ineff DropDown 2]]</f>
        <v>T8_Fixture</v>
      </c>
      <c r="K598" s="247" t="str">
        <f>STDLIGHTINEFCAT2[[#This Row],[Match]]&amp;"_"&amp;STDLIGHTINEFCAT2[[#This Row],[Options]]</f>
        <v>T8_Fixture_4L T8 3' 25W</v>
      </c>
      <c r="L598" s="247" t="s">
        <v>1557</v>
      </c>
      <c r="M598" s="247">
        <v>100</v>
      </c>
      <c r="N598" s="247">
        <v>87</v>
      </c>
      <c r="O598">
        <v>596</v>
      </c>
      <c r="P598" t="s">
        <v>2139</v>
      </c>
    </row>
    <row r="599" spans="9:16">
      <c r="I599" s="26" t="s">
        <v>91</v>
      </c>
      <c r="J599" s="26" t="str">
        <f>"T8_"&amp;STDLIGHTINEFCAT2[[#This Row],[Ineff DropDown 2]]</f>
        <v>T8_Fixture</v>
      </c>
      <c r="K599" s="247" t="str">
        <f>STDLIGHTINEFCAT2[[#This Row],[Match]]&amp;"_"&amp;STDLIGHTINEFCAT2[[#This Row],[Options]]</f>
        <v>T8_Fixture_----4 ft Lamps----</v>
      </c>
      <c r="L599" s="251" t="s">
        <v>1542</v>
      </c>
      <c r="M599" s="251"/>
      <c r="N599" s="247"/>
      <c r="O599">
        <v>597</v>
      </c>
    </row>
    <row r="600" spans="9:16">
      <c r="I600" s="26" t="s">
        <v>91</v>
      </c>
      <c r="J600" s="26" t="str">
        <f>"T8_"&amp;STDLIGHTINEFCAT2[[#This Row],[Ineff DropDown 2]]</f>
        <v>T8_Fixture</v>
      </c>
      <c r="K600" s="247" t="str">
        <f>STDLIGHTINEFCAT2[[#This Row],[Match]]&amp;"_"&amp;STDLIGHTINEFCAT2[[#This Row],[Options]]</f>
        <v>T8_Fixture_1L T8 4' 25W</v>
      </c>
      <c r="L600" s="247" t="s">
        <v>1558</v>
      </c>
      <c r="M600" s="247">
        <v>25</v>
      </c>
      <c r="N600" s="247">
        <v>23</v>
      </c>
      <c r="O600">
        <v>598</v>
      </c>
      <c r="P600" t="s">
        <v>2139</v>
      </c>
    </row>
    <row r="601" spans="9:16">
      <c r="I601" s="26" t="s">
        <v>91</v>
      </c>
      <c r="J601" s="26" t="str">
        <f>"T8_"&amp;STDLIGHTINEFCAT2[[#This Row],[Ineff DropDown 2]]</f>
        <v>T8_Fixture</v>
      </c>
      <c r="K601" s="247" t="str">
        <f>STDLIGHTINEFCAT2[[#This Row],[Match]]&amp;"_"&amp;STDLIGHTINEFCAT2[[#This Row],[Options]]</f>
        <v>T8_Fixture_2L T8 4' 25W</v>
      </c>
      <c r="L601" s="247" t="s">
        <v>1559</v>
      </c>
      <c r="M601" s="247">
        <v>50</v>
      </c>
      <c r="N601" s="247">
        <v>44</v>
      </c>
      <c r="O601">
        <v>599</v>
      </c>
      <c r="P601" t="s">
        <v>2139</v>
      </c>
    </row>
    <row r="602" spans="9:16">
      <c r="I602" s="26" t="s">
        <v>91</v>
      </c>
      <c r="J602" s="26" t="str">
        <f>"T8_"&amp;STDLIGHTINEFCAT2[[#This Row],[Ineff DropDown 2]]</f>
        <v>T8_Fixture</v>
      </c>
      <c r="K602" s="247" t="str">
        <f>STDLIGHTINEFCAT2[[#This Row],[Match]]&amp;"_"&amp;STDLIGHTINEFCAT2[[#This Row],[Options]]</f>
        <v>T8_Fixture_3L T8 4' 25W</v>
      </c>
      <c r="L602" s="247" t="s">
        <v>1560</v>
      </c>
      <c r="M602" s="247">
        <v>75</v>
      </c>
      <c r="N602" s="247">
        <v>66</v>
      </c>
      <c r="O602">
        <v>600</v>
      </c>
      <c r="P602" t="s">
        <v>2139</v>
      </c>
    </row>
    <row r="603" spans="9:16">
      <c r="I603" s="26" t="s">
        <v>91</v>
      </c>
      <c r="J603" s="26" t="str">
        <f>"T8_"&amp;STDLIGHTINEFCAT2[[#This Row],[Ineff DropDown 2]]</f>
        <v>T8_Fixture</v>
      </c>
      <c r="K603" s="247" t="str">
        <f>STDLIGHTINEFCAT2[[#This Row],[Match]]&amp;"_"&amp;STDLIGHTINEFCAT2[[#This Row],[Options]]</f>
        <v>T8_Fixture_4L T8 4' 25W</v>
      </c>
      <c r="L603" s="247" t="s">
        <v>1561</v>
      </c>
      <c r="M603" s="247">
        <v>100</v>
      </c>
      <c r="N603" s="247">
        <v>88</v>
      </c>
      <c r="O603">
        <v>601</v>
      </c>
      <c r="P603" t="s">
        <v>2139</v>
      </c>
    </row>
    <row r="604" spans="9:16">
      <c r="I604" s="26" t="s">
        <v>91</v>
      </c>
      <c r="J604" s="26" t="str">
        <f>"T8_"&amp;STDLIGHTINEFCAT2[[#This Row],[Ineff DropDown 2]]</f>
        <v>T8_Fixture</v>
      </c>
      <c r="K604" s="247" t="str">
        <f>STDLIGHTINEFCAT2[[#This Row],[Match]]&amp;"_"&amp;STDLIGHTINEFCAT2[[#This Row],[Options]]</f>
        <v>T8_Fixture_1L T8 4' 28W</v>
      </c>
      <c r="L604" s="247" t="s">
        <v>1562</v>
      </c>
      <c r="M604" s="247">
        <v>28</v>
      </c>
      <c r="N604" s="247">
        <v>25</v>
      </c>
      <c r="O604">
        <v>602</v>
      </c>
      <c r="P604" t="s">
        <v>2139</v>
      </c>
    </row>
    <row r="605" spans="9:16">
      <c r="I605" s="26" t="s">
        <v>91</v>
      </c>
      <c r="J605" s="26" t="str">
        <f>"T8_"&amp;STDLIGHTINEFCAT2[[#This Row],[Ineff DropDown 2]]</f>
        <v>T8_Fixture</v>
      </c>
      <c r="K605" s="247" t="str">
        <f>STDLIGHTINEFCAT2[[#This Row],[Match]]&amp;"_"&amp;STDLIGHTINEFCAT2[[#This Row],[Options]]</f>
        <v>T8_Fixture_2L T8 4' 28W</v>
      </c>
      <c r="L605" s="247" t="s">
        <v>1563</v>
      </c>
      <c r="M605" s="247">
        <f>2*28</f>
        <v>56</v>
      </c>
      <c r="N605" s="247">
        <v>49</v>
      </c>
      <c r="O605">
        <v>603</v>
      </c>
      <c r="P605" t="s">
        <v>2139</v>
      </c>
    </row>
    <row r="606" spans="9:16">
      <c r="I606" s="26" t="s">
        <v>91</v>
      </c>
      <c r="J606" s="26" t="str">
        <f>"T8_"&amp;STDLIGHTINEFCAT2[[#This Row],[Ineff DropDown 2]]</f>
        <v>T8_Fixture</v>
      </c>
      <c r="K606" s="247" t="str">
        <f>STDLIGHTINEFCAT2[[#This Row],[Match]]&amp;"_"&amp;STDLIGHTINEFCAT2[[#This Row],[Options]]</f>
        <v>T8_Fixture_3L T8 4' 28W</v>
      </c>
      <c r="L606" s="247" t="s">
        <v>1564</v>
      </c>
      <c r="M606" s="247">
        <f>3*28</f>
        <v>84</v>
      </c>
      <c r="N606" s="247">
        <v>73</v>
      </c>
      <c r="O606">
        <v>604</v>
      </c>
      <c r="P606" t="s">
        <v>2139</v>
      </c>
    </row>
    <row r="607" spans="9:16">
      <c r="I607" s="26" t="s">
        <v>91</v>
      </c>
      <c r="J607" s="26" t="str">
        <f>"T8_"&amp;STDLIGHTINEFCAT2[[#This Row],[Ineff DropDown 2]]</f>
        <v>T8_Fixture</v>
      </c>
      <c r="K607" s="247" t="str">
        <f>STDLIGHTINEFCAT2[[#This Row],[Match]]&amp;"_"&amp;STDLIGHTINEFCAT2[[#This Row],[Options]]</f>
        <v>T8_Fixture_4L T8 4' 28W</v>
      </c>
      <c r="L607" s="247" t="s">
        <v>1565</v>
      </c>
      <c r="M607" s="247">
        <f>4*28</f>
        <v>112</v>
      </c>
      <c r="N607" s="247">
        <v>96</v>
      </c>
      <c r="O607">
        <v>605</v>
      </c>
      <c r="P607" t="s">
        <v>2139</v>
      </c>
    </row>
    <row r="608" spans="9:16">
      <c r="I608" s="26" t="s">
        <v>91</v>
      </c>
      <c r="J608" s="26" t="str">
        <f>"T8_"&amp;STDLIGHTINEFCAT2[[#This Row],[Ineff DropDown 2]]</f>
        <v>T8_Fixture</v>
      </c>
      <c r="K608" s="247" t="str">
        <f>STDLIGHTINEFCAT2[[#This Row],[Match]]&amp;"_"&amp;STDLIGHTINEFCAT2[[#This Row],[Options]]</f>
        <v>T8_Fixture_1L T8 4' 32W</v>
      </c>
      <c r="L608" s="247" t="s">
        <v>1566</v>
      </c>
      <c r="M608" s="247">
        <v>32</v>
      </c>
      <c r="N608" s="247">
        <v>29</v>
      </c>
      <c r="O608">
        <v>606</v>
      </c>
      <c r="P608" t="s">
        <v>2139</v>
      </c>
    </row>
    <row r="609" spans="9:16">
      <c r="I609" s="26" t="s">
        <v>91</v>
      </c>
      <c r="J609" s="26" t="str">
        <f>"T8_"&amp;STDLIGHTINEFCAT2[[#This Row],[Ineff DropDown 2]]</f>
        <v>T8_Fixture</v>
      </c>
      <c r="K609" s="247" t="str">
        <f>STDLIGHTINEFCAT2[[#This Row],[Match]]&amp;"_"&amp;STDLIGHTINEFCAT2[[#This Row],[Options]]</f>
        <v>T8_Fixture_2L T8 4' 32W</v>
      </c>
      <c r="L609" s="247" t="s">
        <v>1567</v>
      </c>
      <c r="M609" s="247">
        <f>2*32</f>
        <v>64</v>
      </c>
      <c r="N609" s="247">
        <v>56</v>
      </c>
      <c r="O609">
        <v>607</v>
      </c>
      <c r="P609" t="s">
        <v>2139</v>
      </c>
    </row>
    <row r="610" spans="9:16">
      <c r="I610" s="26" t="s">
        <v>91</v>
      </c>
      <c r="J610" s="26" t="str">
        <f>"T8_"&amp;STDLIGHTINEFCAT2[[#This Row],[Ineff DropDown 2]]</f>
        <v>T8_Fixture</v>
      </c>
      <c r="K610" s="247" t="str">
        <f>STDLIGHTINEFCAT2[[#This Row],[Match]]&amp;"_"&amp;STDLIGHTINEFCAT2[[#This Row],[Options]]</f>
        <v>T8_Fixture_3L T8 4' 32W</v>
      </c>
      <c r="L610" s="247" t="s">
        <v>1568</v>
      </c>
      <c r="M610" s="247">
        <f>3*32</f>
        <v>96</v>
      </c>
      <c r="N610" s="247">
        <v>84</v>
      </c>
      <c r="O610">
        <v>608</v>
      </c>
      <c r="P610" t="s">
        <v>2139</v>
      </c>
    </row>
    <row r="611" spans="9:16">
      <c r="I611" s="26" t="s">
        <v>91</v>
      </c>
      <c r="J611" s="26" t="str">
        <f>"T8_"&amp;STDLIGHTINEFCAT2[[#This Row],[Ineff DropDown 2]]</f>
        <v>T8_Fixture</v>
      </c>
      <c r="K611" s="247" t="str">
        <f>STDLIGHTINEFCAT2[[#This Row],[Match]]&amp;"_"&amp;STDLIGHTINEFCAT2[[#This Row],[Options]]</f>
        <v>T8_Fixture_4L T8 4' 32W</v>
      </c>
      <c r="L611" s="247" t="s">
        <v>1569</v>
      </c>
      <c r="M611" s="247">
        <f>4*32</f>
        <v>128</v>
      </c>
      <c r="N611" s="247">
        <v>110</v>
      </c>
      <c r="O611">
        <v>609</v>
      </c>
      <c r="P611" t="s">
        <v>2139</v>
      </c>
    </row>
    <row r="612" spans="9:16">
      <c r="I612" s="26" t="s">
        <v>91</v>
      </c>
      <c r="J612" s="26" t="str">
        <f>"T8_"&amp;STDLIGHTINEFCAT2[[#This Row],[Ineff DropDown 2]]</f>
        <v>T8_Fixture</v>
      </c>
      <c r="K612" s="247" t="str">
        <f>STDLIGHTINEFCAT2[[#This Row],[Match]]&amp;"_"&amp;STDLIGHTINEFCAT2[[#This Row],[Options]]</f>
        <v>T8_Fixture_6L T8 4' 32W</v>
      </c>
      <c r="L612" s="247" t="s">
        <v>1570</v>
      </c>
      <c r="M612" s="247">
        <f>6*32</f>
        <v>192</v>
      </c>
      <c r="N612" s="247">
        <v>169</v>
      </c>
      <c r="O612">
        <v>610</v>
      </c>
    </row>
    <row r="613" spans="9:16">
      <c r="I613" s="26" t="s">
        <v>91</v>
      </c>
      <c r="J613" s="26" t="str">
        <f>"T8_"&amp;STDLIGHTINEFCAT2[[#This Row],[Ineff DropDown 2]]</f>
        <v>T8_Fixture</v>
      </c>
      <c r="K613" s="247" t="str">
        <f>STDLIGHTINEFCAT2[[#This Row],[Match]]&amp;"_"&amp;STDLIGHTINEFCAT2[[#This Row],[Options]]</f>
        <v>T8_Fixture_1L T8 4' 44W</v>
      </c>
      <c r="L613" s="247" t="s">
        <v>1571</v>
      </c>
      <c r="M613" s="247">
        <v>44</v>
      </c>
      <c r="N613" s="247">
        <v>51</v>
      </c>
      <c r="O613">
        <v>611</v>
      </c>
      <c r="P613" t="s">
        <v>2139</v>
      </c>
    </row>
    <row r="614" spans="9:16">
      <c r="I614" s="26" t="s">
        <v>91</v>
      </c>
      <c r="J614" s="26" t="str">
        <f>"T8_"&amp;STDLIGHTINEFCAT2[[#This Row],[Ineff DropDown 2]]</f>
        <v>T8_Fixture</v>
      </c>
      <c r="K614" s="247" t="str">
        <f>STDLIGHTINEFCAT2[[#This Row],[Match]]&amp;"_"&amp;STDLIGHTINEFCAT2[[#This Row],[Options]]</f>
        <v>T8_Fixture_2L T8 4' 44W</v>
      </c>
      <c r="L614" s="247" t="s">
        <v>1572</v>
      </c>
      <c r="M614" s="247">
        <v>88</v>
      </c>
      <c r="N614" s="247">
        <v>82</v>
      </c>
      <c r="O614">
        <v>612</v>
      </c>
      <c r="P614" t="s">
        <v>2139</v>
      </c>
    </row>
    <row r="615" spans="9:16">
      <c r="I615" s="26" t="s">
        <v>91</v>
      </c>
      <c r="J615" s="26" t="str">
        <f>"T8_"&amp;STDLIGHTINEFCAT2[[#This Row],[Ineff DropDown 2]]</f>
        <v>T8_Fixture</v>
      </c>
      <c r="K615" s="247" t="str">
        <f>STDLIGHTINEFCAT2[[#This Row],[Match]]&amp;"_"&amp;STDLIGHTINEFCAT2[[#This Row],[Options]]</f>
        <v>T8_Fixture_----5 ft Lamps----</v>
      </c>
      <c r="L615" s="244" t="s">
        <v>1543</v>
      </c>
      <c r="M615" s="251"/>
      <c r="N615" s="243"/>
      <c r="O615">
        <v>613</v>
      </c>
    </row>
    <row r="616" spans="9:16">
      <c r="I616" s="26" t="s">
        <v>91</v>
      </c>
      <c r="J616" s="26" t="str">
        <f>"T8_"&amp;STDLIGHTINEFCAT2[[#This Row],[Ineff DropDown 2]]</f>
        <v>T8_Fixture</v>
      </c>
      <c r="K616" s="247" t="str">
        <f>STDLIGHTINEFCAT2[[#This Row],[Match]]&amp;"_"&amp;STDLIGHTINEFCAT2[[#This Row],[Options]]</f>
        <v>T8_Fixture_1L T8 5' 40W</v>
      </c>
      <c r="L616" s="243" t="s">
        <v>1573</v>
      </c>
      <c r="M616" s="243">
        <v>40</v>
      </c>
      <c r="N616" s="243">
        <v>40</v>
      </c>
      <c r="O616">
        <v>614</v>
      </c>
      <c r="P616" t="s">
        <v>2139</v>
      </c>
    </row>
    <row r="617" spans="9:16">
      <c r="I617" s="26" t="s">
        <v>91</v>
      </c>
      <c r="J617" s="26" t="str">
        <f>"T8_"&amp;STDLIGHTINEFCAT2[[#This Row],[Ineff DropDown 2]]</f>
        <v>T8_Fixture</v>
      </c>
      <c r="K617" s="247" t="str">
        <f>STDLIGHTINEFCAT2[[#This Row],[Match]]&amp;"_"&amp;STDLIGHTINEFCAT2[[#This Row],[Options]]</f>
        <v>T8_Fixture_2L T8 5' 40W</v>
      </c>
      <c r="L617" s="243" t="s">
        <v>1574</v>
      </c>
      <c r="M617" s="243">
        <v>80</v>
      </c>
      <c r="N617" s="243">
        <v>75</v>
      </c>
      <c r="O617">
        <v>615</v>
      </c>
      <c r="P617" t="s">
        <v>2139</v>
      </c>
    </row>
    <row r="618" spans="9:16">
      <c r="I618" s="26" t="s">
        <v>91</v>
      </c>
      <c r="J618" s="26" t="str">
        <f>"T8_"&amp;STDLIGHTINEFCAT2[[#This Row],[Ineff DropDown 2]]</f>
        <v>T8_Fixture</v>
      </c>
      <c r="K618" s="247" t="str">
        <f>STDLIGHTINEFCAT2[[#This Row],[Match]]&amp;"_"&amp;STDLIGHTINEFCAT2[[#This Row],[Options]]</f>
        <v>T8_Fixture_3L T8 5' 40W</v>
      </c>
      <c r="L618" s="243" t="s">
        <v>1575</v>
      </c>
      <c r="M618" s="243">
        <f>3*40</f>
        <v>120</v>
      </c>
      <c r="N618" s="243">
        <v>110</v>
      </c>
      <c r="O618">
        <v>616</v>
      </c>
      <c r="P618" t="s">
        <v>2139</v>
      </c>
    </row>
    <row r="619" spans="9:16">
      <c r="I619" s="26" t="s">
        <v>91</v>
      </c>
      <c r="J619" s="26" t="str">
        <f>"T8_"&amp;STDLIGHTINEFCAT2[[#This Row],[Ineff DropDown 2]]</f>
        <v>T8_Fixture</v>
      </c>
      <c r="K619" s="247" t="str">
        <f>STDLIGHTINEFCAT2[[#This Row],[Match]]&amp;"_"&amp;STDLIGHTINEFCAT2[[#This Row],[Options]]</f>
        <v>T8_Fixture_4L T8 5' 40W</v>
      </c>
      <c r="L619" s="243" t="s">
        <v>1576</v>
      </c>
      <c r="M619" s="243">
        <f>4*40</f>
        <v>160</v>
      </c>
      <c r="N619" s="243">
        <v>134</v>
      </c>
      <c r="O619">
        <v>617</v>
      </c>
      <c r="P619" t="s">
        <v>2139</v>
      </c>
    </row>
    <row r="620" spans="9:16">
      <c r="I620" s="26" t="s">
        <v>91</v>
      </c>
      <c r="J620" s="26" t="str">
        <f>"T8_"&amp;STDLIGHTINEFCAT2[[#This Row],[Ineff DropDown 2]]</f>
        <v>T8_Fixture</v>
      </c>
      <c r="K620" s="247" t="str">
        <f>STDLIGHTINEFCAT2[[#This Row],[Match]]&amp;"_"&amp;STDLIGHTINEFCAT2[[#This Row],[Options]]</f>
        <v>T8_Fixture_1L T8 5' 55W</v>
      </c>
      <c r="L620" s="243" t="s">
        <v>1577</v>
      </c>
      <c r="M620" s="243">
        <v>55</v>
      </c>
      <c r="N620" s="243">
        <v>70</v>
      </c>
      <c r="O620">
        <v>618</v>
      </c>
    </row>
    <row r="621" spans="9:16">
      <c r="I621" s="26" t="s">
        <v>91</v>
      </c>
      <c r="J621" s="26" t="str">
        <f>"T8_"&amp;STDLIGHTINEFCAT2[[#This Row],[Ineff DropDown 2]]</f>
        <v>T8_Fixture</v>
      </c>
      <c r="K621" s="247" t="str">
        <f>STDLIGHTINEFCAT2[[#This Row],[Match]]&amp;"_"&amp;STDLIGHTINEFCAT2[[#This Row],[Options]]</f>
        <v>T8_Fixture_2L T8 5' 55W</v>
      </c>
      <c r="L621" s="243" t="s">
        <v>1578</v>
      </c>
      <c r="M621" s="243">
        <f>55*2</f>
        <v>110</v>
      </c>
      <c r="N621" s="243">
        <v>126</v>
      </c>
      <c r="O621">
        <v>619</v>
      </c>
    </row>
    <row r="622" spans="9:16">
      <c r="I622" s="26" t="s">
        <v>91</v>
      </c>
      <c r="J622" s="26" t="str">
        <f>"T8_"&amp;STDLIGHTINEFCAT2[[#This Row],[Ineff DropDown 2]]</f>
        <v>T8_Fixture</v>
      </c>
      <c r="K622" s="247" t="str">
        <f>STDLIGHTINEFCAT2[[#This Row],[Match]]&amp;"_"&amp;STDLIGHTINEFCAT2[[#This Row],[Options]]</f>
        <v>T8_Fixture_----6 ft Lamps----</v>
      </c>
      <c r="L622" s="244" t="s">
        <v>1544</v>
      </c>
      <c r="M622" s="244"/>
      <c r="N622" s="243"/>
      <c r="O622">
        <v>620</v>
      </c>
    </row>
    <row r="623" spans="9:16">
      <c r="I623" s="26" t="s">
        <v>91</v>
      </c>
      <c r="J623" s="26" t="str">
        <f>"T8_"&amp;STDLIGHTINEFCAT2[[#This Row],[Ineff DropDown 2]]</f>
        <v>T8_Fixture</v>
      </c>
      <c r="K623" s="247" t="str">
        <f>STDLIGHTINEFCAT2[[#This Row],[Match]]&amp;"_"&amp;STDLIGHTINEFCAT2[[#This Row],[Options]]</f>
        <v>T8_Fixture_1L T8 6' 46W</v>
      </c>
      <c r="L623" s="243" t="s">
        <v>1579</v>
      </c>
      <c r="M623" s="243">
        <v>46</v>
      </c>
      <c r="N623" s="243">
        <v>52</v>
      </c>
      <c r="O623">
        <v>621</v>
      </c>
    </row>
    <row r="624" spans="9:16">
      <c r="I624" s="26" t="s">
        <v>91</v>
      </c>
      <c r="J624" s="26" t="str">
        <f>"T8_"&amp;STDLIGHTINEFCAT2[[#This Row],[Ineff DropDown 2]]</f>
        <v>T8_Fixture</v>
      </c>
      <c r="K624" s="247" t="str">
        <f>STDLIGHTINEFCAT2[[#This Row],[Match]]&amp;"_"&amp;STDLIGHTINEFCAT2[[#This Row],[Options]]</f>
        <v>T8_Fixture_2L T8 6' 46W</v>
      </c>
      <c r="L624" s="243" t="s">
        <v>1580</v>
      </c>
      <c r="M624" s="243">
        <f>2*46</f>
        <v>92</v>
      </c>
      <c r="N624" s="243">
        <v>97</v>
      </c>
      <c r="O624">
        <v>622</v>
      </c>
    </row>
    <row r="625" spans="9:16">
      <c r="I625" s="26" t="s">
        <v>91</v>
      </c>
      <c r="J625" s="26" t="str">
        <f>"T8_"&amp;STDLIGHTINEFCAT2[[#This Row],[Ineff DropDown 2]]</f>
        <v>T8_Fixture</v>
      </c>
      <c r="K625" s="247" t="str">
        <f>STDLIGHTINEFCAT2[[#This Row],[Match]]&amp;"_"&amp;STDLIGHTINEFCAT2[[#This Row],[Options]]</f>
        <v>T8_Fixture_1L T8 8' 59W</v>
      </c>
      <c r="L625" s="247" t="s">
        <v>1581</v>
      </c>
      <c r="M625" s="243">
        <v>59</v>
      </c>
      <c r="N625" s="247">
        <v>62</v>
      </c>
      <c r="O625">
        <v>623</v>
      </c>
      <c r="P625" t="s">
        <v>2139</v>
      </c>
    </row>
    <row r="626" spans="9:16">
      <c r="I626" s="26" t="s">
        <v>91</v>
      </c>
      <c r="J626" s="26" t="str">
        <f>"T8_"&amp;STDLIGHTINEFCAT2[[#This Row],[Ineff DropDown 2]]</f>
        <v>T8_Fixture</v>
      </c>
      <c r="K626" s="247" t="str">
        <f>STDLIGHTINEFCAT2[[#This Row],[Match]]&amp;"_"&amp;STDLIGHTINEFCAT2[[#This Row],[Options]]</f>
        <v>T8_Fixture_2L T8 8' 59W</v>
      </c>
      <c r="L626" s="247" t="s">
        <v>1582</v>
      </c>
      <c r="M626" s="243">
        <f>2*59</f>
        <v>118</v>
      </c>
      <c r="N626" s="247">
        <v>109</v>
      </c>
      <c r="O626">
        <v>624</v>
      </c>
      <c r="P626" t="s">
        <v>2139</v>
      </c>
    </row>
    <row r="627" spans="9:16">
      <c r="I627" s="26" t="s">
        <v>91</v>
      </c>
      <c r="J627" s="26" t="str">
        <f>"T8_"&amp;STDLIGHTINEFCAT2[[#This Row],[Ineff DropDown 2]]</f>
        <v>T8_Fixture</v>
      </c>
      <c r="K627" s="247" t="str">
        <f>STDLIGHTINEFCAT2[[#This Row],[Match]]&amp;"_"&amp;STDLIGHTINEFCAT2[[#This Row],[Options]]</f>
        <v>T8_Fixture_1L T8 6' 66W</v>
      </c>
      <c r="L627" s="247" t="s">
        <v>1583</v>
      </c>
      <c r="M627" s="247">
        <f>1*66</f>
        <v>66</v>
      </c>
      <c r="N627" s="247">
        <v>71</v>
      </c>
      <c r="O627">
        <v>625</v>
      </c>
      <c r="P627" t="s">
        <v>2139</v>
      </c>
    </row>
    <row r="628" spans="9:16">
      <c r="I628" s="26" t="s">
        <v>91</v>
      </c>
      <c r="J628" s="26" t="str">
        <f>"T8_"&amp;STDLIGHTINEFCAT2[[#This Row],[Ineff DropDown 2]]</f>
        <v>T8_Fixture</v>
      </c>
      <c r="K628" s="247" t="str">
        <f>STDLIGHTINEFCAT2[[#This Row],[Match]]&amp;"_"&amp;STDLIGHTINEFCAT2[[#This Row],[Options]]</f>
        <v>T8_Fixture_2L T8 6' 66W</v>
      </c>
      <c r="L628" s="247" t="s">
        <v>1584</v>
      </c>
      <c r="M628" s="247">
        <f>2*66</f>
        <v>132</v>
      </c>
      <c r="N628" s="247">
        <v>118</v>
      </c>
      <c r="O628">
        <v>626</v>
      </c>
      <c r="P628" t="s">
        <v>2139</v>
      </c>
    </row>
    <row r="629" spans="9:16">
      <c r="I629" s="26" t="s">
        <v>91</v>
      </c>
      <c r="J629" s="26" t="str">
        <f>"T8_"&amp;STDLIGHTINEFCAT2[[#This Row],[Ineff DropDown 2]]</f>
        <v>T8_Fixture</v>
      </c>
      <c r="K629" s="247" t="str">
        <f>STDLIGHTINEFCAT2[[#This Row],[Match]]&amp;"_"&amp;STDLIGHTINEFCAT2[[#This Row],[Options]]</f>
        <v>T8_Fixture_----8 ft Lamps----</v>
      </c>
      <c r="L629" s="251" t="s">
        <v>1546</v>
      </c>
      <c r="M629" s="251"/>
      <c r="N629" s="247"/>
      <c r="O629">
        <v>627</v>
      </c>
    </row>
    <row r="630" spans="9:16">
      <c r="I630" s="26" t="s">
        <v>91</v>
      </c>
      <c r="J630" s="26" t="str">
        <f>"T8_"&amp;STDLIGHTINEFCAT2[[#This Row],[Ineff DropDown 2]]</f>
        <v>T8_Fixture</v>
      </c>
      <c r="K630" s="317" t="str">
        <f>STDLIGHTINEFCAT2[[#This Row],[Match]]&amp;"_"&amp;STDLIGHTINEFCAT2[[#This Row],[Options]]</f>
        <v>T8_Fixture_1L T8 8' 59W</v>
      </c>
      <c r="L630" s="318" t="s">
        <v>1581</v>
      </c>
      <c r="M630" s="251">
        <v>59</v>
      </c>
      <c r="N630" s="317">
        <v>62</v>
      </c>
      <c r="O630">
        <v>628</v>
      </c>
      <c r="P630" t="s">
        <v>2139</v>
      </c>
    </row>
    <row r="631" spans="9:16">
      <c r="I631" s="26" t="s">
        <v>91</v>
      </c>
      <c r="J631" s="26" t="str">
        <f>"T8_"&amp;STDLIGHTINEFCAT2[[#This Row],[Ineff DropDown 2]]</f>
        <v>T8_Fixture</v>
      </c>
      <c r="K631" s="317" t="str">
        <f>STDLIGHTINEFCAT2[[#This Row],[Match]]&amp;"_"&amp;STDLIGHTINEFCAT2[[#This Row],[Options]]</f>
        <v>T8_Fixture_2L T8 8' 59W</v>
      </c>
      <c r="L631" s="318" t="s">
        <v>1582</v>
      </c>
      <c r="M631" s="251">
        <v>118</v>
      </c>
      <c r="N631" s="317">
        <v>109</v>
      </c>
      <c r="O631">
        <v>629</v>
      </c>
      <c r="P631" t="s">
        <v>2139</v>
      </c>
    </row>
    <row r="632" spans="9:16">
      <c r="I632" s="26" t="s">
        <v>91</v>
      </c>
      <c r="J632" s="26" t="str">
        <f>"T8_"&amp;STDLIGHTINEFCAT2[[#This Row],[Ineff DropDown 2]]</f>
        <v>T8_Fixture</v>
      </c>
      <c r="K632" s="247" t="str">
        <f>STDLIGHTINEFCAT2[[#This Row],[Match]]&amp;"_"&amp;STDLIGHTINEFCAT2[[#This Row],[Options]]</f>
        <v>T8_Fixture_1L T8 8' 86W</v>
      </c>
      <c r="L632" s="247" t="s">
        <v>1585</v>
      </c>
      <c r="M632" s="247">
        <v>86</v>
      </c>
      <c r="N632" s="247">
        <v>90</v>
      </c>
      <c r="O632">
        <v>630</v>
      </c>
      <c r="P632" t="s">
        <v>2139</v>
      </c>
    </row>
    <row r="633" spans="9:16">
      <c r="I633" s="26" t="s">
        <v>91</v>
      </c>
      <c r="J633" s="26" t="str">
        <f>"T8_"&amp;STDLIGHTINEFCAT2[[#This Row],[Ineff DropDown 2]]</f>
        <v>T8_Fixture</v>
      </c>
      <c r="K633" s="247" t="str">
        <f>STDLIGHTINEFCAT2[[#This Row],[Match]]&amp;"_"&amp;STDLIGHTINEFCAT2[[#This Row],[Options]]</f>
        <v>T8_Fixture_2L T8 8' 86W</v>
      </c>
      <c r="L633" s="247" t="s">
        <v>1586</v>
      </c>
      <c r="M633" s="247">
        <f>2*86</f>
        <v>172</v>
      </c>
      <c r="N633" s="247">
        <v>160</v>
      </c>
      <c r="O633">
        <v>631</v>
      </c>
      <c r="P633" t="s">
        <v>2139</v>
      </c>
    </row>
    <row r="634" spans="9:16">
      <c r="I634" t="s">
        <v>1915</v>
      </c>
      <c r="J634" s="26" t="str">
        <f>"T8_"&amp;STDLIGHTINEFCAT2[[#This Row],[Ineff DropDown 2]]</f>
        <v>T8_PG &lt;=130</v>
      </c>
      <c r="K634" s="247" t="str">
        <f>STDLIGHTINEFCAT2[[#This Row],[Match]]&amp;"_"&amp;STDLIGHTINEFCAT2[[#This Row],[Options]]</f>
        <v>T8_PG &lt;=130_----2 ft Lamps----</v>
      </c>
      <c r="L634" s="251" t="s">
        <v>1540</v>
      </c>
      <c r="M634" s="251"/>
      <c r="N634" s="247"/>
      <c r="O634">
        <v>632</v>
      </c>
    </row>
    <row r="635" spans="9:16">
      <c r="I635" t="s">
        <v>1915</v>
      </c>
      <c r="J635" s="26" t="str">
        <f>"T8_"&amp;STDLIGHTINEFCAT2[[#This Row],[Ineff DropDown 2]]</f>
        <v>T8_PG &lt;=130</v>
      </c>
      <c r="K635" s="247" t="str">
        <f>STDLIGHTINEFCAT2[[#This Row],[Match]]&amp;"_"&amp;STDLIGHTINEFCAT2[[#This Row],[Options]]</f>
        <v>T8_PG &lt;=130_1L T8 2' 17W</v>
      </c>
      <c r="L635" s="247" t="s">
        <v>1550</v>
      </c>
      <c r="M635" s="247">
        <v>17</v>
      </c>
      <c r="N635" s="247">
        <v>24</v>
      </c>
      <c r="O635">
        <v>633</v>
      </c>
      <c r="P635" t="s">
        <v>2139</v>
      </c>
    </row>
    <row r="636" spans="9:16">
      <c r="I636" t="s">
        <v>1915</v>
      </c>
      <c r="J636" s="26" t="str">
        <f>"T8_"&amp;STDLIGHTINEFCAT2[[#This Row],[Ineff DropDown 2]]</f>
        <v>T8_PG &lt;=130</v>
      </c>
      <c r="K636" s="247" t="str">
        <f>STDLIGHTINEFCAT2[[#This Row],[Match]]&amp;"_"&amp;STDLIGHTINEFCAT2[[#This Row],[Options]]</f>
        <v>T8_PG &lt;=130_2L T8 2' 17W</v>
      </c>
      <c r="L636" s="247" t="s">
        <v>1551</v>
      </c>
      <c r="M636" s="247">
        <f>17*2</f>
        <v>34</v>
      </c>
      <c r="N636" s="247">
        <v>45</v>
      </c>
      <c r="O636">
        <v>634</v>
      </c>
      <c r="P636" t="s">
        <v>2139</v>
      </c>
    </row>
    <row r="637" spans="9:16">
      <c r="I637" t="s">
        <v>1915</v>
      </c>
      <c r="J637" s="26" t="str">
        <f>"T8_"&amp;STDLIGHTINEFCAT2[[#This Row],[Ineff DropDown 2]]</f>
        <v>T8_PG &lt;=130</v>
      </c>
      <c r="K637" s="247" t="str">
        <f>STDLIGHTINEFCAT2[[#This Row],[Match]]&amp;"_"&amp;STDLIGHTINEFCAT2[[#This Row],[Options]]</f>
        <v>T8_PG &lt;=130_3L T8 2' 17W</v>
      </c>
      <c r="L637" s="247" t="s">
        <v>1552</v>
      </c>
      <c r="M637" s="247">
        <f>3*17</f>
        <v>51</v>
      </c>
      <c r="N637" s="247">
        <v>65</v>
      </c>
      <c r="O637">
        <v>635</v>
      </c>
      <c r="P637" t="s">
        <v>2139</v>
      </c>
    </row>
    <row r="638" spans="9:16">
      <c r="I638" t="s">
        <v>1915</v>
      </c>
      <c r="J638" s="26" t="str">
        <f>"T8_"&amp;STDLIGHTINEFCAT2[[#This Row],[Ineff DropDown 2]]</f>
        <v>T8_PG &lt;=130</v>
      </c>
      <c r="K638" s="247" t="str">
        <f>STDLIGHTINEFCAT2[[#This Row],[Match]]&amp;"_"&amp;STDLIGHTINEFCAT2[[#This Row],[Options]]</f>
        <v>T8_PG &lt;=130_4L T8 2' 17W</v>
      </c>
      <c r="L638" s="247" t="s">
        <v>1553</v>
      </c>
      <c r="M638" s="247">
        <f>4*17</f>
        <v>68</v>
      </c>
      <c r="N638" s="247">
        <v>87</v>
      </c>
      <c r="O638">
        <v>636</v>
      </c>
      <c r="P638" t="s">
        <v>2139</v>
      </c>
    </row>
    <row r="639" spans="9:16">
      <c r="I639" t="s">
        <v>1915</v>
      </c>
      <c r="J639" s="26" t="str">
        <f>"T8_"&amp;STDLIGHTINEFCAT2[[#This Row],[Ineff DropDown 2]]</f>
        <v>T8_PG &lt;=130</v>
      </c>
      <c r="K639" s="250" t="str">
        <f>STDLIGHTINEFCAT2[[#This Row],[Match]]&amp;"_"&amp;STDLIGHTINEFCAT2[[#This Row],[Options]]</f>
        <v>T8_PG &lt;=130_----3 ft Lamps----</v>
      </c>
      <c r="L639" s="304" t="s">
        <v>1541</v>
      </c>
      <c r="M639" s="251"/>
      <c r="N639" s="250"/>
      <c r="O639">
        <v>637</v>
      </c>
    </row>
    <row r="640" spans="9:16">
      <c r="I640" t="s">
        <v>1915</v>
      </c>
      <c r="J640" s="26" t="str">
        <f>"T8_"&amp;STDLIGHTINEFCAT2[[#This Row],[Ineff DropDown 2]]</f>
        <v>T8_PG &lt;=130</v>
      </c>
      <c r="K640" s="247" t="str">
        <f>STDLIGHTINEFCAT2[[#This Row],[Match]]&amp;"_"&amp;STDLIGHTINEFCAT2[[#This Row],[Options]]</f>
        <v>T8_PG &lt;=130_1L T8 3' 25W</v>
      </c>
      <c r="L640" s="247" t="s">
        <v>1554</v>
      </c>
      <c r="M640" s="247">
        <v>25</v>
      </c>
      <c r="N640" s="247">
        <v>24</v>
      </c>
      <c r="O640">
        <v>638</v>
      </c>
      <c r="P640" t="s">
        <v>2139</v>
      </c>
    </row>
    <row r="641" spans="9:16">
      <c r="I641" t="s">
        <v>1915</v>
      </c>
      <c r="J641" s="26" t="str">
        <f>"T8_"&amp;STDLIGHTINEFCAT2[[#This Row],[Ineff DropDown 2]]</f>
        <v>T8_PG &lt;=130</v>
      </c>
      <c r="K641" s="247" t="str">
        <f>STDLIGHTINEFCAT2[[#This Row],[Match]]&amp;"_"&amp;STDLIGHTINEFCAT2[[#This Row],[Options]]</f>
        <v>T8_PG &lt;=130_2L T8 3' 25W</v>
      </c>
      <c r="L641" s="247" t="s">
        <v>1555</v>
      </c>
      <c r="M641" s="247">
        <v>50</v>
      </c>
      <c r="N641" s="247">
        <v>45</v>
      </c>
      <c r="O641">
        <v>639</v>
      </c>
      <c r="P641" t="s">
        <v>2139</v>
      </c>
    </row>
    <row r="642" spans="9:16">
      <c r="I642" t="s">
        <v>1915</v>
      </c>
      <c r="J642" s="26" t="str">
        <f>"T8_"&amp;STDLIGHTINEFCAT2[[#This Row],[Ineff DropDown 2]]</f>
        <v>T8_PG &lt;=130</v>
      </c>
      <c r="K642" s="247" t="str">
        <f>STDLIGHTINEFCAT2[[#This Row],[Match]]&amp;"_"&amp;STDLIGHTINEFCAT2[[#This Row],[Options]]</f>
        <v>T8_PG &lt;=130_3L T8 3' 25W</v>
      </c>
      <c r="L642" s="247" t="s">
        <v>1556</v>
      </c>
      <c r="M642" s="247">
        <v>75</v>
      </c>
      <c r="N642" s="247">
        <v>65</v>
      </c>
      <c r="O642">
        <v>640</v>
      </c>
      <c r="P642" t="s">
        <v>2139</v>
      </c>
    </row>
    <row r="643" spans="9:16">
      <c r="I643" t="s">
        <v>1915</v>
      </c>
      <c r="J643" s="26" t="str">
        <f>"T8_"&amp;STDLIGHTINEFCAT2[[#This Row],[Ineff DropDown 2]]</f>
        <v>T8_PG &lt;=130</v>
      </c>
      <c r="K643" s="247" t="str">
        <f>STDLIGHTINEFCAT2[[#This Row],[Match]]&amp;"_"&amp;STDLIGHTINEFCAT2[[#This Row],[Options]]</f>
        <v>T8_PG &lt;=130_4L T8 3' 25W</v>
      </c>
      <c r="L643" s="247" t="s">
        <v>1557</v>
      </c>
      <c r="M643" s="247">
        <v>100</v>
      </c>
      <c r="N643" s="247">
        <v>87</v>
      </c>
      <c r="O643">
        <v>641</v>
      </c>
      <c r="P643" t="s">
        <v>2139</v>
      </c>
    </row>
    <row r="644" spans="9:16">
      <c r="I644" t="s">
        <v>1915</v>
      </c>
      <c r="J644" s="26" t="str">
        <f>"T8_"&amp;STDLIGHTINEFCAT2[[#This Row],[Ineff DropDown 2]]</f>
        <v>T8_PG &lt;=130</v>
      </c>
      <c r="K644" s="247" t="str">
        <f>STDLIGHTINEFCAT2[[#This Row],[Match]]&amp;"_"&amp;STDLIGHTINEFCAT2[[#This Row],[Options]]</f>
        <v>T8_PG &lt;=130_----4 ft Lamps----</v>
      </c>
      <c r="L644" s="251" t="s">
        <v>1542</v>
      </c>
      <c r="M644" s="251"/>
      <c r="N644" s="247"/>
      <c r="O644">
        <v>642</v>
      </c>
    </row>
    <row r="645" spans="9:16">
      <c r="I645" t="s">
        <v>1915</v>
      </c>
      <c r="J645" s="26" t="str">
        <f>"T8_"&amp;STDLIGHTINEFCAT2[[#This Row],[Ineff DropDown 2]]</f>
        <v>T8_PG &lt;=130</v>
      </c>
      <c r="K645" s="247" t="str">
        <f>STDLIGHTINEFCAT2[[#This Row],[Match]]&amp;"_"&amp;STDLIGHTINEFCAT2[[#This Row],[Options]]</f>
        <v>T8_PG &lt;=130_1L T8 4' 25W</v>
      </c>
      <c r="L645" s="247" t="s">
        <v>1558</v>
      </c>
      <c r="M645" s="247">
        <v>25</v>
      </c>
      <c r="N645" s="247">
        <v>23</v>
      </c>
      <c r="O645">
        <v>643</v>
      </c>
      <c r="P645" t="s">
        <v>2139</v>
      </c>
    </row>
    <row r="646" spans="9:16">
      <c r="I646" t="s">
        <v>1915</v>
      </c>
      <c r="J646" s="26" t="str">
        <f>"T8_"&amp;STDLIGHTINEFCAT2[[#This Row],[Ineff DropDown 2]]</f>
        <v>T8_PG &lt;=130</v>
      </c>
      <c r="K646" s="247" t="str">
        <f>STDLIGHTINEFCAT2[[#This Row],[Match]]&amp;"_"&amp;STDLIGHTINEFCAT2[[#This Row],[Options]]</f>
        <v>T8_PG &lt;=130_2L T8 4' 25W</v>
      </c>
      <c r="L646" s="247" t="s">
        <v>1559</v>
      </c>
      <c r="M646" s="247">
        <v>50</v>
      </c>
      <c r="N646" s="247">
        <v>44</v>
      </c>
      <c r="O646">
        <v>644</v>
      </c>
      <c r="P646" t="s">
        <v>2139</v>
      </c>
    </row>
    <row r="647" spans="9:16">
      <c r="I647" t="s">
        <v>1915</v>
      </c>
      <c r="J647" s="26" t="str">
        <f>"T8_"&amp;STDLIGHTINEFCAT2[[#This Row],[Ineff DropDown 2]]</f>
        <v>T8_PG &lt;=130</v>
      </c>
      <c r="K647" s="247" t="str">
        <f>STDLIGHTINEFCAT2[[#This Row],[Match]]&amp;"_"&amp;STDLIGHTINEFCAT2[[#This Row],[Options]]</f>
        <v>T8_PG &lt;=130_3L T8 4' 25W</v>
      </c>
      <c r="L647" s="247" t="s">
        <v>1560</v>
      </c>
      <c r="M647" s="247">
        <v>75</v>
      </c>
      <c r="N647" s="247">
        <v>66</v>
      </c>
      <c r="O647">
        <v>645</v>
      </c>
      <c r="P647" t="s">
        <v>2139</v>
      </c>
    </row>
    <row r="648" spans="9:16">
      <c r="I648" t="s">
        <v>1915</v>
      </c>
      <c r="J648" s="26" t="str">
        <f>"T8_"&amp;STDLIGHTINEFCAT2[[#This Row],[Ineff DropDown 2]]</f>
        <v>T8_PG &lt;=130</v>
      </c>
      <c r="K648" s="247" t="str">
        <f>STDLIGHTINEFCAT2[[#This Row],[Match]]&amp;"_"&amp;STDLIGHTINEFCAT2[[#This Row],[Options]]</f>
        <v>T8_PG &lt;=130_4L T8 4' 25W</v>
      </c>
      <c r="L648" s="247" t="s">
        <v>1561</v>
      </c>
      <c r="M648" s="247">
        <v>100</v>
      </c>
      <c r="N648" s="247">
        <v>88</v>
      </c>
      <c r="O648">
        <v>646</v>
      </c>
      <c r="P648" t="s">
        <v>2139</v>
      </c>
    </row>
    <row r="649" spans="9:16">
      <c r="I649" t="s">
        <v>1915</v>
      </c>
      <c r="J649" s="26" t="str">
        <f>"T8_"&amp;STDLIGHTINEFCAT2[[#This Row],[Ineff DropDown 2]]</f>
        <v>T8_PG &lt;=130</v>
      </c>
      <c r="K649" s="247" t="str">
        <f>STDLIGHTINEFCAT2[[#This Row],[Match]]&amp;"_"&amp;STDLIGHTINEFCAT2[[#This Row],[Options]]</f>
        <v>T8_PG &lt;=130_1L T8 4' 28W</v>
      </c>
      <c r="L649" s="247" t="s">
        <v>1562</v>
      </c>
      <c r="M649" s="247">
        <v>28</v>
      </c>
      <c r="N649" s="247">
        <v>25</v>
      </c>
      <c r="O649">
        <v>647</v>
      </c>
      <c r="P649" t="s">
        <v>2139</v>
      </c>
    </row>
    <row r="650" spans="9:16">
      <c r="I650" t="s">
        <v>1915</v>
      </c>
      <c r="J650" s="26" t="str">
        <f>"T8_"&amp;STDLIGHTINEFCAT2[[#This Row],[Ineff DropDown 2]]</f>
        <v>T8_PG &lt;=130</v>
      </c>
      <c r="K650" s="247" t="str">
        <f>STDLIGHTINEFCAT2[[#This Row],[Match]]&amp;"_"&amp;STDLIGHTINEFCAT2[[#This Row],[Options]]</f>
        <v>T8_PG &lt;=130_2L T8 4' 28W</v>
      </c>
      <c r="L650" s="247" t="s">
        <v>1563</v>
      </c>
      <c r="M650" s="247">
        <f>2*28</f>
        <v>56</v>
      </c>
      <c r="N650" s="247">
        <v>49</v>
      </c>
      <c r="O650">
        <v>648</v>
      </c>
      <c r="P650" t="s">
        <v>2139</v>
      </c>
    </row>
    <row r="651" spans="9:16">
      <c r="I651" t="s">
        <v>1915</v>
      </c>
      <c r="J651" s="26" t="str">
        <f>"T8_"&amp;STDLIGHTINEFCAT2[[#This Row],[Ineff DropDown 2]]</f>
        <v>T8_PG &lt;=130</v>
      </c>
      <c r="K651" s="247" t="str">
        <f>STDLIGHTINEFCAT2[[#This Row],[Match]]&amp;"_"&amp;STDLIGHTINEFCAT2[[#This Row],[Options]]</f>
        <v>T8_PG &lt;=130_3L T8 4' 28W</v>
      </c>
      <c r="L651" s="247" t="s">
        <v>1564</v>
      </c>
      <c r="M651" s="247">
        <f>3*28</f>
        <v>84</v>
      </c>
      <c r="N651" s="247">
        <v>73</v>
      </c>
      <c r="O651">
        <v>649</v>
      </c>
      <c r="P651" t="s">
        <v>2139</v>
      </c>
    </row>
    <row r="652" spans="9:16">
      <c r="I652" t="s">
        <v>1915</v>
      </c>
      <c r="J652" s="26" t="str">
        <f>"T8_"&amp;STDLIGHTINEFCAT2[[#This Row],[Ineff DropDown 2]]</f>
        <v>T8_PG &lt;=130</v>
      </c>
      <c r="K652" s="247" t="str">
        <f>STDLIGHTINEFCAT2[[#This Row],[Match]]&amp;"_"&amp;STDLIGHTINEFCAT2[[#This Row],[Options]]</f>
        <v>T8_PG &lt;=130_4L T8 4' 28W</v>
      </c>
      <c r="L652" s="247" t="s">
        <v>1565</v>
      </c>
      <c r="M652" s="247">
        <f>4*28</f>
        <v>112</v>
      </c>
      <c r="N652" s="247">
        <v>96</v>
      </c>
      <c r="O652">
        <v>650</v>
      </c>
      <c r="P652" t="s">
        <v>2139</v>
      </c>
    </row>
    <row r="653" spans="9:16">
      <c r="I653" t="s">
        <v>1915</v>
      </c>
      <c r="J653" s="26" t="str">
        <f>"T8_"&amp;STDLIGHTINEFCAT2[[#This Row],[Ineff DropDown 2]]</f>
        <v>T8_PG &lt;=130</v>
      </c>
      <c r="K653" s="247" t="str">
        <f>STDLIGHTINEFCAT2[[#This Row],[Match]]&amp;"_"&amp;STDLIGHTINEFCAT2[[#This Row],[Options]]</f>
        <v>T8_PG &lt;=130_1L T8 4' 32W</v>
      </c>
      <c r="L653" s="247" t="s">
        <v>1566</v>
      </c>
      <c r="M653" s="247">
        <v>32</v>
      </c>
      <c r="N653" s="247">
        <v>29</v>
      </c>
      <c r="O653">
        <v>651</v>
      </c>
      <c r="P653" t="s">
        <v>2139</v>
      </c>
    </row>
    <row r="654" spans="9:16">
      <c r="I654" t="s">
        <v>1915</v>
      </c>
      <c r="J654" s="26" t="str">
        <f>"T8_"&amp;STDLIGHTINEFCAT2[[#This Row],[Ineff DropDown 2]]</f>
        <v>T8_PG &lt;=130</v>
      </c>
      <c r="K654" s="247" t="str">
        <f>STDLIGHTINEFCAT2[[#This Row],[Match]]&amp;"_"&amp;STDLIGHTINEFCAT2[[#This Row],[Options]]</f>
        <v>T8_PG &lt;=130_2L T8 4' 32W</v>
      </c>
      <c r="L654" s="247" t="s">
        <v>1567</v>
      </c>
      <c r="M654" s="247">
        <f>2*32</f>
        <v>64</v>
      </c>
      <c r="N654" s="247">
        <v>56</v>
      </c>
      <c r="O654">
        <v>652</v>
      </c>
      <c r="P654" t="s">
        <v>2139</v>
      </c>
    </row>
    <row r="655" spans="9:16">
      <c r="I655" t="s">
        <v>1915</v>
      </c>
      <c r="J655" s="26" t="str">
        <f>"T8_"&amp;STDLIGHTINEFCAT2[[#This Row],[Ineff DropDown 2]]</f>
        <v>T8_PG &lt;=130</v>
      </c>
      <c r="K655" s="247" t="str">
        <f>STDLIGHTINEFCAT2[[#This Row],[Match]]&amp;"_"&amp;STDLIGHTINEFCAT2[[#This Row],[Options]]</f>
        <v>T8_PG &lt;=130_3L T8 4' 32W</v>
      </c>
      <c r="L655" s="247" t="s">
        <v>1568</v>
      </c>
      <c r="M655" s="247">
        <f>3*32</f>
        <v>96</v>
      </c>
      <c r="N655" s="247">
        <v>84</v>
      </c>
      <c r="O655">
        <v>653</v>
      </c>
      <c r="P655" t="s">
        <v>2139</v>
      </c>
    </row>
    <row r="656" spans="9:16">
      <c r="I656" t="s">
        <v>1915</v>
      </c>
      <c r="J656" s="26" t="str">
        <f>"T8_"&amp;STDLIGHTINEFCAT2[[#This Row],[Ineff DropDown 2]]</f>
        <v>T8_PG &lt;=130</v>
      </c>
      <c r="K656" s="247" t="str">
        <f>STDLIGHTINEFCAT2[[#This Row],[Match]]&amp;"_"&amp;STDLIGHTINEFCAT2[[#This Row],[Options]]</f>
        <v>T8_PG &lt;=130_4L T8 4' 32W</v>
      </c>
      <c r="L656" s="247" t="s">
        <v>1569</v>
      </c>
      <c r="M656" s="247">
        <f>4*32</f>
        <v>128</v>
      </c>
      <c r="N656" s="247">
        <v>110</v>
      </c>
      <c r="O656">
        <v>654</v>
      </c>
      <c r="P656" t="s">
        <v>2139</v>
      </c>
    </row>
    <row r="657" spans="9:16">
      <c r="I657" t="s">
        <v>1915</v>
      </c>
      <c r="J657" s="26" t="str">
        <f>"T8_"&amp;STDLIGHTINEFCAT2[[#This Row],[Ineff DropDown 2]]</f>
        <v>T8_PG &lt;=130</v>
      </c>
      <c r="K657" s="247" t="str">
        <f>STDLIGHTINEFCAT2[[#This Row],[Match]]&amp;"_"&amp;STDLIGHTINEFCAT2[[#This Row],[Options]]</f>
        <v>T8_PG &lt;=130_1L T8 4' 44W</v>
      </c>
      <c r="L657" s="247" t="s">
        <v>1571</v>
      </c>
      <c r="M657" s="247">
        <v>44</v>
      </c>
      <c r="N657" s="247">
        <v>51</v>
      </c>
      <c r="O657">
        <v>655</v>
      </c>
      <c r="P657" t="s">
        <v>2139</v>
      </c>
    </row>
    <row r="658" spans="9:16">
      <c r="I658" t="s">
        <v>1915</v>
      </c>
      <c r="J658" s="26" t="str">
        <f>"T8_"&amp;STDLIGHTINEFCAT2[[#This Row],[Ineff DropDown 2]]</f>
        <v>T8_PG &lt;=130</v>
      </c>
      <c r="K658" s="247" t="str">
        <f>STDLIGHTINEFCAT2[[#This Row],[Match]]&amp;"_"&amp;STDLIGHTINEFCAT2[[#This Row],[Options]]</f>
        <v>T8_PG &lt;=130_2L T8 4' 44W</v>
      </c>
      <c r="L658" s="247" t="s">
        <v>1572</v>
      </c>
      <c r="M658" s="247">
        <v>88</v>
      </c>
      <c r="N658" s="247">
        <v>82</v>
      </c>
      <c r="O658">
        <v>656</v>
      </c>
      <c r="P658" t="s">
        <v>2139</v>
      </c>
    </row>
    <row r="659" spans="9:16">
      <c r="I659" t="s">
        <v>1915</v>
      </c>
      <c r="J659" s="26" t="str">
        <f>"T8_"&amp;STDLIGHTINEFCAT2[[#This Row],[Ineff DropDown 2]]</f>
        <v>T8_PG &lt;=130</v>
      </c>
      <c r="K659" s="247" t="str">
        <f>STDLIGHTINEFCAT2[[#This Row],[Match]]&amp;"_"&amp;STDLIGHTINEFCAT2[[#This Row],[Options]]</f>
        <v>T8_PG &lt;=130_----6 ft Lamps----</v>
      </c>
      <c r="L659" s="251" t="s">
        <v>1544</v>
      </c>
      <c r="M659" s="251"/>
      <c r="N659" s="247"/>
      <c r="O659">
        <v>657</v>
      </c>
    </row>
    <row r="660" spans="9:16">
      <c r="I660" t="s">
        <v>1915</v>
      </c>
      <c r="J660" s="26" t="str">
        <f>"T8_"&amp;STDLIGHTINEFCAT2[[#This Row],[Ineff DropDown 2]]</f>
        <v>T8_PG &lt;=130</v>
      </c>
      <c r="K660" s="247" t="str">
        <f>STDLIGHTINEFCAT2[[#This Row],[Match]]&amp;"_"&amp;STDLIGHTINEFCAT2[[#This Row],[Options]]</f>
        <v>T8_PG &lt;=130_1L T8 6' 46W</v>
      </c>
      <c r="L660" s="247" t="s">
        <v>1579</v>
      </c>
      <c r="M660" s="247">
        <v>46</v>
      </c>
      <c r="N660" s="247">
        <v>52</v>
      </c>
      <c r="O660">
        <v>658</v>
      </c>
    </row>
    <row r="661" spans="9:16">
      <c r="I661" t="s">
        <v>1915</v>
      </c>
      <c r="J661" s="26" t="str">
        <f>"T8_"&amp;STDLIGHTINEFCAT2[[#This Row],[Ineff DropDown 2]]</f>
        <v>T8_PG &lt;=130</v>
      </c>
      <c r="K661" s="247" t="str">
        <f>STDLIGHTINEFCAT2[[#This Row],[Match]]&amp;"_"&amp;STDLIGHTINEFCAT2[[#This Row],[Options]]</f>
        <v>T8_PG &lt;=130_2L T8 6' 46W</v>
      </c>
      <c r="L661" s="247" t="s">
        <v>1580</v>
      </c>
      <c r="M661" s="247">
        <f>2*46</f>
        <v>92</v>
      </c>
      <c r="N661" s="247">
        <v>97</v>
      </c>
      <c r="O661">
        <v>659</v>
      </c>
    </row>
    <row r="662" spans="9:16">
      <c r="I662" t="s">
        <v>1915</v>
      </c>
      <c r="J662" s="26" t="str">
        <f>"T8_"&amp;STDLIGHTINEFCAT2[[#This Row],[Ineff DropDown 2]]</f>
        <v>T8_PG &lt;=130</v>
      </c>
      <c r="K662" s="247" t="str">
        <f>STDLIGHTINEFCAT2[[#This Row],[Match]]&amp;"_"&amp;STDLIGHTINEFCAT2[[#This Row],[Options]]</f>
        <v>T8_PG &lt;=130_1L T8 6' 66W</v>
      </c>
      <c r="L662" s="247" t="s">
        <v>1583</v>
      </c>
      <c r="M662" s="247">
        <f>1*66</f>
        <v>66</v>
      </c>
      <c r="N662" s="247">
        <v>71</v>
      </c>
      <c r="O662">
        <v>660</v>
      </c>
      <c r="P662" t="s">
        <v>2139</v>
      </c>
    </row>
    <row r="663" spans="9:16">
      <c r="I663" t="s">
        <v>1915</v>
      </c>
      <c r="J663" s="26" t="str">
        <f>"T8_"&amp;STDLIGHTINEFCAT2[[#This Row],[Ineff DropDown 2]]</f>
        <v>T8_PG &lt;=130</v>
      </c>
      <c r="K663" s="247" t="str">
        <f>STDLIGHTINEFCAT2[[#This Row],[Match]]&amp;"_"&amp;STDLIGHTINEFCAT2[[#This Row],[Options]]</f>
        <v>T8_PG &lt;=130_----8 ft Lamps----</v>
      </c>
      <c r="L663" s="251" t="s">
        <v>1546</v>
      </c>
      <c r="M663" s="251"/>
      <c r="N663" s="247"/>
      <c r="O663">
        <v>661</v>
      </c>
    </row>
    <row r="664" spans="9:16">
      <c r="I664" t="s">
        <v>1915</v>
      </c>
      <c r="J664" s="26" t="str">
        <f>"T8_"&amp;STDLIGHTINEFCAT2[[#This Row],[Ineff DropDown 2]]</f>
        <v>T8_PG &lt;=130</v>
      </c>
      <c r="K664" s="247" t="str">
        <f>STDLIGHTINEFCAT2[[#This Row],[Match]]&amp;"_"&amp;STDLIGHTINEFCAT2[[#This Row],[Options]]</f>
        <v>T8_PG &lt;=130_1L T8 8' 59W</v>
      </c>
      <c r="L664" s="247" t="s">
        <v>1581</v>
      </c>
      <c r="M664" s="247">
        <v>59</v>
      </c>
      <c r="N664" s="247">
        <v>62</v>
      </c>
      <c r="O664">
        <v>662</v>
      </c>
      <c r="P664" t="s">
        <v>2139</v>
      </c>
    </row>
    <row r="665" spans="9:16">
      <c r="I665" t="s">
        <v>1915</v>
      </c>
      <c r="J665" s="26" t="str">
        <f>"T8_"&amp;STDLIGHTINEFCAT2[[#This Row],[Ineff DropDown 2]]</f>
        <v>T8_PG &lt;=130</v>
      </c>
      <c r="K665" s="247" t="str">
        <f>STDLIGHTINEFCAT2[[#This Row],[Match]]&amp;"_"&amp;STDLIGHTINEFCAT2[[#This Row],[Options]]</f>
        <v>T8_PG &lt;=130_1L T8 8' 86W</v>
      </c>
      <c r="L665" s="247" t="s">
        <v>1585</v>
      </c>
      <c r="M665" s="247">
        <v>86</v>
      </c>
      <c r="N665" s="247">
        <v>90</v>
      </c>
      <c r="O665">
        <v>663</v>
      </c>
      <c r="P665" t="s">
        <v>2139</v>
      </c>
    </row>
    <row r="666" spans="9:16">
      <c r="I666" t="s">
        <v>1915</v>
      </c>
      <c r="J666" s="26" t="str">
        <f>"T8_"&amp;STDLIGHTINEFCAT2[[#This Row],[Ineff DropDown 2]]</f>
        <v>T8_PG &lt;=130</v>
      </c>
      <c r="K666" s="247" t="str">
        <f>STDLIGHTINEFCAT2[[#This Row],[Match]]&amp;"_"&amp;STDLIGHTINEFCAT2[[#This Row],[Options]]</f>
        <v>T8_PG &lt;=130_2L T8 8' 59W</v>
      </c>
      <c r="L666" s="247" t="s">
        <v>1582</v>
      </c>
      <c r="M666" s="247">
        <f>2*59</f>
        <v>118</v>
      </c>
      <c r="N666" s="247">
        <v>109</v>
      </c>
      <c r="O666">
        <v>664</v>
      </c>
      <c r="P666" t="s">
        <v>2139</v>
      </c>
    </row>
    <row r="667" spans="9:16">
      <c r="I667" s="26" t="s">
        <v>1917</v>
      </c>
      <c r="J667" s="26" t="str">
        <f>"T8_"&amp;STDLIGHTINEFCAT2[[#This Row],[Ineff DropDown 2]]</f>
        <v>T8_PG 131-210</v>
      </c>
      <c r="K667" s="303" t="str">
        <f>STDLIGHTINEFCAT2[[#This Row],[Match]]&amp;"_"&amp;STDLIGHTINEFCAT2[[#This Row],[Options]]</f>
        <v>T8_PG 131-210_----4 ft Lamps----</v>
      </c>
      <c r="L667" s="251" t="s">
        <v>1542</v>
      </c>
      <c r="M667" s="247"/>
      <c r="N667" s="303"/>
      <c r="O667">
        <v>665</v>
      </c>
    </row>
    <row r="668" spans="9:16">
      <c r="I668" s="26" t="s">
        <v>1917</v>
      </c>
      <c r="J668" s="26" t="str">
        <f>"T8_"&amp;STDLIGHTINEFCAT2[[#This Row],[Ineff DropDown 2]]</f>
        <v>T8_PG 131-210</v>
      </c>
      <c r="K668" s="247" t="str">
        <f>STDLIGHTINEFCAT2[[#This Row],[Match]]&amp;"_"&amp;STDLIGHTINEFCAT2[[#This Row],[Options]]</f>
        <v>T8_PG 131-210_6L T8 4' 32W</v>
      </c>
      <c r="L668" s="247" t="s">
        <v>1570</v>
      </c>
      <c r="M668" s="247">
        <f>6*32</f>
        <v>192</v>
      </c>
      <c r="N668" s="247">
        <v>169</v>
      </c>
      <c r="O668">
        <v>666</v>
      </c>
    </row>
    <row r="669" spans="9:16">
      <c r="I669" s="26" t="s">
        <v>1917</v>
      </c>
      <c r="J669" s="26" t="str">
        <f>"T8_"&amp;STDLIGHTINEFCAT2[[#This Row],[Ineff DropDown 2]]</f>
        <v>T8_PG 131-210</v>
      </c>
      <c r="K669" s="247" t="str">
        <f>STDLIGHTINEFCAT2[[#This Row],[Match]]&amp;"_"&amp;STDLIGHTINEFCAT2[[#This Row],[Options]]</f>
        <v>T8_PG 131-210_----6 ft Lamps----</v>
      </c>
      <c r="L669" s="251" t="s">
        <v>1544</v>
      </c>
      <c r="M669" s="251"/>
      <c r="N669" s="247"/>
      <c r="O669">
        <v>667</v>
      </c>
    </row>
    <row r="670" spans="9:16">
      <c r="I670" s="26" t="s">
        <v>1917</v>
      </c>
      <c r="J670" s="26" t="str">
        <f>"T8_"&amp;STDLIGHTINEFCAT2[[#This Row],[Ineff DropDown 2]]</f>
        <v>T8_PG 131-210</v>
      </c>
      <c r="K670" s="247" t="str">
        <f>STDLIGHTINEFCAT2[[#This Row],[Match]]&amp;"_"&amp;STDLIGHTINEFCAT2[[#This Row],[Options]]</f>
        <v>T8_PG 131-210_2L T8 6' 66W</v>
      </c>
      <c r="L670" s="247" t="s">
        <v>1584</v>
      </c>
      <c r="M670" s="247">
        <f>2*66</f>
        <v>132</v>
      </c>
      <c r="N670" s="247">
        <v>118</v>
      </c>
      <c r="O670">
        <v>668</v>
      </c>
      <c r="P670" t="s">
        <v>2139</v>
      </c>
    </row>
    <row r="671" spans="9:16">
      <c r="I671" s="26" t="s">
        <v>1917</v>
      </c>
      <c r="J671" s="26" t="str">
        <f>"T8_"&amp;STDLIGHTINEFCAT2[[#This Row],[Ineff DropDown 2]]</f>
        <v>T8_PG 131-210</v>
      </c>
      <c r="K671" s="247" t="str">
        <f>STDLIGHTINEFCAT2[[#This Row],[Match]]&amp;"_"&amp;STDLIGHTINEFCAT2[[#This Row],[Options]]</f>
        <v>T8_PG 131-210_----8 ft Lamps----</v>
      </c>
      <c r="L671" s="251" t="s">
        <v>1546</v>
      </c>
      <c r="M671" s="251"/>
      <c r="N671" s="247"/>
      <c r="O671">
        <v>669</v>
      </c>
    </row>
    <row r="672" spans="9:16">
      <c r="I672" s="26" t="s">
        <v>1917</v>
      </c>
      <c r="J672" s="26" t="str">
        <f>"T8_"&amp;STDLIGHTINEFCAT2[[#This Row],[Ineff DropDown 2]]</f>
        <v>T8_PG 131-210</v>
      </c>
      <c r="K672" s="247" t="str">
        <f>STDLIGHTINEFCAT2[[#This Row],[Match]]&amp;"_"&amp;STDLIGHTINEFCAT2[[#This Row],[Options]]</f>
        <v>T8_PG 131-210_2L T8 8' 86W</v>
      </c>
      <c r="L672" s="247" t="s">
        <v>1586</v>
      </c>
      <c r="M672" s="247">
        <f>2*86</f>
        <v>172</v>
      </c>
      <c r="N672" s="247">
        <v>160</v>
      </c>
      <c r="O672">
        <v>670</v>
      </c>
      <c r="P672" t="s">
        <v>2139</v>
      </c>
    </row>
    <row r="673" spans="9:16">
      <c r="I673" s="26" t="s">
        <v>1663</v>
      </c>
      <c r="J673" s="26" t="str">
        <f>"T8_"&amp;STDLIGHTINEFCAT2[[#This Row],[Ineff DropDown 2]]</f>
        <v>T8_Retrofit_2ft</v>
      </c>
      <c r="K673" s="247" t="str">
        <f>STDLIGHTINEFCAT2[[#This Row],[Match]]&amp;"_"&amp;STDLIGHTINEFCAT2[[#This Row],[Options]]</f>
        <v>T8_Retrofit_2ft_1L T8 2' 17W</v>
      </c>
      <c r="L673" s="247" t="s">
        <v>1550</v>
      </c>
      <c r="M673" s="247">
        <v>17</v>
      </c>
      <c r="N673" s="247">
        <v>24</v>
      </c>
      <c r="O673">
        <v>671</v>
      </c>
      <c r="P673" t="s">
        <v>2139</v>
      </c>
    </row>
    <row r="674" spans="9:16">
      <c r="I674" s="26" t="s">
        <v>1663</v>
      </c>
      <c r="J674" s="26" t="str">
        <f>"T8_"&amp;STDLIGHTINEFCAT2[[#This Row],[Ineff DropDown 2]]</f>
        <v>T8_Retrofit_2ft</v>
      </c>
      <c r="K674" s="247" t="str">
        <f>STDLIGHTINEFCAT2[[#This Row],[Match]]&amp;"_"&amp;STDLIGHTINEFCAT2[[#This Row],[Options]]</f>
        <v>T8_Retrofit_2ft_2L T8 2' 17W</v>
      </c>
      <c r="L674" s="247" t="s">
        <v>1551</v>
      </c>
      <c r="M674" s="247">
        <f>17*2</f>
        <v>34</v>
      </c>
      <c r="N674" s="247">
        <v>45</v>
      </c>
      <c r="O674">
        <v>672</v>
      </c>
      <c r="P674" t="s">
        <v>2139</v>
      </c>
    </row>
    <row r="675" spans="9:16">
      <c r="I675" s="26" t="s">
        <v>1663</v>
      </c>
      <c r="J675" s="26" t="str">
        <f>"T8_"&amp;STDLIGHTINEFCAT2[[#This Row],[Ineff DropDown 2]]</f>
        <v>T8_Retrofit_2ft</v>
      </c>
      <c r="K675" s="247" t="str">
        <f>STDLIGHTINEFCAT2[[#This Row],[Match]]&amp;"_"&amp;STDLIGHTINEFCAT2[[#This Row],[Options]]</f>
        <v>T8_Retrofit_2ft_3L T8 2' 17W</v>
      </c>
      <c r="L675" s="247" t="s">
        <v>1552</v>
      </c>
      <c r="M675" s="247">
        <f>3*17</f>
        <v>51</v>
      </c>
      <c r="N675" s="247">
        <v>65</v>
      </c>
      <c r="O675">
        <v>673</v>
      </c>
      <c r="P675" t="s">
        <v>2139</v>
      </c>
    </row>
    <row r="676" spans="9:16">
      <c r="I676" s="26" t="s">
        <v>1663</v>
      </c>
      <c r="J676" s="26" t="str">
        <f>"T8_"&amp;STDLIGHTINEFCAT2[[#This Row],[Ineff DropDown 2]]</f>
        <v>T8_Retrofit_2ft</v>
      </c>
      <c r="K676" s="250" t="str">
        <f>STDLIGHTINEFCAT2[[#This Row],[Match]]&amp;"_"&amp;STDLIGHTINEFCAT2[[#This Row],[Options]]</f>
        <v>T8_Retrofit_2ft_4L T8 2' 17W</v>
      </c>
      <c r="L676" s="250" t="s">
        <v>1553</v>
      </c>
      <c r="M676" s="247">
        <f>4*17</f>
        <v>68</v>
      </c>
      <c r="N676" s="247">
        <v>87</v>
      </c>
      <c r="O676">
        <v>674</v>
      </c>
      <c r="P676" t="s">
        <v>2139</v>
      </c>
    </row>
    <row r="677" spans="9:16">
      <c r="I677" s="26" t="s">
        <v>1926</v>
      </c>
      <c r="J677" s="26" t="str">
        <f>"T8_"&amp;STDLIGHTINEFCAT2[[#This Row],[Ineff DropDown 2]]</f>
        <v>T8_Retrofit_2U</v>
      </c>
      <c r="K677" s="247" t="str">
        <f>STDLIGHTINEFCAT2[[#This Row],[Match]]&amp;"_"&amp;STDLIGHTINEFCAT2[[#This Row],[Options]]</f>
        <v>T8_Retrofit_2U_1L T8 Ubend 32W</v>
      </c>
      <c r="L677" s="247" t="s">
        <v>1794</v>
      </c>
      <c r="M677" s="247">
        <v>32</v>
      </c>
      <c r="N677" s="247">
        <v>31</v>
      </c>
      <c r="O677">
        <v>675</v>
      </c>
      <c r="P677" t="s">
        <v>2139</v>
      </c>
    </row>
    <row r="678" spans="9:16">
      <c r="I678" s="26" t="s">
        <v>1926</v>
      </c>
      <c r="J678" s="26" t="str">
        <f>"T8_"&amp;STDLIGHTINEFCAT2[[#This Row],[Ineff DropDown 2]]</f>
        <v>T8_Retrofit_2U</v>
      </c>
      <c r="K678" s="250" t="str">
        <f>STDLIGHTINEFCAT2[[#This Row],[Match]]&amp;"_"&amp;STDLIGHTINEFCAT2[[#This Row],[Options]]</f>
        <v>T8_Retrofit_2U_2L T8 Ubend 32W</v>
      </c>
      <c r="L678" s="250" t="s">
        <v>1795</v>
      </c>
      <c r="M678" s="250">
        <f>32*2</f>
        <v>64</v>
      </c>
      <c r="N678" s="250">
        <v>58</v>
      </c>
      <c r="O678">
        <v>676</v>
      </c>
      <c r="P678" t="s">
        <v>2139</v>
      </c>
    </row>
    <row r="679" spans="9:16">
      <c r="I679" s="26" t="s">
        <v>1858</v>
      </c>
      <c r="J679" s="26" t="str">
        <f>"T8_"&amp;STDLIGHTINEFCAT2[[#This Row],[Ineff DropDown 2]]</f>
        <v>T8_Retrofit_4ft_1x4</v>
      </c>
      <c r="K679" s="250" t="str">
        <f>STDLIGHTINEFCAT2[[#This Row],[Match]]&amp;"_"&amp;STDLIGHTINEFCAT2[[#This Row],[Options]]</f>
        <v>T8_Retrofit_4ft_1x4_1L T8 4' 25W</v>
      </c>
      <c r="L679" s="247" t="s">
        <v>1558</v>
      </c>
      <c r="M679" s="250">
        <v>25</v>
      </c>
      <c r="N679" s="250">
        <v>23</v>
      </c>
      <c r="O679">
        <v>677</v>
      </c>
      <c r="P679" t="s">
        <v>2139</v>
      </c>
    </row>
    <row r="680" spans="9:16">
      <c r="I680" s="26" t="s">
        <v>1858</v>
      </c>
      <c r="J680" s="26" t="str">
        <f>"T8_"&amp;STDLIGHTINEFCAT2[[#This Row],[Ineff DropDown 2]]</f>
        <v>T8_Retrofit_4ft_1x4</v>
      </c>
      <c r="K680" s="247" t="str">
        <f>STDLIGHTINEFCAT2[[#This Row],[Match]]&amp;"_"&amp;STDLIGHTINEFCAT2[[#This Row],[Options]]</f>
        <v>T8_Retrofit_4ft_1x4_1L T8 4' 28W</v>
      </c>
      <c r="L680" s="247" t="s">
        <v>1562</v>
      </c>
      <c r="M680" s="247">
        <v>28</v>
      </c>
      <c r="N680" s="247">
        <v>25</v>
      </c>
      <c r="O680">
        <v>678</v>
      </c>
      <c r="P680" t="s">
        <v>2139</v>
      </c>
    </row>
    <row r="681" spans="9:16">
      <c r="I681" s="26" t="s">
        <v>1858</v>
      </c>
      <c r="J681" s="26" t="str">
        <f>"T8_"&amp;STDLIGHTINEFCAT2[[#This Row],[Ineff DropDown 2]]</f>
        <v>T8_Retrofit_4ft_1x4</v>
      </c>
      <c r="K681" s="250" t="str">
        <f>STDLIGHTINEFCAT2[[#This Row],[Match]]&amp;"_"&amp;STDLIGHTINEFCAT2[[#This Row],[Options]]</f>
        <v>T8_Retrofit_4ft_1x4_1L T8 4' 32W</v>
      </c>
      <c r="L681" s="250" t="s">
        <v>1566</v>
      </c>
      <c r="M681" s="250">
        <v>32</v>
      </c>
      <c r="N681" s="250">
        <v>29</v>
      </c>
      <c r="O681">
        <v>679</v>
      </c>
      <c r="P681" t="s">
        <v>2139</v>
      </c>
    </row>
    <row r="682" spans="9:16">
      <c r="I682" s="26" t="s">
        <v>1858</v>
      </c>
      <c r="J682" s="26" t="str">
        <f>"T8_"&amp;STDLIGHTINEFCAT2[[#This Row],[Ineff DropDown 2]]</f>
        <v>T8_Retrofit_4ft_1x4</v>
      </c>
      <c r="K682" s="247" t="str">
        <f>STDLIGHTINEFCAT2[[#This Row],[Match]]&amp;"_"&amp;STDLIGHTINEFCAT2[[#This Row],[Options]]</f>
        <v>T8_Retrofit_4ft_1x4_1L T8 4' 44W</v>
      </c>
      <c r="L682" s="247" t="s">
        <v>1571</v>
      </c>
      <c r="M682" s="247">
        <v>44</v>
      </c>
      <c r="N682" s="247">
        <v>51</v>
      </c>
      <c r="O682">
        <v>680</v>
      </c>
      <c r="P682" t="s">
        <v>2139</v>
      </c>
    </row>
    <row r="683" spans="9:16">
      <c r="I683" s="26" t="s">
        <v>1858</v>
      </c>
      <c r="J683" s="26" t="str">
        <f>"T8_"&amp;STDLIGHTINEFCAT2[[#This Row],[Ineff DropDown 2]]</f>
        <v>T8_Retrofit_4ft_1x4</v>
      </c>
      <c r="K683" s="247" t="str">
        <f>STDLIGHTINEFCAT2[[#This Row],[Match]]&amp;"_"&amp;STDLIGHTINEFCAT2[[#This Row],[Options]]</f>
        <v>T8_Retrofit_4ft_1x4_2L T8 4' 25W</v>
      </c>
      <c r="L683" s="247" t="s">
        <v>1559</v>
      </c>
      <c r="M683" s="247">
        <v>50</v>
      </c>
      <c r="N683" s="247">
        <v>44</v>
      </c>
      <c r="O683">
        <v>681</v>
      </c>
      <c r="P683" t="s">
        <v>2139</v>
      </c>
    </row>
    <row r="684" spans="9:16">
      <c r="I684" s="26" t="s">
        <v>1858</v>
      </c>
      <c r="J684" s="26" t="str">
        <f>"T8_"&amp;STDLIGHTINEFCAT2[[#This Row],[Ineff DropDown 2]]</f>
        <v>T8_Retrofit_4ft_1x4</v>
      </c>
      <c r="K684" s="247" t="str">
        <f>STDLIGHTINEFCAT2[[#This Row],[Match]]&amp;"_"&amp;STDLIGHTINEFCAT2[[#This Row],[Options]]</f>
        <v>T8_Retrofit_4ft_1x4_2L T8 4' 28W</v>
      </c>
      <c r="L684" s="247" t="s">
        <v>1563</v>
      </c>
      <c r="M684" s="247">
        <f>2*28</f>
        <v>56</v>
      </c>
      <c r="N684" s="247">
        <v>49</v>
      </c>
      <c r="O684">
        <v>682</v>
      </c>
      <c r="P684" t="s">
        <v>2139</v>
      </c>
    </row>
    <row r="685" spans="9:16">
      <c r="I685" s="26" t="s">
        <v>1858</v>
      </c>
      <c r="J685" s="26" t="str">
        <f>"T8_"&amp;STDLIGHTINEFCAT2[[#This Row],[Ineff DropDown 2]]</f>
        <v>T8_Retrofit_4ft_1x4</v>
      </c>
      <c r="K685" s="250" t="str">
        <f>STDLIGHTINEFCAT2[[#This Row],[Match]]&amp;"_"&amp;STDLIGHTINEFCAT2[[#This Row],[Options]]</f>
        <v>T8_Retrofit_4ft_1x4_2L T8 4' 32W</v>
      </c>
      <c r="L685" s="250" t="s">
        <v>1567</v>
      </c>
      <c r="M685" s="250">
        <f>2*32</f>
        <v>64</v>
      </c>
      <c r="N685" s="250">
        <v>56</v>
      </c>
      <c r="O685">
        <v>683</v>
      </c>
      <c r="P685" t="s">
        <v>2139</v>
      </c>
    </row>
    <row r="686" spans="9:16">
      <c r="I686" s="26" t="s">
        <v>1858</v>
      </c>
      <c r="J686" s="26" t="str">
        <f>"T8_"&amp;STDLIGHTINEFCAT2[[#This Row],[Ineff DropDown 2]]</f>
        <v>T8_Retrofit_4ft_1x4</v>
      </c>
      <c r="K686" s="247" t="str">
        <f>STDLIGHTINEFCAT2[[#This Row],[Match]]&amp;"_"&amp;STDLIGHTINEFCAT2[[#This Row],[Options]]</f>
        <v>T8_Retrofit_4ft_1x4_2L T8 4' 44W</v>
      </c>
      <c r="L686" s="247" t="s">
        <v>1572</v>
      </c>
      <c r="M686" s="247">
        <v>88</v>
      </c>
      <c r="N686" s="247">
        <v>82</v>
      </c>
      <c r="O686">
        <v>684</v>
      </c>
      <c r="P686" t="s">
        <v>2139</v>
      </c>
    </row>
    <row r="687" spans="9:16">
      <c r="I687" s="26" t="s">
        <v>1859</v>
      </c>
      <c r="J687" s="26" t="str">
        <f>"T8_"&amp;STDLIGHTINEFCAT2[[#This Row],[Ineff DropDown 2]]</f>
        <v>T8_Retrofit_4ft_2x4</v>
      </c>
      <c r="K687" s="247" t="str">
        <f>STDLIGHTINEFCAT2[[#This Row],[Match]]&amp;"_"&amp;STDLIGHTINEFCAT2[[#This Row],[Options]]</f>
        <v>T8_Retrofit_4ft_2x4_3L T8 4' 25W</v>
      </c>
      <c r="L687" s="247" t="s">
        <v>1560</v>
      </c>
      <c r="M687" s="247">
        <v>75</v>
      </c>
      <c r="N687" s="247">
        <v>66</v>
      </c>
      <c r="O687">
        <v>685</v>
      </c>
      <c r="P687" t="s">
        <v>2139</v>
      </c>
    </row>
    <row r="688" spans="9:16">
      <c r="I688" s="26" t="s">
        <v>1859</v>
      </c>
      <c r="J688" s="26" t="str">
        <f>"T8_"&amp;STDLIGHTINEFCAT2[[#This Row],[Ineff DropDown 2]]</f>
        <v>T8_Retrofit_4ft_2x4</v>
      </c>
      <c r="K688" s="247" t="str">
        <f>STDLIGHTINEFCAT2[[#This Row],[Match]]&amp;"_"&amp;STDLIGHTINEFCAT2[[#This Row],[Options]]</f>
        <v>T8_Retrofit_4ft_2x4_3L T8 4' 28W</v>
      </c>
      <c r="L688" s="247" t="s">
        <v>1564</v>
      </c>
      <c r="M688" s="247">
        <f>3*28</f>
        <v>84</v>
      </c>
      <c r="N688" s="247">
        <v>73</v>
      </c>
      <c r="O688">
        <v>686</v>
      </c>
      <c r="P688" t="s">
        <v>2139</v>
      </c>
    </row>
    <row r="689" spans="9:16">
      <c r="I689" s="26" t="s">
        <v>1859</v>
      </c>
      <c r="J689" s="26" t="str">
        <f>"T8_"&amp;STDLIGHTINEFCAT2[[#This Row],[Ineff DropDown 2]]</f>
        <v>T8_Retrofit_4ft_2x4</v>
      </c>
      <c r="K689" s="250" t="str">
        <f>STDLIGHTINEFCAT2[[#This Row],[Match]]&amp;"_"&amp;STDLIGHTINEFCAT2[[#This Row],[Options]]</f>
        <v>T8_Retrofit_4ft_2x4_3L T8 4' 32W</v>
      </c>
      <c r="L689" s="247" t="s">
        <v>1568</v>
      </c>
      <c r="M689" s="250">
        <f>3*32</f>
        <v>96</v>
      </c>
      <c r="N689" s="250">
        <v>84</v>
      </c>
      <c r="O689">
        <v>687</v>
      </c>
      <c r="P689" t="s">
        <v>2139</v>
      </c>
    </row>
    <row r="690" spans="9:16">
      <c r="I690" s="26" t="s">
        <v>1859</v>
      </c>
      <c r="J690" s="26" t="str">
        <f>"T8_"&amp;STDLIGHTINEFCAT2[[#This Row],[Ineff DropDown 2]]</f>
        <v>T8_Retrofit_4ft_2x4</v>
      </c>
      <c r="K690" s="247" t="str">
        <f>STDLIGHTINEFCAT2[[#This Row],[Match]]&amp;"_"&amp;STDLIGHTINEFCAT2[[#This Row],[Options]]</f>
        <v>T8_Retrofit_4ft_2x4_4L T8 4' 25W</v>
      </c>
      <c r="L690" s="247" t="s">
        <v>1561</v>
      </c>
      <c r="M690" s="247">
        <v>100</v>
      </c>
      <c r="N690" s="247">
        <v>88</v>
      </c>
      <c r="O690">
        <v>688</v>
      </c>
      <c r="P690" t="s">
        <v>2139</v>
      </c>
    </row>
    <row r="691" spans="9:16">
      <c r="I691" s="26" t="s">
        <v>1859</v>
      </c>
      <c r="J691" s="26" t="str">
        <f>"T8_"&amp;STDLIGHTINEFCAT2[[#This Row],[Ineff DropDown 2]]</f>
        <v>T8_Retrofit_4ft_2x4</v>
      </c>
      <c r="K691" s="250" t="str">
        <f>STDLIGHTINEFCAT2[[#This Row],[Match]]&amp;"_"&amp;STDLIGHTINEFCAT2[[#This Row],[Options]]</f>
        <v>T8_Retrofit_4ft_2x4_4L T8 4' 28W</v>
      </c>
      <c r="L691" s="250" t="s">
        <v>1565</v>
      </c>
      <c r="M691" s="250">
        <f>4*28</f>
        <v>112</v>
      </c>
      <c r="N691" s="250">
        <v>96</v>
      </c>
      <c r="O691">
        <v>689</v>
      </c>
      <c r="P691" t="s">
        <v>2139</v>
      </c>
    </row>
    <row r="692" spans="9:16">
      <c r="I692" s="26" t="s">
        <v>1859</v>
      </c>
      <c r="J692" s="26" t="str">
        <f>"T8_"&amp;STDLIGHTINEFCAT2[[#This Row],[Ineff DropDown 2]]</f>
        <v>T8_Retrofit_4ft_2x4</v>
      </c>
      <c r="K692" s="247" t="str">
        <f>STDLIGHTINEFCAT2[[#This Row],[Match]]&amp;"_"&amp;STDLIGHTINEFCAT2[[#This Row],[Options]]</f>
        <v>T8_Retrofit_4ft_2x4_4L T8 4' 32W</v>
      </c>
      <c r="L692" s="247" t="s">
        <v>1569</v>
      </c>
      <c r="M692" s="247">
        <f>4*32</f>
        <v>128</v>
      </c>
      <c r="N692" s="247">
        <v>110</v>
      </c>
      <c r="O692">
        <v>690</v>
      </c>
      <c r="P692" t="s">
        <v>2139</v>
      </c>
    </row>
    <row r="693" spans="9:16">
      <c r="I693" s="26" t="s">
        <v>1859</v>
      </c>
      <c r="J693" s="26" t="str">
        <f>"T8_"&amp;STDLIGHTINEFCAT2[[#This Row],[Ineff DropDown 2]]</f>
        <v>T8_Retrofit_4ft_2x4</v>
      </c>
      <c r="K693" s="299" t="str">
        <f>STDLIGHTINEFCAT2[[#This Row],[Match]]&amp;"_"&amp;STDLIGHTINEFCAT2[[#This Row],[Options]]</f>
        <v>T8_Retrofit_4ft_2x4_5L T8 4' 32W</v>
      </c>
      <c r="L693" s="299" t="s">
        <v>1868</v>
      </c>
      <c r="M693" s="247">
        <v>160</v>
      </c>
      <c r="N693" s="299">
        <v>148</v>
      </c>
      <c r="O693">
        <v>691</v>
      </c>
    </row>
    <row r="694" spans="9:16">
      <c r="I694" s="26" t="s">
        <v>1859</v>
      </c>
      <c r="J694" s="26" t="str">
        <f>"T8_"&amp;STDLIGHTINEFCAT2[[#This Row],[Ineff DropDown 2]]</f>
        <v>T8_Retrofit_4ft_2x4</v>
      </c>
      <c r="K694" s="247" t="str">
        <f>STDLIGHTINEFCAT2[[#This Row],[Match]]&amp;"_"&amp;STDLIGHTINEFCAT2[[#This Row],[Options]]</f>
        <v>T8_Retrofit_4ft_2x4_6L T8 4' 32W</v>
      </c>
      <c r="L694" s="247" t="s">
        <v>1570</v>
      </c>
      <c r="M694" s="247">
        <f>6*32</f>
        <v>192</v>
      </c>
      <c r="N694" s="247">
        <v>169</v>
      </c>
      <c r="O694">
        <v>692</v>
      </c>
    </row>
    <row r="695" spans="9:16">
      <c r="I695" s="26" t="s">
        <v>1664</v>
      </c>
      <c r="J695" s="26" t="str">
        <f>"T8_"&amp;STDLIGHTINEFCAT2[[#This Row],[Ineff DropDown 2]]</f>
        <v>T8_Retrofit_8ft</v>
      </c>
      <c r="K695" s="317" t="str">
        <f>STDLIGHTINEFCAT2[[#This Row],[Match]]&amp;"_"&amp;STDLIGHTINEFCAT2[[#This Row],[Options]]</f>
        <v>T8_Retrofit_8ft_1L T8 8' 59W</v>
      </c>
      <c r="L695" s="318" t="s">
        <v>1581</v>
      </c>
      <c r="M695" s="251">
        <v>59</v>
      </c>
      <c r="N695" s="317">
        <v>62</v>
      </c>
      <c r="O695">
        <v>693</v>
      </c>
      <c r="P695" t="s">
        <v>2139</v>
      </c>
    </row>
    <row r="696" spans="9:16">
      <c r="I696" s="26" t="s">
        <v>1664</v>
      </c>
      <c r="J696" s="26" t="str">
        <f>"T8_"&amp;STDLIGHTINEFCAT2[[#This Row],[Ineff DropDown 2]]</f>
        <v>T8_Retrofit_8ft</v>
      </c>
      <c r="K696" s="250" t="str">
        <f>STDLIGHTINEFCAT2[[#This Row],[Match]]&amp;"_"&amp;STDLIGHTINEFCAT2[[#This Row],[Options]]</f>
        <v>T8_Retrofit_8ft_1L T8 8' 86W</v>
      </c>
      <c r="L696" s="250" t="s">
        <v>1585</v>
      </c>
      <c r="M696" s="250">
        <v>86</v>
      </c>
      <c r="N696" s="250">
        <v>90</v>
      </c>
      <c r="O696">
        <v>694</v>
      </c>
      <c r="P696" t="s">
        <v>2139</v>
      </c>
    </row>
    <row r="697" spans="9:16">
      <c r="I697" s="26" t="s">
        <v>1664</v>
      </c>
      <c r="J697" s="26" t="str">
        <f>"T8_"&amp;STDLIGHTINEFCAT2[[#This Row],[Ineff DropDown 2]]</f>
        <v>T8_Retrofit_8ft</v>
      </c>
      <c r="K697" s="317" t="str">
        <f>STDLIGHTINEFCAT2[[#This Row],[Match]]&amp;"_"&amp;STDLIGHTINEFCAT2[[#This Row],[Options]]</f>
        <v>T8_Retrofit_8ft_2L T8 8' 59W</v>
      </c>
      <c r="L697" s="318" t="s">
        <v>1582</v>
      </c>
      <c r="M697" s="251">
        <v>118</v>
      </c>
      <c r="N697" s="317">
        <v>109</v>
      </c>
      <c r="O697">
        <v>695</v>
      </c>
      <c r="P697" t="s">
        <v>2139</v>
      </c>
    </row>
    <row r="698" spans="9:16">
      <c r="I698" s="26" t="s">
        <v>1664</v>
      </c>
      <c r="J698" s="26" t="str">
        <f>"T8_"&amp;STDLIGHTINEFCAT2[[#This Row],[Ineff DropDown 2]]</f>
        <v>T8_Retrofit_8ft</v>
      </c>
      <c r="K698" s="250" t="str">
        <f>STDLIGHTINEFCAT2[[#This Row],[Match]]&amp;"_"&amp;STDLIGHTINEFCAT2[[#This Row],[Options]]</f>
        <v>T8_Retrofit_8ft_2L T8 8' 86W</v>
      </c>
      <c r="L698" s="250" t="s">
        <v>1586</v>
      </c>
      <c r="M698" s="250">
        <f>2*86</f>
        <v>172</v>
      </c>
      <c r="N698" s="250">
        <v>160</v>
      </c>
      <c r="O698">
        <v>696</v>
      </c>
      <c r="P698" t="s">
        <v>2139</v>
      </c>
    </row>
  </sheetData>
  <sheetProtection algorithmName="SHA-512" hashValue="A5oEZrVAlLDiEsk1k5k6em6ekLnsuDXFBRvy26tYwvNzNQxPi8dNVTrsyCcaRLvK3L/wOCdQFDeH1aFbe+gPcQ==" saltValue="aK72IOxjeM4NscXziPVSuA==" spinCount="100000" sheet="1" objects="1" scenarios="1"/>
  <phoneticPr fontId="146" type="noConversion"/>
  <pageMargins left="0" right="0" top="0" bottom="0" header="0" footer="0"/>
  <pageSetup orientation="portrait" r:id="rId1"/>
  <tableParts count="4">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tint="0.59999389629810485"/>
  </sheetPr>
  <dimension ref="B2:BA184"/>
  <sheetViews>
    <sheetView zoomScale="85" zoomScaleNormal="85" workbookViewId="0">
      <selection activeCell="AI45" sqref="AI45"/>
    </sheetView>
  </sheetViews>
  <sheetFormatPr defaultColWidth="4.7109375" defaultRowHeight="15"/>
  <cols>
    <col min="1" max="1" width="4.7109375" customWidth="1"/>
    <col min="2" max="2" width="26" bestFit="1" customWidth="1"/>
    <col min="3" max="3" width="24" bestFit="1" customWidth="1"/>
    <col min="4" max="4" width="4.7109375" customWidth="1"/>
    <col min="5" max="5" width="8.140625" style="14" bestFit="1" customWidth="1"/>
    <col min="6" max="6" width="30.7109375" bestFit="1" customWidth="1"/>
    <col min="7" max="7" width="38.85546875" bestFit="1" customWidth="1"/>
    <col min="8" max="8" width="8.140625" bestFit="1" customWidth="1"/>
    <col min="9" max="9" width="8.140625" customWidth="1"/>
    <col min="10" max="10" width="33.5703125" bestFit="1" customWidth="1"/>
    <col min="11" max="11" width="28.28515625" bestFit="1" customWidth="1"/>
    <col min="12" max="12" width="28.7109375" bestFit="1" customWidth="1"/>
    <col min="13" max="13" width="8.140625" bestFit="1" customWidth="1"/>
    <col min="14" max="14" width="7.85546875" bestFit="1" customWidth="1"/>
    <col min="15" max="15" width="10.7109375" bestFit="1" customWidth="1"/>
    <col min="16" max="16" width="4.7109375" customWidth="1"/>
    <col min="17" max="17" width="10.28515625" bestFit="1" customWidth="1"/>
    <col min="18" max="18" width="10.28515625" style="14" bestFit="1" customWidth="1"/>
    <col min="19" max="19" width="33.7109375" customWidth="1"/>
    <col min="20" max="20" width="29.28515625" bestFit="1" customWidth="1"/>
    <col min="21" max="22" width="8.140625" bestFit="1" customWidth="1"/>
    <col min="23" max="23" width="28.7109375" bestFit="1" customWidth="1"/>
    <col min="24" max="24" width="32.5703125" bestFit="1" customWidth="1"/>
    <col min="25" max="25" width="15.28515625" customWidth="1"/>
    <col min="26" max="27" width="8.140625" bestFit="1" customWidth="1"/>
    <col min="28" max="28" width="8.7109375" bestFit="1" customWidth="1"/>
    <col min="29" max="29" width="21.42578125" bestFit="1" customWidth="1"/>
    <col min="30" max="30" width="4.7109375" customWidth="1"/>
    <col min="31" max="31" width="22.140625" bestFit="1" customWidth="1"/>
    <col min="32" max="32" width="10.28515625" bestFit="1" customWidth="1"/>
    <col min="33" max="33" width="24" style="14" bestFit="1" customWidth="1"/>
    <col min="34" max="34" width="24.28515625" bestFit="1" customWidth="1"/>
    <col min="35" max="35" width="92.85546875" bestFit="1" customWidth="1"/>
    <col min="36" max="36" width="12.7109375" customWidth="1"/>
    <col min="37" max="37" width="10.140625" customWidth="1"/>
    <col min="38" max="38" width="9.5703125" bestFit="1" customWidth="1"/>
    <col min="39" max="39" width="22.42578125" hidden="1" customWidth="1"/>
    <col min="40" max="40" width="28.28515625" hidden="1" customWidth="1"/>
    <col min="41" max="41" width="28.7109375" hidden="1" customWidth="1"/>
    <col min="42" max="42" width="10.7109375" hidden="1" customWidth="1"/>
    <col min="43" max="43" width="11.42578125" bestFit="1" customWidth="1"/>
    <col min="44" max="44" width="28.140625" bestFit="1" customWidth="1"/>
    <col min="45" max="45" width="12.42578125" bestFit="1" customWidth="1"/>
    <col min="46" max="46" width="16.85546875" bestFit="1" customWidth="1"/>
    <col min="47" max="47" width="29.28515625" bestFit="1" customWidth="1"/>
    <col min="48" max="48" width="25.7109375" bestFit="1" customWidth="1"/>
    <col min="49" max="49" width="28" customWidth="1"/>
    <col min="50" max="50" width="31" bestFit="1" customWidth="1"/>
    <col min="51" max="51" width="24.28515625" bestFit="1" customWidth="1"/>
    <col min="52" max="53" width="14.85546875" bestFit="1" customWidth="1"/>
    <col min="54" max="61" width="4.7109375" customWidth="1"/>
  </cols>
  <sheetData>
    <row r="2" spans="2:53" ht="60">
      <c r="B2" t="s">
        <v>918</v>
      </c>
      <c r="C2" t="s">
        <v>85</v>
      </c>
      <c r="E2" s="23" t="s">
        <v>85</v>
      </c>
      <c r="F2" s="24" t="s">
        <v>99</v>
      </c>
      <c r="G2" s="24" t="s">
        <v>100</v>
      </c>
      <c r="H2" s="24" t="s">
        <v>113</v>
      </c>
      <c r="I2" s="24" t="s">
        <v>133</v>
      </c>
      <c r="J2" s="22" t="s">
        <v>86</v>
      </c>
      <c r="K2" s="22" t="s">
        <v>331</v>
      </c>
      <c r="L2" s="22" t="s">
        <v>332</v>
      </c>
      <c r="M2" s="24" t="s">
        <v>87</v>
      </c>
      <c r="N2" s="24" t="s">
        <v>336</v>
      </c>
      <c r="O2" s="24" t="s">
        <v>512</v>
      </c>
      <c r="P2" s="24"/>
      <c r="Q2" s="24"/>
      <c r="R2" s="23" t="s">
        <v>85</v>
      </c>
      <c r="S2" s="24" t="s">
        <v>101</v>
      </c>
      <c r="T2" s="24" t="s">
        <v>102</v>
      </c>
      <c r="U2" s="24" t="s">
        <v>114</v>
      </c>
      <c r="V2" s="24" t="s">
        <v>115</v>
      </c>
      <c r="W2" s="24" t="s">
        <v>86</v>
      </c>
      <c r="X2" s="24" t="s">
        <v>331</v>
      </c>
      <c r="Y2" s="24" t="s">
        <v>332</v>
      </c>
      <c r="Z2" s="24" t="s">
        <v>87</v>
      </c>
      <c r="AA2" s="24" t="s">
        <v>88</v>
      </c>
      <c r="AB2" s="24" t="s">
        <v>336</v>
      </c>
      <c r="AC2" s="24" t="s">
        <v>512</v>
      </c>
      <c r="AD2" s="18"/>
      <c r="AF2" s="19"/>
      <c r="AG2" s="20" t="s">
        <v>85</v>
      </c>
      <c r="AH2" s="20" t="s">
        <v>531</v>
      </c>
      <c r="AI2" s="19" t="s">
        <v>456</v>
      </c>
      <c r="AJ2" s="19" t="s">
        <v>457</v>
      </c>
      <c r="AK2" t="s">
        <v>541</v>
      </c>
      <c r="AL2" t="s">
        <v>88</v>
      </c>
      <c r="AM2" s="19" t="s">
        <v>86</v>
      </c>
      <c r="AN2" s="19" t="s">
        <v>331</v>
      </c>
      <c r="AO2" s="19" t="s">
        <v>332</v>
      </c>
      <c r="AP2" s="19" t="s">
        <v>433</v>
      </c>
      <c r="AQ2" t="s">
        <v>336</v>
      </c>
      <c r="AR2" s="19" t="s">
        <v>432</v>
      </c>
      <c r="AS2" s="19" t="s">
        <v>322</v>
      </c>
      <c r="AT2" t="s">
        <v>569</v>
      </c>
      <c r="AU2" s="19" t="s">
        <v>431</v>
      </c>
      <c r="AV2" s="50" t="s">
        <v>743</v>
      </c>
      <c r="AW2" t="s">
        <v>1539</v>
      </c>
      <c r="AX2" t="s">
        <v>860</v>
      </c>
      <c r="AY2" t="s">
        <v>1547</v>
      </c>
      <c r="AZ2" t="s">
        <v>1548</v>
      </c>
      <c r="BA2" t="s">
        <v>1549</v>
      </c>
    </row>
    <row r="3" spans="2:53" ht="14.45" customHeight="1">
      <c r="B3" t="s">
        <v>323</v>
      </c>
      <c r="C3" s="14">
        <v>16</v>
      </c>
      <c r="E3" s="36"/>
      <c r="F3" s="37" t="s">
        <v>954</v>
      </c>
      <c r="G3" s="37"/>
      <c r="H3" s="37" t="str">
        <f>""</f>
        <v/>
      </c>
      <c r="I3" s="37"/>
      <c r="J3" s="37" t="s">
        <v>397</v>
      </c>
      <c r="K3" s="37"/>
      <c r="L3" s="37"/>
      <c r="M3" s="37" t="s">
        <v>91</v>
      </c>
      <c r="N3" s="37">
        <v>1</v>
      </c>
      <c r="O3" s="37"/>
      <c r="Q3" s="483"/>
      <c r="R3" s="490" t="s">
        <v>2781</v>
      </c>
      <c r="S3" t="s">
        <v>947</v>
      </c>
      <c r="T3" s="19"/>
      <c r="U3" s="19" t="str">
        <f>""</f>
        <v/>
      </c>
      <c r="V3" s="19"/>
      <c r="W3" s="19" t="s">
        <v>90</v>
      </c>
      <c r="X3" s="19" t="s">
        <v>429</v>
      </c>
      <c r="Y3" s="19"/>
      <c r="Z3" s="19" t="s">
        <v>91</v>
      </c>
      <c r="AA3" s="19">
        <v>15</v>
      </c>
      <c r="AB3" s="21">
        <v>1</v>
      </c>
      <c r="AC3" s="19"/>
      <c r="AD3" s="19"/>
      <c r="AF3" s="483" t="s">
        <v>2890</v>
      </c>
      <c r="AG3" s="480" t="str" cm="1">
        <f t="array" ref="AG3">LEFT(AF3, 2) &amp; IF(Program_Banner= "Business Energy Savings", 2, IF(Program_Banner="Small Business / Non-Profit", 3, "#")) &amp; RIGHT(AF3,6)</f>
        <v>112214001</v>
      </c>
      <c r="AH3" s="14" t="s">
        <v>931</v>
      </c>
      <c r="AI3" t="s">
        <v>609</v>
      </c>
      <c r="AJ3" s="384"/>
      <c r="AL3" s="384">
        <v>15</v>
      </c>
      <c r="AM3" s="384"/>
      <c r="AN3" s="384"/>
      <c r="AO3" s="384"/>
      <c r="AP3" s="384"/>
      <c r="AQ3" s="19">
        <v>1</v>
      </c>
      <c r="AR3" s="19" t="s">
        <v>1621</v>
      </c>
      <c r="AS3" s="385"/>
      <c r="AT3" t="s">
        <v>523</v>
      </c>
      <c r="AU3" s="19" t="s">
        <v>94</v>
      </c>
      <c r="AV3" s="50" t="s">
        <v>746</v>
      </c>
    </row>
    <row r="4" spans="2:53">
      <c r="B4" t="s">
        <v>919</v>
      </c>
      <c r="C4" s="14">
        <v>15</v>
      </c>
      <c r="E4" s="36"/>
      <c r="F4" s="37" t="s">
        <v>953</v>
      </c>
      <c r="G4" s="37"/>
      <c r="H4" s="37" t="str">
        <f>""</f>
        <v/>
      </c>
      <c r="I4" s="37"/>
      <c r="J4" s="37" t="s">
        <v>686</v>
      </c>
      <c r="K4" s="37"/>
      <c r="L4" s="37"/>
      <c r="M4" s="37" t="s">
        <v>91</v>
      </c>
      <c r="N4" s="37">
        <v>2</v>
      </c>
      <c r="O4" s="37"/>
      <c r="Q4" s="483"/>
      <c r="R4" s="490" t="s">
        <v>2782</v>
      </c>
      <c r="S4" t="s">
        <v>946</v>
      </c>
      <c r="T4" s="19"/>
      <c r="U4" s="19" t="str">
        <f>""</f>
        <v/>
      </c>
      <c r="V4" s="19"/>
      <c r="W4" s="19" t="s">
        <v>90</v>
      </c>
      <c r="X4" s="19" t="s">
        <v>430</v>
      </c>
      <c r="Y4" s="19"/>
      <c r="Z4" s="19" t="s">
        <v>91</v>
      </c>
      <c r="AA4" s="19">
        <v>15</v>
      </c>
      <c r="AB4" s="21">
        <v>2</v>
      </c>
      <c r="AC4" s="19"/>
      <c r="AD4" s="19"/>
      <c r="AF4" s="483" t="s">
        <v>2891</v>
      </c>
      <c r="AG4" s="480" t="str" cm="1">
        <f t="array" ref="AG4">LEFT(AF4, 2) &amp; IF(Program_Banner= "Business Energy Savings", 2, IF(Program_Banner="Small Business / Non-Profit", 3, "#")) &amp; RIGHT(AF4,6)</f>
        <v>112206001</v>
      </c>
      <c r="AH4" s="14" t="s">
        <v>931</v>
      </c>
      <c r="AI4" s="19" t="s">
        <v>532</v>
      </c>
      <c r="AJ4" s="19"/>
      <c r="AL4" s="19">
        <v>23</v>
      </c>
      <c r="AM4" s="19"/>
      <c r="AN4" s="19"/>
      <c r="AO4" s="19"/>
      <c r="AP4" s="19"/>
      <c r="AQ4" s="19">
        <v>2</v>
      </c>
      <c r="AR4" s="19" t="s">
        <v>1349</v>
      </c>
      <c r="AS4" s="20"/>
      <c r="AT4" t="s">
        <v>523</v>
      </c>
      <c r="AU4" s="19" t="s">
        <v>94</v>
      </c>
      <c r="AV4" s="50" t="s">
        <v>744</v>
      </c>
    </row>
    <row r="5" spans="2:53">
      <c r="B5" t="s">
        <v>324</v>
      </c>
      <c r="C5" s="14">
        <v>15</v>
      </c>
      <c r="E5" s="36"/>
      <c r="F5" s="37" t="s">
        <v>952</v>
      </c>
      <c r="G5" s="37"/>
      <c r="H5" s="37" t="str">
        <f>""</f>
        <v/>
      </c>
      <c r="I5" s="37"/>
      <c r="J5" s="37" t="s">
        <v>398</v>
      </c>
      <c r="K5" s="37"/>
      <c r="L5" s="37"/>
      <c r="M5" s="37" t="s">
        <v>91</v>
      </c>
      <c r="N5" s="37">
        <v>3</v>
      </c>
      <c r="O5" s="37"/>
      <c r="Q5" s="483"/>
      <c r="R5" s="490" t="s">
        <v>2783</v>
      </c>
      <c r="S5" t="s">
        <v>2144</v>
      </c>
      <c r="W5" t="s">
        <v>90</v>
      </c>
      <c r="X5" t="s">
        <v>2145</v>
      </c>
      <c r="Z5" t="s">
        <v>91</v>
      </c>
      <c r="AA5" s="331">
        <v>15</v>
      </c>
      <c r="AB5" s="21">
        <v>3</v>
      </c>
      <c r="AD5" s="19"/>
      <c r="AF5" s="483" t="s">
        <v>2892</v>
      </c>
      <c r="AG5" s="480" t="str" cm="1">
        <f t="array" ref="AG5">LEFT(AF5, 2) &amp; IF(Program_Banner= "Business Energy Savings", 2, IF(Program_Banner="Small Business / Non-Profit", 3, "#")) &amp; RIGHT(AF5,6)</f>
        <v>112208001</v>
      </c>
      <c r="AH5" s="14" t="s">
        <v>931</v>
      </c>
      <c r="AI5" t="s">
        <v>607</v>
      </c>
      <c r="AJ5" s="384"/>
      <c r="AL5" s="384">
        <v>15</v>
      </c>
      <c r="AM5" s="384"/>
      <c r="AN5" s="384"/>
      <c r="AO5" s="384"/>
      <c r="AP5" s="384"/>
      <c r="AQ5" s="19">
        <v>3</v>
      </c>
      <c r="AR5" s="19" t="s">
        <v>1621</v>
      </c>
      <c r="AS5" s="385"/>
      <c r="AT5" t="s">
        <v>523</v>
      </c>
      <c r="AU5" s="19" t="s">
        <v>94</v>
      </c>
      <c r="AV5" s="50" t="s">
        <v>744</v>
      </c>
    </row>
    <row r="6" spans="2:53">
      <c r="B6" t="s">
        <v>944</v>
      </c>
      <c r="C6" s="14">
        <v>17</v>
      </c>
      <c r="E6" s="38"/>
      <c r="F6" s="37" t="s">
        <v>610</v>
      </c>
      <c r="G6" s="37"/>
      <c r="H6" s="37" t="s">
        <v>465</v>
      </c>
      <c r="I6" s="37"/>
      <c r="J6" s="37"/>
      <c r="K6" s="37"/>
      <c r="L6" s="37"/>
      <c r="M6" s="37" t="s">
        <v>91</v>
      </c>
      <c r="N6" s="37">
        <v>4</v>
      </c>
      <c r="O6" s="37"/>
      <c r="Q6" s="483"/>
      <c r="R6" s="490" t="s">
        <v>2784</v>
      </c>
      <c r="S6" t="s">
        <v>948</v>
      </c>
      <c r="T6" s="19"/>
      <c r="U6" s="19" t="str">
        <f>""</f>
        <v/>
      </c>
      <c r="V6" s="19"/>
      <c r="W6" t="s">
        <v>571</v>
      </c>
      <c r="X6" s="19" t="s">
        <v>97</v>
      </c>
      <c r="Y6" s="19"/>
      <c r="Z6" s="19" t="s">
        <v>91</v>
      </c>
      <c r="AA6" s="19">
        <v>15</v>
      </c>
      <c r="AB6" s="21">
        <v>7</v>
      </c>
      <c r="AC6" s="19"/>
      <c r="AD6" s="19"/>
      <c r="AF6" s="483" t="s">
        <v>2893</v>
      </c>
      <c r="AG6" s="480" t="str" cm="1">
        <f t="array" ref="AG6">LEFT(AF6, 2) &amp; IF(Program_Banner= "Business Energy Savings", 2, IF(Program_Banner="Small Business / Non-Profit", 3, "#")) &amp; RIGHT(AF6,6)</f>
        <v>112212001</v>
      </c>
      <c r="AH6" s="14" t="s">
        <v>931</v>
      </c>
      <c r="AI6" s="19" t="s">
        <v>537</v>
      </c>
      <c r="AJ6" s="19"/>
      <c r="AL6" s="19">
        <v>15</v>
      </c>
      <c r="AM6" s="19"/>
      <c r="AN6" s="19"/>
      <c r="AO6" s="19"/>
      <c r="AP6" s="19"/>
      <c r="AQ6" s="19">
        <v>4</v>
      </c>
      <c r="AR6" s="19" t="s">
        <v>1349</v>
      </c>
      <c r="AS6" s="20"/>
      <c r="AT6" t="s">
        <v>523</v>
      </c>
      <c r="AU6" s="19" t="s">
        <v>94</v>
      </c>
      <c r="AV6" s="50" t="s">
        <v>744</v>
      </c>
    </row>
    <row r="7" spans="2:53">
      <c r="B7" t="s">
        <v>945</v>
      </c>
      <c r="C7" s="14">
        <v>17</v>
      </c>
      <c r="E7" s="36"/>
      <c r="F7" s="37" t="s">
        <v>337</v>
      </c>
      <c r="G7" s="37" t="s">
        <v>652</v>
      </c>
      <c r="H7" s="37">
        <v>28</v>
      </c>
      <c r="I7" s="37"/>
      <c r="J7" s="37" t="s">
        <v>98</v>
      </c>
      <c r="K7" s="37" t="s">
        <v>330</v>
      </c>
      <c r="L7" s="37" t="s">
        <v>333</v>
      </c>
      <c r="M7" s="37" t="s">
        <v>91</v>
      </c>
      <c r="N7" s="37">
        <v>5</v>
      </c>
      <c r="O7" s="37" t="s">
        <v>513</v>
      </c>
      <c r="R7" s="20"/>
      <c r="S7" s="19"/>
      <c r="T7" s="19"/>
      <c r="U7" s="19"/>
      <c r="V7" s="19"/>
      <c r="W7" s="19"/>
      <c r="X7" s="19"/>
      <c r="Y7" s="19"/>
      <c r="Z7" s="19"/>
      <c r="AA7" s="19"/>
      <c r="AB7" s="19"/>
      <c r="AC7" s="19"/>
      <c r="AD7" s="19"/>
      <c r="AF7" s="483" t="s">
        <v>2894</v>
      </c>
      <c r="AG7" s="480" t="str" cm="1">
        <f t="array" ref="AG7">LEFT(AF7, 2) &amp; IF(Program_Banner= "Business Energy Savings", 2, IF(Program_Banner="Small Business / Non-Profit", 3, "#")) &amp; RIGHT(AF7,6)</f>
        <v>112214003</v>
      </c>
      <c r="AH7" s="14" t="s">
        <v>931</v>
      </c>
      <c r="AI7" s="19" t="s">
        <v>536</v>
      </c>
      <c r="AJ7" s="19"/>
      <c r="AL7" s="19">
        <v>15</v>
      </c>
      <c r="AM7" s="19"/>
      <c r="AN7" s="19"/>
      <c r="AO7" s="19"/>
      <c r="AP7" s="19"/>
      <c r="AQ7" s="19">
        <v>5</v>
      </c>
      <c r="AR7" s="19" t="s">
        <v>1621</v>
      </c>
      <c r="AS7" s="20"/>
      <c r="AT7" t="s">
        <v>523</v>
      </c>
      <c r="AU7" s="19" t="s">
        <v>94</v>
      </c>
      <c r="AV7" s="50" t="s">
        <v>745</v>
      </c>
    </row>
    <row r="8" spans="2:53">
      <c r="E8" s="36"/>
      <c r="F8" s="37" t="s">
        <v>338</v>
      </c>
      <c r="G8" s="37" t="s">
        <v>653</v>
      </c>
      <c r="H8" s="37">
        <v>56</v>
      </c>
      <c r="I8" s="37"/>
      <c r="J8" s="37" t="s">
        <v>98</v>
      </c>
      <c r="K8" s="37" t="s">
        <v>330</v>
      </c>
      <c r="L8" s="37" t="s">
        <v>399</v>
      </c>
      <c r="M8" s="37" t="s">
        <v>91</v>
      </c>
      <c r="N8" s="37">
        <v>6</v>
      </c>
      <c r="O8" s="37" t="s">
        <v>514</v>
      </c>
      <c r="R8" s="20"/>
      <c r="S8" s="19"/>
      <c r="T8" s="19"/>
      <c r="U8" s="19"/>
      <c r="V8" s="19"/>
      <c r="W8" s="19"/>
      <c r="X8" s="19"/>
      <c r="Y8" s="19"/>
      <c r="Z8" s="19"/>
      <c r="AA8" s="19"/>
      <c r="AB8" s="19"/>
      <c r="AC8" s="19"/>
      <c r="AD8" s="19"/>
      <c r="AF8" s="483" t="s">
        <v>2895</v>
      </c>
      <c r="AG8" s="480" t="str" cm="1">
        <f t="array" ref="AG8">LEFT(AF8, 2) &amp; IF(Program_Banner= "Business Energy Savings", 2, IF(Program_Banner="Small Business / Non-Profit", 3, "#")) &amp; RIGHT(AF8,6)</f>
        <v>112210001</v>
      </c>
      <c r="AH8" s="14" t="s">
        <v>931</v>
      </c>
      <c r="AI8" t="s">
        <v>557</v>
      </c>
      <c r="AJ8" s="19"/>
      <c r="AL8" s="19">
        <v>15</v>
      </c>
      <c r="AM8" s="19"/>
      <c r="AN8" s="19"/>
      <c r="AO8" s="19"/>
      <c r="AP8" s="19"/>
      <c r="AQ8" s="19">
        <v>6</v>
      </c>
      <c r="AR8" s="19" t="s">
        <v>772</v>
      </c>
      <c r="AS8" s="20"/>
      <c r="AT8" t="s">
        <v>523</v>
      </c>
      <c r="AU8" s="19" t="s">
        <v>94</v>
      </c>
      <c r="AV8" s="50" t="s">
        <v>746</v>
      </c>
    </row>
    <row r="9" spans="2:53">
      <c r="E9" s="36"/>
      <c r="F9" s="37" t="s">
        <v>636</v>
      </c>
      <c r="G9" s="37" t="s">
        <v>654</v>
      </c>
      <c r="H9" s="37">
        <v>62</v>
      </c>
      <c r="I9" s="37"/>
      <c r="J9" s="37" t="s">
        <v>98</v>
      </c>
      <c r="K9" s="37" t="s">
        <v>330</v>
      </c>
      <c r="L9" s="37" t="s">
        <v>402</v>
      </c>
      <c r="M9" s="37" t="s">
        <v>91</v>
      </c>
      <c r="N9" s="37">
        <v>7</v>
      </c>
      <c r="O9" s="37" t="s">
        <v>514</v>
      </c>
      <c r="R9" s="20"/>
      <c r="S9" s="19"/>
      <c r="T9" s="19"/>
      <c r="U9" s="19"/>
      <c r="V9" s="19"/>
      <c r="W9" s="19"/>
      <c r="X9" s="19"/>
      <c r="Y9" s="19"/>
      <c r="Z9" s="19"/>
      <c r="AA9" s="19"/>
      <c r="AB9" s="19"/>
      <c r="AC9" s="19"/>
      <c r="AD9" s="19"/>
      <c r="AF9" s="483" t="s">
        <v>2896</v>
      </c>
      <c r="AG9" s="480" t="str" cm="1">
        <f t="array" ref="AG9">LEFT(AF9, 2) &amp; IF(Program_Banner= "Business Energy Savings", 2, IF(Program_Banner="Small Business / Non-Profit", 3, "#")) &amp; RIGHT(AF9,6)</f>
        <v>112213001</v>
      </c>
      <c r="AH9" s="14" t="s">
        <v>931</v>
      </c>
      <c r="AI9" t="s">
        <v>1272</v>
      </c>
      <c r="AJ9" s="19"/>
      <c r="AL9" s="19">
        <v>10</v>
      </c>
      <c r="AM9" s="19"/>
      <c r="AN9" s="19"/>
      <c r="AO9" s="19"/>
      <c r="AP9" s="19"/>
      <c r="AQ9" s="19">
        <v>7</v>
      </c>
      <c r="AR9" t="s">
        <v>1385</v>
      </c>
      <c r="AS9" s="20"/>
      <c r="AT9" t="s">
        <v>523</v>
      </c>
      <c r="AU9" s="19" t="s">
        <v>94</v>
      </c>
      <c r="AV9" t="s">
        <v>1278</v>
      </c>
    </row>
    <row r="10" spans="2:53">
      <c r="E10" s="36"/>
      <c r="F10" s="37" t="s">
        <v>637</v>
      </c>
      <c r="G10" s="37" t="s">
        <v>655</v>
      </c>
      <c r="H10" s="37">
        <v>112</v>
      </c>
      <c r="I10" s="37"/>
      <c r="J10" s="37" t="s">
        <v>98</v>
      </c>
      <c r="K10" s="37" t="s">
        <v>330</v>
      </c>
      <c r="L10" s="37" t="s">
        <v>403</v>
      </c>
      <c r="M10" s="37" t="s">
        <v>91</v>
      </c>
      <c r="N10" s="37">
        <v>8</v>
      </c>
      <c r="O10" s="37" t="s">
        <v>514</v>
      </c>
      <c r="R10" s="20"/>
      <c r="S10" s="19"/>
      <c r="T10" s="19"/>
      <c r="U10" s="19"/>
      <c r="V10" s="19"/>
      <c r="W10" s="19"/>
      <c r="X10" s="19"/>
      <c r="Y10" s="19"/>
      <c r="Z10" s="19"/>
      <c r="AA10" s="19"/>
      <c r="AB10" s="19"/>
      <c r="AC10" s="19"/>
      <c r="AD10" s="19"/>
      <c r="AE10" s="6"/>
      <c r="AF10" s="483" t="s">
        <v>2897</v>
      </c>
      <c r="AG10" s="480" t="str" cm="1">
        <f t="array" ref="AG10">LEFT(AF10, 2) &amp; IF(Program_Banner= "Business Energy Savings", 2, IF(Program_Banner="Small Business / Non-Profit", 3, "#")) &amp; RIGHT(AF10,6)</f>
        <v>112204001</v>
      </c>
      <c r="AH10" s="14" t="s">
        <v>931</v>
      </c>
      <c r="AI10" t="s">
        <v>1823</v>
      </c>
      <c r="AL10">
        <v>15</v>
      </c>
      <c r="AQ10" s="19">
        <v>8</v>
      </c>
      <c r="AR10" s="19" t="s">
        <v>94</v>
      </c>
      <c r="AS10" s="14"/>
      <c r="AT10" s="386" t="s">
        <v>523</v>
      </c>
      <c r="AU10" t="s">
        <v>94</v>
      </c>
      <c r="AV10" t="s">
        <v>1877</v>
      </c>
    </row>
    <row r="11" spans="2:53">
      <c r="E11" s="36"/>
      <c r="F11" s="37" t="s">
        <v>339</v>
      </c>
      <c r="G11" s="37" t="s">
        <v>656</v>
      </c>
      <c r="H11" s="37">
        <v>37</v>
      </c>
      <c r="I11" s="37"/>
      <c r="J11" s="37" t="s">
        <v>98</v>
      </c>
      <c r="K11" s="37" t="s">
        <v>400</v>
      </c>
      <c r="L11" s="37" t="s">
        <v>333</v>
      </c>
      <c r="M11" s="37" t="s">
        <v>91</v>
      </c>
      <c r="N11" s="37">
        <v>9</v>
      </c>
      <c r="O11" s="37" t="s">
        <v>514</v>
      </c>
      <c r="R11" s="20"/>
      <c r="S11" s="19"/>
      <c r="T11" s="19"/>
      <c r="U11" s="19"/>
      <c r="V11" s="19"/>
      <c r="W11" s="19"/>
      <c r="X11" s="19"/>
      <c r="Y11" s="19"/>
      <c r="Z11" s="19"/>
      <c r="AA11" s="19"/>
      <c r="AB11" s="19"/>
      <c r="AC11" s="19"/>
      <c r="AD11" s="19"/>
      <c r="AE11" s="6"/>
      <c r="AF11" s="483" t="s">
        <v>2898</v>
      </c>
      <c r="AG11" s="480" t="str" cm="1">
        <f t="array" ref="AG11">LEFT(AF11, 2) &amp; IF(Program_Banner= "Business Energy Savings", 2, IF(Program_Banner="Small Business / Non-Profit", 3, "#")) &amp; RIGHT(AF11,6)</f>
        <v>112204003</v>
      </c>
      <c r="AH11" s="14" t="s">
        <v>931</v>
      </c>
      <c r="AI11" t="s">
        <v>1262</v>
      </c>
      <c r="AJ11" s="19"/>
      <c r="AL11" s="19">
        <v>10</v>
      </c>
      <c r="AM11" s="19"/>
      <c r="AN11" s="19"/>
      <c r="AO11" s="19"/>
      <c r="AP11" s="19"/>
      <c r="AQ11" s="19">
        <v>9</v>
      </c>
      <c r="AR11" s="19" t="s">
        <v>1622</v>
      </c>
      <c r="AS11" s="20"/>
      <c r="AU11" s="19" t="s">
        <v>94</v>
      </c>
      <c r="AV11" t="s">
        <v>744</v>
      </c>
    </row>
    <row r="12" spans="2:53">
      <c r="E12" s="36"/>
      <c r="F12" s="37" t="s">
        <v>340</v>
      </c>
      <c r="G12" s="37" t="s">
        <v>657</v>
      </c>
      <c r="H12" s="37">
        <v>74</v>
      </c>
      <c r="I12" s="37"/>
      <c r="J12" s="37" t="s">
        <v>98</v>
      </c>
      <c r="K12" s="37" t="s">
        <v>400</v>
      </c>
      <c r="L12" s="37" t="s">
        <v>399</v>
      </c>
      <c r="M12" s="37" t="s">
        <v>91</v>
      </c>
      <c r="N12" s="37">
        <v>10</v>
      </c>
      <c r="O12" s="37" t="s">
        <v>514</v>
      </c>
      <c r="R12" s="20"/>
      <c r="S12" s="19"/>
      <c r="T12" s="19"/>
      <c r="U12" s="19"/>
      <c r="V12" s="19"/>
      <c r="W12" s="19"/>
      <c r="X12" s="19"/>
      <c r="Y12" s="19"/>
      <c r="Z12" s="19"/>
      <c r="AA12" s="19"/>
      <c r="AB12" s="19"/>
      <c r="AC12" s="19"/>
      <c r="AD12" s="19"/>
      <c r="AE12" s="6"/>
      <c r="AF12" s="483" t="s">
        <v>2899</v>
      </c>
      <c r="AG12" s="480" t="str" cm="1">
        <f t="array" ref="AG12">LEFT(AF12, 2) &amp; IF(Program_Banner= "Business Energy Savings", 2, IF(Program_Banner="Small Business / Non-Profit", 3, "#")) &amp; RIGHT(AF12,6)</f>
        <v>112204005</v>
      </c>
      <c r="AH12" s="14" t="s">
        <v>931</v>
      </c>
      <c r="AI12" t="s">
        <v>1273</v>
      </c>
      <c r="AJ12" s="19"/>
      <c r="AK12" s="19"/>
      <c r="AL12" s="19">
        <v>15</v>
      </c>
      <c r="AM12" s="19"/>
      <c r="AN12" s="19"/>
      <c r="AO12" s="19"/>
      <c r="AP12" s="19"/>
      <c r="AQ12" s="19">
        <v>10</v>
      </c>
      <c r="AR12" s="19" t="s">
        <v>772</v>
      </c>
      <c r="AS12" s="20"/>
      <c r="AT12" t="s">
        <v>523</v>
      </c>
      <c r="AU12" s="19" t="s">
        <v>94</v>
      </c>
      <c r="AV12" t="s">
        <v>746</v>
      </c>
    </row>
    <row r="13" spans="2:53">
      <c r="E13" s="36"/>
      <c r="F13" s="37" t="s">
        <v>638</v>
      </c>
      <c r="G13" s="37" t="s">
        <v>658</v>
      </c>
      <c r="H13" s="37">
        <v>111</v>
      </c>
      <c r="I13" s="37"/>
      <c r="J13" s="37" t="s">
        <v>98</v>
      </c>
      <c r="K13" s="37" t="s">
        <v>400</v>
      </c>
      <c r="L13" s="37" t="s">
        <v>402</v>
      </c>
      <c r="M13" s="37" t="s">
        <v>91</v>
      </c>
      <c r="N13" s="37">
        <v>11</v>
      </c>
      <c r="O13" s="37" t="s">
        <v>514</v>
      </c>
      <c r="R13" s="20"/>
      <c r="S13" s="19"/>
      <c r="T13" s="19"/>
      <c r="U13" s="19"/>
      <c r="V13" s="19"/>
      <c r="W13" s="19"/>
      <c r="X13" s="19"/>
      <c r="Y13" s="19"/>
      <c r="Z13" s="19"/>
      <c r="AA13" s="19"/>
      <c r="AB13" s="19"/>
      <c r="AC13" s="19"/>
      <c r="AD13" s="19"/>
      <c r="AE13" s="6"/>
      <c r="AF13" s="483" t="s">
        <v>2900</v>
      </c>
      <c r="AG13" s="480" t="str" cm="1">
        <f t="array" ref="AG13">LEFT(AF13, 2) &amp; IF(Program_Banner= "Business Energy Savings", 2, IF(Program_Banner="Small Business / Non-Profit", 3, "#")) &amp; RIGHT(AF13,6)</f>
        <v>112209001</v>
      </c>
      <c r="AH13" s="14" t="s">
        <v>931</v>
      </c>
      <c r="AI13" t="s">
        <v>1264</v>
      </c>
      <c r="AJ13" s="19"/>
      <c r="AL13" s="19">
        <v>15</v>
      </c>
      <c r="AM13" s="19"/>
      <c r="AN13" s="19"/>
      <c r="AO13" s="19"/>
      <c r="AP13" s="19"/>
      <c r="AQ13" s="19">
        <v>11</v>
      </c>
      <c r="AR13" s="19" t="s">
        <v>94</v>
      </c>
      <c r="AS13" s="20"/>
      <c r="AT13" t="s">
        <v>523</v>
      </c>
      <c r="AU13" s="19" t="s">
        <v>94</v>
      </c>
      <c r="AV13" t="s">
        <v>1278</v>
      </c>
    </row>
    <row r="14" spans="2:53">
      <c r="E14" s="36"/>
      <c r="F14" s="37" t="s">
        <v>639</v>
      </c>
      <c r="G14" s="37" t="s">
        <v>659</v>
      </c>
      <c r="H14" s="37">
        <v>148</v>
      </c>
      <c r="I14" s="37"/>
      <c r="J14" s="37" t="s">
        <v>98</v>
      </c>
      <c r="K14" s="37" t="s">
        <v>400</v>
      </c>
      <c r="L14" s="37" t="s">
        <v>403</v>
      </c>
      <c r="M14" s="37" t="s">
        <v>91</v>
      </c>
      <c r="N14" s="37">
        <v>12</v>
      </c>
      <c r="O14" s="37" t="s">
        <v>514</v>
      </c>
      <c r="R14" s="20"/>
      <c r="S14" s="19"/>
      <c r="T14" s="19"/>
      <c r="U14" s="19"/>
      <c r="V14" s="19"/>
      <c r="W14" s="19"/>
      <c r="X14" s="19"/>
      <c r="Y14" s="19"/>
      <c r="Z14" s="19"/>
      <c r="AA14" s="19"/>
      <c r="AB14" s="19"/>
      <c r="AC14" s="19"/>
      <c r="AD14" s="19"/>
      <c r="AE14" s="6"/>
      <c r="AF14" s="483" t="s">
        <v>2901</v>
      </c>
      <c r="AG14" s="480" t="str" cm="1">
        <f t="array" ref="AG14">LEFT(AF14, 2) &amp; IF(Program_Banner= "Business Energy Savings", 2, IF(Program_Banner="Small Business / Non-Profit", 3, "#")) &amp; RIGHT(AF14,6)</f>
        <v>112209003</v>
      </c>
      <c r="AH14" s="14" t="s">
        <v>931</v>
      </c>
      <c r="AI14" t="s">
        <v>1263</v>
      </c>
      <c r="AJ14" s="19"/>
      <c r="AL14" s="19">
        <v>15</v>
      </c>
      <c r="AM14" s="19"/>
      <c r="AN14" s="19"/>
      <c r="AO14" s="19"/>
      <c r="AP14" s="19"/>
      <c r="AQ14" s="19">
        <v>12</v>
      </c>
      <c r="AR14" s="19" t="s">
        <v>94</v>
      </c>
      <c r="AS14" s="20"/>
      <c r="AT14" t="s">
        <v>523</v>
      </c>
      <c r="AU14" s="19" t="s">
        <v>94</v>
      </c>
      <c r="AV14" t="s">
        <v>1278</v>
      </c>
    </row>
    <row r="15" spans="2:53">
      <c r="E15" s="36"/>
      <c r="F15" s="37" t="s">
        <v>341</v>
      </c>
      <c r="G15" s="37" t="s">
        <v>660</v>
      </c>
      <c r="H15" s="37">
        <v>48</v>
      </c>
      <c r="I15" s="37"/>
      <c r="J15" s="37" t="s">
        <v>98</v>
      </c>
      <c r="K15" s="37" t="s">
        <v>401</v>
      </c>
      <c r="L15" s="37" t="s">
        <v>333</v>
      </c>
      <c r="M15" s="37" t="s">
        <v>91</v>
      </c>
      <c r="N15" s="37">
        <v>13</v>
      </c>
      <c r="O15" s="37" t="s">
        <v>514</v>
      </c>
      <c r="R15" s="20"/>
      <c r="S15" s="19"/>
      <c r="T15" s="19"/>
      <c r="U15" s="19"/>
      <c r="V15" s="19"/>
      <c r="W15" s="19"/>
      <c r="X15" s="19"/>
      <c r="Y15" s="19"/>
      <c r="Z15" s="19"/>
      <c r="AA15" s="19"/>
      <c r="AB15" s="19"/>
      <c r="AC15" s="19"/>
      <c r="AD15" s="19"/>
      <c r="AE15" s="6"/>
      <c r="AF15" s="483" t="s">
        <v>2902</v>
      </c>
      <c r="AG15" s="480" t="str" cm="1">
        <f t="array" ref="AG15">LEFT(AF15, 2) &amp; IF(Program_Banner= "Business Energy Savings", 2, IF(Program_Banner="Small Business / Non-Profit", 3, "#")) &amp; RIGHT(AF15,6)</f>
        <v>112214005</v>
      </c>
      <c r="AH15" s="14" t="s">
        <v>931</v>
      </c>
      <c r="AI15" s="19" t="s">
        <v>1838</v>
      </c>
      <c r="AJ15" s="19"/>
      <c r="AL15" s="19">
        <v>15</v>
      </c>
      <c r="AM15" s="19"/>
      <c r="AN15" s="19"/>
      <c r="AO15" s="19"/>
      <c r="AP15" s="19"/>
      <c r="AQ15" s="19">
        <v>13</v>
      </c>
      <c r="AR15" s="19" t="s">
        <v>1622</v>
      </c>
      <c r="AS15" s="20"/>
      <c r="AT15" t="s">
        <v>523</v>
      </c>
      <c r="AU15" s="19" t="s">
        <v>94</v>
      </c>
      <c r="AV15" s="50" t="s">
        <v>745</v>
      </c>
    </row>
    <row r="16" spans="2:53">
      <c r="E16" s="36"/>
      <c r="F16" s="37" t="s">
        <v>342</v>
      </c>
      <c r="G16" s="37" t="s">
        <v>661</v>
      </c>
      <c r="H16" s="37">
        <v>82</v>
      </c>
      <c r="I16" s="37"/>
      <c r="J16" s="37" t="s">
        <v>98</v>
      </c>
      <c r="K16" s="37" t="s">
        <v>401</v>
      </c>
      <c r="L16" s="37" t="s">
        <v>399</v>
      </c>
      <c r="M16" s="37" t="s">
        <v>91</v>
      </c>
      <c r="N16" s="37">
        <v>14</v>
      </c>
      <c r="O16" s="37" t="s">
        <v>514</v>
      </c>
      <c r="R16" s="20"/>
      <c r="S16" s="19"/>
      <c r="T16" s="19"/>
      <c r="U16" s="19"/>
      <c r="V16" s="19"/>
      <c r="W16" s="19"/>
      <c r="X16" s="19"/>
      <c r="Y16" s="19"/>
      <c r="Z16" s="19"/>
      <c r="AA16" s="19"/>
      <c r="AB16" s="19"/>
      <c r="AC16" s="19"/>
      <c r="AD16" s="19"/>
      <c r="AE16" s="6"/>
      <c r="AF16" s="483" t="s">
        <v>2903</v>
      </c>
      <c r="AG16" s="480" t="str" cm="1">
        <f t="array" ref="AG16">LEFT(AF16, 2) &amp; IF(Program_Banner= "Business Energy Savings", 2, IF(Program_Banner="Small Business / Non-Profit", 3, "#")) &amp; RIGHT(AF16,6)</f>
        <v>112214007</v>
      </c>
      <c r="AH16" s="14" t="s">
        <v>931</v>
      </c>
      <c r="AI16" s="19" t="s">
        <v>1840</v>
      </c>
      <c r="AJ16" s="19"/>
      <c r="AL16" s="19">
        <v>15</v>
      </c>
      <c r="AM16" s="19"/>
      <c r="AN16" s="19"/>
      <c r="AO16" s="19"/>
      <c r="AP16" s="19"/>
      <c r="AQ16" s="19">
        <v>14</v>
      </c>
      <c r="AR16" s="19" t="s">
        <v>1621</v>
      </c>
      <c r="AS16" s="20"/>
      <c r="AT16" t="s">
        <v>523</v>
      </c>
      <c r="AU16" s="19" t="s">
        <v>94</v>
      </c>
      <c r="AV16" t="s">
        <v>745</v>
      </c>
    </row>
    <row r="17" spans="5:53">
      <c r="E17" s="36"/>
      <c r="F17" s="37" t="s">
        <v>343</v>
      </c>
      <c r="G17" s="37" t="s">
        <v>662</v>
      </c>
      <c r="H17" s="37">
        <v>122</v>
      </c>
      <c r="I17" s="37"/>
      <c r="J17" s="37" t="s">
        <v>98</v>
      </c>
      <c r="K17" s="37" t="s">
        <v>401</v>
      </c>
      <c r="L17" s="37" t="s">
        <v>402</v>
      </c>
      <c r="M17" s="37" t="s">
        <v>91</v>
      </c>
      <c r="N17" s="37">
        <v>15</v>
      </c>
      <c r="O17" s="37" t="s">
        <v>514</v>
      </c>
      <c r="R17" s="20"/>
      <c r="S17" s="19"/>
      <c r="T17" s="19"/>
      <c r="U17" s="19"/>
      <c r="V17" s="19"/>
      <c r="W17" s="19"/>
      <c r="X17" s="19"/>
      <c r="Y17" s="19"/>
      <c r="Z17" s="19"/>
      <c r="AA17" s="19"/>
      <c r="AB17" s="19"/>
      <c r="AC17" s="19"/>
      <c r="AD17" s="19"/>
      <c r="AE17" s="6"/>
      <c r="AF17" s="483" t="s">
        <v>2904</v>
      </c>
      <c r="AG17" s="480" t="str" cm="1">
        <f t="array" ref="AG17">LEFT(AF17, 2) &amp; IF(Program_Banner= "Business Energy Savings", 2, IF(Program_Banner="Small Business / Non-Profit", 3, "#")) &amp; RIGHT(AF17,6)</f>
        <v>112204007</v>
      </c>
      <c r="AH17" s="14" t="s">
        <v>931</v>
      </c>
      <c r="AI17" t="s">
        <v>632</v>
      </c>
      <c r="AL17">
        <v>15</v>
      </c>
      <c r="AQ17" s="19">
        <v>15</v>
      </c>
      <c r="AR17" s="19" t="s">
        <v>772</v>
      </c>
      <c r="AS17" s="14"/>
      <c r="AT17" t="s">
        <v>523</v>
      </c>
      <c r="AU17" t="s">
        <v>94</v>
      </c>
      <c r="AV17" t="s">
        <v>746</v>
      </c>
    </row>
    <row r="18" spans="5:53">
      <c r="E18" s="36"/>
      <c r="F18" s="37" t="s">
        <v>344</v>
      </c>
      <c r="G18" s="37" t="s">
        <v>466</v>
      </c>
      <c r="H18" s="37">
        <v>164</v>
      </c>
      <c r="I18" s="37"/>
      <c r="J18" s="37" t="s">
        <v>98</v>
      </c>
      <c r="K18" s="37" t="s">
        <v>401</v>
      </c>
      <c r="L18" s="37" t="s">
        <v>403</v>
      </c>
      <c r="M18" s="37" t="s">
        <v>91</v>
      </c>
      <c r="N18" s="37">
        <v>16</v>
      </c>
      <c r="O18" s="37" t="s">
        <v>514</v>
      </c>
      <c r="R18" s="20"/>
      <c r="S18" s="19"/>
      <c r="T18" s="19"/>
      <c r="U18" s="19"/>
      <c r="V18" s="19"/>
      <c r="W18" s="19"/>
      <c r="X18" s="19"/>
      <c r="Y18" s="19"/>
      <c r="Z18" s="19"/>
      <c r="AA18" s="19"/>
      <c r="AB18" s="19"/>
      <c r="AC18" s="19"/>
      <c r="AD18" s="19"/>
      <c r="AE18" s="6"/>
      <c r="AF18" s="483" t="s">
        <v>2905</v>
      </c>
      <c r="AG18" s="480" t="str" cm="1">
        <f t="array" ref="AG18">LEFT(AF18, 2) &amp; IF(Program_Banner= "Business Energy Savings", 2, IF(Program_Banner="Small Business / Non-Profit", 3, "#")) &amp; RIGHT(AF18,6)</f>
        <v>112214009</v>
      </c>
      <c r="AH18" s="14" t="s">
        <v>931</v>
      </c>
      <c r="AI18" t="s">
        <v>1831</v>
      </c>
      <c r="AL18">
        <v>8</v>
      </c>
      <c r="AQ18" s="19">
        <v>16</v>
      </c>
      <c r="AR18" s="19" t="s">
        <v>1622</v>
      </c>
      <c r="AS18" s="14"/>
      <c r="AT18" t="s">
        <v>523</v>
      </c>
      <c r="AU18" t="s">
        <v>94</v>
      </c>
      <c r="AV18" t="s">
        <v>745</v>
      </c>
    </row>
    <row r="19" spans="5:53">
      <c r="E19" s="36"/>
      <c r="F19" s="37" t="s">
        <v>881</v>
      </c>
      <c r="G19" s="37" t="s">
        <v>663</v>
      </c>
      <c r="H19" s="37">
        <v>258</v>
      </c>
      <c r="I19" s="37"/>
      <c r="J19" s="37" t="s">
        <v>98</v>
      </c>
      <c r="K19" s="37" t="s">
        <v>401</v>
      </c>
      <c r="L19" s="37" t="s">
        <v>628</v>
      </c>
      <c r="M19" s="37" t="s">
        <v>91</v>
      </c>
      <c r="N19" s="37">
        <v>17</v>
      </c>
      <c r="O19" s="37" t="s">
        <v>514</v>
      </c>
      <c r="R19" s="20"/>
      <c r="S19" s="19"/>
      <c r="T19" s="19"/>
      <c r="U19" s="19"/>
      <c r="V19" s="19"/>
      <c r="W19" s="19"/>
      <c r="X19" s="19"/>
      <c r="Y19" s="19"/>
      <c r="Z19" s="19"/>
      <c r="AA19" s="19"/>
      <c r="AB19" s="19"/>
      <c r="AC19" s="19"/>
      <c r="AD19" s="19"/>
      <c r="AE19" s="6"/>
      <c r="AF19" s="483" t="s">
        <v>2906</v>
      </c>
      <c r="AG19" s="480" t="str" cm="1">
        <f t="array" ref="AG19">LEFT(AF19, 2) &amp; IF(Program_Banner= "Business Energy Savings", 2, IF(Program_Banner="Small Business / Non-Profit", 3, "#")) &amp; RIGHT(AF19,6)</f>
        <v>112214011</v>
      </c>
      <c r="AH19" s="14" t="s">
        <v>931</v>
      </c>
      <c r="AI19" t="s">
        <v>1828</v>
      </c>
      <c r="AJ19" s="387"/>
      <c r="AK19" s="387"/>
      <c r="AL19" s="387">
        <v>2</v>
      </c>
      <c r="AM19" s="387"/>
      <c r="AN19" s="387"/>
      <c r="AO19" s="387"/>
      <c r="AP19" s="387"/>
      <c r="AQ19" s="19">
        <v>17</v>
      </c>
      <c r="AR19" s="19" t="s">
        <v>1622</v>
      </c>
      <c r="AS19" s="388"/>
      <c r="AT19" t="s">
        <v>523</v>
      </c>
      <c r="AU19" t="s">
        <v>94</v>
      </c>
      <c r="AV19" t="s">
        <v>745</v>
      </c>
      <c r="AW19" s="387"/>
      <c r="AX19" s="387"/>
      <c r="AY19" s="387"/>
      <c r="AZ19" s="387"/>
      <c r="BA19" s="387"/>
    </row>
    <row r="20" spans="5:53">
      <c r="F20" t="s">
        <v>882</v>
      </c>
      <c r="G20" t="s">
        <v>883</v>
      </c>
      <c r="H20">
        <v>72</v>
      </c>
      <c r="J20" t="s">
        <v>98</v>
      </c>
      <c r="K20" t="s">
        <v>884</v>
      </c>
      <c r="L20" t="s">
        <v>333</v>
      </c>
      <c r="M20" t="s">
        <v>91</v>
      </c>
      <c r="N20" s="37">
        <v>18</v>
      </c>
      <c r="O20" t="s">
        <v>885</v>
      </c>
      <c r="R20" s="20"/>
      <c r="S20" s="19"/>
      <c r="T20" s="19"/>
      <c r="U20" s="19"/>
      <c r="V20" s="19"/>
      <c r="W20" s="19"/>
      <c r="X20" s="19"/>
      <c r="Y20" s="19"/>
      <c r="Z20" s="19"/>
      <c r="AA20" s="19"/>
      <c r="AB20" s="19"/>
      <c r="AC20" s="19"/>
      <c r="AD20" s="19"/>
      <c r="AE20" s="6"/>
      <c r="AF20" s="483" t="s">
        <v>2907</v>
      </c>
      <c r="AG20" s="480" t="str" cm="1">
        <f t="array" ref="AG20">LEFT(AF20, 2) &amp; IF(Program_Banner= "Business Energy Savings", 2, IF(Program_Banner="Small Business / Non-Profit", 3, "#")) &amp; RIGHT(AF20,6)</f>
        <v>112206003</v>
      </c>
      <c r="AH20" s="14" t="s">
        <v>931</v>
      </c>
      <c r="AI20" t="s">
        <v>535</v>
      </c>
      <c r="AL20">
        <v>15</v>
      </c>
      <c r="AQ20" s="19">
        <v>18</v>
      </c>
      <c r="AR20" s="19" t="s">
        <v>1621</v>
      </c>
      <c r="AS20" s="14"/>
      <c r="AT20" t="s">
        <v>523</v>
      </c>
      <c r="AU20" t="s">
        <v>94</v>
      </c>
      <c r="AV20" s="50" t="s">
        <v>744</v>
      </c>
    </row>
    <row r="21" spans="5:53">
      <c r="F21" t="s">
        <v>886</v>
      </c>
      <c r="G21" t="s">
        <v>887</v>
      </c>
      <c r="H21">
        <v>111</v>
      </c>
      <c r="J21" t="s">
        <v>98</v>
      </c>
      <c r="K21" t="s">
        <v>884</v>
      </c>
      <c r="L21" t="s">
        <v>399</v>
      </c>
      <c r="M21" t="s">
        <v>91</v>
      </c>
      <c r="N21" s="37">
        <v>19</v>
      </c>
      <c r="O21" t="s">
        <v>885</v>
      </c>
      <c r="R21" s="20"/>
      <c r="S21" s="19"/>
      <c r="T21" s="19"/>
      <c r="U21" s="19"/>
      <c r="V21" s="19"/>
      <c r="W21" s="19"/>
      <c r="X21" s="19"/>
      <c r="Y21" s="19"/>
      <c r="Z21" s="19"/>
      <c r="AA21" s="19"/>
      <c r="AB21" s="19"/>
      <c r="AC21" s="19"/>
      <c r="AD21" s="19"/>
      <c r="AE21" s="6"/>
      <c r="AF21" s="483" t="s">
        <v>2908</v>
      </c>
      <c r="AG21" s="480" t="str" cm="1">
        <f t="array" ref="AG21">LEFT(AF21, 2) &amp; IF(Program_Banner= "Business Energy Savings", 2, IF(Program_Banner="Small Business / Non-Profit", 3, "#")) &amp; RIGHT(AF21,6)</f>
        <v>112224001</v>
      </c>
      <c r="AH21" s="14" t="s">
        <v>931</v>
      </c>
      <c r="AI21" s="19" t="s">
        <v>534</v>
      </c>
      <c r="AJ21" s="19"/>
      <c r="AL21" s="19">
        <v>15</v>
      </c>
      <c r="AM21" s="19"/>
      <c r="AN21" s="19"/>
      <c r="AO21" s="19"/>
      <c r="AP21" s="19"/>
      <c r="AQ21" s="19">
        <v>19</v>
      </c>
      <c r="AR21" s="19" t="s">
        <v>772</v>
      </c>
      <c r="AS21" s="20"/>
      <c r="AT21" t="s">
        <v>523</v>
      </c>
      <c r="AU21" s="19" t="s">
        <v>94</v>
      </c>
      <c r="AV21" s="50" t="s">
        <v>746</v>
      </c>
    </row>
    <row r="22" spans="5:53">
      <c r="E22" s="20"/>
      <c r="F22" s="19" t="s">
        <v>888</v>
      </c>
      <c r="G22" s="37" t="s">
        <v>889</v>
      </c>
      <c r="H22" s="19">
        <v>80</v>
      </c>
      <c r="I22" s="19"/>
      <c r="J22" s="19" t="s">
        <v>98</v>
      </c>
      <c r="K22" s="19" t="s">
        <v>890</v>
      </c>
      <c r="L22" s="19" t="s">
        <v>333</v>
      </c>
      <c r="M22" s="19" t="s">
        <v>91</v>
      </c>
      <c r="N22" s="37">
        <v>20</v>
      </c>
      <c r="O22" s="19" t="s">
        <v>885</v>
      </c>
      <c r="R22" s="20"/>
      <c r="S22" s="19"/>
      <c r="T22" s="19"/>
      <c r="U22" s="19"/>
      <c r="V22" s="19"/>
      <c r="W22" s="19"/>
      <c r="X22" s="19"/>
      <c r="Y22" s="19"/>
      <c r="Z22" s="19"/>
      <c r="AA22" s="19"/>
      <c r="AB22" s="19"/>
      <c r="AC22" s="19"/>
      <c r="AD22" s="19"/>
      <c r="AE22" s="6"/>
      <c r="AF22" s="483" t="s">
        <v>2909</v>
      </c>
      <c r="AG22" s="480" t="str" cm="1">
        <f t="array" ref="AG22">LEFT(AF22, 2) &amp; IF(Program_Banner= "Business Energy Savings", 2, IF(Program_Banner="Small Business / Non-Profit", 3, "#")) &amp; RIGHT(AF22,6)</f>
        <v>112212003</v>
      </c>
      <c r="AH22" s="14" t="s">
        <v>931</v>
      </c>
      <c r="AI22" t="s">
        <v>1269</v>
      </c>
      <c r="AJ22" s="19"/>
      <c r="AL22" s="19">
        <v>15</v>
      </c>
      <c r="AM22" s="19"/>
      <c r="AN22" s="19"/>
      <c r="AO22" s="19"/>
      <c r="AP22" s="19"/>
      <c r="AQ22" s="19">
        <v>20</v>
      </c>
      <c r="AR22" s="19" t="s">
        <v>94</v>
      </c>
      <c r="AS22" s="20"/>
      <c r="AT22" t="s">
        <v>523</v>
      </c>
      <c r="AU22" s="19" t="s">
        <v>94</v>
      </c>
      <c r="AV22" s="50" t="s">
        <v>744</v>
      </c>
    </row>
    <row r="23" spans="5:53">
      <c r="E23" s="20"/>
      <c r="F23" s="19" t="s">
        <v>891</v>
      </c>
      <c r="G23" s="37" t="s">
        <v>892</v>
      </c>
      <c r="H23" s="19">
        <v>122</v>
      </c>
      <c r="I23" s="19"/>
      <c r="J23" s="19" t="s">
        <v>98</v>
      </c>
      <c r="K23" s="19" t="s">
        <v>890</v>
      </c>
      <c r="L23" s="19" t="s">
        <v>399</v>
      </c>
      <c r="M23" s="19" t="s">
        <v>91</v>
      </c>
      <c r="N23" s="37">
        <v>21</v>
      </c>
      <c r="O23" s="19" t="s">
        <v>885</v>
      </c>
      <c r="R23" s="20"/>
      <c r="S23" s="19"/>
      <c r="T23" s="19"/>
      <c r="U23" s="19"/>
      <c r="V23" s="19"/>
      <c r="W23" s="19"/>
      <c r="X23" s="19"/>
      <c r="Y23" s="19"/>
      <c r="Z23" s="19"/>
      <c r="AA23" s="19"/>
      <c r="AB23" s="19"/>
      <c r="AC23" s="19"/>
      <c r="AD23" s="19"/>
      <c r="AE23" s="6"/>
      <c r="AF23" s="483" t="s">
        <v>2910</v>
      </c>
      <c r="AG23" s="480" t="str" cm="1">
        <f t="array" ref="AG23">LEFT(AF23, 2) &amp; IF(Program_Banner= "Business Energy Savings", 2, IF(Program_Banner="Small Business / Non-Profit", 3, "#")) &amp; RIGHT(AF23,6)</f>
        <v>112206005</v>
      </c>
      <c r="AH23" s="14" t="s">
        <v>931</v>
      </c>
      <c r="AI23" s="19" t="s">
        <v>533</v>
      </c>
      <c r="AJ23" s="19"/>
      <c r="AL23" s="19">
        <v>23</v>
      </c>
      <c r="AM23" s="19"/>
      <c r="AN23" s="19"/>
      <c r="AO23" s="19"/>
      <c r="AP23" s="19"/>
      <c r="AQ23" s="19">
        <v>21</v>
      </c>
      <c r="AR23" s="19" t="s">
        <v>1349</v>
      </c>
      <c r="AS23" s="20"/>
      <c r="AT23" t="s">
        <v>523</v>
      </c>
      <c r="AU23" s="19" t="s">
        <v>94</v>
      </c>
      <c r="AV23" s="50" t="s">
        <v>744</v>
      </c>
    </row>
    <row r="24" spans="5:53">
      <c r="E24" s="36"/>
      <c r="F24" s="37" t="s">
        <v>345</v>
      </c>
      <c r="G24" s="37" t="s">
        <v>467</v>
      </c>
      <c r="H24" s="37">
        <v>83</v>
      </c>
      <c r="I24" s="37"/>
      <c r="J24" s="37" t="s">
        <v>98</v>
      </c>
      <c r="K24" s="37" t="s">
        <v>404</v>
      </c>
      <c r="L24" s="37" t="s">
        <v>333</v>
      </c>
      <c r="M24" s="37" t="s">
        <v>91</v>
      </c>
      <c r="N24" s="37">
        <v>22</v>
      </c>
      <c r="O24" s="37" t="s">
        <v>513</v>
      </c>
      <c r="R24" s="20"/>
      <c r="S24" s="19"/>
      <c r="T24" s="19"/>
      <c r="U24" s="19"/>
      <c r="V24" s="19"/>
      <c r="W24" s="19"/>
      <c r="X24" s="19"/>
      <c r="Y24" s="19"/>
      <c r="Z24" s="19"/>
      <c r="AA24" s="19"/>
      <c r="AB24" s="19"/>
      <c r="AC24" s="19"/>
      <c r="AD24" s="19"/>
      <c r="AE24" s="6"/>
      <c r="AF24" s="483" t="s">
        <v>2997</v>
      </c>
      <c r="AG24" s="480" t="str" cm="1">
        <f t="array" ref="AG24">LEFT(AF24, 2) &amp; IF(Program_Banner= "Business Energy Savings", 2, IF(Program_Banner="Small Business / Non-Profit", 3, "#")) &amp; RIGHT(AF24,6)</f>
        <v>112222001</v>
      </c>
      <c r="AH24" s="14" t="s">
        <v>931</v>
      </c>
      <c r="AI24" t="s">
        <v>543</v>
      </c>
      <c r="AJ24" s="19"/>
      <c r="AL24" s="19"/>
      <c r="AM24" s="19"/>
      <c r="AN24" s="19"/>
      <c r="AO24" s="19"/>
      <c r="AP24" s="19"/>
      <c r="AQ24" s="19">
        <v>22</v>
      </c>
      <c r="AR24" s="19"/>
      <c r="AS24" s="20"/>
      <c r="AT24" t="s">
        <v>523</v>
      </c>
      <c r="AU24" s="19" t="s">
        <v>94</v>
      </c>
      <c r="AV24" s="50" t="s">
        <v>596</v>
      </c>
    </row>
    <row r="25" spans="5:53">
      <c r="E25" s="36"/>
      <c r="F25" s="37" t="s">
        <v>346</v>
      </c>
      <c r="G25" s="37" t="s">
        <v>468</v>
      </c>
      <c r="H25" s="37">
        <v>138</v>
      </c>
      <c r="I25" s="37"/>
      <c r="J25" s="37" t="s">
        <v>98</v>
      </c>
      <c r="K25" s="37" t="s">
        <v>404</v>
      </c>
      <c r="L25" s="37" t="s">
        <v>399</v>
      </c>
      <c r="M25" s="37" t="s">
        <v>91</v>
      </c>
      <c r="N25" s="37">
        <v>23</v>
      </c>
      <c r="O25" s="37" t="s">
        <v>513</v>
      </c>
      <c r="R25" s="20"/>
      <c r="S25" s="19"/>
      <c r="T25" s="19"/>
      <c r="U25" s="19"/>
      <c r="V25" s="19"/>
      <c r="W25" s="19"/>
      <c r="X25" s="19"/>
      <c r="Y25" s="19"/>
      <c r="Z25" s="19"/>
      <c r="AA25" s="19"/>
      <c r="AB25" s="19"/>
      <c r="AC25" s="19"/>
      <c r="AD25" s="19"/>
      <c r="AE25" s="6"/>
      <c r="AF25" s="483" t="s">
        <v>2911</v>
      </c>
      <c r="AG25" s="480" t="str" cm="1">
        <f t="array" ref="AG25">LEFT(AF25, 2) &amp; IF(Program_Banner= "Business Energy Savings", 2, IF(Program_Banner="Small Business / Non-Profit", 3, "#")) &amp; RIGHT(AF25,6)</f>
        <v>112214002</v>
      </c>
      <c r="AH25" s="6" t="s">
        <v>764</v>
      </c>
      <c r="AI25" s="384" t="s">
        <v>608</v>
      </c>
      <c r="AJ25" s="384"/>
      <c r="AL25" s="384">
        <v>15</v>
      </c>
      <c r="AM25" s="384"/>
      <c r="AN25" s="384"/>
      <c r="AO25" s="384"/>
      <c r="AP25" s="384"/>
      <c r="AQ25" s="19">
        <v>23</v>
      </c>
      <c r="AR25" s="19" t="s">
        <v>1621</v>
      </c>
      <c r="AS25" s="385"/>
      <c r="AT25" t="s">
        <v>84</v>
      </c>
      <c r="AU25" s="19" t="s">
        <v>94</v>
      </c>
      <c r="AV25" s="50" t="s">
        <v>746</v>
      </c>
    </row>
    <row r="26" spans="5:53">
      <c r="E26" s="36"/>
      <c r="F26" s="37" t="s">
        <v>347</v>
      </c>
      <c r="G26" s="37" t="s">
        <v>469</v>
      </c>
      <c r="H26" s="37">
        <v>221</v>
      </c>
      <c r="I26" s="37"/>
      <c r="J26" s="37" t="s">
        <v>98</v>
      </c>
      <c r="K26" s="37" t="s">
        <v>404</v>
      </c>
      <c r="L26" s="37" t="s">
        <v>402</v>
      </c>
      <c r="M26" s="37" t="s">
        <v>91</v>
      </c>
      <c r="N26" s="37">
        <v>24</v>
      </c>
      <c r="O26" s="37" t="s">
        <v>513</v>
      </c>
      <c r="R26" s="20"/>
      <c r="S26" s="19"/>
      <c r="T26" s="19"/>
      <c r="U26" s="19"/>
      <c r="V26" s="19"/>
      <c r="W26" s="19"/>
      <c r="X26" s="19"/>
      <c r="Y26" s="19"/>
      <c r="Z26" s="19"/>
      <c r="AA26" s="19"/>
      <c r="AB26" s="19"/>
      <c r="AC26" s="19"/>
      <c r="AD26" s="19"/>
      <c r="AE26" s="6"/>
      <c r="AF26" s="483" t="s">
        <v>2912</v>
      </c>
      <c r="AG26" s="480" t="str" cm="1">
        <f t="array" ref="AG26">LEFT(AF26, 2) &amp; IF(Program_Banner= "Business Energy Savings", 2, IF(Program_Banner="Small Business / Non-Profit", 3, "#")) &amp; RIGHT(AF26,6)</f>
        <v>112206002</v>
      </c>
      <c r="AH26" s="6" t="s">
        <v>764</v>
      </c>
      <c r="AI26" s="19" t="s">
        <v>435</v>
      </c>
      <c r="AJ26" s="19"/>
      <c r="AL26" s="19">
        <v>23</v>
      </c>
      <c r="AM26" s="19"/>
      <c r="AN26" s="19"/>
      <c r="AO26" s="19"/>
      <c r="AP26" s="19"/>
      <c r="AQ26" s="19">
        <v>24</v>
      </c>
      <c r="AR26" s="19" t="s">
        <v>1349</v>
      </c>
      <c r="AS26" s="20"/>
      <c r="AT26" t="s">
        <v>84</v>
      </c>
      <c r="AU26" s="19" t="s">
        <v>94</v>
      </c>
      <c r="AV26" s="50" t="s">
        <v>744</v>
      </c>
    </row>
    <row r="27" spans="5:53">
      <c r="E27" s="36"/>
      <c r="F27" s="37" t="s">
        <v>348</v>
      </c>
      <c r="G27" s="37" t="s">
        <v>470</v>
      </c>
      <c r="H27" s="37">
        <v>276</v>
      </c>
      <c r="I27" s="37"/>
      <c r="J27" s="37" t="s">
        <v>98</v>
      </c>
      <c r="K27" s="37" t="s">
        <v>404</v>
      </c>
      <c r="L27" s="37" t="s">
        <v>403</v>
      </c>
      <c r="M27" s="37" t="s">
        <v>91</v>
      </c>
      <c r="N27" s="37">
        <v>25</v>
      </c>
      <c r="O27" s="37" t="s">
        <v>513</v>
      </c>
      <c r="R27" s="20"/>
      <c r="S27" s="19"/>
      <c r="T27" s="19"/>
      <c r="U27" s="19"/>
      <c r="V27" s="19"/>
      <c r="W27" s="19"/>
      <c r="X27" s="19"/>
      <c r="Y27" s="19"/>
      <c r="Z27" s="19"/>
      <c r="AA27" s="19"/>
      <c r="AB27" s="19"/>
      <c r="AC27" s="19"/>
      <c r="AD27" s="19"/>
      <c r="AE27" s="6"/>
      <c r="AF27" s="483" t="s">
        <v>2913</v>
      </c>
      <c r="AG27" s="480" t="str" cm="1">
        <f t="array" ref="AG27">LEFT(AF27, 2) &amp; IF(Program_Banner= "Business Energy Savings", 2, IF(Program_Banner="Small Business / Non-Profit", 3, "#")) &amp; RIGHT(AF27,6)</f>
        <v>112208002</v>
      </c>
      <c r="AH27" s="6" t="s">
        <v>764</v>
      </c>
      <c r="AI27" s="384" t="s">
        <v>606</v>
      </c>
      <c r="AJ27" s="384"/>
      <c r="AL27" s="384">
        <v>15</v>
      </c>
      <c r="AM27" s="384"/>
      <c r="AN27" s="384"/>
      <c r="AO27" s="384"/>
      <c r="AP27" s="384"/>
      <c r="AQ27" s="19">
        <v>25</v>
      </c>
      <c r="AR27" s="19" t="s">
        <v>1621</v>
      </c>
      <c r="AS27" s="385"/>
      <c r="AT27" t="s">
        <v>84</v>
      </c>
      <c r="AU27" s="19" t="s">
        <v>94</v>
      </c>
      <c r="AV27" s="50" t="s">
        <v>744</v>
      </c>
    </row>
    <row r="28" spans="5:53">
      <c r="E28" s="36"/>
      <c r="F28" s="37" t="s">
        <v>349</v>
      </c>
      <c r="G28" s="37" t="s">
        <v>471</v>
      </c>
      <c r="H28" s="37">
        <v>125</v>
      </c>
      <c r="I28" s="37"/>
      <c r="J28" s="37" t="s">
        <v>405</v>
      </c>
      <c r="K28" s="37" t="s">
        <v>404</v>
      </c>
      <c r="L28" s="37" t="s">
        <v>333</v>
      </c>
      <c r="M28" s="37" t="s">
        <v>91</v>
      </c>
      <c r="N28" s="37">
        <v>26</v>
      </c>
      <c r="O28" s="37" t="s">
        <v>513</v>
      </c>
      <c r="R28" s="20"/>
      <c r="S28" s="19"/>
      <c r="T28" s="19"/>
      <c r="U28" s="19"/>
      <c r="V28" s="19"/>
      <c r="W28" s="19"/>
      <c r="X28" s="19"/>
      <c r="Y28" s="19"/>
      <c r="Z28" s="19"/>
      <c r="AA28" s="19"/>
      <c r="AB28" s="19"/>
      <c r="AC28" s="19"/>
      <c r="AD28" s="19"/>
      <c r="AE28" s="6"/>
      <c r="AF28" s="483" t="s">
        <v>2914</v>
      </c>
      <c r="AG28" s="480" t="str" cm="1">
        <f t="array" ref="AG28">LEFT(AF28, 2) &amp; IF(Program_Banner= "Business Energy Savings", 2, IF(Program_Banner="Small Business / Non-Profit", 3, "#")) &amp; RIGHT(AF28,6)</f>
        <v>112212002</v>
      </c>
      <c r="AH28" s="6" t="s">
        <v>764</v>
      </c>
      <c r="AI28" s="19" t="s">
        <v>437</v>
      </c>
      <c r="AJ28" s="19"/>
      <c r="AL28" s="19">
        <v>15</v>
      </c>
      <c r="AM28" s="19"/>
      <c r="AN28" s="19"/>
      <c r="AO28" s="19"/>
      <c r="AP28" s="19"/>
      <c r="AQ28" s="19">
        <v>26</v>
      </c>
      <c r="AR28" s="19" t="s">
        <v>1349</v>
      </c>
      <c r="AS28" s="20"/>
      <c r="AT28" t="s">
        <v>84</v>
      </c>
      <c r="AU28" s="19" t="s">
        <v>94</v>
      </c>
      <c r="AV28" s="50" t="s">
        <v>744</v>
      </c>
    </row>
    <row r="29" spans="5:53">
      <c r="E29" s="36"/>
      <c r="F29" s="37" t="s">
        <v>350</v>
      </c>
      <c r="G29" s="37" t="s">
        <v>472</v>
      </c>
      <c r="H29" s="37">
        <v>227</v>
      </c>
      <c r="I29" s="37"/>
      <c r="J29" s="37" t="s">
        <v>405</v>
      </c>
      <c r="K29" s="37" t="s">
        <v>404</v>
      </c>
      <c r="L29" s="37" t="s">
        <v>399</v>
      </c>
      <c r="M29" s="37" t="s">
        <v>91</v>
      </c>
      <c r="N29" s="37">
        <v>27</v>
      </c>
      <c r="O29" s="37" t="s">
        <v>513</v>
      </c>
      <c r="R29" s="20"/>
      <c r="S29" s="19"/>
      <c r="T29" s="19"/>
      <c r="U29" s="19"/>
      <c r="V29" s="19"/>
      <c r="W29" s="19"/>
      <c r="X29" s="19"/>
      <c r="Y29" s="19"/>
      <c r="Z29" s="19"/>
      <c r="AA29" s="19"/>
      <c r="AB29" s="19"/>
      <c r="AC29" s="19"/>
      <c r="AD29" s="19"/>
      <c r="AE29" s="6"/>
      <c r="AF29" s="483" t="s">
        <v>2915</v>
      </c>
      <c r="AG29" s="480" t="str" cm="1">
        <f t="array" ref="AG29">LEFT(AF29, 2) &amp; IF(Program_Banner= "Business Energy Savings", 2, IF(Program_Banner="Small Business / Non-Profit", 3, "#")) &amp; RIGHT(AF29,6)</f>
        <v>112214004</v>
      </c>
      <c r="AH29" s="6" t="s">
        <v>764</v>
      </c>
      <c r="AI29" s="19" t="s">
        <v>434</v>
      </c>
      <c r="AJ29" s="19"/>
      <c r="AL29" s="19">
        <v>15</v>
      </c>
      <c r="AM29" s="19"/>
      <c r="AN29" s="19"/>
      <c r="AO29" s="19"/>
      <c r="AP29" s="19"/>
      <c r="AQ29" s="19">
        <v>27</v>
      </c>
      <c r="AR29" s="19" t="s">
        <v>1621</v>
      </c>
      <c r="AS29" s="20"/>
      <c r="AT29" t="s">
        <v>84</v>
      </c>
      <c r="AU29" s="19" t="s">
        <v>94</v>
      </c>
      <c r="AV29" s="50" t="s">
        <v>745</v>
      </c>
    </row>
    <row r="30" spans="5:53">
      <c r="E30" s="36"/>
      <c r="F30" s="37" t="s">
        <v>351</v>
      </c>
      <c r="G30" s="37" t="s">
        <v>665</v>
      </c>
      <c r="H30" s="37">
        <v>352</v>
      </c>
      <c r="I30" s="37"/>
      <c r="J30" s="37" t="s">
        <v>405</v>
      </c>
      <c r="K30" s="37" t="s">
        <v>404</v>
      </c>
      <c r="L30" s="37" t="s">
        <v>402</v>
      </c>
      <c r="M30" s="37" t="s">
        <v>91</v>
      </c>
      <c r="N30" s="37">
        <v>28</v>
      </c>
      <c r="O30" s="37" t="s">
        <v>513</v>
      </c>
      <c r="R30" s="20"/>
      <c r="S30" s="19"/>
      <c r="T30" s="19"/>
      <c r="U30" s="19"/>
      <c r="V30" s="19"/>
      <c r="W30" s="19"/>
      <c r="X30" s="19"/>
      <c r="Y30" s="19"/>
      <c r="Z30" s="19"/>
      <c r="AA30" s="19"/>
      <c r="AB30" s="19"/>
      <c r="AC30" s="19"/>
      <c r="AD30" s="19"/>
      <c r="AE30" s="6"/>
      <c r="AF30" s="483" t="s">
        <v>2916</v>
      </c>
      <c r="AG30" s="480" t="str" cm="1">
        <f t="array" ref="AG30">LEFT(AF30, 2) &amp; IF(Program_Banner= "Business Energy Savings", 2, IF(Program_Banner="Small Business / Non-Profit", 3, "#")) &amp; RIGHT(AF30,6)</f>
        <v>112210002</v>
      </c>
      <c r="AH30" s="6" t="s">
        <v>764</v>
      </c>
      <c r="AI30" s="19" t="s">
        <v>452</v>
      </c>
      <c r="AJ30" s="19"/>
      <c r="AL30" s="19">
        <v>15</v>
      </c>
      <c r="AM30" s="19"/>
      <c r="AN30" s="19"/>
      <c r="AO30" s="19"/>
      <c r="AP30" s="19"/>
      <c r="AQ30" s="19">
        <v>28</v>
      </c>
      <c r="AR30" s="19" t="s">
        <v>772</v>
      </c>
      <c r="AS30" s="20"/>
      <c r="AT30" t="s">
        <v>84</v>
      </c>
      <c r="AU30" s="19" t="s">
        <v>94</v>
      </c>
      <c r="AV30" s="50" t="s">
        <v>746</v>
      </c>
    </row>
    <row r="31" spans="5:53">
      <c r="E31" s="36"/>
      <c r="F31" s="37" t="s">
        <v>352</v>
      </c>
      <c r="G31" s="37" t="s">
        <v>664</v>
      </c>
      <c r="H31" s="37">
        <v>454</v>
      </c>
      <c r="I31" s="37"/>
      <c r="J31" s="37" t="s">
        <v>405</v>
      </c>
      <c r="K31" s="37" t="s">
        <v>404</v>
      </c>
      <c r="L31" s="37" t="s">
        <v>403</v>
      </c>
      <c r="M31" s="37" t="s">
        <v>91</v>
      </c>
      <c r="N31" s="37">
        <v>29</v>
      </c>
      <c r="O31" s="37" t="s">
        <v>513</v>
      </c>
      <c r="R31" s="20"/>
      <c r="S31" s="19"/>
      <c r="T31" s="19"/>
      <c r="U31" s="19"/>
      <c r="V31" s="19"/>
      <c r="W31" s="19"/>
      <c r="X31" s="19"/>
      <c r="Y31" s="19"/>
      <c r="Z31" s="19"/>
      <c r="AA31" s="19"/>
      <c r="AB31" s="19"/>
      <c r="AC31" s="19"/>
      <c r="AD31" s="19"/>
      <c r="AE31" s="6"/>
      <c r="AF31" s="483" t="s">
        <v>2917</v>
      </c>
      <c r="AG31" s="480" t="str" cm="1">
        <f t="array" ref="AG31">LEFT(AF31, 2) &amp; IF(Program_Banner= "Business Energy Savings", 2, IF(Program_Banner="Small Business / Non-Profit", 3, "#")) &amp; RIGHT(AF31,6)</f>
        <v>112213002</v>
      </c>
      <c r="AH31" s="6" t="s">
        <v>764</v>
      </c>
      <c r="AI31" t="s">
        <v>1271</v>
      </c>
      <c r="AJ31" s="19"/>
      <c r="AL31" s="19">
        <v>10</v>
      </c>
      <c r="AM31" s="19"/>
      <c r="AN31" s="19"/>
      <c r="AO31" s="19"/>
      <c r="AP31" s="19"/>
      <c r="AQ31" s="19">
        <v>29</v>
      </c>
      <c r="AR31" t="s">
        <v>1385</v>
      </c>
      <c r="AS31" s="20"/>
      <c r="AT31" t="s">
        <v>84</v>
      </c>
      <c r="AU31" s="19" t="s">
        <v>94</v>
      </c>
      <c r="AV31" t="s">
        <v>1278</v>
      </c>
    </row>
    <row r="32" spans="5:53">
      <c r="E32" s="36"/>
      <c r="F32" s="37" t="s">
        <v>353</v>
      </c>
      <c r="G32" s="37" t="s">
        <v>473</v>
      </c>
      <c r="H32" s="37">
        <v>200</v>
      </c>
      <c r="I32" s="37"/>
      <c r="J32" s="37" t="s">
        <v>406</v>
      </c>
      <c r="K32" s="37" t="s">
        <v>404</v>
      </c>
      <c r="L32" s="37" t="s">
        <v>333</v>
      </c>
      <c r="M32" s="37" t="s">
        <v>91</v>
      </c>
      <c r="N32" s="37">
        <v>30</v>
      </c>
      <c r="O32" s="37" t="s">
        <v>513</v>
      </c>
      <c r="R32" s="20"/>
      <c r="S32" s="19"/>
      <c r="T32" s="19"/>
      <c r="U32" s="19"/>
      <c r="V32" s="19"/>
      <c r="W32" s="19"/>
      <c r="X32" s="19"/>
      <c r="Y32" s="19"/>
      <c r="Z32" s="19"/>
      <c r="AA32" s="19"/>
      <c r="AB32" s="19"/>
      <c r="AC32" s="19"/>
      <c r="AD32" s="19"/>
      <c r="AE32" s="6"/>
      <c r="AF32" s="483" t="s">
        <v>2918</v>
      </c>
      <c r="AG32" s="480" t="str" cm="1">
        <f t="array" ref="AG32">LEFT(AF32, 2) &amp; IF(Program_Banner= "Business Energy Savings", 2, IF(Program_Banner="Small Business / Non-Profit", 3, "#")) &amp; RIGHT(AF32,6)</f>
        <v>112204002</v>
      </c>
      <c r="AH32" s="6" t="s">
        <v>764</v>
      </c>
      <c r="AI32" t="s">
        <v>1822</v>
      </c>
      <c r="AL32">
        <v>15</v>
      </c>
      <c r="AQ32" s="19">
        <v>30</v>
      </c>
      <c r="AR32" s="19" t="s">
        <v>94</v>
      </c>
      <c r="AS32" s="14"/>
      <c r="AT32" s="386" t="s">
        <v>84</v>
      </c>
      <c r="AU32" t="s">
        <v>94</v>
      </c>
      <c r="AV32" t="s">
        <v>1877</v>
      </c>
    </row>
    <row r="33" spans="5:49">
      <c r="E33" s="36"/>
      <c r="F33" s="37" t="s">
        <v>354</v>
      </c>
      <c r="G33" s="37" t="s">
        <v>474</v>
      </c>
      <c r="H33" s="37">
        <v>390</v>
      </c>
      <c r="I33" s="37"/>
      <c r="J33" s="37" t="s">
        <v>406</v>
      </c>
      <c r="K33" s="37" t="s">
        <v>404</v>
      </c>
      <c r="L33" s="37" t="s">
        <v>399</v>
      </c>
      <c r="M33" s="37" t="s">
        <v>91</v>
      </c>
      <c r="N33" s="37">
        <v>31</v>
      </c>
      <c r="O33" s="37" t="s">
        <v>513</v>
      </c>
      <c r="R33" s="20"/>
      <c r="S33" s="19"/>
      <c r="T33" s="19"/>
      <c r="U33" s="19"/>
      <c r="V33" s="19"/>
      <c r="W33" s="19"/>
      <c r="X33" s="19"/>
      <c r="Y33" s="19"/>
      <c r="Z33" s="19"/>
      <c r="AA33" s="19"/>
      <c r="AB33" s="19"/>
      <c r="AC33" s="19"/>
      <c r="AD33" s="19"/>
      <c r="AE33" s="6"/>
      <c r="AF33" s="483" t="s">
        <v>2919</v>
      </c>
      <c r="AG33" s="480" t="str" cm="1">
        <f t="array" ref="AG33">LEFT(AF33, 2) &amp; IF(Program_Banner= "Business Energy Savings", 2, IF(Program_Banner="Small Business / Non-Profit", 3, "#")) &amp; RIGHT(AF33,6)</f>
        <v>112204004</v>
      </c>
      <c r="AH33" s="6" t="s">
        <v>764</v>
      </c>
      <c r="AI33" t="s">
        <v>1274</v>
      </c>
      <c r="AJ33" s="19"/>
      <c r="AL33" s="19">
        <v>10</v>
      </c>
      <c r="AM33" s="19"/>
      <c r="AN33" s="19"/>
      <c r="AO33" s="19"/>
      <c r="AP33" s="19"/>
      <c r="AQ33" s="19">
        <v>31</v>
      </c>
      <c r="AR33" s="19" t="s">
        <v>1622</v>
      </c>
      <c r="AS33" s="20"/>
      <c r="AT33" t="s">
        <v>84</v>
      </c>
      <c r="AU33" s="19" t="s">
        <v>94</v>
      </c>
      <c r="AV33" s="50" t="s">
        <v>744</v>
      </c>
    </row>
    <row r="34" spans="5:49">
      <c r="E34" s="36"/>
      <c r="F34" s="37" t="s">
        <v>355</v>
      </c>
      <c r="G34" s="37" t="s">
        <v>475</v>
      </c>
      <c r="H34" s="37">
        <v>590</v>
      </c>
      <c r="I34" s="37"/>
      <c r="J34" s="37" t="s">
        <v>406</v>
      </c>
      <c r="K34" s="37" t="s">
        <v>404</v>
      </c>
      <c r="L34" s="37" t="s">
        <v>402</v>
      </c>
      <c r="M34" s="37" t="s">
        <v>91</v>
      </c>
      <c r="N34" s="37">
        <v>32</v>
      </c>
      <c r="O34" s="37" t="s">
        <v>513</v>
      </c>
      <c r="R34" s="20"/>
      <c r="S34" s="19"/>
      <c r="T34" s="19"/>
      <c r="U34" s="19"/>
      <c r="V34" s="19"/>
      <c r="W34" s="19"/>
      <c r="X34" s="19"/>
      <c r="Y34" s="19"/>
      <c r="Z34" s="19"/>
      <c r="AA34" s="19"/>
      <c r="AB34" s="19"/>
      <c r="AC34" s="19"/>
      <c r="AD34" s="19"/>
      <c r="AE34" s="6"/>
      <c r="AF34" s="483" t="s">
        <v>2920</v>
      </c>
      <c r="AG34" s="480" t="str" cm="1">
        <f t="array" ref="AG34">LEFT(AF34, 2) &amp; IF(Program_Banner= "Business Energy Savings", 2, IF(Program_Banner="Small Business / Non-Profit", 3, "#")) &amp; RIGHT(AF34,6)</f>
        <v>112204006</v>
      </c>
      <c r="AH34" s="6" t="s">
        <v>764</v>
      </c>
      <c r="AI34" t="s">
        <v>1275</v>
      </c>
      <c r="AJ34" s="19"/>
      <c r="AK34" s="19"/>
      <c r="AL34" s="19">
        <v>15</v>
      </c>
      <c r="AM34" s="19"/>
      <c r="AN34" s="19"/>
      <c r="AO34" s="19"/>
      <c r="AP34" s="19"/>
      <c r="AQ34" s="19">
        <v>32</v>
      </c>
      <c r="AR34" s="19" t="s">
        <v>772</v>
      </c>
      <c r="AS34" s="20"/>
      <c r="AT34" t="s">
        <v>84</v>
      </c>
      <c r="AU34" s="19" t="s">
        <v>94</v>
      </c>
      <c r="AV34" t="s">
        <v>746</v>
      </c>
    </row>
    <row r="35" spans="5:49">
      <c r="E35" s="36"/>
      <c r="F35" s="37" t="s">
        <v>334</v>
      </c>
      <c r="G35" s="37" t="s">
        <v>666</v>
      </c>
      <c r="H35" s="37">
        <v>780</v>
      </c>
      <c r="I35" s="37"/>
      <c r="J35" s="37" t="s">
        <v>406</v>
      </c>
      <c r="K35" s="37" t="s">
        <v>404</v>
      </c>
      <c r="L35" s="37" t="s">
        <v>403</v>
      </c>
      <c r="M35" s="37" t="s">
        <v>91</v>
      </c>
      <c r="N35" s="37">
        <v>33</v>
      </c>
      <c r="O35" s="37" t="s">
        <v>513</v>
      </c>
      <c r="R35" s="20"/>
      <c r="S35" s="19"/>
      <c r="T35" s="19"/>
      <c r="U35" s="19"/>
      <c r="V35" s="19"/>
      <c r="W35" s="19"/>
      <c r="X35" s="19"/>
      <c r="Y35" s="19"/>
      <c r="Z35" s="19"/>
      <c r="AA35" s="19"/>
      <c r="AB35" s="19"/>
      <c r="AC35" s="19"/>
      <c r="AD35" s="19"/>
      <c r="AE35" s="6"/>
      <c r="AF35" s="483" t="s">
        <v>2921</v>
      </c>
      <c r="AG35" s="480" t="str" cm="1">
        <f t="array" ref="AG35">LEFT(AF35, 2) &amp; IF(Program_Banner= "Business Energy Savings", 2, IF(Program_Banner="Small Business / Non-Profit", 3, "#")) &amp; RIGHT(AF35,6)</f>
        <v>112209002</v>
      </c>
      <c r="AH35" s="6" t="s">
        <v>764</v>
      </c>
      <c r="AI35" t="s">
        <v>1265</v>
      </c>
      <c r="AJ35" s="19"/>
      <c r="AL35" s="19">
        <v>15</v>
      </c>
      <c r="AM35" s="19"/>
      <c r="AN35" s="19"/>
      <c r="AO35" s="19"/>
      <c r="AP35" s="19"/>
      <c r="AQ35" s="19">
        <v>33</v>
      </c>
      <c r="AR35" s="19" t="s">
        <v>94</v>
      </c>
      <c r="AS35" s="20"/>
      <c r="AT35" t="s">
        <v>84</v>
      </c>
      <c r="AU35" s="19" t="s">
        <v>94</v>
      </c>
      <c r="AV35" t="s">
        <v>1278</v>
      </c>
    </row>
    <row r="36" spans="5:49">
      <c r="E36" s="36"/>
      <c r="F36" s="37" t="s">
        <v>108</v>
      </c>
      <c r="G36" s="37" t="s">
        <v>476</v>
      </c>
      <c r="H36" s="37">
        <v>48</v>
      </c>
      <c r="I36" s="37"/>
      <c r="J36" s="37" t="s">
        <v>98</v>
      </c>
      <c r="K36" s="37" t="s">
        <v>401</v>
      </c>
      <c r="L36" s="37" t="s">
        <v>333</v>
      </c>
      <c r="M36" s="37" t="s">
        <v>91</v>
      </c>
      <c r="N36" s="37">
        <v>34</v>
      </c>
      <c r="O36" s="37" t="s">
        <v>513</v>
      </c>
      <c r="P36" s="22"/>
      <c r="Q36" s="22"/>
      <c r="R36" s="20"/>
      <c r="S36" s="19"/>
      <c r="T36" s="19"/>
      <c r="U36" s="19"/>
      <c r="V36" s="19"/>
      <c r="W36" s="19"/>
      <c r="X36" s="19"/>
      <c r="Y36" s="19"/>
      <c r="Z36" s="19"/>
      <c r="AA36" s="19"/>
      <c r="AB36" s="19"/>
      <c r="AC36" s="19"/>
      <c r="AD36" s="19"/>
      <c r="AE36" s="6"/>
      <c r="AF36" s="483" t="s">
        <v>2922</v>
      </c>
      <c r="AG36" s="480" t="str" cm="1">
        <f t="array" ref="AG36">LEFT(AF36, 2) &amp; IF(Program_Banner= "Business Energy Savings", 2, IF(Program_Banner="Small Business / Non-Profit", 3, "#")) &amp; RIGHT(AF36,6)</f>
        <v>112209004</v>
      </c>
      <c r="AH36" s="6" t="s">
        <v>764</v>
      </c>
      <c r="AI36" t="s">
        <v>1266</v>
      </c>
      <c r="AJ36" s="19"/>
      <c r="AL36" s="19">
        <v>15</v>
      </c>
      <c r="AM36" s="19"/>
      <c r="AN36" s="19"/>
      <c r="AO36" s="19"/>
      <c r="AP36" s="19"/>
      <c r="AQ36" s="19">
        <v>34</v>
      </c>
      <c r="AR36" s="19" t="s">
        <v>94</v>
      </c>
      <c r="AS36" s="20"/>
      <c r="AT36" t="s">
        <v>84</v>
      </c>
      <c r="AU36" s="19" t="s">
        <v>94</v>
      </c>
      <c r="AV36" t="s">
        <v>1278</v>
      </c>
    </row>
    <row r="37" spans="5:49">
      <c r="E37" s="36"/>
      <c r="F37" s="37" t="s">
        <v>109</v>
      </c>
      <c r="G37" s="37" t="s">
        <v>477</v>
      </c>
      <c r="H37" s="37">
        <v>72</v>
      </c>
      <c r="I37" s="37"/>
      <c r="J37" s="37" t="s">
        <v>98</v>
      </c>
      <c r="K37" s="37" t="s">
        <v>401</v>
      </c>
      <c r="L37" s="37" t="s">
        <v>399</v>
      </c>
      <c r="M37" s="37" t="s">
        <v>91</v>
      </c>
      <c r="N37" s="37">
        <v>35</v>
      </c>
      <c r="O37" s="37" t="s">
        <v>513</v>
      </c>
      <c r="P37" s="22"/>
      <c r="Q37" s="22"/>
      <c r="R37" s="20"/>
      <c r="S37" s="19"/>
      <c r="T37" s="19"/>
      <c r="U37" s="19"/>
      <c r="V37" s="19"/>
      <c r="W37" s="19"/>
      <c r="X37" s="19"/>
      <c r="Y37" s="19"/>
      <c r="Z37" s="19"/>
      <c r="AA37" s="19"/>
      <c r="AB37" s="19"/>
      <c r="AC37" s="19"/>
      <c r="AD37" s="19"/>
      <c r="AE37" s="6"/>
      <c r="AF37" s="483" t="s">
        <v>2923</v>
      </c>
      <c r="AG37" s="480" t="str" cm="1">
        <f t="array" ref="AG37">LEFT(AF37, 2) &amp; IF(Program_Banner= "Business Energy Savings", 2, IF(Program_Banner="Small Business / Non-Profit", 3, "#")) &amp; RIGHT(AF37,6)</f>
        <v>112214006</v>
      </c>
      <c r="AH37" s="6" t="s">
        <v>764</v>
      </c>
      <c r="AI37" s="19" t="s">
        <v>1839</v>
      </c>
      <c r="AJ37" s="19"/>
      <c r="AL37" s="19">
        <v>15</v>
      </c>
      <c r="AM37" s="19"/>
      <c r="AN37" s="19"/>
      <c r="AO37" s="19"/>
      <c r="AP37" s="19"/>
      <c r="AQ37" s="19">
        <v>35</v>
      </c>
      <c r="AR37" s="19" t="s">
        <v>1622</v>
      </c>
      <c r="AS37" s="20"/>
      <c r="AT37" t="s">
        <v>84</v>
      </c>
      <c r="AU37" s="19" t="s">
        <v>94</v>
      </c>
      <c r="AV37" s="50" t="s">
        <v>745</v>
      </c>
    </row>
    <row r="38" spans="5:49">
      <c r="E38" s="36"/>
      <c r="F38" s="37" t="s">
        <v>644</v>
      </c>
      <c r="G38" s="37" t="s">
        <v>667</v>
      </c>
      <c r="H38" s="37">
        <v>115</v>
      </c>
      <c r="I38" s="37"/>
      <c r="J38" s="37" t="s">
        <v>98</v>
      </c>
      <c r="K38" s="37" t="s">
        <v>401</v>
      </c>
      <c r="L38" s="37" t="s">
        <v>402</v>
      </c>
      <c r="M38" s="37" t="s">
        <v>91</v>
      </c>
      <c r="N38" s="37">
        <v>36</v>
      </c>
      <c r="O38" s="37" t="s">
        <v>514</v>
      </c>
      <c r="P38" s="22"/>
      <c r="Q38" s="22"/>
      <c r="R38" s="20"/>
      <c r="S38" s="19"/>
      <c r="T38" s="19"/>
      <c r="U38" s="19"/>
      <c r="V38" s="19"/>
      <c r="W38" s="19"/>
      <c r="X38" s="19"/>
      <c r="Y38" s="19"/>
      <c r="Z38" s="19"/>
      <c r="AA38" s="19"/>
      <c r="AB38" s="19"/>
      <c r="AC38" s="19"/>
      <c r="AD38" s="19"/>
      <c r="AE38" s="6"/>
      <c r="AF38" s="483" t="s">
        <v>2924</v>
      </c>
      <c r="AG38" s="480" t="str" cm="1">
        <f t="array" ref="AG38">LEFT(AF38, 2) &amp; IF(Program_Banner= "Business Energy Savings", 2, IF(Program_Banner="Small Business / Non-Profit", 3, "#")) &amp; RIGHT(AF38,6)</f>
        <v>112214008</v>
      </c>
      <c r="AH38" s="6" t="s">
        <v>764</v>
      </c>
      <c r="AI38" s="19" t="s">
        <v>1841</v>
      </c>
      <c r="AJ38" s="19"/>
      <c r="AL38" s="19">
        <v>15</v>
      </c>
      <c r="AM38" s="19"/>
      <c r="AN38" s="19"/>
      <c r="AO38" s="19"/>
      <c r="AP38" s="19"/>
      <c r="AQ38" s="19">
        <v>36</v>
      </c>
      <c r="AR38" s="19" t="s">
        <v>1621</v>
      </c>
      <c r="AS38" s="20"/>
      <c r="AT38" t="s">
        <v>84</v>
      </c>
      <c r="AU38" s="19" t="s">
        <v>94</v>
      </c>
      <c r="AV38" t="s">
        <v>745</v>
      </c>
    </row>
    <row r="39" spans="5:49">
      <c r="E39" s="36"/>
      <c r="F39" s="37" t="s">
        <v>610</v>
      </c>
      <c r="G39" s="37"/>
      <c r="H39" s="37" t="s">
        <v>465</v>
      </c>
      <c r="I39" s="37"/>
      <c r="J39" s="37"/>
      <c r="K39" s="37"/>
      <c r="L39" s="37"/>
      <c r="M39" s="37"/>
      <c r="N39" s="37">
        <v>37</v>
      </c>
      <c r="O39" s="37"/>
      <c r="P39" s="22"/>
      <c r="Q39" s="22"/>
      <c r="R39" s="20"/>
      <c r="S39" s="19"/>
      <c r="T39" s="19"/>
      <c r="U39" s="19"/>
      <c r="V39" s="19"/>
      <c r="W39" s="19"/>
      <c r="X39" s="19"/>
      <c r="Y39" s="19"/>
      <c r="Z39" s="19"/>
      <c r="AA39" s="19"/>
      <c r="AB39" s="19"/>
      <c r="AC39" s="19"/>
      <c r="AD39" s="19"/>
      <c r="AE39" s="6"/>
      <c r="AF39" s="483" t="s">
        <v>2925</v>
      </c>
      <c r="AG39" s="480" t="str" cm="1">
        <f t="array" ref="AG39">LEFT(AF39, 2) &amp; IF(Program_Banner= "Business Energy Savings", 2, IF(Program_Banner="Small Business / Non-Profit", 3, "#")) &amp; RIGHT(AF39,6)</f>
        <v>112204008</v>
      </c>
      <c r="AH39" s="6" t="s">
        <v>764</v>
      </c>
      <c r="AI39" t="s">
        <v>631</v>
      </c>
      <c r="AL39">
        <v>15</v>
      </c>
      <c r="AQ39" s="19">
        <v>37</v>
      </c>
      <c r="AR39" s="19" t="s">
        <v>772</v>
      </c>
      <c r="AS39" s="14"/>
      <c r="AT39" t="s">
        <v>84</v>
      </c>
      <c r="AU39" t="s">
        <v>94</v>
      </c>
      <c r="AV39" t="s">
        <v>746</v>
      </c>
    </row>
    <row r="40" spans="5:49">
      <c r="E40" s="36"/>
      <c r="F40" s="37" t="s">
        <v>356</v>
      </c>
      <c r="G40" s="37" t="s">
        <v>478</v>
      </c>
      <c r="H40" s="37">
        <v>16</v>
      </c>
      <c r="I40" s="37"/>
      <c r="J40" s="37" t="s">
        <v>93</v>
      </c>
      <c r="K40" s="37" t="s">
        <v>330</v>
      </c>
      <c r="L40" s="37" t="s">
        <v>333</v>
      </c>
      <c r="M40" s="37" t="s">
        <v>91</v>
      </c>
      <c r="N40" s="37">
        <v>38</v>
      </c>
      <c r="O40" s="37" t="s">
        <v>514</v>
      </c>
      <c r="P40" s="22"/>
      <c r="Q40" s="22"/>
      <c r="R40" s="20"/>
      <c r="S40" s="19"/>
      <c r="T40" s="19"/>
      <c r="U40" s="19"/>
      <c r="V40" s="19"/>
      <c r="W40" s="19"/>
      <c r="X40" s="19"/>
      <c r="Y40" s="19"/>
      <c r="Z40" s="19"/>
      <c r="AA40" s="19"/>
      <c r="AB40" s="19"/>
      <c r="AC40" s="19"/>
      <c r="AD40" s="19"/>
      <c r="AE40" s="6"/>
      <c r="AF40" s="483" t="s">
        <v>2926</v>
      </c>
      <c r="AG40" s="480" t="str" cm="1">
        <f t="array" ref="AG40">LEFT(AF40, 2) &amp; IF(Program_Banner= "Business Energy Savings", 2, IF(Program_Banner="Small Business / Non-Profit", 3, "#")) &amp; RIGHT(AF40,6)</f>
        <v>112214010</v>
      </c>
      <c r="AH40" s="6" t="s">
        <v>764</v>
      </c>
      <c r="AI40" t="s">
        <v>1830</v>
      </c>
      <c r="AL40">
        <v>8</v>
      </c>
      <c r="AQ40" s="19">
        <v>38</v>
      </c>
      <c r="AR40" s="19" t="s">
        <v>1622</v>
      </c>
      <c r="AS40" s="14"/>
      <c r="AT40" t="s">
        <v>84</v>
      </c>
      <c r="AU40" t="s">
        <v>94</v>
      </c>
      <c r="AV40" t="s">
        <v>745</v>
      </c>
    </row>
    <row r="41" spans="5:49">
      <c r="E41" s="36"/>
      <c r="F41" s="37" t="s">
        <v>357</v>
      </c>
      <c r="G41" s="37" t="s">
        <v>479</v>
      </c>
      <c r="H41" s="37">
        <v>32</v>
      </c>
      <c r="I41" s="37"/>
      <c r="J41" s="37" t="s">
        <v>93</v>
      </c>
      <c r="K41" s="37" t="s">
        <v>330</v>
      </c>
      <c r="L41" s="37" t="s">
        <v>399</v>
      </c>
      <c r="M41" s="37" t="s">
        <v>91</v>
      </c>
      <c r="N41" s="37">
        <v>39</v>
      </c>
      <c r="O41" s="37" t="s">
        <v>514</v>
      </c>
      <c r="P41" s="22"/>
      <c r="Q41" s="22"/>
      <c r="R41" s="20"/>
      <c r="S41" s="19"/>
      <c r="T41" s="19"/>
      <c r="U41" s="19"/>
      <c r="V41" s="19"/>
      <c r="W41" s="19"/>
      <c r="X41" s="19"/>
      <c r="Y41" s="19"/>
      <c r="Z41" s="19"/>
      <c r="AA41" s="19"/>
      <c r="AB41" s="19"/>
      <c r="AC41" s="19"/>
      <c r="AD41" s="19"/>
      <c r="AE41" s="6"/>
      <c r="AF41" s="483" t="s">
        <v>2927</v>
      </c>
      <c r="AG41" s="480" t="str" cm="1">
        <f t="array" ref="AG41">LEFT(AF41, 2) &amp; IF(Program_Banner= "Business Energy Savings", 2, IF(Program_Banner="Small Business / Non-Profit", 3, "#")) &amp; RIGHT(AF41,6)</f>
        <v>112214012</v>
      </c>
      <c r="AH41" s="6" t="s">
        <v>764</v>
      </c>
      <c r="AI41" t="s">
        <v>1829</v>
      </c>
      <c r="AL41">
        <v>2</v>
      </c>
      <c r="AQ41" s="19">
        <v>39</v>
      </c>
      <c r="AR41" s="19" t="s">
        <v>1622</v>
      </c>
      <c r="AS41" s="14"/>
      <c r="AT41" t="s">
        <v>84</v>
      </c>
      <c r="AU41" t="s">
        <v>94</v>
      </c>
      <c r="AV41" t="s">
        <v>745</v>
      </c>
    </row>
    <row r="42" spans="5:49">
      <c r="E42" s="36"/>
      <c r="F42" s="37" t="s">
        <v>640</v>
      </c>
      <c r="G42" s="37" t="s">
        <v>670</v>
      </c>
      <c r="H42" s="37">
        <v>48</v>
      </c>
      <c r="I42" s="37"/>
      <c r="J42" s="37" t="s">
        <v>93</v>
      </c>
      <c r="K42" s="37" t="s">
        <v>330</v>
      </c>
      <c r="L42" s="37" t="s">
        <v>402</v>
      </c>
      <c r="M42" s="37" t="s">
        <v>91</v>
      </c>
      <c r="N42" s="37">
        <v>40</v>
      </c>
      <c r="O42" s="37" t="s">
        <v>514</v>
      </c>
      <c r="P42" s="22"/>
      <c r="Q42" s="22"/>
      <c r="R42" s="20"/>
      <c r="S42" s="19"/>
      <c r="T42" s="19"/>
      <c r="U42" s="19"/>
      <c r="V42" s="19"/>
      <c r="W42" s="19"/>
      <c r="X42" s="19"/>
      <c r="Y42" s="19"/>
      <c r="Z42" s="19"/>
      <c r="AA42" s="19"/>
      <c r="AB42" s="19"/>
      <c r="AC42" s="19"/>
      <c r="AD42" s="19"/>
      <c r="AE42" s="6"/>
      <c r="AF42" s="483" t="s">
        <v>2928</v>
      </c>
      <c r="AG42" s="480" t="str" cm="1">
        <f t="array" ref="AG42">LEFT(AF42, 2) &amp; IF(Program_Banner= "Business Energy Savings", 2, IF(Program_Banner="Small Business / Non-Profit", 3, "#")) &amp; RIGHT(AF42,6)</f>
        <v>112206004</v>
      </c>
      <c r="AH42" s="6" t="s">
        <v>764</v>
      </c>
      <c r="AI42" t="s">
        <v>463</v>
      </c>
      <c r="AL42">
        <v>15</v>
      </c>
      <c r="AQ42" s="19">
        <v>40</v>
      </c>
      <c r="AR42" s="19" t="s">
        <v>1621</v>
      </c>
      <c r="AS42" s="14"/>
      <c r="AT42" t="s">
        <v>84</v>
      </c>
      <c r="AU42" t="s">
        <v>94</v>
      </c>
      <c r="AV42" s="50" t="s">
        <v>744</v>
      </c>
    </row>
    <row r="43" spans="5:49">
      <c r="E43" s="36"/>
      <c r="F43" s="37" t="s">
        <v>641</v>
      </c>
      <c r="G43" s="37" t="s">
        <v>671</v>
      </c>
      <c r="H43" s="37">
        <v>64</v>
      </c>
      <c r="I43" s="37"/>
      <c r="J43" s="37" t="s">
        <v>93</v>
      </c>
      <c r="K43" s="37" t="s">
        <v>330</v>
      </c>
      <c r="L43" s="37" t="s">
        <v>403</v>
      </c>
      <c r="M43" s="37" t="s">
        <v>91</v>
      </c>
      <c r="N43" s="37">
        <v>41</v>
      </c>
      <c r="O43" s="37" t="s">
        <v>514</v>
      </c>
      <c r="P43" s="22"/>
      <c r="Q43" s="22"/>
      <c r="R43" s="20"/>
      <c r="S43" s="19"/>
      <c r="T43" s="19"/>
      <c r="U43" s="19"/>
      <c r="V43" s="19"/>
      <c r="W43" s="19"/>
      <c r="X43" s="19"/>
      <c r="Y43" s="19"/>
      <c r="Z43" s="19"/>
      <c r="AA43" s="19"/>
      <c r="AB43" s="19"/>
      <c r="AC43" s="19"/>
      <c r="AD43" s="19"/>
      <c r="AE43" s="6"/>
      <c r="AF43" s="483" t="s">
        <v>2929</v>
      </c>
      <c r="AG43" s="480" t="str" cm="1">
        <f t="array" ref="AG43">LEFT(AF43, 2) &amp; IF(Program_Banner= "Business Energy Savings", 2, IF(Program_Banner="Small Business / Non-Profit", 3, "#")) &amp; RIGHT(AF43,6)</f>
        <v>112224002</v>
      </c>
      <c r="AH43" s="6" t="s">
        <v>764</v>
      </c>
      <c r="AI43" s="19" t="s">
        <v>449</v>
      </c>
      <c r="AJ43" s="19"/>
      <c r="AL43" s="19">
        <v>15</v>
      </c>
      <c r="AM43" s="19"/>
      <c r="AN43" s="19"/>
      <c r="AO43" s="19"/>
      <c r="AP43" s="19"/>
      <c r="AQ43" s="19">
        <v>41</v>
      </c>
      <c r="AR43" s="19" t="s">
        <v>772</v>
      </c>
      <c r="AS43" s="20"/>
      <c r="AT43" t="s">
        <v>84</v>
      </c>
      <c r="AU43" s="19" t="s">
        <v>94</v>
      </c>
      <c r="AV43" s="50" t="s">
        <v>746</v>
      </c>
    </row>
    <row r="44" spans="5:49">
      <c r="E44" s="36"/>
      <c r="F44" s="37" t="s">
        <v>358</v>
      </c>
      <c r="G44" s="37" t="s">
        <v>668</v>
      </c>
      <c r="H44" s="37">
        <v>24</v>
      </c>
      <c r="I44" s="37"/>
      <c r="J44" s="37" t="s">
        <v>93</v>
      </c>
      <c r="K44" s="37" t="s">
        <v>400</v>
      </c>
      <c r="L44" s="37" t="s">
        <v>333</v>
      </c>
      <c r="M44" s="37" t="s">
        <v>91</v>
      </c>
      <c r="N44" s="37">
        <v>42</v>
      </c>
      <c r="O44" s="37" t="s">
        <v>514</v>
      </c>
      <c r="P44" s="22"/>
      <c r="Q44" s="22"/>
      <c r="R44" s="20"/>
      <c r="S44" s="19"/>
      <c r="T44" s="19"/>
      <c r="U44" s="19"/>
      <c r="V44" s="19"/>
      <c r="W44" s="19"/>
      <c r="X44" s="19"/>
      <c r="Y44" s="19"/>
      <c r="Z44" s="19"/>
      <c r="AA44" s="19"/>
      <c r="AB44" s="19"/>
      <c r="AC44" s="19"/>
      <c r="AD44" s="19"/>
      <c r="AE44" s="6"/>
      <c r="AF44" s="483" t="s">
        <v>2930</v>
      </c>
      <c r="AG44" s="480" t="str" cm="1">
        <f t="array" ref="AG44">LEFT(AF44, 2) &amp; IF(Program_Banner= "Business Energy Savings", 2, IF(Program_Banner="Small Business / Non-Profit", 3, "#")) &amp; RIGHT(AF44,6)</f>
        <v>112212004</v>
      </c>
      <c r="AH44" s="6" t="s">
        <v>764</v>
      </c>
      <c r="AI44" t="s">
        <v>1270</v>
      </c>
      <c r="AJ44" s="19"/>
      <c r="AL44" s="19">
        <v>15</v>
      </c>
      <c r="AM44" s="19"/>
      <c r="AN44" s="19"/>
      <c r="AO44" s="19"/>
      <c r="AP44" s="19"/>
      <c r="AQ44" s="19">
        <v>42</v>
      </c>
      <c r="AR44" s="19" t="s">
        <v>94</v>
      </c>
      <c r="AS44" s="20"/>
      <c r="AT44" t="s">
        <v>84</v>
      </c>
      <c r="AU44" s="19" t="s">
        <v>94</v>
      </c>
      <c r="AV44" s="50" t="s">
        <v>744</v>
      </c>
    </row>
    <row r="45" spans="5:49">
      <c r="E45" s="36"/>
      <c r="F45" s="37" t="s">
        <v>359</v>
      </c>
      <c r="G45" s="37" t="s">
        <v>672</v>
      </c>
      <c r="H45" s="37">
        <v>45</v>
      </c>
      <c r="I45" s="37"/>
      <c r="J45" s="37" t="s">
        <v>93</v>
      </c>
      <c r="K45" s="37" t="s">
        <v>400</v>
      </c>
      <c r="L45" s="37" t="s">
        <v>399</v>
      </c>
      <c r="M45" s="37" t="s">
        <v>91</v>
      </c>
      <c r="N45" s="37">
        <v>43</v>
      </c>
      <c r="O45" s="37" t="s">
        <v>514</v>
      </c>
      <c r="P45" s="22"/>
      <c r="Q45" s="22"/>
      <c r="R45" s="20"/>
      <c r="S45" s="19"/>
      <c r="T45" s="19"/>
      <c r="U45" s="19"/>
      <c r="V45" s="19"/>
      <c r="W45" s="19"/>
      <c r="X45" s="19"/>
      <c r="Y45" s="19"/>
      <c r="Z45" s="19"/>
      <c r="AA45" s="19"/>
      <c r="AB45" s="19"/>
      <c r="AC45" s="19"/>
      <c r="AD45" s="19"/>
      <c r="AE45" s="6"/>
      <c r="AF45" s="483" t="s">
        <v>2931</v>
      </c>
      <c r="AG45" s="480" t="str" cm="1">
        <f t="array" ref="AG45">LEFT(AF45, 2) &amp; IF(Program_Banner= "Business Energy Savings", 2, IF(Program_Banner="Small Business / Non-Profit", 3, "#")) &amp; RIGHT(AF45,6)</f>
        <v>112206006</v>
      </c>
      <c r="AH45" s="6" t="s">
        <v>764</v>
      </c>
      <c r="AI45" s="19" t="s">
        <v>436</v>
      </c>
      <c r="AJ45" s="19"/>
      <c r="AL45" s="19">
        <v>23</v>
      </c>
      <c r="AM45" s="19"/>
      <c r="AN45" s="19"/>
      <c r="AO45" s="19"/>
      <c r="AP45" s="19"/>
      <c r="AQ45" s="19">
        <v>43</v>
      </c>
      <c r="AR45" s="19" t="s">
        <v>1349</v>
      </c>
      <c r="AS45" s="20"/>
      <c r="AT45" t="s">
        <v>84</v>
      </c>
      <c r="AU45" s="19" t="s">
        <v>94</v>
      </c>
      <c r="AV45" s="50" t="s">
        <v>744</v>
      </c>
    </row>
    <row r="46" spans="5:49">
      <c r="E46" s="36"/>
      <c r="F46" s="37" t="s">
        <v>642</v>
      </c>
      <c r="G46" s="37" t="s">
        <v>669</v>
      </c>
      <c r="H46" s="37">
        <v>65</v>
      </c>
      <c r="I46" s="37"/>
      <c r="J46" s="37" t="s">
        <v>93</v>
      </c>
      <c r="K46" s="37" t="s">
        <v>400</v>
      </c>
      <c r="L46" s="37" t="s">
        <v>402</v>
      </c>
      <c r="M46" s="37" t="s">
        <v>91</v>
      </c>
      <c r="N46" s="37">
        <v>44</v>
      </c>
      <c r="O46" s="37" t="s">
        <v>514</v>
      </c>
      <c r="P46" s="22"/>
      <c r="Q46" s="22"/>
      <c r="R46" s="20"/>
      <c r="S46" s="19"/>
      <c r="T46" s="19"/>
      <c r="U46" s="19"/>
      <c r="V46" s="19"/>
      <c r="W46" s="19"/>
      <c r="X46" s="19"/>
      <c r="Y46" s="19"/>
      <c r="Z46" s="19"/>
      <c r="AA46" s="19"/>
      <c r="AB46" s="19"/>
      <c r="AC46" s="19"/>
      <c r="AD46" s="19"/>
      <c r="AE46" s="6"/>
      <c r="AF46" s="483" t="s">
        <v>2996</v>
      </c>
      <c r="AG46" s="480" t="str" cm="1">
        <f t="array" ref="AG46">LEFT(AF46, 2) &amp; IF(Program_Banner= "Business Energy Savings", 2, IF(Program_Banner="Small Business / Non-Profit", 3, "#")) &amp; RIGHT(AF46,6)</f>
        <v>112222002</v>
      </c>
      <c r="AH46" s="6" t="s">
        <v>764</v>
      </c>
      <c r="AI46" t="s">
        <v>542</v>
      </c>
      <c r="AJ46" s="19"/>
      <c r="AL46" s="19"/>
      <c r="AM46" s="19"/>
      <c r="AN46" s="19"/>
      <c r="AO46" s="19"/>
      <c r="AP46" s="19"/>
      <c r="AQ46" s="19">
        <v>44</v>
      </c>
      <c r="AR46" s="19"/>
      <c r="AS46" s="20"/>
      <c r="AT46" t="s">
        <v>84</v>
      </c>
      <c r="AU46" s="19" t="s">
        <v>94</v>
      </c>
      <c r="AV46" s="50" t="s">
        <v>596</v>
      </c>
    </row>
    <row r="47" spans="5:49">
      <c r="E47" s="36"/>
      <c r="F47" s="37" t="s">
        <v>643</v>
      </c>
      <c r="G47" s="37" t="s">
        <v>673</v>
      </c>
      <c r="H47" s="37">
        <v>87</v>
      </c>
      <c r="I47" s="37"/>
      <c r="J47" s="37" t="s">
        <v>93</v>
      </c>
      <c r="K47" s="37" t="s">
        <v>400</v>
      </c>
      <c r="L47" s="37" t="s">
        <v>403</v>
      </c>
      <c r="M47" s="37" t="s">
        <v>91</v>
      </c>
      <c r="N47" s="37">
        <v>45</v>
      </c>
      <c r="O47" s="37" t="s">
        <v>514</v>
      </c>
      <c r="P47" s="22"/>
      <c r="Q47" s="22"/>
      <c r="R47" s="20"/>
      <c r="S47" s="19"/>
      <c r="T47" s="19"/>
      <c r="U47" s="19"/>
      <c r="V47" s="19"/>
      <c r="W47" s="19"/>
      <c r="X47" s="19"/>
      <c r="Y47" s="19"/>
      <c r="Z47" s="19"/>
      <c r="AA47" s="19"/>
      <c r="AB47" s="19"/>
      <c r="AC47" s="19"/>
      <c r="AD47" s="19"/>
      <c r="AE47" s="6"/>
      <c r="AF47" s="19"/>
      <c r="AH47" s="34"/>
      <c r="AS47" s="14"/>
    </row>
    <row r="48" spans="5:49">
      <c r="E48" s="36"/>
      <c r="F48" s="37" t="s">
        <v>360</v>
      </c>
      <c r="G48" s="37" t="s">
        <v>110</v>
      </c>
      <c r="H48" s="37">
        <v>29</v>
      </c>
      <c r="I48" s="37"/>
      <c r="J48" s="37" t="s">
        <v>93</v>
      </c>
      <c r="K48" s="37" t="s">
        <v>401</v>
      </c>
      <c r="L48" s="37" t="s">
        <v>333</v>
      </c>
      <c r="M48" s="37" t="s">
        <v>91</v>
      </c>
      <c r="N48" s="37">
        <v>46</v>
      </c>
      <c r="O48" s="37" t="s">
        <v>514</v>
      </c>
      <c r="P48" s="22"/>
      <c r="Q48" s="22"/>
      <c r="R48" s="20"/>
      <c r="S48" s="19"/>
      <c r="T48" s="19"/>
      <c r="U48" s="19"/>
      <c r="V48" s="19"/>
      <c r="W48" s="19"/>
      <c r="X48" s="19"/>
      <c r="Y48" s="19"/>
      <c r="Z48" s="19"/>
      <c r="AA48" s="19"/>
      <c r="AB48" s="19"/>
      <c r="AC48" s="19"/>
      <c r="AD48" s="19"/>
      <c r="AE48" s="6"/>
      <c r="AF48" s="19"/>
      <c r="AG48"/>
      <c r="AW48" s="19"/>
    </row>
    <row r="49" spans="5:53">
      <c r="E49" s="36"/>
      <c r="F49" s="37" t="s">
        <v>361</v>
      </c>
      <c r="G49" s="37" t="s">
        <v>2141</v>
      </c>
      <c r="H49" s="37">
        <v>56</v>
      </c>
      <c r="I49" s="37"/>
      <c r="J49" s="37" t="s">
        <v>93</v>
      </c>
      <c r="K49" s="37" t="s">
        <v>401</v>
      </c>
      <c r="L49" s="37" t="s">
        <v>399</v>
      </c>
      <c r="M49" s="37" t="s">
        <v>91</v>
      </c>
      <c r="N49" s="37">
        <v>47</v>
      </c>
      <c r="O49" s="37" t="s">
        <v>514</v>
      </c>
      <c r="P49" s="22"/>
      <c r="Q49" s="22"/>
      <c r="R49" s="20"/>
      <c r="S49" s="19"/>
      <c r="T49" s="19"/>
      <c r="U49" s="19"/>
      <c r="V49" s="19"/>
      <c r="W49" s="19"/>
      <c r="X49" s="19"/>
      <c r="Y49" s="19"/>
      <c r="Z49" s="19"/>
      <c r="AA49" s="19"/>
      <c r="AB49" s="19"/>
      <c r="AC49" s="19"/>
      <c r="AD49" s="19"/>
      <c r="AE49" s="6"/>
      <c r="AF49" s="19"/>
      <c r="AG49" s="20"/>
      <c r="AH49" s="19"/>
      <c r="AI49" s="19"/>
      <c r="AJ49" s="19"/>
      <c r="AK49" s="19"/>
      <c r="AL49" s="19"/>
      <c r="AM49" s="19"/>
      <c r="AN49" s="19"/>
      <c r="AO49" s="19"/>
      <c r="AP49" s="19"/>
      <c r="AQ49" s="19"/>
      <c r="AR49" s="19"/>
      <c r="AS49" s="19"/>
      <c r="AT49" s="19"/>
      <c r="AU49" s="19"/>
      <c r="AV49" s="19"/>
      <c r="AW49" s="19"/>
    </row>
    <row r="50" spans="5:53">
      <c r="E50" s="36"/>
      <c r="F50" s="37" t="s">
        <v>362</v>
      </c>
      <c r="G50" s="37" t="s">
        <v>111</v>
      </c>
      <c r="H50" s="37">
        <v>84</v>
      </c>
      <c r="I50" s="37"/>
      <c r="J50" s="37" t="s">
        <v>93</v>
      </c>
      <c r="K50" s="37" t="s">
        <v>401</v>
      </c>
      <c r="L50" s="37" t="s">
        <v>402</v>
      </c>
      <c r="M50" s="37" t="s">
        <v>91</v>
      </c>
      <c r="N50" s="37">
        <v>48</v>
      </c>
      <c r="O50" s="37" t="s">
        <v>514</v>
      </c>
      <c r="P50" s="22"/>
      <c r="Q50" s="22"/>
      <c r="R50" s="20"/>
      <c r="S50" s="19"/>
      <c r="T50" s="19"/>
      <c r="U50" s="19"/>
      <c r="V50" s="19"/>
      <c r="W50" s="19"/>
      <c r="X50" s="19"/>
      <c r="Y50" s="19"/>
      <c r="Z50" s="19"/>
      <c r="AA50" s="19"/>
      <c r="AB50" s="19"/>
      <c r="AC50" s="19"/>
      <c r="AD50" s="19"/>
      <c r="AE50" s="6"/>
      <c r="AF50" s="19"/>
      <c r="AG50" s="20" t="s">
        <v>85</v>
      </c>
      <c r="AH50" s="20" t="s">
        <v>531</v>
      </c>
      <c r="AI50" s="19" t="s">
        <v>456</v>
      </c>
      <c r="AJ50" s="19" t="s">
        <v>457</v>
      </c>
      <c r="AK50" t="s">
        <v>541</v>
      </c>
      <c r="AL50" s="19" t="s">
        <v>88</v>
      </c>
      <c r="AM50" s="19" t="s">
        <v>86</v>
      </c>
      <c r="AN50" s="19" t="s">
        <v>331</v>
      </c>
      <c r="AO50" s="19" t="s">
        <v>332</v>
      </c>
      <c r="AP50" s="19" t="s">
        <v>433</v>
      </c>
      <c r="AQ50" t="s">
        <v>336</v>
      </c>
      <c r="AR50" s="19" t="s">
        <v>432</v>
      </c>
      <c r="AS50" s="19" t="s">
        <v>322</v>
      </c>
      <c r="AT50" t="s">
        <v>569</v>
      </c>
      <c r="AU50" s="19" t="s">
        <v>431</v>
      </c>
      <c r="AV50" t="s">
        <v>1392</v>
      </c>
      <c r="AW50" t="s">
        <v>1388</v>
      </c>
      <c r="AX50" t="s">
        <v>1389</v>
      </c>
      <c r="AY50" t="s">
        <v>922</v>
      </c>
      <c r="AZ50" t="s">
        <v>1390</v>
      </c>
      <c r="BA50" t="s">
        <v>1391</v>
      </c>
    </row>
    <row r="51" spans="5:53">
      <c r="E51" s="36"/>
      <c r="F51" s="37" t="s">
        <v>1786</v>
      </c>
      <c r="G51" s="37" t="s">
        <v>112</v>
      </c>
      <c r="H51" s="37">
        <v>110</v>
      </c>
      <c r="I51" s="37"/>
      <c r="J51" s="37" t="s">
        <v>93</v>
      </c>
      <c r="K51" s="37" t="s">
        <v>401</v>
      </c>
      <c r="L51" s="37" t="s">
        <v>403</v>
      </c>
      <c r="M51" s="37" t="s">
        <v>91</v>
      </c>
      <c r="N51" s="37">
        <v>49</v>
      </c>
      <c r="O51" t="s">
        <v>885</v>
      </c>
      <c r="P51" s="22"/>
      <c r="Q51" s="22"/>
      <c r="R51" s="20"/>
      <c r="S51" s="19"/>
      <c r="T51" s="19"/>
      <c r="U51" s="19"/>
      <c r="V51" s="19"/>
      <c r="W51" s="19"/>
      <c r="X51" s="19"/>
      <c r="Y51" s="19"/>
      <c r="Z51" s="19"/>
      <c r="AA51" s="19"/>
      <c r="AB51" s="19"/>
      <c r="AC51" s="19"/>
      <c r="AD51" s="19"/>
      <c r="AE51" s="6"/>
      <c r="AF51" s="19"/>
      <c r="AG51" s="389"/>
      <c r="AH51" s="14"/>
      <c r="AI51" s="33" t="s">
        <v>1966</v>
      </c>
      <c r="AQ51">
        <v>1</v>
      </c>
      <c r="AR51" s="68" t="s">
        <v>752</v>
      </c>
      <c r="AS51" s="14"/>
      <c r="AT51" s="390"/>
      <c r="AX51" s="391"/>
      <c r="AY51" s="42"/>
    </row>
    <row r="52" spans="5:53">
      <c r="E52" s="382"/>
      <c r="F52" s="380" t="s">
        <v>2143</v>
      </c>
      <c r="G52" s="380" t="s">
        <v>2142</v>
      </c>
      <c r="H52" s="383">
        <v>40</v>
      </c>
      <c r="I52" s="383"/>
      <c r="J52" s="380" t="s">
        <v>93</v>
      </c>
      <c r="K52" s="383" t="s">
        <v>401</v>
      </c>
      <c r="L52" s="383" t="s">
        <v>333</v>
      </c>
      <c r="M52" s="383" t="s">
        <v>91</v>
      </c>
      <c r="N52" s="383"/>
      <c r="O52" s="383"/>
      <c r="P52" s="22"/>
      <c r="Q52" s="22"/>
      <c r="R52" s="20"/>
      <c r="S52" s="19"/>
      <c r="T52" s="19"/>
      <c r="U52" s="19"/>
      <c r="V52" s="19"/>
      <c r="W52" s="19"/>
      <c r="X52" s="19"/>
      <c r="Y52" s="19"/>
      <c r="Z52" s="19"/>
      <c r="AA52" s="19"/>
      <c r="AB52" s="19"/>
      <c r="AC52" s="19"/>
      <c r="AD52" s="19"/>
      <c r="AE52" s="6"/>
      <c r="AF52" s="483" t="s">
        <v>2932</v>
      </c>
      <c r="AG52" s="480" t="str" cm="1">
        <f t="array" ref="AG52">LEFT(AF52, 2) &amp; IF(Program_Banner= "Business Energy Savings", 2, IF(Program_Banner="Small Business / Non-Profit", 3, "#")) &amp; RIGHT(AF52,6)</f>
        <v>112218001</v>
      </c>
      <c r="AH52" t="s">
        <v>764</v>
      </c>
      <c r="AI52" t="s">
        <v>1386</v>
      </c>
      <c r="AL52">
        <v>15</v>
      </c>
      <c r="AQ52">
        <v>2</v>
      </c>
      <c r="AR52" s="68" t="s">
        <v>752</v>
      </c>
      <c r="AS52" s="14"/>
      <c r="AT52" t="s">
        <v>84</v>
      </c>
      <c r="AU52" t="s">
        <v>320</v>
      </c>
      <c r="AV52" t="s">
        <v>1394</v>
      </c>
      <c r="AW52">
        <v>8.1000000000000003E-2</v>
      </c>
      <c r="AX52" s="391">
        <v>0.24</v>
      </c>
      <c r="AY52" s="42">
        <v>67</v>
      </c>
      <c r="AZ52">
        <v>3088</v>
      </c>
      <c r="BA52">
        <v>1</v>
      </c>
    </row>
    <row r="53" spans="5:53">
      <c r="F53" t="s">
        <v>893</v>
      </c>
      <c r="G53" t="s">
        <v>894</v>
      </c>
      <c r="H53">
        <v>75</v>
      </c>
      <c r="J53" t="s">
        <v>93</v>
      </c>
      <c r="K53" t="s">
        <v>884</v>
      </c>
      <c r="L53" s="37" t="s">
        <v>399</v>
      </c>
      <c r="M53" s="37" t="s">
        <v>91</v>
      </c>
      <c r="N53" s="37">
        <v>50</v>
      </c>
      <c r="O53" t="s">
        <v>885</v>
      </c>
      <c r="P53" s="22"/>
      <c r="Q53" s="22"/>
      <c r="R53" s="20"/>
      <c r="S53" s="19"/>
      <c r="T53" s="19"/>
      <c r="U53" s="19"/>
      <c r="V53" s="19"/>
      <c r="W53" s="19"/>
      <c r="X53" s="19"/>
      <c r="Y53" s="19"/>
      <c r="Z53" s="19"/>
      <c r="AA53" s="19"/>
      <c r="AB53" s="19"/>
      <c r="AC53" s="19"/>
      <c r="AD53" s="19"/>
      <c r="AE53" s="6"/>
      <c r="AF53" s="483" t="s">
        <v>2933</v>
      </c>
      <c r="AG53" s="480" t="str" cm="1">
        <f t="array" ref="AG53">LEFT(AF53, 2) &amp; IF(Program_Banner= "Business Energy Savings", 2, IF(Program_Banner="Small Business / Non-Profit", 3, "#")) &amp; RIGHT(AF53,6)</f>
        <v>112218002</v>
      </c>
      <c r="AH53" t="s">
        <v>764</v>
      </c>
      <c r="AI53" t="s">
        <v>1387</v>
      </c>
      <c r="AL53">
        <v>15</v>
      </c>
      <c r="AQ53">
        <v>4</v>
      </c>
      <c r="AR53" s="68" t="s">
        <v>752</v>
      </c>
      <c r="AS53" s="14"/>
      <c r="AT53" t="s">
        <v>84</v>
      </c>
      <c r="AU53" t="s">
        <v>320</v>
      </c>
      <c r="AV53" t="s">
        <v>1394</v>
      </c>
      <c r="AW53">
        <v>9.5000000000000001E-2</v>
      </c>
      <c r="AX53" s="391">
        <v>0.28000000000000003</v>
      </c>
      <c r="AY53" s="42">
        <v>50</v>
      </c>
      <c r="AZ53">
        <v>3088</v>
      </c>
      <c r="BA53">
        <v>1</v>
      </c>
    </row>
    <row r="54" spans="5:53">
      <c r="F54" t="s">
        <v>895</v>
      </c>
      <c r="G54" t="s">
        <v>896</v>
      </c>
      <c r="H54">
        <v>110</v>
      </c>
      <c r="J54" t="s">
        <v>93</v>
      </c>
      <c r="K54" t="s">
        <v>884</v>
      </c>
      <c r="L54" s="37" t="s">
        <v>402</v>
      </c>
      <c r="M54" s="37" t="s">
        <v>91</v>
      </c>
      <c r="N54" s="37">
        <v>51</v>
      </c>
      <c r="O54" t="s">
        <v>885</v>
      </c>
      <c r="P54" s="22"/>
      <c r="Q54" s="22"/>
      <c r="AD54" s="19"/>
      <c r="AE54" s="6"/>
      <c r="AF54" s="483" t="s">
        <v>2934</v>
      </c>
      <c r="AG54" s="480" t="str" cm="1">
        <f t="array" ref="AG54">LEFT(AF54, 2) &amp; IF(Program_Banner= "Business Energy Savings", 2, IF(Program_Banner="Small Business / Non-Profit", 3, "#")) &amp; RIGHT(AF54,6)</f>
        <v>112218003</v>
      </c>
      <c r="AH54" t="s">
        <v>764</v>
      </c>
      <c r="AI54" t="s">
        <v>1967</v>
      </c>
      <c r="AL54">
        <v>10</v>
      </c>
      <c r="AQ54">
        <v>6</v>
      </c>
      <c r="AR54" s="68" t="s">
        <v>752</v>
      </c>
      <c r="AS54" s="14"/>
      <c r="AT54" t="s">
        <v>84</v>
      </c>
      <c r="AU54" t="s">
        <v>320</v>
      </c>
      <c r="AV54" t="s">
        <v>1394</v>
      </c>
      <c r="AW54">
        <v>3.1E-2</v>
      </c>
      <c r="AX54" s="391">
        <v>0.24</v>
      </c>
      <c r="AY54" s="42">
        <v>40</v>
      </c>
      <c r="AZ54">
        <v>3088</v>
      </c>
      <c r="BA54">
        <v>1</v>
      </c>
    </row>
    <row r="55" spans="5:53">
      <c r="F55" t="s">
        <v>897</v>
      </c>
      <c r="G55" t="s">
        <v>898</v>
      </c>
      <c r="H55">
        <v>134</v>
      </c>
      <c r="J55" t="s">
        <v>93</v>
      </c>
      <c r="K55" t="s">
        <v>884</v>
      </c>
      <c r="L55" s="37" t="s">
        <v>403</v>
      </c>
      <c r="M55" s="37" t="s">
        <v>91</v>
      </c>
      <c r="N55" s="37">
        <v>52</v>
      </c>
      <c r="O55" t="s">
        <v>885</v>
      </c>
      <c r="P55" s="22"/>
      <c r="Q55" s="22"/>
      <c r="AD55" s="19"/>
      <c r="AE55" s="6"/>
      <c r="AF55" s="483" t="s">
        <v>2935</v>
      </c>
      <c r="AG55" s="480" t="str" cm="1">
        <f t="array" ref="AG55">LEFT(AF55, 2) &amp; IF(Program_Banner= "Business Energy Savings", 2, IF(Program_Banner="Small Business / Non-Profit", 3, "#")) &amp; RIGHT(AF55,6)</f>
        <v>112218004</v>
      </c>
      <c r="AH55" t="s">
        <v>764</v>
      </c>
      <c r="AI55" t="s">
        <v>1968</v>
      </c>
      <c r="AL55">
        <v>10</v>
      </c>
      <c r="AQ55">
        <v>8</v>
      </c>
      <c r="AR55" s="68" t="s">
        <v>752</v>
      </c>
      <c r="AS55" s="14"/>
      <c r="AT55" t="s">
        <v>84</v>
      </c>
      <c r="AU55" t="s">
        <v>320</v>
      </c>
      <c r="AV55" t="s">
        <v>1394</v>
      </c>
      <c r="AW55">
        <v>0.11799999999999999</v>
      </c>
      <c r="AX55" s="391">
        <v>0.24</v>
      </c>
      <c r="AY55" s="42">
        <v>40</v>
      </c>
      <c r="AZ55">
        <v>3088</v>
      </c>
      <c r="BA55">
        <v>1</v>
      </c>
    </row>
    <row r="56" spans="5:53">
      <c r="E56" s="20"/>
      <c r="F56" s="19" t="s">
        <v>899</v>
      </c>
      <c r="G56" s="37" t="s">
        <v>900</v>
      </c>
      <c r="H56" s="19">
        <v>52</v>
      </c>
      <c r="I56" s="19"/>
      <c r="J56" s="37" t="s">
        <v>93</v>
      </c>
      <c r="K56" s="19" t="s">
        <v>890</v>
      </c>
      <c r="L56" s="19" t="s">
        <v>333</v>
      </c>
      <c r="M56" s="19" t="s">
        <v>91</v>
      </c>
      <c r="N56" s="37">
        <v>53</v>
      </c>
      <c r="O56" s="19" t="s">
        <v>885</v>
      </c>
      <c r="P56" s="22"/>
      <c r="Q56" s="22"/>
      <c r="AD56" s="19"/>
      <c r="AE56" s="6"/>
      <c r="AF56" s="483" t="s">
        <v>2936</v>
      </c>
      <c r="AG56" s="480" t="str" cm="1">
        <f t="array" ref="AG56">LEFT(AF56, 2) &amp; IF(Program_Banner= "Business Energy Savings", 2, IF(Program_Banner="Small Business / Non-Profit", 3, "#")) &amp; RIGHT(AF56,6)</f>
        <v>112218005</v>
      </c>
      <c r="AH56" t="s">
        <v>764</v>
      </c>
      <c r="AI56" t="s">
        <v>1970</v>
      </c>
      <c r="AL56">
        <v>10</v>
      </c>
      <c r="AQ56">
        <v>10</v>
      </c>
      <c r="AR56" s="68" t="s">
        <v>752</v>
      </c>
      <c r="AS56" s="14"/>
      <c r="AT56" t="s">
        <v>84</v>
      </c>
      <c r="AU56" t="s">
        <v>320</v>
      </c>
      <c r="AV56" t="s">
        <v>1394</v>
      </c>
      <c r="AW56">
        <v>3.1E-2</v>
      </c>
      <c r="AX56" s="391">
        <v>0.38</v>
      </c>
      <c r="AY56" s="42">
        <v>50</v>
      </c>
      <c r="AZ56">
        <v>3088</v>
      </c>
      <c r="BA56">
        <v>1</v>
      </c>
    </row>
    <row r="57" spans="5:53">
      <c r="E57" s="20"/>
      <c r="F57" s="19" t="s">
        <v>901</v>
      </c>
      <c r="G57" s="37" t="s">
        <v>902</v>
      </c>
      <c r="H57" s="19">
        <v>97</v>
      </c>
      <c r="I57" s="19"/>
      <c r="J57" s="37" t="s">
        <v>93</v>
      </c>
      <c r="K57" s="19" t="s">
        <v>890</v>
      </c>
      <c r="L57" s="19" t="s">
        <v>399</v>
      </c>
      <c r="M57" s="19" t="s">
        <v>91</v>
      </c>
      <c r="N57" s="37">
        <v>54</v>
      </c>
      <c r="O57" s="19" t="s">
        <v>885</v>
      </c>
      <c r="P57" s="22"/>
      <c r="Q57" s="22"/>
      <c r="AD57" s="19"/>
      <c r="AE57" s="6"/>
      <c r="AF57" s="483" t="s">
        <v>2937</v>
      </c>
      <c r="AG57" s="480" t="str" cm="1">
        <f t="array" ref="AG57">LEFT(AF57, 2) &amp; IF(Program_Banner= "Business Energy Savings", 2, IF(Program_Banner="Small Business / Non-Profit", 3, "#")) &amp; RIGHT(AF57,6)</f>
        <v>112218006</v>
      </c>
      <c r="AH57" t="s">
        <v>764</v>
      </c>
      <c r="AI57" t="s">
        <v>1969</v>
      </c>
      <c r="AL57">
        <v>10</v>
      </c>
      <c r="AQ57">
        <v>12</v>
      </c>
      <c r="AR57" s="68" t="s">
        <v>752</v>
      </c>
      <c r="AS57" s="14"/>
      <c r="AT57" t="s">
        <v>84</v>
      </c>
      <c r="AU57" t="s">
        <v>320</v>
      </c>
      <c r="AV57" t="s">
        <v>1394</v>
      </c>
      <c r="AW57">
        <v>0.11799999999999999</v>
      </c>
      <c r="AX57" s="391">
        <v>0.38</v>
      </c>
      <c r="AY57" s="42">
        <v>50</v>
      </c>
      <c r="AZ57">
        <v>3088</v>
      </c>
      <c r="BA57">
        <v>1</v>
      </c>
    </row>
    <row r="58" spans="5:53">
      <c r="E58" s="36"/>
      <c r="F58" s="37" t="s">
        <v>363</v>
      </c>
      <c r="G58" s="37" t="s">
        <v>480</v>
      </c>
      <c r="H58" s="37">
        <v>62</v>
      </c>
      <c r="I58" s="37"/>
      <c r="J58" s="37" t="s">
        <v>93</v>
      </c>
      <c r="K58" s="37" t="s">
        <v>404</v>
      </c>
      <c r="L58" s="37" t="s">
        <v>333</v>
      </c>
      <c r="M58" s="37" t="s">
        <v>91</v>
      </c>
      <c r="N58" s="37">
        <v>55</v>
      </c>
      <c r="O58" s="37" t="s">
        <v>514</v>
      </c>
      <c r="P58" s="22"/>
      <c r="Q58" s="22"/>
      <c r="AD58" s="19"/>
      <c r="AE58" s="6"/>
      <c r="AF58" s="483" t="s">
        <v>2938</v>
      </c>
      <c r="AG58" s="480" t="str" cm="1">
        <f t="array" ref="AG58">LEFT(AF58, 2) &amp; IF(Program_Banner= "Business Energy Savings", 2, IF(Program_Banner="Small Business / Non-Profit", 3, "#")) &amp; RIGHT(AF58,6)</f>
        <v>112218007</v>
      </c>
      <c r="AH58" t="s">
        <v>764</v>
      </c>
      <c r="AI58" t="s">
        <v>1971</v>
      </c>
      <c r="AL58">
        <v>15</v>
      </c>
      <c r="AQ58">
        <v>14</v>
      </c>
      <c r="AR58" s="68" t="s">
        <v>752</v>
      </c>
      <c r="AS58" s="14"/>
      <c r="AT58" t="s">
        <v>84</v>
      </c>
      <c r="AU58" t="s">
        <v>320</v>
      </c>
      <c r="AV58" t="s">
        <v>1394</v>
      </c>
      <c r="AW58">
        <v>3.1E-2</v>
      </c>
      <c r="AX58" s="391">
        <v>0.38</v>
      </c>
      <c r="AY58" s="42">
        <v>100</v>
      </c>
      <c r="AZ58">
        <v>3088</v>
      </c>
      <c r="BA58">
        <v>1</v>
      </c>
    </row>
    <row r="59" spans="5:53">
      <c r="E59" s="36"/>
      <c r="F59" s="37" t="s">
        <v>364</v>
      </c>
      <c r="G59" s="37" t="s">
        <v>481</v>
      </c>
      <c r="H59" s="37">
        <v>109</v>
      </c>
      <c r="I59" s="37"/>
      <c r="J59" s="37" t="s">
        <v>93</v>
      </c>
      <c r="K59" s="37" t="s">
        <v>404</v>
      </c>
      <c r="L59" s="37" t="s">
        <v>399</v>
      </c>
      <c r="M59" s="37" t="s">
        <v>91</v>
      </c>
      <c r="N59" s="37">
        <v>56</v>
      </c>
      <c r="O59" s="37" t="s">
        <v>514</v>
      </c>
      <c r="P59" s="22"/>
      <c r="Q59" s="22"/>
      <c r="AD59" s="19"/>
      <c r="AE59" s="6"/>
      <c r="AF59" s="483" t="s">
        <v>2939</v>
      </c>
      <c r="AG59" s="480" t="str" cm="1">
        <f t="array" ref="AG59">LEFT(AF59, 2) &amp; IF(Program_Banner= "Business Energy Savings", 2, IF(Program_Banner="Small Business / Non-Profit", 3, "#")) &amp; RIGHT(AF59,6)</f>
        <v>112218008</v>
      </c>
      <c r="AH59" t="s">
        <v>764</v>
      </c>
      <c r="AI59" t="s">
        <v>1972</v>
      </c>
      <c r="AL59">
        <v>15</v>
      </c>
      <c r="AQ59">
        <v>16</v>
      </c>
      <c r="AR59" s="68" t="s">
        <v>752</v>
      </c>
      <c r="AS59" s="14"/>
      <c r="AT59" t="s">
        <v>84</v>
      </c>
      <c r="AU59" t="s">
        <v>320</v>
      </c>
      <c r="AV59" t="s">
        <v>1394</v>
      </c>
      <c r="AW59">
        <v>0.11799999999999999</v>
      </c>
      <c r="AX59" s="391">
        <v>0.38</v>
      </c>
      <c r="AY59" s="42">
        <v>100</v>
      </c>
      <c r="AZ59">
        <v>3088</v>
      </c>
      <c r="BA59">
        <v>1</v>
      </c>
    </row>
    <row r="60" spans="5:53">
      <c r="E60" s="36"/>
      <c r="F60" s="37" t="s">
        <v>365</v>
      </c>
      <c r="G60" s="37" t="s">
        <v>482</v>
      </c>
      <c r="H60" s="37">
        <v>186</v>
      </c>
      <c r="I60" s="37"/>
      <c r="J60" s="37" t="s">
        <v>93</v>
      </c>
      <c r="K60" s="37" t="s">
        <v>404</v>
      </c>
      <c r="L60" s="37" t="s">
        <v>402</v>
      </c>
      <c r="M60" s="37" t="s">
        <v>91</v>
      </c>
      <c r="N60" s="37">
        <v>57</v>
      </c>
      <c r="O60" s="37" t="s">
        <v>514</v>
      </c>
      <c r="P60" s="22"/>
      <c r="Q60" s="22"/>
      <c r="AD60" s="19"/>
      <c r="AE60" s="6"/>
      <c r="AF60" s="483" t="s">
        <v>2940</v>
      </c>
      <c r="AG60" s="480" t="str" cm="1">
        <f t="array" ref="AG60">LEFT(AF60, 2) &amp; IF(Program_Banner= "Business Energy Savings", 2, IF(Program_Banner="Small Business / Non-Profit", 3, "#")) &amp; RIGHT(AF60,6)</f>
        <v>112218009</v>
      </c>
      <c r="AH60" s="14" t="s">
        <v>764</v>
      </c>
      <c r="AI60" s="33" t="s">
        <v>1333</v>
      </c>
      <c r="AL60">
        <v>16</v>
      </c>
      <c r="AQ60">
        <v>18</v>
      </c>
      <c r="AR60" s="392" t="s">
        <v>752</v>
      </c>
      <c r="AS60" s="14"/>
      <c r="AT60" s="390" t="s">
        <v>84</v>
      </c>
      <c r="AU60" t="s">
        <v>320</v>
      </c>
      <c r="AV60" t="s">
        <v>2001</v>
      </c>
      <c r="AW60">
        <v>7.665</v>
      </c>
      <c r="AX60" s="391">
        <v>0.5</v>
      </c>
      <c r="AY60" s="42">
        <v>61</v>
      </c>
      <c r="AZ60">
        <v>4129</v>
      </c>
      <c r="BA60">
        <v>1</v>
      </c>
    </row>
    <row r="61" spans="5:53">
      <c r="E61" s="36"/>
      <c r="F61" s="37" t="s">
        <v>366</v>
      </c>
      <c r="G61" s="37" t="s">
        <v>483</v>
      </c>
      <c r="H61" s="37">
        <v>248</v>
      </c>
      <c r="I61" s="37"/>
      <c r="J61" s="37" t="s">
        <v>93</v>
      </c>
      <c r="K61" s="37" t="s">
        <v>404</v>
      </c>
      <c r="L61" s="37" t="s">
        <v>403</v>
      </c>
      <c r="M61" s="37" t="s">
        <v>91</v>
      </c>
      <c r="N61" s="37">
        <v>58</v>
      </c>
      <c r="O61" s="37" t="s">
        <v>514</v>
      </c>
      <c r="AD61" s="19"/>
      <c r="AE61" s="6"/>
      <c r="AF61" s="19"/>
      <c r="AH61" s="14"/>
      <c r="AS61" s="14"/>
      <c r="AX61" s="63"/>
      <c r="AY61" s="42"/>
    </row>
    <row r="62" spans="5:53">
      <c r="E62" s="36"/>
      <c r="F62" s="37" t="s">
        <v>903</v>
      </c>
      <c r="G62" s="37" t="s">
        <v>629</v>
      </c>
      <c r="H62" s="37">
        <v>328</v>
      </c>
      <c r="I62" s="37"/>
      <c r="J62" s="37" t="s">
        <v>93</v>
      </c>
      <c r="K62" s="37" t="s">
        <v>404</v>
      </c>
      <c r="L62" s="37" t="s">
        <v>628</v>
      </c>
      <c r="M62" s="37" t="s">
        <v>91</v>
      </c>
      <c r="N62" s="37">
        <v>59</v>
      </c>
      <c r="O62" s="37" t="s">
        <v>514</v>
      </c>
      <c r="AD62" s="19"/>
      <c r="AE62" s="6"/>
      <c r="AF62" s="19"/>
      <c r="AH62" s="34"/>
      <c r="AS62" s="14"/>
      <c r="AX62" s="63"/>
      <c r="AY62" s="42"/>
    </row>
    <row r="63" spans="5:53">
      <c r="E63" s="36"/>
      <c r="F63" s="37" t="s">
        <v>367</v>
      </c>
      <c r="G63" s="37" t="s">
        <v>484</v>
      </c>
      <c r="H63" s="37">
        <v>90</v>
      </c>
      <c r="I63" s="37"/>
      <c r="J63" s="37" t="s">
        <v>407</v>
      </c>
      <c r="K63" s="37" t="s">
        <v>404</v>
      </c>
      <c r="L63" s="37" t="s">
        <v>333</v>
      </c>
      <c r="M63" s="37" t="s">
        <v>91</v>
      </c>
      <c r="N63" s="37">
        <v>60</v>
      </c>
      <c r="O63" s="37" t="s">
        <v>514</v>
      </c>
      <c r="AD63" s="19"/>
      <c r="AE63" s="6"/>
      <c r="AF63" s="19"/>
      <c r="AG63" s="20" t="s">
        <v>85</v>
      </c>
      <c r="AH63" s="20" t="s">
        <v>531</v>
      </c>
      <c r="AI63" s="19" t="s">
        <v>456</v>
      </c>
      <c r="AJ63" s="19" t="s">
        <v>457</v>
      </c>
      <c r="AK63" t="s">
        <v>541</v>
      </c>
      <c r="AL63" s="19" t="s">
        <v>88</v>
      </c>
      <c r="AM63" s="19" t="s">
        <v>86</v>
      </c>
      <c r="AN63" s="19" t="s">
        <v>331</v>
      </c>
      <c r="AO63" s="19" t="s">
        <v>332</v>
      </c>
      <c r="AP63" s="19" t="s">
        <v>433</v>
      </c>
      <c r="AQ63" t="s">
        <v>336</v>
      </c>
      <c r="AR63" s="19" t="s">
        <v>432</v>
      </c>
      <c r="AS63" s="19" t="s">
        <v>322</v>
      </c>
      <c r="AT63" t="s">
        <v>569</v>
      </c>
      <c r="AU63" s="19" t="s">
        <v>431</v>
      </c>
      <c r="AV63" s="50" t="s">
        <v>743</v>
      </c>
      <c r="AW63" t="s">
        <v>1539</v>
      </c>
      <c r="AX63" t="s">
        <v>860</v>
      </c>
      <c r="AY63" t="s">
        <v>1547</v>
      </c>
      <c r="AZ63" t="s">
        <v>1548</v>
      </c>
      <c r="BA63" t="s">
        <v>1549</v>
      </c>
    </row>
    <row r="64" spans="5:53">
      <c r="E64" s="36"/>
      <c r="F64" s="37" t="s">
        <v>368</v>
      </c>
      <c r="G64" s="37" t="s">
        <v>485</v>
      </c>
      <c r="H64" s="37">
        <v>160</v>
      </c>
      <c r="I64" s="37"/>
      <c r="J64" s="37" t="s">
        <v>407</v>
      </c>
      <c r="K64" s="37" t="s">
        <v>404</v>
      </c>
      <c r="L64" s="37" t="s">
        <v>399</v>
      </c>
      <c r="M64" s="37" t="s">
        <v>91</v>
      </c>
      <c r="N64" s="37">
        <v>61</v>
      </c>
      <c r="O64" s="37" t="s">
        <v>514</v>
      </c>
      <c r="AD64" s="19"/>
      <c r="AE64" s="6"/>
      <c r="AF64" s="483" t="s">
        <v>2998</v>
      </c>
      <c r="AG64" s="480" t="str" cm="1">
        <f t="array" ref="AG64">LEFT(AF64, 2) &amp; IF(Program_Banner= "Business Energy Savings", 2, IF(Program_Banner="Small Business / Non-Profit", 3, "#")) &amp; RIGHT(AF64,6)</f>
        <v>112233001</v>
      </c>
      <c r="AH64" s="14" t="s">
        <v>931</v>
      </c>
      <c r="AI64" t="s">
        <v>548</v>
      </c>
      <c r="AJ64" s="19"/>
      <c r="AK64" s="19"/>
      <c r="AL64" s="19">
        <v>15</v>
      </c>
      <c r="AM64" s="19"/>
      <c r="AN64" s="19"/>
      <c r="AO64" s="19"/>
      <c r="AP64" s="19"/>
      <c r="AQ64" s="19">
        <v>1</v>
      </c>
      <c r="AR64" s="19" t="s">
        <v>136</v>
      </c>
      <c r="AS64" s="20"/>
      <c r="AT64" t="s">
        <v>523</v>
      </c>
      <c r="AU64" s="34" t="s">
        <v>1693</v>
      </c>
      <c r="AV64" t="s">
        <v>87</v>
      </c>
    </row>
    <row r="65" spans="5:53">
      <c r="E65" s="36"/>
      <c r="F65" s="37" t="s">
        <v>369</v>
      </c>
      <c r="G65" s="37" t="s">
        <v>486</v>
      </c>
      <c r="H65" s="37">
        <v>285</v>
      </c>
      <c r="I65" s="37"/>
      <c r="J65" s="37" t="s">
        <v>407</v>
      </c>
      <c r="K65" s="37" t="s">
        <v>404</v>
      </c>
      <c r="L65" s="37" t="s">
        <v>402</v>
      </c>
      <c r="M65" s="37" t="s">
        <v>91</v>
      </c>
      <c r="N65" s="37">
        <v>62</v>
      </c>
      <c r="O65" s="37" t="s">
        <v>522</v>
      </c>
      <c r="AD65" s="19"/>
      <c r="AE65" s="6"/>
      <c r="AF65" s="483" t="s">
        <v>2999</v>
      </c>
      <c r="AG65" s="480" t="str" cm="1">
        <f t="array" ref="AG65">LEFT(AF65, 2) &amp; IF(Program_Banner= "Business Energy Savings", 2, IF(Program_Banner="Small Business / Non-Profit", 3, "#")) &amp; RIGHT(AF65,6)</f>
        <v>112233003</v>
      </c>
      <c r="AH65" s="14" t="s">
        <v>931</v>
      </c>
      <c r="AI65" t="s">
        <v>547</v>
      </c>
      <c r="AJ65" s="19"/>
      <c r="AK65" s="19"/>
      <c r="AL65" s="19">
        <v>10</v>
      </c>
      <c r="AM65" s="19"/>
      <c r="AN65" s="19"/>
      <c r="AO65" s="19"/>
      <c r="AP65" s="19"/>
      <c r="AQ65" s="19">
        <v>2</v>
      </c>
      <c r="AR65" s="19" t="s">
        <v>136</v>
      </c>
      <c r="AS65" s="20"/>
      <c r="AT65" t="s">
        <v>523</v>
      </c>
      <c r="AU65" s="34" t="s">
        <v>1693</v>
      </c>
      <c r="AV65" t="s">
        <v>87</v>
      </c>
    </row>
    <row r="66" spans="5:53">
      <c r="E66" s="36"/>
      <c r="F66" s="37" t="s">
        <v>370</v>
      </c>
      <c r="G66" s="37" t="s">
        <v>487</v>
      </c>
      <c r="H66" s="37">
        <v>320</v>
      </c>
      <c r="I66" s="37"/>
      <c r="J66" s="37" t="s">
        <v>407</v>
      </c>
      <c r="K66" s="37" t="s">
        <v>404</v>
      </c>
      <c r="L66" s="37" t="s">
        <v>403</v>
      </c>
      <c r="M66" s="37" t="s">
        <v>91</v>
      </c>
      <c r="N66" s="37">
        <v>63</v>
      </c>
      <c r="O66" s="37" t="s">
        <v>514</v>
      </c>
      <c r="AD66" s="19"/>
      <c r="AE66" s="6"/>
      <c r="AF66" s="483" t="s">
        <v>2941</v>
      </c>
      <c r="AG66" s="480" t="str" cm="1">
        <f t="array" ref="AG66">LEFT(AF66, 2) &amp; IF(Program_Banner= "Business Energy Savings", 2, IF(Program_Banner="Small Business / Non-Profit", 3, "#")) &amp; RIGHT(AF66,6)</f>
        <v>112203001</v>
      </c>
      <c r="AH66" s="14" t="s">
        <v>931</v>
      </c>
      <c r="AI66" t="s">
        <v>546</v>
      </c>
      <c r="AJ66" s="19"/>
      <c r="AK66" s="19"/>
      <c r="AL66" s="19">
        <v>15</v>
      </c>
      <c r="AM66" s="19"/>
      <c r="AN66" s="19"/>
      <c r="AO66" s="19"/>
      <c r="AP66" s="19"/>
      <c r="AQ66" s="19">
        <v>3</v>
      </c>
      <c r="AR66" s="19" t="s">
        <v>1330</v>
      </c>
      <c r="AS66" s="20"/>
      <c r="AT66" t="s">
        <v>523</v>
      </c>
      <c r="AU66" s="34" t="s">
        <v>1693</v>
      </c>
      <c r="AV66" t="s">
        <v>87</v>
      </c>
    </row>
    <row r="67" spans="5:53">
      <c r="E67" s="36"/>
      <c r="F67" s="37" t="s">
        <v>371</v>
      </c>
      <c r="G67" s="37" t="s">
        <v>488</v>
      </c>
      <c r="H67" s="37">
        <v>28</v>
      </c>
      <c r="I67" s="37"/>
      <c r="J67" s="37" t="s">
        <v>93</v>
      </c>
      <c r="K67" s="37" t="s">
        <v>401</v>
      </c>
      <c r="L67" s="37" t="s">
        <v>333</v>
      </c>
      <c r="M67" s="37" t="s">
        <v>91</v>
      </c>
      <c r="N67" s="37">
        <v>64</v>
      </c>
      <c r="O67" s="37" t="s">
        <v>514</v>
      </c>
      <c r="AD67" s="19"/>
      <c r="AE67" s="6"/>
      <c r="AF67" s="483" t="s">
        <v>2942</v>
      </c>
      <c r="AG67" s="480" t="str" cm="1">
        <f t="array" ref="AG67">LEFT(AF67, 2) &amp; IF(Program_Banner= "Business Energy Savings", 2, IF(Program_Banner="Small Business / Non-Profit", 3, "#")) &amp; RIGHT(AF67,6)</f>
        <v>112203003</v>
      </c>
      <c r="AH67" s="14" t="s">
        <v>931</v>
      </c>
      <c r="AI67" t="s">
        <v>544</v>
      </c>
      <c r="AJ67" s="19"/>
      <c r="AK67" s="19"/>
      <c r="AL67" s="19">
        <v>12</v>
      </c>
      <c r="AM67" s="19"/>
      <c r="AN67" s="19"/>
      <c r="AO67" s="19"/>
      <c r="AP67" s="19"/>
      <c r="AQ67" s="19">
        <v>4</v>
      </c>
      <c r="AR67" s="19" t="s">
        <v>1330</v>
      </c>
      <c r="AS67" s="20"/>
      <c r="AT67" t="s">
        <v>523</v>
      </c>
      <c r="AU67" s="34" t="s">
        <v>1693</v>
      </c>
      <c r="AV67" t="s">
        <v>87</v>
      </c>
    </row>
    <row r="68" spans="5:53">
      <c r="E68" s="36"/>
      <c r="F68" s="37" t="s">
        <v>372</v>
      </c>
      <c r="G68" s="37" t="s">
        <v>489</v>
      </c>
      <c r="H68" s="37">
        <v>56</v>
      </c>
      <c r="I68" s="37"/>
      <c r="J68" s="37" t="s">
        <v>93</v>
      </c>
      <c r="K68" s="37" t="s">
        <v>401</v>
      </c>
      <c r="L68" s="37" t="s">
        <v>399</v>
      </c>
      <c r="M68" s="37" t="s">
        <v>91</v>
      </c>
      <c r="N68" s="37">
        <v>65</v>
      </c>
      <c r="O68" s="37" t="s">
        <v>514</v>
      </c>
      <c r="AD68" s="19"/>
      <c r="AE68" s="6"/>
      <c r="AF68" s="483" t="s">
        <v>2943</v>
      </c>
      <c r="AG68" s="480" t="str" cm="1">
        <f t="array" ref="AG68">LEFT(AF68, 2) &amp; IF(Program_Banner= "Business Energy Savings", 2, IF(Program_Banner="Small Business / Non-Profit", 3, "#")) &amp; RIGHT(AF68,6)</f>
        <v>112203005</v>
      </c>
      <c r="AH68" s="14" t="s">
        <v>931</v>
      </c>
      <c r="AI68" t="s">
        <v>545</v>
      </c>
      <c r="AJ68" s="19"/>
      <c r="AK68" s="19"/>
      <c r="AL68" s="19">
        <v>12</v>
      </c>
      <c r="AM68" s="19"/>
      <c r="AN68" s="19"/>
      <c r="AO68" s="19"/>
      <c r="AP68" s="19"/>
      <c r="AQ68" s="19">
        <v>5</v>
      </c>
      <c r="AR68" s="19" t="s">
        <v>1330</v>
      </c>
      <c r="AS68" s="20"/>
      <c r="AT68" t="s">
        <v>523</v>
      </c>
      <c r="AU68" s="34" t="s">
        <v>1693</v>
      </c>
      <c r="AV68" t="s">
        <v>87</v>
      </c>
    </row>
    <row r="69" spans="5:53">
      <c r="E69" s="36"/>
      <c r="F69" s="37" t="s">
        <v>645</v>
      </c>
      <c r="G69" s="37" t="s">
        <v>674</v>
      </c>
      <c r="H69" s="37">
        <v>89</v>
      </c>
      <c r="I69" s="37"/>
      <c r="J69" s="37" t="s">
        <v>93</v>
      </c>
      <c r="K69" s="37" t="s">
        <v>401</v>
      </c>
      <c r="L69" s="37" t="s">
        <v>402</v>
      </c>
      <c r="M69" s="37" t="s">
        <v>91</v>
      </c>
      <c r="N69" s="37">
        <v>66</v>
      </c>
      <c r="O69" s="37" t="s">
        <v>514</v>
      </c>
      <c r="AD69" s="19"/>
      <c r="AE69" s="6"/>
      <c r="AF69" s="483" t="s">
        <v>2997</v>
      </c>
      <c r="AG69" s="480" t="str" cm="1">
        <f t="array" ref="AG69">LEFT(AF69, 2) &amp; IF(Program_Banner= "Business Energy Savings", 2, IF(Program_Banner="Small Business / Non-Profit", 3, "#")) &amp; RIGHT(AF69,6)</f>
        <v>112222001</v>
      </c>
      <c r="AH69" s="14" t="s">
        <v>931</v>
      </c>
      <c r="AI69" t="s">
        <v>543</v>
      </c>
      <c r="AJ69" s="19"/>
      <c r="AK69" s="19"/>
      <c r="AL69" s="19"/>
      <c r="AM69" s="19"/>
      <c r="AN69" s="19"/>
      <c r="AO69" s="19"/>
      <c r="AP69" s="19"/>
      <c r="AQ69" s="19">
        <v>6</v>
      </c>
      <c r="AR69" s="19"/>
      <c r="AS69" s="20"/>
      <c r="AT69" t="s">
        <v>523</v>
      </c>
      <c r="AU69" s="34" t="s">
        <v>1693</v>
      </c>
      <c r="AV69" s="50" t="s">
        <v>596</v>
      </c>
    </row>
    <row r="70" spans="5:53">
      <c r="E70" s="36"/>
      <c r="F70" s="37" t="s">
        <v>610</v>
      </c>
      <c r="G70" s="37"/>
      <c r="H70" s="37" t="s">
        <v>465</v>
      </c>
      <c r="I70" s="37"/>
      <c r="J70" s="37"/>
      <c r="K70" s="37"/>
      <c r="L70" s="37"/>
      <c r="M70" s="37"/>
      <c r="N70" s="37">
        <v>67</v>
      </c>
      <c r="O70" s="37"/>
      <c r="AD70" s="19"/>
      <c r="AE70" s="6"/>
      <c r="AF70" s="483" t="s">
        <v>3000</v>
      </c>
      <c r="AG70" s="480" t="str" cm="1">
        <f t="array" ref="AG70">LEFT(AF70, 2) &amp; IF(Program_Banner= "Business Energy Savings", 2, IF(Program_Banner="Small Business / Non-Profit", 3, "#")) &amp; RIGHT(AF70,6)</f>
        <v>112233002</v>
      </c>
      <c r="AH70" s="6" t="s">
        <v>764</v>
      </c>
      <c r="AI70" t="s">
        <v>440</v>
      </c>
      <c r="AJ70" s="19"/>
      <c r="AK70" s="19"/>
      <c r="AL70" s="19">
        <v>15</v>
      </c>
      <c r="AM70" s="19"/>
      <c r="AN70" s="19"/>
      <c r="AO70" s="19"/>
      <c r="AP70" s="19"/>
      <c r="AQ70" s="19">
        <v>7</v>
      </c>
      <c r="AR70" s="19" t="s">
        <v>136</v>
      </c>
      <c r="AS70" s="20"/>
      <c r="AT70" t="s">
        <v>84</v>
      </c>
      <c r="AU70" s="34" t="s">
        <v>1693</v>
      </c>
      <c r="AV70" t="s">
        <v>87</v>
      </c>
    </row>
    <row r="71" spans="5:53">
      <c r="F71" s="19" t="s">
        <v>904</v>
      </c>
      <c r="G71" s="37" t="s">
        <v>905</v>
      </c>
      <c r="H71" s="19">
        <v>28</v>
      </c>
      <c r="I71" s="19"/>
      <c r="J71" s="19" t="s">
        <v>92</v>
      </c>
      <c r="K71" s="19" t="s">
        <v>330</v>
      </c>
      <c r="L71" s="19" t="s">
        <v>333</v>
      </c>
      <c r="M71" s="19" t="s">
        <v>91</v>
      </c>
      <c r="N71" s="37">
        <v>68</v>
      </c>
      <c r="O71" s="19" t="s">
        <v>513</v>
      </c>
      <c r="AD71" s="19"/>
      <c r="AE71" s="6"/>
      <c r="AF71" s="483" t="s">
        <v>3001</v>
      </c>
      <c r="AG71" s="480" t="str" cm="1">
        <f t="array" ref="AG71">LEFT(AF71, 2) &amp; IF(Program_Banner= "Business Energy Savings", 2, IF(Program_Banner="Small Business / Non-Profit", 3, "#")) &amp; RIGHT(AF71,6)</f>
        <v>112233004</v>
      </c>
      <c r="AH71" s="6" t="s">
        <v>764</v>
      </c>
      <c r="AI71" t="s">
        <v>441</v>
      </c>
      <c r="AJ71" s="19"/>
      <c r="AK71" s="19"/>
      <c r="AL71" s="19">
        <v>10</v>
      </c>
      <c r="AM71" s="19"/>
      <c r="AN71" s="19"/>
      <c r="AO71" s="19"/>
      <c r="AP71" s="19"/>
      <c r="AQ71" s="19">
        <v>8</v>
      </c>
      <c r="AR71" s="19" t="s">
        <v>136</v>
      </c>
      <c r="AS71" s="20"/>
      <c r="AT71" t="s">
        <v>84</v>
      </c>
      <c r="AU71" s="34" t="s">
        <v>1693</v>
      </c>
      <c r="AV71" t="s">
        <v>87</v>
      </c>
    </row>
    <row r="72" spans="5:53">
      <c r="F72" s="19" t="s">
        <v>906</v>
      </c>
      <c r="G72" s="37" t="s">
        <v>907</v>
      </c>
      <c r="H72" s="19">
        <v>54</v>
      </c>
      <c r="I72" s="19"/>
      <c r="J72" s="19" t="s">
        <v>92</v>
      </c>
      <c r="K72" s="19" t="s">
        <v>330</v>
      </c>
      <c r="L72" s="19" t="s">
        <v>399</v>
      </c>
      <c r="M72" s="19" t="s">
        <v>91</v>
      </c>
      <c r="N72" s="37">
        <v>69</v>
      </c>
      <c r="O72" s="19" t="s">
        <v>513</v>
      </c>
      <c r="AD72" s="19"/>
      <c r="AE72" s="6"/>
      <c r="AF72" s="483" t="s">
        <v>2944</v>
      </c>
      <c r="AG72" s="480" t="str" cm="1">
        <f t="array" ref="AG72">LEFT(AF72, 2) &amp; IF(Program_Banner= "Business Energy Savings", 2, IF(Program_Banner="Small Business / Non-Profit", 3, "#")) &amp; RIGHT(AF72,6)</f>
        <v>112203002</v>
      </c>
      <c r="AH72" s="6" t="s">
        <v>764</v>
      </c>
      <c r="AI72" t="s">
        <v>460</v>
      </c>
      <c r="AJ72" s="19"/>
      <c r="AK72" s="19"/>
      <c r="AL72" s="19">
        <v>15</v>
      </c>
      <c r="AM72" s="19"/>
      <c r="AN72" s="19"/>
      <c r="AO72" s="19"/>
      <c r="AP72" s="19"/>
      <c r="AQ72" s="19">
        <v>9</v>
      </c>
      <c r="AR72" s="19" t="s">
        <v>1330</v>
      </c>
      <c r="AS72" s="20"/>
      <c r="AT72" t="s">
        <v>84</v>
      </c>
      <c r="AU72" s="34" t="s">
        <v>1693</v>
      </c>
      <c r="AV72" t="s">
        <v>87</v>
      </c>
    </row>
    <row r="73" spans="5:53">
      <c r="E73" s="36"/>
      <c r="F73" s="37" t="s">
        <v>524</v>
      </c>
      <c r="G73" s="37" t="s">
        <v>675</v>
      </c>
      <c r="H73" s="37">
        <v>32</v>
      </c>
      <c r="I73" s="37"/>
      <c r="J73" s="37" t="s">
        <v>92</v>
      </c>
      <c r="K73" s="37" t="s">
        <v>401</v>
      </c>
      <c r="L73" s="37" t="s">
        <v>333</v>
      </c>
      <c r="M73" s="37" t="s">
        <v>91</v>
      </c>
      <c r="N73" s="37">
        <v>70</v>
      </c>
      <c r="O73" s="37" t="s">
        <v>513</v>
      </c>
      <c r="AD73" s="19"/>
      <c r="AE73" s="6"/>
      <c r="AF73" s="483" t="s">
        <v>2945</v>
      </c>
      <c r="AG73" s="480" t="str" cm="1">
        <f t="array" ref="AG73">LEFT(AF73, 2) &amp; IF(Program_Banner= "Business Energy Savings", 2, IF(Program_Banner="Small Business / Non-Profit", 3, "#")) &amp; RIGHT(AF73,6)</f>
        <v>112203004</v>
      </c>
      <c r="AH73" s="6" t="s">
        <v>764</v>
      </c>
      <c r="AI73" t="s">
        <v>458</v>
      </c>
      <c r="AJ73" s="19"/>
      <c r="AK73" s="19"/>
      <c r="AL73" s="19">
        <v>12</v>
      </c>
      <c r="AM73" s="19"/>
      <c r="AN73" s="19"/>
      <c r="AO73" s="19"/>
      <c r="AP73" s="19"/>
      <c r="AQ73" s="19">
        <v>10</v>
      </c>
      <c r="AR73" s="19" t="s">
        <v>1330</v>
      </c>
      <c r="AS73" s="20"/>
      <c r="AT73" t="s">
        <v>84</v>
      </c>
      <c r="AU73" s="34" t="s">
        <v>1693</v>
      </c>
      <c r="AV73" t="s">
        <v>87</v>
      </c>
    </row>
    <row r="74" spans="5:53">
      <c r="E74" s="36"/>
      <c r="F74" s="37" t="s">
        <v>525</v>
      </c>
      <c r="G74" s="37" t="s">
        <v>676</v>
      </c>
      <c r="H74" s="37">
        <v>63</v>
      </c>
      <c r="I74" s="37"/>
      <c r="J74" s="37" t="s">
        <v>92</v>
      </c>
      <c r="K74" s="37" t="s">
        <v>401</v>
      </c>
      <c r="L74" s="37" t="s">
        <v>399</v>
      </c>
      <c r="M74" s="37" t="s">
        <v>91</v>
      </c>
      <c r="N74" s="37">
        <v>71</v>
      </c>
      <c r="O74" s="37" t="s">
        <v>513</v>
      </c>
      <c r="AD74" s="19"/>
      <c r="AE74" s="6"/>
      <c r="AF74" s="483" t="s">
        <v>2946</v>
      </c>
      <c r="AG74" s="480" t="str" cm="1">
        <f t="array" ref="AG74">LEFT(AF74, 2) &amp; IF(Program_Banner= "Business Energy Savings", 2, IF(Program_Banner="Small Business / Non-Profit", 3, "#")) &amp; RIGHT(AF74,6)</f>
        <v>112203006</v>
      </c>
      <c r="AH74" s="6" t="s">
        <v>764</v>
      </c>
      <c r="AI74" t="s">
        <v>459</v>
      </c>
      <c r="AJ74" s="19"/>
      <c r="AK74" s="19"/>
      <c r="AL74" s="19">
        <v>12</v>
      </c>
      <c r="AM74" s="19"/>
      <c r="AN74" s="19"/>
      <c r="AO74" s="19"/>
      <c r="AP74" s="19"/>
      <c r="AQ74" s="19">
        <v>11</v>
      </c>
      <c r="AR74" s="19" t="s">
        <v>1330</v>
      </c>
      <c r="AS74" s="20"/>
      <c r="AT74" t="s">
        <v>84</v>
      </c>
      <c r="AU74" s="34" t="s">
        <v>1693</v>
      </c>
      <c r="AV74" t="s">
        <v>87</v>
      </c>
    </row>
    <row r="75" spans="5:53">
      <c r="E75" s="36"/>
      <c r="F75" s="37" t="s">
        <v>646</v>
      </c>
      <c r="G75" s="37" t="s">
        <v>679</v>
      </c>
      <c r="H75" s="37">
        <v>95</v>
      </c>
      <c r="I75" s="37"/>
      <c r="J75" s="37" t="s">
        <v>92</v>
      </c>
      <c r="K75" s="37" t="s">
        <v>401</v>
      </c>
      <c r="L75" s="37" t="s">
        <v>402</v>
      </c>
      <c r="M75" s="37" t="s">
        <v>91</v>
      </c>
      <c r="N75" s="37">
        <v>72</v>
      </c>
      <c r="O75" s="37" t="s">
        <v>513</v>
      </c>
      <c r="AD75" s="19"/>
      <c r="AE75" s="6"/>
      <c r="AF75" s="483" t="s">
        <v>2996</v>
      </c>
      <c r="AG75" s="480" t="str" cm="1">
        <f t="array" ref="AG75">LEFT(AF75, 2) &amp; IF(Program_Banner= "Business Energy Savings", 2, IF(Program_Banner="Small Business / Non-Profit", 3, "#")) &amp; RIGHT(AF75,6)</f>
        <v>112222002</v>
      </c>
      <c r="AH75" s="6" t="s">
        <v>764</v>
      </c>
      <c r="AI75" t="s">
        <v>542</v>
      </c>
      <c r="AQ75" s="19">
        <v>12</v>
      </c>
      <c r="AS75" s="14"/>
      <c r="AT75" t="s">
        <v>84</v>
      </c>
      <c r="AU75" s="34" t="s">
        <v>1693</v>
      </c>
      <c r="AV75" s="50" t="s">
        <v>596</v>
      </c>
    </row>
    <row r="76" spans="5:53">
      <c r="E76" s="36"/>
      <c r="F76" s="37" t="s">
        <v>526</v>
      </c>
      <c r="G76" s="37" t="s">
        <v>677</v>
      </c>
      <c r="H76" s="37">
        <v>126</v>
      </c>
      <c r="I76" s="37"/>
      <c r="J76" s="37" t="s">
        <v>92</v>
      </c>
      <c r="K76" s="37" t="s">
        <v>401</v>
      </c>
      <c r="L76" s="37" t="s">
        <v>403</v>
      </c>
      <c r="M76" s="37" t="s">
        <v>91</v>
      </c>
      <c r="N76" s="37">
        <v>73</v>
      </c>
      <c r="O76" s="37" t="s">
        <v>513</v>
      </c>
      <c r="AD76" s="19"/>
      <c r="AE76" s="6"/>
      <c r="AF76" s="19"/>
      <c r="AG76" s="20"/>
      <c r="AH76" s="19"/>
      <c r="AI76" s="19"/>
      <c r="AJ76" s="19"/>
      <c r="AK76" s="19"/>
      <c r="AL76" s="19"/>
      <c r="AM76" s="19"/>
      <c r="AN76" s="19"/>
      <c r="AO76" s="19"/>
      <c r="AP76" s="19"/>
      <c r="AQ76" s="19"/>
      <c r="AR76" s="19"/>
      <c r="AS76" s="19"/>
      <c r="AT76" s="19"/>
      <c r="AU76" s="19"/>
      <c r="AV76" s="19"/>
      <c r="AW76" s="19"/>
    </row>
    <row r="77" spans="5:53">
      <c r="E77" s="36"/>
      <c r="F77" s="37" t="s">
        <v>527</v>
      </c>
      <c r="G77" s="37" t="s">
        <v>678</v>
      </c>
      <c r="H77" s="37">
        <v>192</v>
      </c>
      <c r="I77" s="37"/>
      <c r="J77" s="37" t="s">
        <v>92</v>
      </c>
      <c r="K77" s="37" t="s">
        <v>401</v>
      </c>
      <c r="L77" s="37" t="s">
        <v>408</v>
      </c>
      <c r="M77" s="37" t="s">
        <v>91</v>
      </c>
      <c r="N77" s="37">
        <v>74</v>
      </c>
      <c r="O77" s="37" t="s">
        <v>514</v>
      </c>
      <c r="AD77" s="19"/>
      <c r="AE77" s="6"/>
      <c r="AF77" s="19"/>
      <c r="AG77" s="20" t="s">
        <v>85</v>
      </c>
      <c r="AH77" s="20" t="s">
        <v>531</v>
      </c>
      <c r="AI77" s="19" t="s">
        <v>456</v>
      </c>
      <c r="AJ77" s="19" t="s">
        <v>457</v>
      </c>
      <c r="AK77" t="s">
        <v>541</v>
      </c>
      <c r="AL77" s="19" t="s">
        <v>88</v>
      </c>
      <c r="AM77" s="19" t="s">
        <v>86</v>
      </c>
      <c r="AN77" s="19" t="s">
        <v>331</v>
      </c>
      <c r="AO77" s="19" t="s">
        <v>332</v>
      </c>
      <c r="AP77" s="19" t="s">
        <v>433</v>
      </c>
      <c r="AQ77" t="s">
        <v>336</v>
      </c>
      <c r="AR77" s="19" t="s">
        <v>432</v>
      </c>
      <c r="AS77" s="19" t="s">
        <v>322</v>
      </c>
      <c r="AT77" t="s">
        <v>569</v>
      </c>
      <c r="AU77" s="19" t="s">
        <v>431</v>
      </c>
      <c r="AV77" s="50" t="s">
        <v>743</v>
      </c>
      <c r="AW77" t="s">
        <v>1539</v>
      </c>
      <c r="AX77" t="s">
        <v>860</v>
      </c>
      <c r="AY77" t="s">
        <v>1547</v>
      </c>
      <c r="AZ77" t="s">
        <v>1548</v>
      </c>
      <c r="BA77" t="s">
        <v>1549</v>
      </c>
    </row>
    <row r="78" spans="5:53">
      <c r="E78" s="36"/>
      <c r="F78" s="37" t="s">
        <v>647</v>
      </c>
      <c r="G78" s="37" t="s">
        <v>680</v>
      </c>
      <c r="H78" s="37">
        <v>256</v>
      </c>
      <c r="I78" s="37"/>
      <c r="J78" s="37" t="s">
        <v>92</v>
      </c>
      <c r="K78" s="37" t="s">
        <v>401</v>
      </c>
      <c r="L78" s="37" t="s">
        <v>409</v>
      </c>
      <c r="M78" s="37" t="s">
        <v>91</v>
      </c>
      <c r="N78" s="37">
        <v>75</v>
      </c>
      <c r="O78" s="37" t="s">
        <v>514</v>
      </c>
      <c r="AD78" s="19"/>
      <c r="AE78" s="6"/>
      <c r="AF78" s="483" t="s">
        <v>2947</v>
      </c>
      <c r="AG78" s="480" t="str" cm="1">
        <f t="array" ref="AG78">LEFT(AF78, 2) &amp; IF(Program_Banner= "Business Energy Savings", 2, IF(Program_Banner="Small Business / Non-Profit", 3, "#")) &amp; RIGHT(AF78,6)</f>
        <v>112202001</v>
      </c>
      <c r="AH78" s="14" t="s">
        <v>931</v>
      </c>
      <c r="AI78" t="s">
        <v>599</v>
      </c>
      <c r="AL78">
        <v>15</v>
      </c>
      <c r="AQ78" s="19">
        <v>1</v>
      </c>
      <c r="AR78" s="19" t="s">
        <v>1337</v>
      </c>
      <c r="AS78" s="14"/>
      <c r="AT78" t="s">
        <v>523</v>
      </c>
      <c r="AU78" s="19" t="s">
        <v>442</v>
      </c>
      <c r="AV78" t="s">
        <v>746</v>
      </c>
    </row>
    <row r="79" spans="5:53">
      <c r="E79" s="20"/>
      <c r="F79" t="s">
        <v>908</v>
      </c>
      <c r="G79" s="37" t="s">
        <v>909</v>
      </c>
      <c r="H79" s="19">
        <v>40</v>
      </c>
      <c r="I79" s="19"/>
      <c r="J79" s="19" t="s">
        <v>92</v>
      </c>
      <c r="K79" s="19" t="s">
        <v>884</v>
      </c>
      <c r="L79" s="19" t="s">
        <v>333</v>
      </c>
      <c r="M79" s="19" t="s">
        <v>91</v>
      </c>
      <c r="N79" s="37">
        <v>76</v>
      </c>
      <c r="O79" s="19" t="s">
        <v>885</v>
      </c>
      <c r="P79" s="35"/>
      <c r="Q79" s="35"/>
      <c r="AD79" s="19"/>
      <c r="AE79" s="6"/>
      <c r="AF79" s="483" t="s">
        <v>2948</v>
      </c>
      <c r="AG79" s="480" t="str" cm="1">
        <f t="array" ref="AG79">LEFT(AF79, 2) &amp; IF(Program_Banner= "Business Energy Savings", 2, IF(Program_Banner="Small Business / Non-Profit", 3, "#")) &amp; RIGHT(AF79,6)</f>
        <v>112201001</v>
      </c>
      <c r="AH79" s="14" t="s">
        <v>931</v>
      </c>
      <c r="AI79" t="s">
        <v>550</v>
      </c>
      <c r="AJ79" s="19"/>
      <c r="AK79" s="19"/>
      <c r="AL79" s="19">
        <v>10</v>
      </c>
      <c r="AM79" s="19"/>
      <c r="AN79" s="19"/>
      <c r="AO79" s="19"/>
      <c r="AP79" s="19"/>
      <c r="AQ79">
        <v>2</v>
      </c>
      <c r="AR79" s="19" t="s">
        <v>1337</v>
      </c>
      <c r="AS79" s="20"/>
      <c r="AT79" t="s">
        <v>523</v>
      </c>
      <c r="AU79" s="19" t="s">
        <v>442</v>
      </c>
      <c r="AV79" t="s">
        <v>746</v>
      </c>
    </row>
    <row r="80" spans="5:53">
      <c r="E80" s="20"/>
      <c r="F80" t="s">
        <v>910</v>
      </c>
      <c r="G80" s="37" t="s">
        <v>911</v>
      </c>
      <c r="H80" s="19">
        <v>77</v>
      </c>
      <c r="I80" s="19"/>
      <c r="J80" s="19" t="s">
        <v>92</v>
      </c>
      <c r="K80" s="19" t="s">
        <v>884</v>
      </c>
      <c r="L80" s="19" t="s">
        <v>399</v>
      </c>
      <c r="M80" s="19" t="s">
        <v>91</v>
      </c>
      <c r="N80" s="37">
        <v>77</v>
      </c>
      <c r="O80" s="19" t="s">
        <v>885</v>
      </c>
      <c r="P80" s="22"/>
      <c r="Q80" s="22"/>
      <c r="AD80" s="19"/>
      <c r="AE80" s="6"/>
      <c r="AF80" s="483" t="s">
        <v>2949</v>
      </c>
      <c r="AG80" s="480" t="str" cm="1">
        <f t="array" ref="AG80">LEFT(AF80, 2) &amp; IF(Program_Banner= "Business Energy Savings", 2, IF(Program_Banner="Small Business / Non-Profit", 3, "#")) &amp; RIGHT(AF80,6)</f>
        <v>112201003</v>
      </c>
      <c r="AH80" s="14" t="s">
        <v>931</v>
      </c>
      <c r="AI80" t="s">
        <v>551</v>
      </c>
      <c r="AJ80" s="19"/>
      <c r="AK80" s="19"/>
      <c r="AL80" s="19">
        <v>15</v>
      </c>
      <c r="AM80" s="19"/>
      <c r="AN80" s="19"/>
      <c r="AO80" s="19"/>
      <c r="AP80" s="19"/>
      <c r="AQ80" s="19">
        <v>3</v>
      </c>
      <c r="AR80" s="19" t="s">
        <v>134</v>
      </c>
      <c r="AS80" s="20"/>
      <c r="AT80" t="s">
        <v>523</v>
      </c>
      <c r="AU80" s="19" t="s">
        <v>442</v>
      </c>
      <c r="AV80" t="s">
        <v>746</v>
      </c>
    </row>
    <row r="81" spans="5:49">
      <c r="E81" s="36"/>
      <c r="F81" s="37" t="s">
        <v>515</v>
      </c>
      <c r="G81" s="37" t="s">
        <v>116</v>
      </c>
      <c r="H81" s="37">
        <v>61</v>
      </c>
      <c r="I81" s="37"/>
      <c r="J81" s="37" t="s">
        <v>521</v>
      </c>
      <c r="K81" s="37" t="s">
        <v>401</v>
      </c>
      <c r="L81" s="37" t="s">
        <v>333</v>
      </c>
      <c r="M81" s="37" t="s">
        <v>91</v>
      </c>
      <c r="N81" s="37">
        <v>78</v>
      </c>
      <c r="O81" s="37" t="s">
        <v>513</v>
      </c>
      <c r="P81" s="22"/>
      <c r="Q81" s="22"/>
      <c r="AD81" s="19"/>
      <c r="AE81" s="6"/>
      <c r="AF81" s="483" t="s">
        <v>2950</v>
      </c>
      <c r="AG81" s="480" t="str" cm="1">
        <f t="array" ref="AG81">LEFT(AF81, 2) &amp; IF(Program_Banner= "Business Energy Savings", 2, IF(Program_Banner="Small Business / Non-Profit", 3, "#")) &amp; RIGHT(AF81,6)</f>
        <v>112202003</v>
      </c>
      <c r="AH81" s="14" t="s">
        <v>931</v>
      </c>
      <c r="AI81" t="s">
        <v>555</v>
      </c>
      <c r="AJ81" s="19"/>
      <c r="AK81" s="19"/>
      <c r="AL81" s="19">
        <v>15</v>
      </c>
      <c r="AM81" s="19"/>
      <c r="AN81" s="19"/>
      <c r="AO81" s="19"/>
      <c r="AP81" s="19"/>
      <c r="AQ81">
        <v>4</v>
      </c>
      <c r="AR81" s="19" t="s">
        <v>1337</v>
      </c>
      <c r="AS81" s="20"/>
      <c r="AT81" t="s">
        <v>523</v>
      </c>
      <c r="AU81" s="19" t="s">
        <v>442</v>
      </c>
      <c r="AV81" t="s">
        <v>746</v>
      </c>
    </row>
    <row r="82" spans="5:49">
      <c r="E82" s="36"/>
      <c r="F82" s="37" t="s">
        <v>516</v>
      </c>
      <c r="G82" s="37" t="s">
        <v>117</v>
      </c>
      <c r="H82" s="37">
        <v>117</v>
      </c>
      <c r="I82" s="37"/>
      <c r="J82" s="37" t="s">
        <v>521</v>
      </c>
      <c r="K82" s="37" t="s">
        <v>401</v>
      </c>
      <c r="L82" s="37" t="s">
        <v>399</v>
      </c>
      <c r="M82" s="37" t="s">
        <v>91</v>
      </c>
      <c r="N82" s="37">
        <v>79</v>
      </c>
      <c r="O82" s="37" t="s">
        <v>513</v>
      </c>
      <c r="P82" s="35"/>
      <c r="Q82" s="35"/>
      <c r="AD82" s="19"/>
      <c r="AE82" s="6"/>
      <c r="AF82" s="483" t="s">
        <v>2951</v>
      </c>
      <c r="AG82" s="480" t="str" cm="1">
        <f t="array" ref="AG82">LEFT(AF82, 2) &amp; IF(Program_Banner= "Business Energy Savings", 2, IF(Program_Banner="Small Business / Non-Profit", 3, "#")) &amp; RIGHT(AF82,6)</f>
        <v>112228001</v>
      </c>
      <c r="AH82" s="14" t="s">
        <v>931</v>
      </c>
      <c r="AI82" t="s">
        <v>1651</v>
      </c>
      <c r="AJ82" s="19"/>
      <c r="AK82" s="19"/>
      <c r="AL82" s="19">
        <v>20</v>
      </c>
      <c r="AM82" s="19"/>
      <c r="AN82" s="19"/>
      <c r="AO82" s="19"/>
      <c r="AP82" s="19"/>
      <c r="AQ82" s="19">
        <v>5</v>
      </c>
      <c r="AR82" t="s">
        <v>134</v>
      </c>
      <c r="AS82" s="20"/>
      <c r="AT82" t="s">
        <v>523</v>
      </c>
      <c r="AU82" s="19" t="s">
        <v>442</v>
      </c>
      <c r="AV82" t="s">
        <v>744</v>
      </c>
    </row>
    <row r="83" spans="5:49">
      <c r="E83" s="36"/>
      <c r="F83" s="37" t="s">
        <v>648</v>
      </c>
      <c r="G83" s="37" t="s">
        <v>681</v>
      </c>
      <c r="H83" s="37">
        <v>179</v>
      </c>
      <c r="I83" s="37"/>
      <c r="J83" s="37" t="s">
        <v>521</v>
      </c>
      <c r="K83" s="37" t="s">
        <v>401</v>
      </c>
      <c r="L83" s="37" t="s">
        <v>402</v>
      </c>
      <c r="M83" s="37" t="s">
        <v>91</v>
      </c>
      <c r="N83" s="37">
        <v>80</v>
      </c>
      <c r="O83" s="37" t="s">
        <v>513</v>
      </c>
      <c r="P83" s="22"/>
      <c r="Q83" s="22"/>
      <c r="AD83" s="19"/>
      <c r="AE83" s="6"/>
      <c r="AF83" s="483" t="s">
        <v>2952</v>
      </c>
      <c r="AG83" s="480" t="str" cm="1">
        <f t="array" ref="AG83">LEFT(AF83, 2) &amp; IF(Program_Banner= "Business Energy Savings", 2, IF(Program_Banner="Small Business / Non-Profit", 3, "#")) &amp; RIGHT(AF83,6)</f>
        <v>112228003</v>
      </c>
      <c r="AH83" s="14" t="s">
        <v>931</v>
      </c>
      <c r="AI83" t="s">
        <v>552</v>
      </c>
      <c r="AJ83" s="19"/>
      <c r="AK83" s="19"/>
      <c r="AL83" s="19">
        <v>15</v>
      </c>
      <c r="AM83" s="19"/>
      <c r="AN83" s="19"/>
      <c r="AO83" s="19"/>
      <c r="AP83" s="19"/>
      <c r="AQ83">
        <v>6</v>
      </c>
      <c r="AR83" s="19" t="s">
        <v>134</v>
      </c>
      <c r="AS83" s="20"/>
      <c r="AT83" t="s">
        <v>523</v>
      </c>
      <c r="AU83" s="19" t="s">
        <v>442</v>
      </c>
      <c r="AV83" t="s">
        <v>744</v>
      </c>
    </row>
    <row r="84" spans="5:49">
      <c r="E84" s="36"/>
      <c r="F84" s="37" t="s">
        <v>517</v>
      </c>
      <c r="G84" s="37" t="s">
        <v>118</v>
      </c>
      <c r="H84" s="37">
        <v>235</v>
      </c>
      <c r="I84" s="37"/>
      <c r="J84" s="37" t="s">
        <v>521</v>
      </c>
      <c r="K84" s="37" t="s">
        <v>401</v>
      </c>
      <c r="L84" s="37" t="s">
        <v>403</v>
      </c>
      <c r="M84" s="37" t="s">
        <v>91</v>
      </c>
      <c r="N84" s="37">
        <v>81</v>
      </c>
      <c r="O84" s="37" t="s">
        <v>513</v>
      </c>
      <c r="P84" s="22"/>
      <c r="Q84" s="22"/>
      <c r="AD84" s="19"/>
      <c r="AE84" s="6"/>
      <c r="AF84" s="483" t="s">
        <v>2953</v>
      </c>
      <c r="AG84" s="480" t="str" cm="1">
        <f t="array" ref="AG84">LEFT(AF84, 2) &amp; IF(Program_Banner= "Business Energy Savings", 2, IF(Program_Banner="Small Business / Non-Profit", 3, "#")) &amp; RIGHT(AF84,6)</f>
        <v>112228005</v>
      </c>
      <c r="AH84" s="14" t="s">
        <v>931</v>
      </c>
      <c r="AI84" t="s">
        <v>553</v>
      </c>
      <c r="AJ84" s="19"/>
      <c r="AK84" s="19"/>
      <c r="AL84" s="19">
        <v>15</v>
      </c>
      <c r="AM84" s="19"/>
      <c r="AN84" s="19"/>
      <c r="AO84" s="19"/>
      <c r="AP84" s="19"/>
      <c r="AQ84" s="19">
        <v>7</v>
      </c>
      <c r="AR84" s="19" t="s">
        <v>134</v>
      </c>
      <c r="AS84" s="20"/>
      <c r="AT84" t="s">
        <v>523</v>
      </c>
      <c r="AU84" s="19" t="s">
        <v>442</v>
      </c>
      <c r="AV84" t="s">
        <v>1278</v>
      </c>
    </row>
    <row r="85" spans="5:49">
      <c r="E85" s="36"/>
      <c r="F85" s="37" t="s">
        <v>518</v>
      </c>
      <c r="G85" s="37" t="s">
        <v>119</v>
      </c>
      <c r="H85" s="37">
        <v>355</v>
      </c>
      <c r="I85" s="37"/>
      <c r="J85" s="37" t="s">
        <v>521</v>
      </c>
      <c r="K85" s="37" t="s">
        <v>401</v>
      </c>
      <c r="L85" s="37" t="s">
        <v>408</v>
      </c>
      <c r="M85" s="37" t="s">
        <v>91</v>
      </c>
      <c r="N85" s="37">
        <v>82</v>
      </c>
      <c r="O85" s="37" t="s">
        <v>514</v>
      </c>
      <c r="P85" s="22"/>
      <c r="Q85" s="22"/>
      <c r="AD85" s="19"/>
      <c r="AE85" s="6"/>
      <c r="AF85" s="483" t="s">
        <v>2954</v>
      </c>
      <c r="AG85" s="480" t="str" cm="1">
        <f t="array" ref="AG85">LEFT(AF85, 2) &amp; IF(Program_Banner= "Business Energy Savings", 2, IF(Program_Banner="Small Business / Non-Profit", 3, "#")) &amp; RIGHT(AF85,6)</f>
        <v>112201005</v>
      </c>
      <c r="AH85" s="14" t="s">
        <v>931</v>
      </c>
      <c r="AI85" t="s">
        <v>549</v>
      </c>
      <c r="AJ85" s="19"/>
      <c r="AK85" s="19"/>
      <c r="AL85" s="19">
        <v>15</v>
      </c>
      <c r="AM85" s="19"/>
      <c r="AN85" s="19"/>
      <c r="AO85" s="19"/>
      <c r="AP85" s="19"/>
      <c r="AQ85">
        <v>8</v>
      </c>
      <c r="AR85" s="19" t="s">
        <v>1337</v>
      </c>
      <c r="AS85" s="20"/>
      <c r="AT85" t="s">
        <v>523</v>
      </c>
      <c r="AU85" s="19" t="s">
        <v>442</v>
      </c>
      <c r="AV85" t="s">
        <v>87</v>
      </c>
    </row>
    <row r="86" spans="5:49">
      <c r="E86" s="36"/>
      <c r="F86" s="37" t="s">
        <v>519</v>
      </c>
      <c r="G86" s="37" t="s">
        <v>120</v>
      </c>
      <c r="H86" s="37">
        <v>468</v>
      </c>
      <c r="I86" s="37"/>
      <c r="J86" s="37" t="s">
        <v>521</v>
      </c>
      <c r="K86" s="37" t="s">
        <v>401</v>
      </c>
      <c r="L86" s="37" t="s">
        <v>409</v>
      </c>
      <c r="M86" s="37" t="s">
        <v>91</v>
      </c>
      <c r="N86" s="37">
        <v>83</v>
      </c>
      <c r="O86" s="37" t="s">
        <v>514</v>
      </c>
      <c r="P86" s="22"/>
      <c r="Q86" s="22"/>
      <c r="AD86" s="19"/>
      <c r="AE86" s="19"/>
      <c r="AF86" s="483" t="s">
        <v>2997</v>
      </c>
      <c r="AG86" s="480" t="str" cm="1">
        <f t="array" ref="AG86">LEFT(AF86, 2) &amp; IF(Program_Banner= "Business Energy Savings", 2, IF(Program_Banner="Small Business / Non-Profit", 3, "#")) &amp; RIGHT(AF86,6)</f>
        <v>112222001</v>
      </c>
      <c r="AH86" s="14" t="s">
        <v>931</v>
      </c>
      <c r="AI86" t="s">
        <v>543</v>
      </c>
      <c r="AJ86" s="19"/>
      <c r="AK86" s="19"/>
      <c r="AL86" s="19"/>
      <c r="AM86" s="19"/>
      <c r="AN86" s="19"/>
      <c r="AO86" s="19"/>
      <c r="AP86" s="19"/>
      <c r="AQ86" s="19">
        <v>9</v>
      </c>
      <c r="AR86" s="19"/>
      <c r="AS86" s="20"/>
      <c r="AT86" t="s">
        <v>523</v>
      </c>
      <c r="AU86" s="19" t="s">
        <v>442</v>
      </c>
      <c r="AV86" s="50" t="s">
        <v>596</v>
      </c>
    </row>
    <row r="87" spans="5:49">
      <c r="E87" s="36"/>
      <c r="F87" s="37" t="s">
        <v>520</v>
      </c>
      <c r="G87" s="37" t="s">
        <v>121</v>
      </c>
      <c r="H87" s="37">
        <v>577</v>
      </c>
      <c r="I87" s="37"/>
      <c r="J87" s="37" t="s">
        <v>521</v>
      </c>
      <c r="K87" s="37" t="s">
        <v>401</v>
      </c>
      <c r="L87" s="37" t="s">
        <v>410</v>
      </c>
      <c r="M87" s="37" t="s">
        <v>91</v>
      </c>
      <c r="N87" s="37">
        <v>84</v>
      </c>
      <c r="O87" s="37"/>
      <c r="P87" s="35"/>
      <c r="Q87" s="35"/>
      <c r="AD87" s="19"/>
      <c r="AE87" s="19"/>
      <c r="AF87" s="483" t="s">
        <v>2955</v>
      </c>
      <c r="AG87" s="480" t="str" cm="1">
        <f t="array" ref="AG87">LEFT(AF87, 2) &amp; IF(Program_Banner= "Business Energy Savings", 2, IF(Program_Banner="Small Business / Non-Profit", 3, "#")) &amp; RIGHT(AF87,6)</f>
        <v>112202002</v>
      </c>
      <c r="AH87" s="6" t="s">
        <v>764</v>
      </c>
      <c r="AI87" t="s">
        <v>598</v>
      </c>
      <c r="AL87">
        <v>15</v>
      </c>
      <c r="AQ87">
        <v>10</v>
      </c>
      <c r="AR87" s="19" t="s">
        <v>1337</v>
      </c>
      <c r="AS87" s="14"/>
      <c r="AT87" t="s">
        <v>84</v>
      </c>
      <c r="AU87" s="19" t="s">
        <v>442</v>
      </c>
      <c r="AV87" t="s">
        <v>746</v>
      </c>
    </row>
    <row r="88" spans="5:49">
      <c r="E88" s="36"/>
      <c r="F88" s="37" t="s">
        <v>610</v>
      </c>
      <c r="G88" s="37"/>
      <c r="H88" s="37" t="s">
        <v>465</v>
      </c>
      <c r="I88" s="37"/>
      <c r="J88" s="37"/>
      <c r="K88" s="37"/>
      <c r="L88" s="37"/>
      <c r="M88" s="37"/>
      <c r="N88" s="37">
        <v>85</v>
      </c>
      <c r="O88" s="37"/>
      <c r="P88" s="22"/>
      <c r="Q88" s="22"/>
      <c r="AD88" s="19"/>
      <c r="AE88" s="19"/>
      <c r="AF88" s="483" t="s">
        <v>2956</v>
      </c>
      <c r="AG88" s="480" t="str" cm="1">
        <f t="array" ref="AG88">LEFT(AF88, 2) &amp; IF(Program_Banner= "Business Energy Savings", 2, IF(Program_Banner="Small Business / Non-Profit", 3, "#")) &amp; RIGHT(AF88,6)</f>
        <v>112201002</v>
      </c>
      <c r="AH88" s="6" t="s">
        <v>764</v>
      </c>
      <c r="AI88" s="19" t="s">
        <v>443</v>
      </c>
      <c r="AJ88" s="19"/>
      <c r="AK88" s="19"/>
      <c r="AL88" s="19">
        <v>10</v>
      </c>
      <c r="AM88" s="19"/>
      <c r="AN88" s="19"/>
      <c r="AO88" s="19"/>
      <c r="AP88" s="19"/>
      <c r="AQ88" s="19">
        <v>11</v>
      </c>
      <c r="AR88" s="19" t="s">
        <v>1337</v>
      </c>
      <c r="AS88" s="20"/>
      <c r="AT88" t="s">
        <v>84</v>
      </c>
      <c r="AU88" s="19" t="s">
        <v>442</v>
      </c>
      <c r="AV88" t="s">
        <v>746</v>
      </c>
    </row>
    <row r="89" spans="5:49">
      <c r="E89" s="36"/>
      <c r="F89" s="37" t="s">
        <v>649</v>
      </c>
      <c r="G89" s="37" t="s">
        <v>682</v>
      </c>
      <c r="H89" s="37">
        <v>72</v>
      </c>
      <c r="I89" s="37"/>
      <c r="J89" s="37" t="s">
        <v>411</v>
      </c>
      <c r="K89" s="37" t="s">
        <v>423</v>
      </c>
      <c r="L89" s="37"/>
      <c r="M89" s="37" t="s">
        <v>91</v>
      </c>
      <c r="N89" s="37">
        <v>86</v>
      </c>
      <c r="O89" s="37" t="s">
        <v>514</v>
      </c>
      <c r="P89" s="35"/>
      <c r="Q89" s="35"/>
      <c r="AD89" s="19"/>
      <c r="AE89" s="19"/>
      <c r="AF89" s="483" t="s">
        <v>2957</v>
      </c>
      <c r="AG89" s="480" t="str" cm="1">
        <f t="array" ref="AG89">LEFT(AF89, 2) &amp; IF(Program_Banner= "Business Energy Savings", 2, IF(Program_Banner="Small Business / Non-Profit", 3, "#")) &amp; RIGHT(AF89,6)</f>
        <v>112201004</v>
      </c>
      <c r="AH89" s="6" t="s">
        <v>764</v>
      </c>
      <c r="AI89" s="19" t="s">
        <v>445</v>
      </c>
      <c r="AJ89" s="19"/>
      <c r="AK89" s="19"/>
      <c r="AL89" s="19">
        <v>15</v>
      </c>
      <c r="AM89" s="19"/>
      <c r="AN89" s="19"/>
      <c r="AO89" s="19"/>
      <c r="AP89" s="19"/>
      <c r="AQ89">
        <v>12</v>
      </c>
      <c r="AR89" s="19" t="s">
        <v>134</v>
      </c>
      <c r="AS89" s="20"/>
      <c r="AT89" t="s">
        <v>84</v>
      </c>
      <c r="AU89" s="19" t="s">
        <v>442</v>
      </c>
      <c r="AV89" t="s">
        <v>746</v>
      </c>
    </row>
    <row r="90" spans="5:49">
      <c r="E90" s="36"/>
      <c r="F90" s="37" t="s">
        <v>373</v>
      </c>
      <c r="G90" s="37" t="s">
        <v>506</v>
      </c>
      <c r="H90" s="37">
        <v>95</v>
      </c>
      <c r="I90" s="37"/>
      <c r="J90" s="37" t="s">
        <v>411</v>
      </c>
      <c r="K90" s="37" t="s">
        <v>412</v>
      </c>
      <c r="L90" s="37"/>
      <c r="M90" s="37" t="s">
        <v>91</v>
      </c>
      <c r="N90" s="37">
        <v>87</v>
      </c>
      <c r="O90" s="37" t="s">
        <v>513</v>
      </c>
      <c r="P90" s="22"/>
      <c r="Q90" s="22"/>
      <c r="AD90" s="19"/>
      <c r="AE90" s="19"/>
      <c r="AF90" s="483" t="s">
        <v>2958</v>
      </c>
      <c r="AG90" s="480" t="str" cm="1">
        <f t="array" ref="AG90">LEFT(AF90, 2) &amp; IF(Program_Banner= "Business Energy Savings", 2, IF(Program_Banner="Small Business / Non-Profit", 3, "#")) &amp; RIGHT(AF90,6)</f>
        <v>112202004</v>
      </c>
      <c r="AH90" s="6" t="s">
        <v>764</v>
      </c>
      <c r="AI90" t="s">
        <v>464</v>
      </c>
      <c r="AJ90" s="19"/>
      <c r="AK90" s="19"/>
      <c r="AL90" s="19">
        <v>15</v>
      </c>
      <c r="AM90" s="19"/>
      <c r="AN90" s="19"/>
      <c r="AO90" s="19"/>
      <c r="AP90" s="19"/>
      <c r="AQ90" s="19">
        <v>13</v>
      </c>
      <c r="AR90" s="19" t="s">
        <v>1337</v>
      </c>
      <c r="AS90" s="20"/>
      <c r="AT90" t="s">
        <v>84</v>
      </c>
      <c r="AU90" s="19" t="s">
        <v>442</v>
      </c>
      <c r="AV90" t="s">
        <v>746</v>
      </c>
    </row>
    <row r="91" spans="5:49">
      <c r="E91" s="36"/>
      <c r="F91" s="37" t="s">
        <v>374</v>
      </c>
      <c r="G91" s="37" t="s">
        <v>507</v>
      </c>
      <c r="H91" s="37">
        <v>114</v>
      </c>
      <c r="I91" s="37"/>
      <c r="J91" s="37" t="s">
        <v>411</v>
      </c>
      <c r="K91" s="37" t="s">
        <v>413</v>
      </c>
      <c r="L91" s="37"/>
      <c r="M91" s="37" t="s">
        <v>91</v>
      </c>
      <c r="N91" s="37">
        <v>88</v>
      </c>
      <c r="O91" s="37" t="s">
        <v>513</v>
      </c>
      <c r="P91" s="35"/>
      <c r="Q91" s="35"/>
      <c r="AD91" s="19"/>
      <c r="AE91" s="19"/>
      <c r="AF91" s="483" t="s">
        <v>2959</v>
      </c>
      <c r="AG91" s="480" t="str" cm="1">
        <f t="array" ref="AG91">LEFT(AF91, 2) &amp; IF(Program_Banner= "Business Energy Savings", 2, IF(Program_Banner="Small Business / Non-Profit", 3, "#")) &amp; RIGHT(AF91,6)</f>
        <v>112228002</v>
      </c>
      <c r="AH91" s="6" t="s">
        <v>764</v>
      </c>
      <c r="AI91" t="s">
        <v>1620</v>
      </c>
      <c r="AJ91" s="19"/>
      <c r="AK91" s="19"/>
      <c r="AL91" s="19">
        <v>20</v>
      </c>
      <c r="AM91" s="19"/>
      <c r="AN91" s="19"/>
      <c r="AO91" s="19"/>
      <c r="AP91" s="19"/>
      <c r="AQ91">
        <v>14</v>
      </c>
      <c r="AR91" t="s">
        <v>134</v>
      </c>
      <c r="AS91" s="20"/>
      <c r="AT91" t="s">
        <v>84</v>
      </c>
      <c r="AU91" s="19" t="s">
        <v>442</v>
      </c>
      <c r="AV91" t="s">
        <v>744</v>
      </c>
    </row>
    <row r="92" spans="5:49">
      <c r="E92" s="36"/>
      <c r="F92" s="37" t="s">
        <v>633</v>
      </c>
      <c r="G92" s="37" t="s">
        <v>683</v>
      </c>
      <c r="H92" s="37">
        <v>190</v>
      </c>
      <c r="I92" s="37"/>
      <c r="J92" s="37" t="s">
        <v>411</v>
      </c>
      <c r="K92" s="37" t="s">
        <v>425</v>
      </c>
      <c r="L92" s="37"/>
      <c r="M92" s="37" t="s">
        <v>91</v>
      </c>
      <c r="N92" s="37">
        <v>89</v>
      </c>
      <c r="O92" s="37" t="s">
        <v>514</v>
      </c>
      <c r="P92" s="22"/>
      <c r="Q92" s="22"/>
      <c r="AD92" s="19"/>
      <c r="AE92" s="19"/>
      <c r="AF92" s="483" t="s">
        <v>2960</v>
      </c>
      <c r="AG92" s="480" t="str" cm="1">
        <f t="array" ref="AG92">LEFT(AF92, 2) &amp; IF(Program_Banner= "Business Energy Savings", 2, IF(Program_Banner="Small Business / Non-Profit", 3, "#")) &amp; RIGHT(AF92,6)</f>
        <v>112228004</v>
      </c>
      <c r="AH92" s="6" t="s">
        <v>764</v>
      </c>
      <c r="AI92" s="19" t="s">
        <v>446</v>
      </c>
      <c r="AJ92" s="19"/>
      <c r="AK92" s="19"/>
      <c r="AL92" s="19">
        <v>15</v>
      </c>
      <c r="AM92" s="19"/>
      <c r="AN92" s="19"/>
      <c r="AO92" s="19"/>
      <c r="AP92" s="19"/>
      <c r="AQ92" s="19">
        <v>15</v>
      </c>
      <c r="AR92" s="19" t="s">
        <v>134</v>
      </c>
      <c r="AS92" s="20"/>
      <c r="AT92" t="s">
        <v>84</v>
      </c>
      <c r="AU92" s="19" t="s">
        <v>442</v>
      </c>
      <c r="AV92" t="s">
        <v>744</v>
      </c>
    </row>
    <row r="93" spans="5:49">
      <c r="E93" s="36"/>
      <c r="F93" s="37" t="s">
        <v>375</v>
      </c>
      <c r="G93" s="37" t="s">
        <v>508</v>
      </c>
      <c r="H93" s="37">
        <v>199</v>
      </c>
      <c r="I93" s="37"/>
      <c r="J93" s="37" t="s">
        <v>411</v>
      </c>
      <c r="K93" s="37" t="s">
        <v>414</v>
      </c>
      <c r="L93" s="37"/>
      <c r="M93" s="37" t="s">
        <v>91</v>
      </c>
      <c r="N93" s="37">
        <v>90</v>
      </c>
      <c r="O93" s="37" t="s">
        <v>513</v>
      </c>
      <c r="P93" s="22"/>
      <c r="Q93" s="22"/>
      <c r="AD93" s="19"/>
      <c r="AE93" s="19"/>
      <c r="AF93" s="483" t="s">
        <v>2961</v>
      </c>
      <c r="AG93" s="480" t="str" cm="1">
        <f t="array" ref="AG93">LEFT(AF93, 2) &amp; IF(Program_Banner= "Business Energy Savings", 2, IF(Program_Banner="Small Business / Non-Profit", 3, "#")) &amp; RIGHT(AF93,6)</f>
        <v>112228006</v>
      </c>
      <c r="AH93" s="6" t="s">
        <v>764</v>
      </c>
      <c r="AI93" s="19" t="s">
        <v>447</v>
      </c>
      <c r="AJ93" s="19"/>
      <c r="AK93" s="19"/>
      <c r="AL93" s="19">
        <v>15</v>
      </c>
      <c r="AM93" s="19"/>
      <c r="AN93" s="19"/>
      <c r="AO93" s="19"/>
      <c r="AP93" s="19"/>
      <c r="AQ93">
        <v>16</v>
      </c>
      <c r="AR93" s="19" t="s">
        <v>134</v>
      </c>
      <c r="AS93" s="20"/>
      <c r="AT93" t="s">
        <v>84</v>
      </c>
      <c r="AU93" s="19" t="s">
        <v>442</v>
      </c>
      <c r="AV93" t="s">
        <v>1278</v>
      </c>
    </row>
    <row r="94" spans="5:49">
      <c r="E94" s="36"/>
      <c r="F94" s="37" t="s">
        <v>376</v>
      </c>
      <c r="G94" s="37" t="s">
        <v>509</v>
      </c>
      <c r="H94" s="37">
        <v>284</v>
      </c>
      <c r="I94" s="37"/>
      <c r="J94" s="37" t="s">
        <v>411</v>
      </c>
      <c r="K94" s="37" t="s">
        <v>415</v>
      </c>
      <c r="L94" s="37"/>
      <c r="M94" s="37" t="s">
        <v>91</v>
      </c>
      <c r="N94" s="37">
        <v>91</v>
      </c>
      <c r="O94" s="37" t="s">
        <v>513</v>
      </c>
      <c r="P94" s="22"/>
      <c r="Q94" s="22"/>
      <c r="AD94" s="19"/>
      <c r="AE94" s="19"/>
      <c r="AF94" s="483" t="s">
        <v>2962</v>
      </c>
      <c r="AG94" s="480" t="str" cm="1">
        <f t="array" ref="AG94">LEFT(AF94, 2) &amp; IF(Program_Banner= "Business Energy Savings", 2, IF(Program_Banner="Small Business / Non-Profit", 3, "#")) &amp; RIGHT(AF94,6)</f>
        <v>112201006</v>
      </c>
      <c r="AH94" s="6" t="s">
        <v>764</v>
      </c>
      <c r="AI94" s="19" t="s">
        <v>444</v>
      </c>
      <c r="AJ94" s="19"/>
      <c r="AK94" s="19"/>
      <c r="AL94" s="19">
        <v>15</v>
      </c>
      <c r="AM94" s="19"/>
      <c r="AN94" s="19"/>
      <c r="AO94" s="19"/>
      <c r="AP94" s="19"/>
      <c r="AQ94" s="19">
        <v>17</v>
      </c>
      <c r="AR94" s="19" t="s">
        <v>1337</v>
      </c>
      <c r="AS94" s="20"/>
      <c r="AT94" t="s">
        <v>84</v>
      </c>
      <c r="AU94" s="19" t="s">
        <v>442</v>
      </c>
      <c r="AV94" t="s">
        <v>87</v>
      </c>
    </row>
    <row r="95" spans="5:49">
      <c r="E95" s="36"/>
      <c r="F95" s="37" t="s">
        <v>377</v>
      </c>
      <c r="G95" s="37" t="s">
        <v>510</v>
      </c>
      <c r="H95" s="37">
        <v>455</v>
      </c>
      <c r="I95" s="37"/>
      <c r="J95" s="37" t="s">
        <v>411</v>
      </c>
      <c r="K95" s="37" t="s">
        <v>416</v>
      </c>
      <c r="L95" s="37"/>
      <c r="M95" s="37" t="s">
        <v>91</v>
      </c>
      <c r="N95" s="37">
        <v>92</v>
      </c>
      <c r="O95" s="37" t="s">
        <v>513</v>
      </c>
      <c r="P95" s="22"/>
      <c r="Q95" s="22"/>
      <c r="AD95" s="19"/>
      <c r="AE95" s="19"/>
      <c r="AF95" s="483" t="s">
        <v>2996</v>
      </c>
      <c r="AG95" s="480" t="str" cm="1">
        <f t="array" ref="AG95">LEFT(AF95, 2) &amp; IF(Program_Banner= "Business Energy Savings", 2, IF(Program_Banner="Small Business / Non-Profit", 3, "#")) &amp; RIGHT(AF95,6)</f>
        <v>112222002</v>
      </c>
      <c r="AH95" s="6" t="s">
        <v>764</v>
      </c>
      <c r="AI95" t="s">
        <v>542</v>
      </c>
      <c r="AJ95" s="19"/>
      <c r="AK95" s="19"/>
      <c r="AL95" s="19"/>
      <c r="AM95" s="19"/>
      <c r="AN95" s="19"/>
      <c r="AO95" s="19"/>
      <c r="AP95" s="19"/>
      <c r="AQ95">
        <v>18</v>
      </c>
      <c r="AR95" s="19"/>
      <c r="AS95" s="14"/>
      <c r="AT95" t="s">
        <v>84</v>
      </c>
      <c r="AU95" s="19" t="s">
        <v>442</v>
      </c>
      <c r="AV95" s="50" t="s">
        <v>596</v>
      </c>
    </row>
    <row r="96" spans="5:49">
      <c r="E96" s="36"/>
      <c r="F96" s="37" t="s">
        <v>378</v>
      </c>
      <c r="G96" s="37" t="s">
        <v>511</v>
      </c>
      <c r="H96" s="37">
        <v>1080</v>
      </c>
      <c r="I96" s="37"/>
      <c r="J96" s="37" t="s">
        <v>411</v>
      </c>
      <c r="K96" s="37" t="s">
        <v>417</v>
      </c>
      <c r="L96" s="37"/>
      <c r="M96" s="37" t="s">
        <v>91</v>
      </c>
      <c r="N96" s="37">
        <v>93</v>
      </c>
      <c r="O96" s="37" t="s">
        <v>513</v>
      </c>
      <c r="P96" s="22"/>
      <c r="Q96" s="22"/>
      <c r="AG96" s="20"/>
      <c r="AH96" s="19"/>
      <c r="AI96" s="19"/>
      <c r="AJ96" s="19"/>
      <c r="AK96" s="19"/>
      <c r="AL96" s="19"/>
      <c r="AM96" s="19"/>
      <c r="AN96" s="19"/>
      <c r="AO96" s="19"/>
      <c r="AP96" s="19"/>
      <c r="AQ96" s="19"/>
      <c r="AR96" s="19"/>
      <c r="AS96" s="19"/>
      <c r="AT96" s="19"/>
      <c r="AU96" s="19"/>
      <c r="AV96" s="19"/>
      <c r="AW96" s="19"/>
    </row>
    <row r="97" spans="5:53">
      <c r="E97" s="20"/>
      <c r="F97" s="19" t="s">
        <v>912</v>
      </c>
      <c r="G97" s="19" t="s">
        <v>913</v>
      </c>
      <c r="H97" s="19">
        <v>1610</v>
      </c>
      <c r="I97" s="19"/>
      <c r="J97" s="19" t="s">
        <v>411</v>
      </c>
      <c r="K97" s="19" t="s">
        <v>914</v>
      </c>
      <c r="L97" s="19"/>
      <c r="M97" s="19" t="s">
        <v>91</v>
      </c>
      <c r="N97" s="37">
        <v>94</v>
      </c>
      <c r="O97" s="19" t="s">
        <v>514</v>
      </c>
      <c r="P97" s="22"/>
      <c r="Q97" s="22"/>
      <c r="AG97" s="20" t="s">
        <v>85</v>
      </c>
      <c r="AH97" s="20" t="s">
        <v>531</v>
      </c>
      <c r="AI97" s="19" t="s">
        <v>456</v>
      </c>
      <c r="AJ97" s="19" t="s">
        <v>457</v>
      </c>
      <c r="AK97" t="s">
        <v>541</v>
      </c>
      <c r="AL97" s="19" t="s">
        <v>88</v>
      </c>
      <c r="AM97" s="19" t="s">
        <v>86</v>
      </c>
      <c r="AN97" s="19" t="s">
        <v>331</v>
      </c>
      <c r="AO97" s="19" t="s">
        <v>332</v>
      </c>
      <c r="AP97" s="19" t="s">
        <v>433</v>
      </c>
      <c r="AQ97" t="s">
        <v>336</v>
      </c>
      <c r="AR97" s="19" t="s">
        <v>432</v>
      </c>
      <c r="AS97" s="19" t="s">
        <v>322</v>
      </c>
      <c r="AT97" t="s">
        <v>569</v>
      </c>
      <c r="AU97" s="19" t="s">
        <v>431</v>
      </c>
      <c r="AV97" s="50" t="s">
        <v>743</v>
      </c>
      <c r="AW97" t="s">
        <v>1539</v>
      </c>
      <c r="AX97" t="s">
        <v>860</v>
      </c>
      <c r="AY97" t="s">
        <v>1547</v>
      </c>
      <c r="AZ97" t="s">
        <v>1548</v>
      </c>
      <c r="BA97" t="s">
        <v>1549</v>
      </c>
    </row>
    <row r="98" spans="5:53">
      <c r="F98" s="19" t="s">
        <v>915</v>
      </c>
      <c r="G98" s="19" t="s">
        <v>916</v>
      </c>
      <c r="H98" s="19">
        <v>2140</v>
      </c>
      <c r="I98" s="19"/>
      <c r="J98" s="19" t="s">
        <v>411</v>
      </c>
      <c r="K98" s="19" t="s">
        <v>917</v>
      </c>
      <c r="L98" s="19"/>
      <c r="M98" s="19" t="s">
        <v>91</v>
      </c>
      <c r="N98" s="37">
        <v>95</v>
      </c>
      <c r="O98" s="19" t="s">
        <v>885</v>
      </c>
      <c r="P98" s="22"/>
      <c r="Q98" s="22"/>
      <c r="AF98" s="483" t="s">
        <v>2895</v>
      </c>
      <c r="AG98" s="480" t="str" cm="1">
        <f t="array" ref="AG98">LEFT(AF98, 2) &amp; IF(Program_Banner= "Business Energy Savings", 2, IF(Program_Banner="Small Business / Non-Profit", 3, "#")) &amp; RIGHT(AF98,6)</f>
        <v>112210001</v>
      </c>
      <c r="AH98" s="14" t="s">
        <v>931</v>
      </c>
      <c r="AI98" t="s">
        <v>557</v>
      </c>
      <c r="AJ98" s="19"/>
      <c r="AK98" s="19"/>
      <c r="AL98" s="19">
        <v>15</v>
      </c>
      <c r="AM98" s="19"/>
      <c r="AN98" s="19"/>
      <c r="AO98" s="19"/>
      <c r="AP98" s="19"/>
      <c r="AQ98" s="19">
        <v>1</v>
      </c>
      <c r="AR98" s="19" t="s">
        <v>772</v>
      </c>
      <c r="AS98" s="20"/>
      <c r="AT98" t="s">
        <v>523</v>
      </c>
      <c r="AU98" s="19" t="s">
        <v>448</v>
      </c>
      <c r="AV98" t="s">
        <v>746</v>
      </c>
    </row>
    <row r="99" spans="5:53">
      <c r="E99" s="36"/>
      <c r="F99" s="37" t="s">
        <v>335</v>
      </c>
      <c r="G99" s="37"/>
      <c r="H99" s="37">
        <v>227</v>
      </c>
      <c r="I99" s="37"/>
      <c r="J99" s="37" t="s">
        <v>418</v>
      </c>
      <c r="K99" s="37" t="s">
        <v>419</v>
      </c>
      <c r="L99" s="37"/>
      <c r="M99" s="37" t="s">
        <v>91</v>
      </c>
      <c r="N99" s="37">
        <v>96</v>
      </c>
      <c r="O99" s="37" t="s">
        <v>513</v>
      </c>
      <c r="P99" s="22"/>
      <c r="Q99" s="22"/>
      <c r="AF99" s="483" t="s">
        <v>2963</v>
      </c>
      <c r="AG99" s="480" t="str" cm="1">
        <f t="array" ref="AG99">LEFT(AF99, 2) &amp; IF(Program_Banner= "Business Energy Savings", 2, IF(Program_Banner="Small Business / Non-Profit", 3, "#")) &amp; RIGHT(AF99,6)</f>
        <v>112231001</v>
      </c>
      <c r="AH99" s="14" t="s">
        <v>931</v>
      </c>
      <c r="AI99" t="s">
        <v>556</v>
      </c>
      <c r="AJ99" s="19"/>
      <c r="AK99" s="19"/>
      <c r="AL99" s="19">
        <v>15</v>
      </c>
      <c r="AM99" s="19"/>
      <c r="AN99" s="19"/>
      <c r="AO99" s="19"/>
      <c r="AP99" s="19"/>
      <c r="AQ99" s="19">
        <v>2</v>
      </c>
      <c r="AR99" s="19" t="s">
        <v>96</v>
      </c>
      <c r="AS99" s="20"/>
      <c r="AT99" t="s">
        <v>523</v>
      </c>
      <c r="AU99" s="19" t="s">
        <v>448</v>
      </c>
      <c r="AV99" t="s">
        <v>746</v>
      </c>
    </row>
    <row r="100" spans="5:53">
      <c r="E100" s="36"/>
      <c r="F100" s="37" t="s">
        <v>379</v>
      </c>
      <c r="G100" s="37"/>
      <c r="H100" s="37">
        <v>364</v>
      </c>
      <c r="I100" s="37"/>
      <c r="J100" s="37" t="s">
        <v>418</v>
      </c>
      <c r="K100" s="37" t="s">
        <v>420</v>
      </c>
      <c r="L100" s="37"/>
      <c r="M100" s="37" t="s">
        <v>91</v>
      </c>
      <c r="N100" s="37">
        <v>97</v>
      </c>
      <c r="O100" s="37" t="s">
        <v>513</v>
      </c>
      <c r="P100" s="22"/>
      <c r="Q100" s="22"/>
      <c r="AF100" s="483" t="s">
        <v>2964</v>
      </c>
      <c r="AG100" s="480" t="str" cm="1">
        <f t="array" ref="AG100">LEFT(AF100, 2) &amp; IF(Program_Banner= "Business Energy Savings", 2, IF(Program_Banner="Small Business / Non-Profit", 3, "#")) &amp; RIGHT(AF100,6)</f>
        <v>112225001</v>
      </c>
      <c r="AH100" s="14" t="s">
        <v>931</v>
      </c>
      <c r="AI100" t="s">
        <v>563</v>
      </c>
      <c r="AJ100" s="19"/>
      <c r="AK100" s="19"/>
      <c r="AL100" s="19">
        <v>15</v>
      </c>
      <c r="AM100" s="19"/>
      <c r="AN100" s="19"/>
      <c r="AO100" s="19"/>
      <c r="AP100" s="19"/>
      <c r="AQ100" s="19">
        <v>3</v>
      </c>
      <c r="AR100" s="19" t="s">
        <v>772</v>
      </c>
      <c r="AS100" s="20"/>
      <c r="AT100" t="s">
        <v>523</v>
      </c>
      <c r="AU100" s="19" t="s">
        <v>448</v>
      </c>
      <c r="AV100" t="s">
        <v>746</v>
      </c>
    </row>
    <row r="101" spans="5:53">
      <c r="E101" s="36"/>
      <c r="F101" s="37" t="s">
        <v>650</v>
      </c>
      <c r="G101" s="37"/>
      <c r="H101" s="37">
        <v>398</v>
      </c>
      <c r="I101" s="37"/>
      <c r="J101" s="37" t="s">
        <v>418</v>
      </c>
      <c r="K101" s="37" t="s">
        <v>684</v>
      </c>
      <c r="L101" s="37"/>
      <c r="M101" s="37" t="s">
        <v>91</v>
      </c>
      <c r="N101" s="37">
        <v>98</v>
      </c>
      <c r="O101" s="37" t="s">
        <v>513</v>
      </c>
      <c r="P101" s="22"/>
      <c r="Q101" s="22"/>
      <c r="AF101" s="483" t="s">
        <v>2965</v>
      </c>
      <c r="AG101" s="480" t="str" cm="1">
        <f t="array" ref="AG101">LEFT(AF101, 2) &amp; IF(Program_Banner= "Business Energy Savings", 2, IF(Program_Banner="Small Business / Non-Profit", 3, "#")) &amp; RIGHT(AF101,6)</f>
        <v>112226001</v>
      </c>
      <c r="AH101" s="14" t="s">
        <v>931</v>
      </c>
      <c r="AI101" t="s">
        <v>565</v>
      </c>
      <c r="AJ101" s="19"/>
      <c r="AK101" s="19"/>
      <c r="AL101" s="19">
        <v>15</v>
      </c>
      <c r="AM101" s="19"/>
      <c r="AN101" s="19"/>
      <c r="AO101" s="19"/>
      <c r="AP101" s="19"/>
      <c r="AQ101" s="19">
        <v>4</v>
      </c>
      <c r="AR101" s="19" t="s">
        <v>772</v>
      </c>
      <c r="AS101" s="20"/>
      <c r="AT101" t="s">
        <v>523</v>
      </c>
      <c r="AU101" s="19" t="s">
        <v>448</v>
      </c>
      <c r="AV101" t="s">
        <v>746</v>
      </c>
    </row>
    <row r="102" spans="5:53">
      <c r="E102" s="36"/>
      <c r="F102" s="37" t="s">
        <v>380</v>
      </c>
      <c r="G102" s="37"/>
      <c r="H102" s="37">
        <v>456</v>
      </c>
      <c r="I102" s="37"/>
      <c r="J102" s="37" t="s">
        <v>418</v>
      </c>
      <c r="K102" s="37" t="s">
        <v>416</v>
      </c>
      <c r="L102" s="37"/>
      <c r="M102" s="37" t="s">
        <v>91</v>
      </c>
      <c r="N102" s="37">
        <v>99</v>
      </c>
      <c r="O102" s="37" t="s">
        <v>514</v>
      </c>
      <c r="P102" s="22"/>
      <c r="Q102" s="22"/>
      <c r="AF102" s="483" t="s">
        <v>2966</v>
      </c>
      <c r="AG102" s="480" t="str" cm="1">
        <f t="array" ref="AG102">LEFT(AF102, 2) &amp; IF(Program_Banner= "Business Energy Savings", 2, IF(Program_Banner="Small Business / Non-Profit", 3, "#")) &amp; RIGHT(AF102,6)</f>
        <v>112204009</v>
      </c>
      <c r="AH102" s="14" t="s">
        <v>931</v>
      </c>
      <c r="AI102" t="s">
        <v>1267</v>
      </c>
      <c r="AJ102" s="19"/>
      <c r="AK102" s="19"/>
      <c r="AL102" s="19">
        <v>15</v>
      </c>
      <c r="AM102" s="19"/>
      <c r="AN102" s="19"/>
      <c r="AO102" s="19"/>
      <c r="AP102" s="19"/>
      <c r="AQ102" s="19">
        <v>5</v>
      </c>
      <c r="AR102" s="19" t="s">
        <v>772</v>
      </c>
      <c r="AS102" s="20"/>
      <c r="AT102" t="s">
        <v>523</v>
      </c>
      <c r="AU102" s="19" t="s">
        <v>448</v>
      </c>
      <c r="AV102" t="s">
        <v>746</v>
      </c>
    </row>
    <row r="103" spans="5:53">
      <c r="E103" s="36"/>
      <c r="F103" s="37" t="s">
        <v>634</v>
      </c>
      <c r="G103" s="37"/>
      <c r="H103" s="37">
        <v>1080</v>
      </c>
      <c r="I103" s="37"/>
      <c r="J103" s="37" t="s">
        <v>418</v>
      </c>
      <c r="K103" s="37" t="s">
        <v>417</v>
      </c>
      <c r="L103" s="37"/>
      <c r="M103" s="37" t="s">
        <v>91</v>
      </c>
      <c r="N103" s="37">
        <v>100</v>
      </c>
      <c r="O103" s="37" t="s">
        <v>514</v>
      </c>
      <c r="P103" s="22"/>
      <c r="Q103" s="22"/>
      <c r="AF103" s="483" t="s">
        <v>2950</v>
      </c>
      <c r="AG103" s="480" t="str" cm="1">
        <f t="array" ref="AG103">LEFT(AF103, 2) &amp; IF(Program_Banner= "Business Energy Savings", 2, IF(Program_Banner="Small Business / Non-Profit", 3, "#")) &amp; RIGHT(AF103,6)</f>
        <v>112202003</v>
      </c>
      <c r="AH103" s="14" t="s">
        <v>931</v>
      </c>
      <c r="AI103" t="s">
        <v>555</v>
      </c>
      <c r="AJ103" s="19"/>
      <c r="AK103" s="19"/>
      <c r="AL103" s="19">
        <v>15</v>
      </c>
      <c r="AM103" s="19"/>
      <c r="AN103" s="19"/>
      <c r="AO103" s="19"/>
      <c r="AP103" s="19"/>
      <c r="AQ103" s="19">
        <v>6</v>
      </c>
      <c r="AR103" s="19" t="s">
        <v>1337</v>
      </c>
      <c r="AS103" s="20"/>
      <c r="AT103" t="s">
        <v>523</v>
      </c>
      <c r="AU103" s="19" t="s">
        <v>448</v>
      </c>
      <c r="AV103" t="s">
        <v>746</v>
      </c>
    </row>
    <row r="104" spans="5:53">
      <c r="E104" s="36"/>
      <c r="F104" s="37" t="s">
        <v>610</v>
      </c>
      <c r="G104" s="37"/>
      <c r="H104" s="37" t="s">
        <v>465</v>
      </c>
      <c r="I104" s="37"/>
      <c r="J104" s="37"/>
      <c r="K104" s="37"/>
      <c r="L104" s="37"/>
      <c r="M104" s="37"/>
      <c r="N104" s="37">
        <v>101</v>
      </c>
      <c r="O104" s="37"/>
      <c r="P104" s="22"/>
      <c r="Q104" s="22"/>
      <c r="AF104" s="483" t="s">
        <v>2908</v>
      </c>
      <c r="AG104" s="480" t="str" cm="1">
        <f t="array" ref="AG104">LEFT(AF104, 2) &amp; IF(Program_Banner= "Business Energy Savings", 2, IF(Program_Banner="Small Business / Non-Profit", 3, "#")) &amp; RIGHT(AF104,6)</f>
        <v>112224001</v>
      </c>
      <c r="AH104" s="14" t="s">
        <v>931</v>
      </c>
      <c r="AI104" t="s">
        <v>534</v>
      </c>
      <c r="AJ104" s="19"/>
      <c r="AK104" s="19"/>
      <c r="AL104" s="19">
        <v>10</v>
      </c>
      <c r="AM104" s="19"/>
      <c r="AN104" s="19"/>
      <c r="AO104" s="19"/>
      <c r="AP104" s="19"/>
      <c r="AQ104" s="19">
        <v>7</v>
      </c>
      <c r="AR104" s="19" t="s">
        <v>772</v>
      </c>
      <c r="AS104" s="20"/>
      <c r="AT104" t="s">
        <v>523</v>
      </c>
      <c r="AU104" s="19" t="s">
        <v>448</v>
      </c>
      <c r="AV104" t="s">
        <v>746</v>
      </c>
    </row>
    <row r="105" spans="5:53">
      <c r="E105" s="36"/>
      <c r="F105" s="37" t="s">
        <v>381</v>
      </c>
      <c r="G105" s="37" t="s">
        <v>497</v>
      </c>
      <c r="H105" s="37">
        <v>46</v>
      </c>
      <c r="I105" s="37"/>
      <c r="J105" s="37" t="s">
        <v>421</v>
      </c>
      <c r="K105" s="37" t="s">
        <v>422</v>
      </c>
      <c r="L105" s="37"/>
      <c r="M105" s="37" t="s">
        <v>91</v>
      </c>
      <c r="N105" s="37">
        <v>102</v>
      </c>
      <c r="O105" s="37" t="s">
        <v>513</v>
      </c>
      <c r="P105" s="22"/>
      <c r="Q105" s="22"/>
      <c r="AF105" s="483" t="s">
        <v>2967</v>
      </c>
      <c r="AG105" s="480" t="str" cm="1">
        <f t="array" ref="AG105">LEFT(AF105, 2) &amp; IF(Program_Banner= "Business Energy Savings", 2, IF(Program_Banner="Small Business / Non-Profit", 3, "#")) &amp; RIGHT(AF105,6)</f>
        <v>112228007</v>
      </c>
      <c r="AH105" s="14" t="s">
        <v>931</v>
      </c>
      <c r="AI105" t="s">
        <v>617</v>
      </c>
      <c r="AL105">
        <v>15</v>
      </c>
      <c r="AQ105" s="19">
        <v>8</v>
      </c>
      <c r="AR105" t="s">
        <v>772</v>
      </c>
      <c r="AS105" s="14"/>
      <c r="AT105" t="s">
        <v>523</v>
      </c>
      <c r="AU105" s="19" t="s">
        <v>448</v>
      </c>
      <c r="AV105" t="s">
        <v>746</v>
      </c>
    </row>
    <row r="106" spans="5:53">
      <c r="E106" s="36"/>
      <c r="F106" s="37" t="s">
        <v>382</v>
      </c>
      <c r="G106" s="37" t="s">
        <v>498</v>
      </c>
      <c r="H106" s="37">
        <v>66</v>
      </c>
      <c r="I106" s="37"/>
      <c r="J106" s="37" t="s">
        <v>421</v>
      </c>
      <c r="K106" s="37" t="s">
        <v>423</v>
      </c>
      <c r="L106" s="37"/>
      <c r="M106" s="37" t="s">
        <v>91</v>
      </c>
      <c r="N106" s="37">
        <v>103</v>
      </c>
      <c r="O106" s="37" t="s">
        <v>513</v>
      </c>
      <c r="P106" s="22"/>
      <c r="Q106" s="22"/>
      <c r="AF106" s="483" t="s">
        <v>2968</v>
      </c>
      <c r="AG106" s="480" t="str" cm="1">
        <f t="array" ref="AG106">LEFT(AF106, 2) &amp; IF(Program_Banner= "Business Energy Savings", 2, IF(Program_Banner="Small Business / Non-Profit", 3, "#")) &amp; RIGHT(AF106,6)</f>
        <v>112226002</v>
      </c>
      <c r="AH106" s="14" t="s">
        <v>931</v>
      </c>
      <c r="AI106" t="s">
        <v>554</v>
      </c>
      <c r="AJ106" s="19"/>
      <c r="AK106" s="19"/>
      <c r="AL106" s="19">
        <v>15</v>
      </c>
      <c r="AM106" s="19"/>
      <c r="AN106" s="19"/>
      <c r="AO106" s="19"/>
      <c r="AP106" s="19"/>
      <c r="AQ106" s="19">
        <v>9</v>
      </c>
      <c r="AR106" s="19" t="s">
        <v>772</v>
      </c>
      <c r="AS106" s="20"/>
      <c r="AT106" t="s">
        <v>523</v>
      </c>
      <c r="AU106" s="19" t="s">
        <v>448</v>
      </c>
      <c r="AV106" t="s">
        <v>746</v>
      </c>
    </row>
    <row r="107" spans="5:53">
      <c r="E107" s="36"/>
      <c r="F107" s="37" t="s">
        <v>383</v>
      </c>
      <c r="G107" s="37" t="s">
        <v>499</v>
      </c>
      <c r="H107" s="37">
        <v>95</v>
      </c>
      <c r="I107" s="37"/>
      <c r="J107" s="37" t="s">
        <v>421</v>
      </c>
      <c r="K107" s="37" t="s">
        <v>424</v>
      </c>
      <c r="L107" s="37"/>
      <c r="M107" s="37" t="s">
        <v>91</v>
      </c>
      <c r="N107" s="37">
        <v>104</v>
      </c>
      <c r="O107" s="37" t="s">
        <v>513</v>
      </c>
      <c r="P107" s="22"/>
      <c r="Q107" s="22"/>
      <c r="AF107" s="483" t="s">
        <v>2997</v>
      </c>
      <c r="AG107" s="480" t="str" cm="1">
        <f t="array" ref="AG107">LEFT(AF107, 2) &amp; IF(Program_Banner= "Business Energy Savings", 2, IF(Program_Banner="Small Business / Non-Profit", 3, "#")) &amp; RIGHT(AF107,6)</f>
        <v>112222001</v>
      </c>
      <c r="AH107" s="14" t="s">
        <v>931</v>
      </c>
      <c r="AI107" t="s">
        <v>543</v>
      </c>
      <c r="AJ107" s="19"/>
      <c r="AK107" s="19"/>
      <c r="AL107" s="19"/>
      <c r="AM107" s="19"/>
      <c r="AN107" s="19"/>
      <c r="AO107" s="19"/>
      <c r="AP107" s="19"/>
      <c r="AQ107" s="19">
        <v>10</v>
      </c>
      <c r="AR107" s="19"/>
      <c r="AS107" s="20"/>
      <c r="AT107" t="s">
        <v>523</v>
      </c>
      <c r="AU107" s="19" t="s">
        <v>448</v>
      </c>
      <c r="AV107" s="50" t="s">
        <v>596</v>
      </c>
    </row>
    <row r="108" spans="5:53">
      <c r="E108" s="36"/>
      <c r="F108" s="37" t="s">
        <v>384</v>
      </c>
      <c r="G108" s="37" t="s">
        <v>500</v>
      </c>
      <c r="H108" s="37">
        <v>138</v>
      </c>
      <c r="I108" s="37"/>
      <c r="J108" s="37" t="s">
        <v>421</v>
      </c>
      <c r="K108" s="37" t="s">
        <v>413</v>
      </c>
      <c r="L108" s="37"/>
      <c r="M108" s="37" t="s">
        <v>91</v>
      </c>
      <c r="N108" s="37">
        <v>105</v>
      </c>
      <c r="O108" s="37" t="s">
        <v>513</v>
      </c>
      <c r="P108" s="22"/>
      <c r="Q108" s="22"/>
      <c r="AF108" s="483" t="s">
        <v>2916</v>
      </c>
      <c r="AG108" s="480" t="str" cm="1">
        <f t="array" ref="AG108">LEFT(AF108, 2) &amp; IF(Program_Banner= "Business Energy Savings", 2, IF(Program_Banner="Small Business / Non-Profit", 3, "#")) &amp; RIGHT(AF108,6)</f>
        <v>112210002</v>
      </c>
      <c r="AH108" s="6" t="s">
        <v>764</v>
      </c>
      <c r="AI108" s="19" t="s">
        <v>452</v>
      </c>
      <c r="AJ108" s="19"/>
      <c r="AK108" s="19"/>
      <c r="AL108" s="19">
        <v>15</v>
      </c>
      <c r="AM108" s="19"/>
      <c r="AN108" s="19"/>
      <c r="AO108" s="19"/>
      <c r="AP108" s="19"/>
      <c r="AQ108" s="19">
        <v>11</v>
      </c>
      <c r="AR108" s="19" t="s">
        <v>772</v>
      </c>
      <c r="AS108" s="20"/>
      <c r="AT108" t="s">
        <v>84</v>
      </c>
      <c r="AU108" s="19" t="s">
        <v>448</v>
      </c>
      <c r="AV108" t="s">
        <v>746</v>
      </c>
    </row>
    <row r="109" spans="5:53">
      <c r="E109" s="36"/>
      <c r="F109" s="37" t="s">
        <v>385</v>
      </c>
      <c r="G109" s="37" t="s">
        <v>501</v>
      </c>
      <c r="H109" s="37">
        <v>188</v>
      </c>
      <c r="I109" s="37"/>
      <c r="J109" s="37" t="s">
        <v>421</v>
      </c>
      <c r="K109" s="37" t="s">
        <v>425</v>
      </c>
      <c r="L109" s="37"/>
      <c r="M109" s="37" t="s">
        <v>91</v>
      </c>
      <c r="N109" s="37">
        <v>106</v>
      </c>
      <c r="O109" s="37" t="s">
        <v>513</v>
      </c>
      <c r="P109" s="22"/>
      <c r="Q109" s="22"/>
      <c r="AF109" s="483" t="s">
        <v>2969</v>
      </c>
      <c r="AG109" s="480" t="str" cm="1">
        <f t="array" ref="AG109">LEFT(AF109, 2) &amp; IF(Program_Banner= "Business Energy Savings", 2, IF(Program_Banner="Small Business / Non-Profit", 3, "#")) &amp; RIGHT(AF109,6)</f>
        <v>112231002</v>
      </c>
      <c r="AH109" s="6" t="s">
        <v>764</v>
      </c>
      <c r="AI109" s="19" t="s">
        <v>451</v>
      </c>
      <c r="AJ109" s="19"/>
      <c r="AK109" s="19"/>
      <c r="AL109" s="19">
        <v>15</v>
      </c>
      <c r="AM109" s="19"/>
      <c r="AN109" s="19"/>
      <c r="AO109" s="19"/>
      <c r="AP109" s="19"/>
      <c r="AQ109" s="19">
        <v>12</v>
      </c>
      <c r="AR109" s="19" t="s">
        <v>96</v>
      </c>
      <c r="AS109" s="20"/>
      <c r="AT109" t="s">
        <v>84</v>
      </c>
      <c r="AU109" s="19" t="s">
        <v>448</v>
      </c>
      <c r="AV109" t="s">
        <v>746</v>
      </c>
    </row>
    <row r="110" spans="5:53">
      <c r="E110" s="36"/>
      <c r="F110" s="37" t="s">
        <v>386</v>
      </c>
      <c r="G110" s="37" t="s">
        <v>502</v>
      </c>
      <c r="H110" s="37">
        <v>250</v>
      </c>
      <c r="I110" s="37"/>
      <c r="J110" s="37" t="s">
        <v>421</v>
      </c>
      <c r="K110" s="37" t="s">
        <v>419</v>
      </c>
      <c r="L110" s="37"/>
      <c r="M110" s="37" t="s">
        <v>91</v>
      </c>
      <c r="N110" s="37">
        <v>107</v>
      </c>
      <c r="O110" s="37" t="s">
        <v>513</v>
      </c>
      <c r="P110" s="22"/>
      <c r="Q110" s="22"/>
      <c r="AF110" s="483" t="s">
        <v>2970</v>
      </c>
      <c r="AG110" s="480" t="str" cm="1">
        <f t="array" ref="AG110">LEFT(AF110, 2) &amp; IF(Program_Banner= "Business Energy Savings", 2, IF(Program_Banner="Small Business / Non-Profit", 3, "#")) &amp; RIGHT(AF110,6)</f>
        <v>112225002</v>
      </c>
      <c r="AH110" s="6" t="s">
        <v>764</v>
      </c>
      <c r="AI110" t="s">
        <v>562</v>
      </c>
      <c r="AJ110" s="19"/>
      <c r="AK110" s="19"/>
      <c r="AL110" s="19">
        <v>15</v>
      </c>
      <c r="AM110" s="19"/>
      <c r="AN110" s="19"/>
      <c r="AO110" s="19"/>
      <c r="AP110" s="19"/>
      <c r="AQ110" s="19">
        <v>13</v>
      </c>
      <c r="AR110" s="19" t="s">
        <v>772</v>
      </c>
      <c r="AS110" s="20"/>
      <c r="AT110" t="s">
        <v>84</v>
      </c>
      <c r="AU110" s="19" t="s">
        <v>448</v>
      </c>
      <c r="AV110" t="s">
        <v>746</v>
      </c>
    </row>
    <row r="111" spans="5:53">
      <c r="E111" s="36"/>
      <c r="F111" s="37" t="s">
        <v>387</v>
      </c>
      <c r="G111" s="37" t="s">
        <v>503</v>
      </c>
      <c r="H111" s="37">
        <v>295</v>
      </c>
      <c r="I111" s="37"/>
      <c r="J111" s="37" t="s">
        <v>421</v>
      </c>
      <c r="K111" s="37" t="s">
        <v>415</v>
      </c>
      <c r="L111" s="37"/>
      <c r="M111" s="37" t="s">
        <v>91</v>
      </c>
      <c r="N111" s="37">
        <v>108</v>
      </c>
      <c r="O111" s="37" t="s">
        <v>513</v>
      </c>
      <c r="AF111" s="483" t="s">
        <v>2971</v>
      </c>
      <c r="AG111" s="480" t="str" cm="1">
        <f t="array" ref="AG111">LEFT(AF111, 2) &amp; IF(Program_Banner= "Business Energy Savings", 2, IF(Program_Banner="Small Business / Non-Profit", 3, "#")) &amp; RIGHT(AF111,6)</f>
        <v>112226003</v>
      </c>
      <c r="AH111" s="6" t="s">
        <v>764</v>
      </c>
      <c r="AI111" t="s">
        <v>564</v>
      </c>
      <c r="AJ111" s="19"/>
      <c r="AK111" s="19"/>
      <c r="AL111" s="19">
        <v>15</v>
      </c>
      <c r="AM111" s="19"/>
      <c r="AN111" s="19"/>
      <c r="AO111" s="19"/>
      <c r="AP111" s="19"/>
      <c r="AQ111" s="19">
        <v>14</v>
      </c>
      <c r="AR111" s="19" t="s">
        <v>772</v>
      </c>
      <c r="AS111" s="20"/>
      <c r="AT111" t="s">
        <v>84</v>
      </c>
      <c r="AU111" s="19" t="s">
        <v>448</v>
      </c>
      <c r="AV111" t="s">
        <v>746</v>
      </c>
    </row>
    <row r="112" spans="5:53">
      <c r="E112" s="36"/>
      <c r="F112" s="37" t="s">
        <v>388</v>
      </c>
      <c r="G112" s="37" t="s">
        <v>504</v>
      </c>
      <c r="H112" s="37">
        <v>465</v>
      </c>
      <c r="I112" s="37"/>
      <c r="J112" s="37" t="s">
        <v>421</v>
      </c>
      <c r="K112" s="37" t="s">
        <v>416</v>
      </c>
      <c r="L112" s="37"/>
      <c r="M112" s="37" t="s">
        <v>91</v>
      </c>
      <c r="N112" s="37">
        <v>109</v>
      </c>
      <c r="O112" s="37" t="s">
        <v>513</v>
      </c>
      <c r="AF112" s="483" t="s">
        <v>2972</v>
      </c>
      <c r="AG112" s="480" t="str" cm="1">
        <f t="array" ref="AG112">LEFT(AF112, 2) &amp; IF(Program_Banner= "Business Energy Savings", 2, IF(Program_Banner="Small Business / Non-Profit", 3, "#")) &amp; RIGHT(AF112,6)</f>
        <v>112204010</v>
      </c>
      <c r="AH112" s="6" t="s">
        <v>764</v>
      </c>
      <c r="AI112" t="s">
        <v>1268</v>
      </c>
      <c r="AJ112" s="19"/>
      <c r="AK112" s="19"/>
      <c r="AL112" s="19">
        <v>15</v>
      </c>
      <c r="AM112" s="19"/>
      <c r="AN112" s="19"/>
      <c r="AO112" s="19"/>
      <c r="AP112" s="19"/>
      <c r="AQ112" s="19">
        <v>15</v>
      </c>
      <c r="AR112" s="19" t="s">
        <v>772</v>
      </c>
      <c r="AS112" s="20"/>
      <c r="AT112" t="s">
        <v>84</v>
      </c>
      <c r="AU112" s="19" t="s">
        <v>448</v>
      </c>
      <c r="AV112" t="s">
        <v>746</v>
      </c>
    </row>
    <row r="113" spans="5:53">
      <c r="E113" s="36"/>
      <c r="F113" s="37" t="s">
        <v>389</v>
      </c>
      <c r="G113" s="37" t="s">
        <v>505</v>
      </c>
      <c r="H113" s="37">
        <v>1100</v>
      </c>
      <c r="I113" s="37"/>
      <c r="J113" s="37" t="s">
        <v>421</v>
      </c>
      <c r="K113" s="37" t="s">
        <v>417</v>
      </c>
      <c r="L113" s="37"/>
      <c r="M113" s="37" t="s">
        <v>91</v>
      </c>
      <c r="N113" s="37">
        <v>110</v>
      </c>
      <c r="O113" s="37" t="s">
        <v>513</v>
      </c>
      <c r="AF113" s="483" t="s">
        <v>2958</v>
      </c>
      <c r="AG113" s="480" t="str" cm="1">
        <f t="array" ref="AG113">LEFT(AF113, 2) &amp; IF(Program_Banner= "Business Energy Savings", 2, IF(Program_Banner="Small Business / Non-Profit", 3, "#")) &amp; RIGHT(AF113,6)</f>
        <v>112202004</v>
      </c>
      <c r="AH113" s="6" t="s">
        <v>764</v>
      </c>
      <c r="AI113" s="19" t="s">
        <v>464</v>
      </c>
      <c r="AJ113" s="19"/>
      <c r="AK113" s="19"/>
      <c r="AL113" s="19">
        <v>15</v>
      </c>
      <c r="AM113" s="19"/>
      <c r="AN113" s="19"/>
      <c r="AO113" s="19"/>
      <c r="AP113" s="19"/>
      <c r="AQ113" s="19">
        <v>16</v>
      </c>
      <c r="AR113" s="19" t="s">
        <v>1337</v>
      </c>
      <c r="AS113" s="20"/>
      <c r="AT113" t="s">
        <v>84</v>
      </c>
      <c r="AU113" s="19" t="s">
        <v>448</v>
      </c>
      <c r="AV113" t="s">
        <v>746</v>
      </c>
    </row>
    <row r="114" spans="5:53">
      <c r="E114" s="36"/>
      <c r="F114" s="37" t="s">
        <v>610</v>
      </c>
      <c r="G114" s="37"/>
      <c r="H114" s="37" t="s">
        <v>465</v>
      </c>
      <c r="I114" s="37"/>
      <c r="J114" s="37"/>
      <c r="K114" s="37"/>
      <c r="L114" s="37"/>
      <c r="M114" s="37" t="s">
        <v>91</v>
      </c>
      <c r="N114" s="37">
        <v>111</v>
      </c>
      <c r="O114" s="37"/>
      <c r="AF114" s="483" t="s">
        <v>2929</v>
      </c>
      <c r="AG114" s="480" t="str" cm="1">
        <f t="array" ref="AG114">LEFT(AF114, 2) &amp; IF(Program_Banner= "Business Energy Savings", 2, IF(Program_Banner="Small Business / Non-Profit", 3, "#")) &amp; RIGHT(AF114,6)</f>
        <v>112224002</v>
      </c>
      <c r="AH114" s="6" t="s">
        <v>764</v>
      </c>
      <c r="AI114" s="19" t="s">
        <v>449</v>
      </c>
      <c r="AJ114" s="19"/>
      <c r="AK114" s="19"/>
      <c r="AL114" s="19">
        <v>10</v>
      </c>
      <c r="AM114" s="19"/>
      <c r="AN114" s="19"/>
      <c r="AO114" s="19"/>
      <c r="AP114" s="19"/>
      <c r="AQ114" s="19">
        <v>17</v>
      </c>
      <c r="AR114" s="19" t="s">
        <v>772</v>
      </c>
      <c r="AS114" s="20"/>
      <c r="AT114" t="s">
        <v>84</v>
      </c>
      <c r="AU114" s="19" t="s">
        <v>448</v>
      </c>
      <c r="AV114" t="s">
        <v>746</v>
      </c>
    </row>
    <row r="115" spans="5:53">
      <c r="E115" s="36"/>
      <c r="F115" s="37" t="s">
        <v>390</v>
      </c>
      <c r="G115" s="37" t="s">
        <v>490</v>
      </c>
      <c r="H115" s="37">
        <v>50</v>
      </c>
      <c r="I115" s="37"/>
      <c r="J115" s="37" t="s">
        <v>426</v>
      </c>
      <c r="K115" s="37" t="s">
        <v>427</v>
      </c>
      <c r="L115" s="37"/>
      <c r="M115" s="37" t="s">
        <v>91</v>
      </c>
      <c r="N115" s="37">
        <v>112</v>
      </c>
      <c r="O115" s="37" t="s">
        <v>513</v>
      </c>
      <c r="AF115" s="483" t="s">
        <v>2973</v>
      </c>
      <c r="AG115" s="480" t="str" cm="1">
        <f t="array" ref="AG115">LEFT(AF115, 2) &amp; IF(Program_Banner= "Business Energy Savings", 2, IF(Program_Banner="Small Business / Non-Profit", 3, "#")) &amp; RIGHT(AF115,6)</f>
        <v>112228008</v>
      </c>
      <c r="AH115" s="6" t="s">
        <v>764</v>
      </c>
      <c r="AI115" t="s">
        <v>613</v>
      </c>
      <c r="AL115">
        <v>15</v>
      </c>
      <c r="AQ115" s="19">
        <v>18</v>
      </c>
      <c r="AR115" t="s">
        <v>772</v>
      </c>
      <c r="AS115" s="14"/>
      <c r="AT115" t="s">
        <v>84</v>
      </c>
      <c r="AU115" s="19" t="s">
        <v>448</v>
      </c>
      <c r="AV115" t="s">
        <v>746</v>
      </c>
    </row>
    <row r="116" spans="5:53">
      <c r="E116" s="36"/>
      <c r="F116" s="37" t="s">
        <v>391</v>
      </c>
      <c r="G116" s="37" t="s">
        <v>491</v>
      </c>
      <c r="H116" s="37">
        <v>74</v>
      </c>
      <c r="I116" s="37"/>
      <c r="J116" s="37" t="s">
        <v>426</v>
      </c>
      <c r="K116" s="37" t="s">
        <v>423</v>
      </c>
      <c r="L116" s="37"/>
      <c r="M116" s="37" t="s">
        <v>91</v>
      </c>
      <c r="N116" s="37">
        <v>113</v>
      </c>
      <c r="O116" s="37" t="s">
        <v>513</v>
      </c>
      <c r="AF116" s="483" t="s">
        <v>2974</v>
      </c>
      <c r="AG116" s="480" t="str" cm="1">
        <f t="array" ref="AG116">LEFT(AF116, 2) &amp; IF(Program_Banner= "Business Energy Savings", 2, IF(Program_Banner="Small Business / Non-Profit", 3, "#")) &amp; RIGHT(AF116,6)</f>
        <v>112226004</v>
      </c>
      <c r="AH116" s="6" t="s">
        <v>764</v>
      </c>
      <c r="AI116" s="19" t="s">
        <v>450</v>
      </c>
      <c r="AJ116" s="19"/>
      <c r="AK116" s="19"/>
      <c r="AL116" s="19">
        <v>15</v>
      </c>
      <c r="AM116" s="19"/>
      <c r="AN116" s="19"/>
      <c r="AO116" s="19"/>
      <c r="AP116" s="19"/>
      <c r="AQ116" s="19">
        <v>19</v>
      </c>
      <c r="AR116" s="19" t="s">
        <v>772</v>
      </c>
      <c r="AS116" s="20"/>
      <c r="AT116" t="s">
        <v>84</v>
      </c>
      <c r="AU116" s="19" t="s">
        <v>448</v>
      </c>
      <c r="AV116" t="s">
        <v>746</v>
      </c>
    </row>
    <row r="117" spans="5:53">
      <c r="E117" s="36"/>
      <c r="F117" s="37" t="s">
        <v>392</v>
      </c>
      <c r="G117" s="37" t="s">
        <v>492</v>
      </c>
      <c r="H117" s="37">
        <v>93</v>
      </c>
      <c r="I117" s="37"/>
      <c r="J117" s="37" t="s">
        <v>426</v>
      </c>
      <c r="K117" s="37" t="s">
        <v>428</v>
      </c>
      <c r="L117" s="37"/>
      <c r="M117" s="37" t="s">
        <v>91</v>
      </c>
      <c r="N117" s="37">
        <v>114</v>
      </c>
      <c r="O117" s="37" t="s">
        <v>513</v>
      </c>
      <c r="AF117" s="483" t="s">
        <v>2996</v>
      </c>
      <c r="AG117" s="480" t="str" cm="1">
        <f t="array" ref="AG117">LEFT(AF117, 2) &amp; IF(Program_Banner= "Business Energy Savings", 2, IF(Program_Banner="Small Business / Non-Profit", 3, "#")) &amp; RIGHT(AF117,6)</f>
        <v>112222002</v>
      </c>
      <c r="AH117" s="6" t="s">
        <v>764</v>
      </c>
      <c r="AI117" t="s">
        <v>542</v>
      </c>
      <c r="AJ117" s="19"/>
      <c r="AK117" s="19"/>
      <c r="AL117" s="19"/>
      <c r="AM117" s="19"/>
      <c r="AN117" s="19"/>
      <c r="AO117" s="19"/>
      <c r="AP117" s="19"/>
      <c r="AQ117" s="19">
        <v>20</v>
      </c>
      <c r="AR117" s="19"/>
      <c r="AS117" s="14"/>
      <c r="AT117" t="s">
        <v>84</v>
      </c>
      <c r="AU117" s="19" t="s">
        <v>448</v>
      </c>
      <c r="AV117" s="50" t="s">
        <v>596</v>
      </c>
    </row>
    <row r="118" spans="5:53">
      <c r="E118" s="36"/>
      <c r="F118" s="37" t="s">
        <v>393</v>
      </c>
      <c r="G118" s="37" t="s">
        <v>493</v>
      </c>
      <c r="H118" s="37">
        <v>125</v>
      </c>
      <c r="I118" s="37"/>
      <c r="J118" s="37" t="s">
        <v>426</v>
      </c>
      <c r="K118" s="37" t="s">
        <v>413</v>
      </c>
      <c r="L118" s="37"/>
      <c r="M118" s="37" t="s">
        <v>91</v>
      </c>
      <c r="N118" s="37">
        <v>115</v>
      </c>
      <c r="O118" s="37" t="s">
        <v>513</v>
      </c>
      <c r="AG118" s="20"/>
      <c r="AH118" s="19"/>
      <c r="AI118" s="19"/>
      <c r="AJ118" s="19"/>
      <c r="AK118" s="19"/>
      <c r="AL118" s="19"/>
      <c r="AM118" s="19"/>
      <c r="AN118" s="19"/>
      <c r="AO118" s="19"/>
      <c r="AP118" s="19"/>
      <c r="AQ118" s="19"/>
      <c r="AR118" s="19"/>
      <c r="AS118" s="19"/>
      <c r="AT118" s="19"/>
    </row>
    <row r="119" spans="5:53">
      <c r="E119" s="36"/>
      <c r="F119" s="37" t="s">
        <v>394</v>
      </c>
      <c r="G119" s="37" t="s">
        <v>494</v>
      </c>
      <c r="H119" s="37">
        <v>205</v>
      </c>
      <c r="I119" s="37"/>
      <c r="J119" s="37" t="s">
        <v>426</v>
      </c>
      <c r="K119" s="37" t="s">
        <v>414</v>
      </c>
      <c r="L119" s="37"/>
      <c r="M119" s="37" t="s">
        <v>91</v>
      </c>
      <c r="N119" s="37">
        <v>116</v>
      </c>
      <c r="O119" s="37" t="s">
        <v>513</v>
      </c>
      <c r="AG119" s="20" t="s">
        <v>85</v>
      </c>
      <c r="AH119" s="20" t="s">
        <v>531</v>
      </c>
      <c r="AI119" s="19" t="s">
        <v>456</v>
      </c>
      <c r="AJ119" s="19" t="s">
        <v>457</v>
      </c>
      <c r="AK119" t="s">
        <v>541</v>
      </c>
      <c r="AL119" s="19" t="s">
        <v>88</v>
      </c>
      <c r="AM119" s="19" t="s">
        <v>86</v>
      </c>
      <c r="AN119" s="19" t="s">
        <v>331</v>
      </c>
      <c r="AO119" s="19" t="s">
        <v>332</v>
      </c>
      <c r="AP119" s="19" t="s">
        <v>433</v>
      </c>
      <c r="AQ119" t="s">
        <v>336</v>
      </c>
      <c r="AR119" s="19" t="s">
        <v>432</v>
      </c>
      <c r="AS119" s="19" t="s">
        <v>322</v>
      </c>
      <c r="AT119" t="s">
        <v>569</v>
      </c>
      <c r="AU119" s="19" t="s">
        <v>431</v>
      </c>
      <c r="AV119" s="50" t="s">
        <v>743</v>
      </c>
      <c r="AW119" t="s">
        <v>1539</v>
      </c>
      <c r="AX119" t="s">
        <v>860</v>
      </c>
      <c r="AY119" t="s">
        <v>1547</v>
      </c>
      <c r="AZ119" t="s">
        <v>1548</v>
      </c>
      <c r="BA119" t="s">
        <v>1549</v>
      </c>
    </row>
    <row r="120" spans="5:53">
      <c r="E120" s="36"/>
      <c r="F120" s="37" t="s">
        <v>395</v>
      </c>
      <c r="G120" s="37" t="s">
        <v>495</v>
      </c>
      <c r="H120" s="37">
        <v>290</v>
      </c>
      <c r="I120" s="37"/>
      <c r="J120" s="37" t="s">
        <v>426</v>
      </c>
      <c r="K120" s="37" t="s">
        <v>415</v>
      </c>
      <c r="L120" s="37"/>
      <c r="M120" s="37" t="s">
        <v>91</v>
      </c>
      <c r="N120" s="37">
        <v>117</v>
      </c>
      <c r="O120" s="37" t="s">
        <v>513</v>
      </c>
      <c r="AF120" s="483" t="s">
        <v>2975</v>
      </c>
      <c r="AG120" s="480" t="str" cm="1">
        <f t="array" ref="AG120">LEFT(AF120, 2) &amp; IF(Program_Banner= "Business Energy Savings", 2, IF(Program_Banner="Small Business / Non-Profit", 3, "#")) &amp; RIGHT(AF120,6)</f>
        <v>112231003</v>
      </c>
      <c r="AH120" s="14" t="s">
        <v>931</v>
      </c>
      <c r="AI120" t="s">
        <v>559</v>
      </c>
      <c r="AJ120" s="19"/>
      <c r="AK120" s="19"/>
      <c r="AL120" s="19">
        <v>12</v>
      </c>
      <c r="AM120" s="19"/>
      <c r="AN120" s="19"/>
      <c r="AO120" s="19"/>
      <c r="AP120" s="19"/>
      <c r="AQ120" s="19">
        <v>1</v>
      </c>
      <c r="AR120" s="19" t="s">
        <v>96</v>
      </c>
      <c r="AS120" s="20"/>
      <c r="AT120" t="s">
        <v>523</v>
      </c>
      <c r="AU120" s="19" t="s">
        <v>96</v>
      </c>
      <c r="AV120" t="s">
        <v>747</v>
      </c>
    </row>
    <row r="121" spans="5:53">
      <c r="E121" s="36"/>
      <c r="F121" s="37" t="s">
        <v>396</v>
      </c>
      <c r="G121" s="37" t="s">
        <v>496</v>
      </c>
      <c r="H121" s="37">
        <v>455</v>
      </c>
      <c r="I121" s="37"/>
      <c r="J121" s="37" t="s">
        <v>426</v>
      </c>
      <c r="K121" s="37" t="s">
        <v>416</v>
      </c>
      <c r="L121" s="37"/>
      <c r="M121" s="37" t="s">
        <v>91</v>
      </c>
      <c r="N121" s="37">
        <v>118</v>
      </c>
      <c r="O121" s="37" t="s">
        <v>513</v>
      </c>
      <c r="AF121" s="483" t="s">
        <v>2976</v>
      </c>
      <c r="AG121" s="480" t="str" cm="1">
        <f t="array" ref="AG121">LEFT(AF121, 2) &amp; IF(Program_Banner= "Business Energy Savings", 2, IF(Program_Banner="Small Business / Non-Profit", 3, "#")) &amp; RIGHT(AF121,6)</f>
        <v>112231005</v>
      </c>
      <c r="AH121" s="14" t="s">
        <v>931</v>
      </c>
      <c r="AI121" t="s">
        <v>558</v>
      </c>
      <c r="AJ121" s="19"/>
      <c r="AK121" s="19"/>
      <c r="AL121" s="19">
        <v>12</v>
      </c>
      <c r="AM121" s="19"/>
      <c r="AN121" s="19"/>
      <c r="AO121" s="19"/>
      <c r="AP121" s="19"/>
      <c r="AQ121" s="19">
        <v>2</v>
      </c>
      <c r="AR121" s="19" t="s">
        <v>96</v>
      </c>
      <c r="AS121" s="20"/>
      <c r="AT121" t="s">
        <v>523</v>
      </c>
      <c r="AU121" s="19" t="s">
        <v>96</v>
      </c>
      <c r="AV121" t="s">
        <v>747</v>
      </c>
    </row>
    <row r="122" spans="5:53">
      <c r="E122" s="36"/>
      <c r="F122" s="37" t="s">
        <v>651</v>
      </c>
      <c r="G122" s="37" t="s">
        <v>685</v>
      </c>
      <c r="H122" s="37">
        <v>1075</v>
      </c>
      <c r="I122" s="37"/>
      <c r="J122" s="37" t="s">
        <v>426</v>
      </c>
      <c r="K122" s="37" t="s">
        <v>417</v>
      </c>
      <c r="L122" s="37"/>
      <c r="M122" s="37" t="s">
        <v>91</v>
      </c>
      <c r="N122" s="37">
        <v>119</v>
      </c>
      <c r="O122" s="37" t="s">
        <v>514</v>
      </c>
      <c r="AF122" s="483" t="s">
        <v>2977</v>
      </c>
      <c r="AG122" s="480" t="str" cm="1">
        <f t="array" ref="AG122">LEFT(AF122, 2) &amp; IF(Program_Banner= "Business Energy Savings", 2, IF(Program_Banner="Small Business / Non-Profit", 3, "#")) &amp; RIGHT(AF122,6)</f>
        <v>112231007</v>
      </c>
      <c r="AH122" s="14" t="s">
        <v>931</v>
      </c>
      <c r="AI122" t="s">
        <v>561</v>
      </c>
      <c r="AJ122" s="19"/>
      <c r="AK122" s="19"/>
      <c r="AL122" s="19">
        <v>12</v>
      </c>
      <c r="AM122" s="19"/>
      <c r="AN122" s="19"/>
      <c r="AO122" s="19"/>
      <c r="AP122" s="19"/>
      <c r="AQ122" s="19">
        <v>3</v>
      </c>
      <c r="AR122" s="19" t="s">
        <v>96</v>
      </c>
      <c r="AS122" s="20"/>
      <c r="AT122" t="s">
        <v>523</v>
      </c>
      <c r="AU122" s="19" t="s">
        <v>96</v>
      </c>
      <c r="AV122" t="s">
        <v>1878</v>
      </c>
    </row>
    <row r="123" spans="5:53">
      <c r="E123" s="20"/>
      <c r="F123" t="s">
        <v>610</v>
      </c>
      <c r="G123" s="19"/>
      <c r="H123" s="19" t="s">
        <v>465</v>
      </c>
      <c r="I123" s="19"/>
      <c r="J123" s="19"/>
      <c r="K123" s="19"/>
      <c r="L123" s="19"/>
      <c r="M123" s="19"/>
      <c r="N123" s="37">
        <v>120</v>
      </c>
      <c r="O123" s="19"/>
      <c r="AF123" s="483" t="s">
        <v>2978</v>
      </c>
      <c r="AG123" s="480" t="str" cm="1">
        <f t="array" ref="AG123">LEFT(AF123, 2) &amp; IF(Program_Banner= "Business Energy Savings", 2, IF(Program_Banner="Small Business / Non-Profit", 3, "#")) &amp; RIGHT(AF123,6)</f>
        <v>112231009</v>
      </c>
      <c r="AH123" s="14" t="s">
        <v>931</v>
      </c>
      <c r="AI123" t="s">
        <v>560</v>
      </c>
      <c r="AJ123" s="19"/>
      <c r="AK123" s="19"/>
      <c r="AL123" s="19">
        <v>12</v>
      </c>
      <c r="AM123" s="19"/>
      <c r="AN123" s="19"/>
      <c r="AO123" s="19"/>
      <c r="AP123" s="19"/>
      <c r="AQ123" s="19">
        <v>4</v>
      </c>
      <c r="AR123" s="19" t="s">
        <v>96</v>
      </c>
      <c r="AS123" s="20"/>
      <c r="AT123" t="s">
        <v>523</v>
      </c>
      <c r="AU123" s="19" t="s">
        <v>96</v>
      </c>
      <c r="AV123" t="s">
        <v>1878</v>
      </c>
    </row>
    <row r="124" spans="5:53">
      <c r="E124" s="20"/>
      <c r="F124" t="s">
        <v>949</v>
      </c>
      <c r="G124" s="19"/>
      <c r="H124" s="19" t="str">
        <f>""</f>
        <v/>
      </c>
      <c r="I124" s="19"/>
      <c r="J124" s="19" t="s">
        <v>528</v>
      </c>
      <c r="K124" s="19"/>
      <c r="L124" s="19"/>
      <c r="M124" s="19" t="s">
        <v>91</v>
      </c>
      <c r="N124" s="37">
        <v>121</v>
      </c>
      <c r="O124" s="19"/>
      <c r="AF124" s="483" t="s">
        <v>2979</v>
      </c>
      <c r="AG124" s="480" t="str" cm="1">
        <f t="array" ref="AG124">LEFT(AF124, 2) &amp; IF(Program_Banner= "Business Energy Savings", 2, IF(Program_Banner="Small Business / Non-Profit", 3, "#")) &amp; RIGHT(AF124,6)</f>
        <v>112231011</v>
      </c>
      <c r="AH124" s="14" t="s">
        <v>931</v>
      </c>
      <c r="AI124" t="s">
        <v>623</v>
      </c>
      <c r="AJ124" s="19"/>
      <c r="AK124" s="19"/>
      <c r="AL124" s="19">
        <v>15</v>
      </c>
      <c r="AM124" s="19"/>
      <c r="AN124" s="19"/>
      <c r="AO124" s="19"/>
      <c r="AP124" s="19"/>
      <c r="AQ124" s="19">
        <v>5</v>
      </c>
      <c r="AR124" s="19" t="s">
        <v>96</v>
      </c>
      <c r="AS124" s="20"/>
      <c r="AT124" t="s">
        <v>523</v>
      </c>
      <c r="AU124" s="19" t="s">
        <v>96</v>
      </c>
      <c r="AV124" t="s">
        <v>746</v>
      </c>
    </row>
    <row r="125" spans="5:53">
      <c r="E125" s="20"/>
      <c r="F125" t="s">
        <v>950</v>
      </c>
      <c r="G125" s="19"/>
      <c r="H125" s="19" t="str">
        <f>""</f>
        <v/>
      </c>
      <c r="I125" s="19"/>
      <c r="J125" s="19" t="s">
        <v>529</v>
      </c>
      <c r="K125" s="19"/>
      <c r="L125" s="19"/>
      <c r="M125" s="19" t="s">
        <v>91</v>
      </c>
      <c r="N125" s="37">
        <v>122</v>
      </c>
      <c r="O125" s="19"/>
      <c r="AF125" s="483" t="s">
        <v>2997</v>
      </c>
      <c r="AG125" s="480" t="str" cm="1">
        <f t="array" ref="AG125">LEFT(AF125, 2) &amp; IF(Program_Banner= "Business Energy Savings", 2, IF(Program_Banner="Small Business / Non-Profit", 3, "#")) &amp; RIGHT(AF125,6)</f>
        <v>112222001</v>
      </c>
      <c r="AH125" s="14" t="s">
        <v>931</v>
      </c>
      <c r="AI125" t="s">
        <v>543</v>
      </c>
      <c r="AJ125" s="19"/>
      <c r="AK125" s="19"/>
      <c r="AL125" s="19"/>
      <c r="AM125" s="19"/>
      <c r="AN125" s="19"/>
      <c r="AO125" s="19"/>
      <c r="AP125" s="19"/>
      <c r="AQ125" s="19">
        <v>6</v>
      </c>
      <c r="AR125" s="19"/>
      <c r="AS125" s="20"/>
      <c r="AT125" t="s">
        <v>523</v>
      </c>
      <c r="AU125" s="19" t="s">
        <v>96</v>
      </c>
      <c r="AV125" s="50" t="s">
        <v>596</v>
      </c>
    </row>
    <row r="126" spans="5:53">
      <c r="E126" s="20"/>
      <c r="F126" t="s">
        <v>951</v>
      </c>
      <c r="G126" s="19"/>
      <c r="H126" s="19" t="str">
        <f>""</f>
        <v/>
      </c>
      <c r="I126" s="19"/>
      <c r="J126" s="19" t="s">
        <v>530</v>
      </c>
      <c r="K126" s="19"/>
      <c r="L126" s="19"/>
      <c r="M126" s="19" t="s">
        <v>91</v>
      </c>
      <c r="N126" s="37">
        <v>123</v>
      </c>
      <c r="O126" s="19"/>
      <c r="AF126" s="483" t="s">
        <v>2980</v>
      </c>
      <c r="AG126" s="480" t="str" cm="1">
        <f t="array" ref="AG126">LEFT(AF126, 2) &amp; IF(Program_Banner= "Business Energy Savings", 2, IF(Program_Banner="Small Business / Non-Profit", 3, "#")) &amp; RIGHT(AF126,6)</f>
        <v>112231004</v>
      </c>
      <c r="AH126" s="6" t="s">
        <v>764</v>
      </c>
      <c r="AI126" s="19" t="s">
        <v>462</v>
      </c>
      <c r="AJ126" s="19"/>
      <c r="AK126" s="19"/>
      <c r="AL126" s="19">
        <v>12</v>
      </c>
      <c r="AM126" s="19"/>
      <c r="AN126" s="19"/>
      <c r="AO126" s="19"/>
      <c r="AP126" s="19"/>
      <c r="AQ126" s="19">
        <v>7</v>
      </c>
      <c r="AR126" s="19" t="s">
        <v>96</v>
      </c>
      <c r="AS126" s="20"/>
      <c r="AT126" t="s">
        <v>84</v>
      </c>
      <c r="AU126" s="19" t="s">
        <v>96</v>
      </c>
      <c r="AV126" t="s">
        <v>747</v>
      </c>
    </row>
    <row r="127" spans="5:53">
      <c r="E127" s="20"/>
      <c r="F127" t="s">
        <v>948</v>
      </c>
      <c r="G127" s="19"/>
      <c r="H127" s="19" t="str">
        <f>""</f>
        <v/>
      </c>
      <c r="I127" s="19"/>
      <c r="J127" t="s">
        <v>572</v>
      </c>
      <c r="K127" s="19" t="s">
        <v>97</v>
      </c>
      <c r="L127" s="19"/>
      <c r="M127" s="19" t="s">
        <v>91</v>
      </c>
      <c r="N127" s="37">
        <v>124</v>
      </c>
      <c r="O127" s="19"/>
      <c r="AF127" s="483" t="s">
        <v>2981</v>
      </c>
      <c r="AG127" s="480" t="str" cm="1">
        <f t="array" ref="AG127">LEFT(AF127, 2) &amp; IF(Program_Banner= "Business Energy Savings", 2, IF(Program_Banner="Small Business / Non-Profit", 3, "#")) &amp; RIGHT(AF127,6)</f>
        <v>112231006</v>
      </c>
      <c r="AH127" s="6" t="s">
        <v>764</v>
      </c>
      <c r="AI127" s="19" t="s">
        <v>461</v>
      </c>
      <c r="AJ127" s="19"/>
      <c r="AK127" s="19"/>
      <c r="AL127" s="19">
        <v>12</v>
      </c>
      <c r="AM127" s="19"/>
      <c r="AN127" s="19"/>
      <c r="AO127" s="19"/>
      <c r="AP127" s="19"/>
      <c r="AQ127" s="19">
        <v>8</v>
      </c>
      <c r="AR127" s="19" t="s">
        <v>96</v>
      </c>
      <c r="AS127" s="20"/>
      <c r="AT127" t="s">
        <v>84</v>
      </c>
      <c r="AU127" s="19" t="s">
        <v>96</v>
      </c>
      <c r="AV127" t="s">
        <v>747</v>
      </c>
    </row>
    <row r="128" spans="5:53">
      <c r="AF128" s="483" t="s">
        <v>2982</v>
      </c>
      <c r="AG128" s="480" t="str" cm="1">
        <f t="array" ref="AG128">LEFT(AF128, 2) &amp; IF(Program_Banner= "Business Energy Savings", 2, IF(Program_Banner="Small Business / Non-Profit", 3, "#")) &amp; RIGHT(AF128,6)</f>
        <v>112231008</v>
      </c>
      <c r="AH128" s="6" t="s">
        <v>764</v>
      </c>
      <c r="AI128" s="19" t="s">
        <v>454</v>
      </c>
      <c r="AJ128" s="19"/>
      <c r="AK128" s="19"/>
      <c r="AL128" s="19">
        <v>12</v>
      </c>
      <c r="AM128" s="19"/>
      <c r="AN128" s="19"/>
      <c r="AO128" s="19"/>
      <c r="AP128" s="19"/>
      <c r="AQ128" s="19">
        <v>9</v>
      </c>
      <c r="AR128" s="19" t="s">
        <v>96</v>
      </c>
      <c r="AS128" s="20"/>
      <c r="AT128" t="s">
        <v>84</v>
      </c>
      <c r="AU128" s="19" t="s">
        <v>96</v>
      </c>
      <c r="AV128" t="s">
        <v>1878</v>
      </c>
    </row>
    <row r="129" spans="32:53">
      <c r="AF129" s="483" t="s">
        <v>2983</v>
      </c>
      <c r="AG129" s="480" t="str" cm="1">
        <f t="array" ref="AG129">LEFT(AF129, 2) &amp; IF(Program_Banner= "Business Energy Savings", 2, IF(Program_Banner="Small Business / Non-Profit", 3, "#")) &amp; RIGHT(AF129,6)</f>
        <v>112231010</v>
      </c>
      <c r="AH129" s="6" t="s">
        <v>764</v>
      </c>
      <c r="AI129" s="19" t="s">
        <v>453</v>
      </c>
      <c r="AJ129" s="19"/>
      <c r="AK129" s="19"/>
      <c r="AL129" s="19">
        <v>12</v>
      </c>
      <c r="AM129" s="19"/>
      <c r="AN129" s="19"/>
      <c r="AO129" s="19"/>
      <c r="AP129" s="19"/>
      <c r="AQ129" s="19">
        <v>10</v>
      </c>
      <c r="AR129" s="19" t="s">
        <v>96</v>
      </c>
      <c r="AS129" s="20"/>
      <c r="AT129" t="s">
        <v>84</v>
      </c>
      <c r="AU129" s="19" t="s">
        <v>96</v>
      </c>
      <c r="AV129" t="s">
        <v>1878</v>
      </c>
    </row>
    <row r="130" spans="32:53">
      <c r="AF130" s="483" t="s">
        <v>2984</v>
      </c>
      <c r="AG130" s="480" t="str" cm="1">
        <f t="array" ref="AG130">LEFT(AF130, 2) &amp; IF(Program_Banner= "Business Energy Savings", 2, IF(Program_Banner="Small Business / Non-Profit", 3, "#")) &amp; RIGHT(AF130,6)</f>
        <v>112231012</v>
      </c>
      <c r="AH130" s="6" t="s">
        <v>764</v>
      </c>
      <c r="AI130" t="s">
        <v>626</v>
      </c>
      <c r="AJ130" s="19"/>
      <c r="AK130" s="19"/>
      <c r="AL130" s="19">
        <v>15</v>
      </c>
      <c r="AM130" s="19"/>
      <c r="AN130" s="19"/>
      <c r="AO130" s="19"/>
      <c r="AP130" s="19"/>
      <c r="AQ130" s="19">
        <v>11</v>
      </c>
      <c r="AR130" s="19" t="s">
        <v>96</v>
      </c>
      <c r="AS130" s="20"/>
      <c r="AT130" t="s">
        <v>84</v>
      </c>
      <c r="AU130" s="19" t="s">
        <v>96</v>
      </c>
      <c r="AV130" t="s">
        <v>746</v>
      </c>
    </row>
    <row r="131" spans="32:53">
      <c r="AF131" s="483" t="s">
        <v>2996</v>
      </c>
      <c r="AG131" s="480" t="str" cm="1">
        <f t="array" ref="AG131">LEFT(AF131, 2) &amp; IF(Program_Banner= "Business Energy Savings", 2, IF(Program_Banner="Small Business / Non-Profit", 3, "#")) &amp; RIGHT(AF131,6)</f>
        <v>112222002</v>
      </c>
      <c r="AH131" s="6" t="s">
        <v>764</v>
      </c>
      <c r="AI131" t="s">
        <v>542</v>
      </c>
      <c r="AJ131" s="19"/>
      <c r="AK131" s="19"/>
      <c r="AL131" s="19"/>
      <c r="AM131" s="19"/>
      <c r="AN131" s="19"/>
      <c r="AO131" s="19"/>
      <c r="AP131" s="19"/>
      <c r="AQ131" s="19">
        <v>12</v>
      </c>
      <c r="AR131" s="19"/>
      <c r="AS131" s="14"/>
      <c r="AT131" t="s">
        <v>84</v>
      </c>
      <c r="AU131" s="19" t="s">
        <v>96</v>
      </c>
      <c r="AV131" s="50" t="s">
        <v>596</v>
      </c>
    </row>
    <row r="132" spans="32:53">
      <c r="AG132" s="20"/>
      <c r="AH132" s="19"/>
      <c r="AI132" s="19"/>
      <c r="AJ132" s="19"/>
      <c r="AK132" s="19"/>
      <c r="AL132" s="19"/>
      <c r="AM132" s="19"/>
      <c r="AN132" s="19"/>
      <c r="AO132" s="19"/>
      <c r="AP132" s="19"/>
      <c r="AQ132" s="19"/>
      <c r="AR132" s="19"/>
      <c r="AS132" s="19"/>
      <c r="AT132" s="19"/>
    </row>
    <row r="133" spans="32:53">
      <c r="AG133" s="20" t="s">
        <v>85</v>
      </c>
      <c r="AH133" s="20" t="s">
        <v>531</v>
      </c>
      <c r="AI133" s="19" t="s">
        <v>456</v>
      </c>
      <c r="AJ133" s="19" t="s">
        <v>457</v>
      </c>
      <c r="AK133" t="s">
        <v>541</v>
      </c>
      <c r="AL133" s="19" t="s">
        <v>88</v>
      </c>
      <c r="AM133" s="19" t="s">
        <v>86</v>
      </c>
      <c r="AN133" s="19" t="s">
        <v>331</v>
      </c>
      <c r="AO133" s="19" t="s">
        <v>332</v>
      </c>
      <c r="AP133" s="19" t="s">
        <v>433</v>
      </c>
      <c r="AQ133" t="s">
        <v>336</v>
      </c>
      <c r="AR133" s="19" t="s">
        <v>432</v>
      </c>
      <c r="AS133" s="19" t="s">
        <v>322</v>
      </c>
      <c r="AT133" t="s">
        <v>569</v>
      </c>
      <c r="AU133" s="19" t="s">
        <v>431</v>
      </c>
      <c r="AV133" s="50" t="s">
        <v>743</v>
      </c>
      <c r="AW133" t="s">
        <v>1539</v>
      </c>
      <c r="AX133" t="s">
        <v>860</v>
      </c>
      <c r="AY133" t="s">
        <v>1547</v>
      </c>
      <c r="AZ133" t="s">
        <v>1548</v>
      </c>
      <c r="BA133" t="s">
        <v>1549</v>
      </c>
    </row>
    <row r="134" spans="32:53">
      <c r="AF134" s="483" t="s">
        <v>2985</v>
      </c>
      <c r="AG134" s="480" t="str" cm="1">
        <f t="array" ref="AG134">LEFT(AF134, 2) &amp; IF(Program_Banner= "Business Energy Savings", 2, IF(Program_Banner="Small Business / Non-Profit", 3, "#")) &amp; RIGHT(AF134,6)</f>
        <v>112205001</v>
      </c>
      <c r="AH134" s="14" t="s">
        <v>931</v>
      </c>
      <c r="AI134" t="s">
        <v>538</v>
      </c>
      <c r="AJ134" s="19"/>
      <c r="AK134" s="19"/>
      <c r="AL134" s="19">
        <v>20</v>
      </c>
      <c r="AM134" s="19"/>
      <c r="AN134" s="19"/>
      <c r="AO134" s="19"/>
      <c r="AP134" s="19"/>
      <c r="AQ134" s="19">
        <v>1</v>
      </c>
      <c r="AR134" s="19" t="s">
        <v>318</v>
      </c>
      <c r="AS134" s="20"/>
      <c r="AT134" t="s">
        <v>523</v>
      </c>
      <c r="AU134" s="19" t="s">
        <v>319</v>
      </c>
      <c r="AV134" s="50" t="s">
        <v>748</v>
      </c>
    </row>
    <row r="135" spans="32:53">
      <c r="AF135" s="483" t="s">
        <v>2986</v>
      </c>
      <c r="AG135" s="480" t="str" cm="1">
        <f t="array" ref="AG135">LEFT(AF135, 2) &amp; IF(Program_Banner= "Business Energy Savings", 2, IF(Program_Banner="Small Business / Non-Profit", 3, "#")) &amp; RIGHT(AF135,6)</f>
        <v>112205003</v>
      </c>
      <c r="AH135" s="14" t="s">
        <v>931</v>
      </c>
      <c r="AI135" t="s">
        <v>539</v>
      </c>
      <c r="AJ135" s="19"/>
      <c r="AK135" s="19"/>
      <c r="AL135" s="19">
        <v>10</v>
      </c>
      <c r="AM135" s="19"/>
      <c r="AN135" s="19"/>
      <c r="AO135" s="19"/>
      <c r="AP135" s="19"/>
      <c r="AQ135" s="19">
        <v>2</v>
      </c>
      <c r="AR135" s="19" t="s">
        <v>318</v>
      </c>
      <c r="AS135" s="20"/>
      <c r="AT135" t="s">
        <v>523</v>
      </c>
      <c r="AU135" s="19" t="s">
        <v>319</v>
      </c>
      <c r="AV135" s="50" t="s">
        <v>749</v>
      </c>
    </row>
    <row r="136" spans="32:53">
      <c r="AF136" s="483" t="s">
        <v>2987</v>
      </c>
      <c r="AG136" s="480" t="str" cm="1">
        <f t="array" ref="AG136">LEFT(AF136, 2) &amp; IF(Program_Banner= "Business Energy Savings", 2, IF(Program_Banner="Small Business / Non-Profit", 3, "#")) &amp; RIGHT(AF136,6)</f>
        <v>112205005</v>
      </c>
      <c r="AH136" s="14" t="s">
        <v>931</v>
      </c>
      <c r="AI136" t="s">
        <v>540</v>
      </c>
      <c r="AJ136" s="19"/>
      <c r="AK136" s="19"/>
      <c r="AL136" s="19">
        <v>15</v>
      </c>
      <c r="AM136" s="19"/>
      <c r="AN136" s="19"/>
      <c r="AO136" s="19"/>
      <c r="AP136" s="19"/>
      <c r="AQ136" s="19">
        <v>3</v>
      </c>
      <c r="AR136" s="19" t="s">
        <v>318</v>
      </c>
      <c r="AS136" s="20"/>
      <c r="AT136" t="s">
        <v>523</v>
      </c>
      <c r="AU136" s="19" t="s">
        <v>319</v>
      </c>
      <c r="AV136" s="50" t="s">
        <v>749</v>
      </c>
    </row>
    <row r="137" spans="32:53">
      <c r="AF137" s="483" t="s">
        <v>2988</v>
      </c>
      <c r="AG137" s="480" t="str" cm="1">
        <f t="array" ref="AG137">LEFT(AF137, 2) &amp; IF(Program_Banner= "Business Energy Savings", 2, IF(Program_Banner="Small Business / Non-Profit", 3, "#")) &amp; RIGHT(AF137,6)</f>
        <v>112205007</v>
      </c>
      <c r="AH137" s="14" t="s">
        <v>931</v>
      </c>
      <c r="AI137" t="s">
        <v>1946</v>
      </c>
      <c r="AL137">
        <v>20</v>
      </c>
      <c r="AQ137" s="19">
        <v>4</v>
      </c>
      <c r="AR137" s="19" t="s">
        <v>318</v>
      </c>
      <c r="AS137" s="14"/>
      <c r="AT137" t="s">
        <v>523</v>
      </c>
      <c r="AU137" s="19" t="s">
        <v>319</v>
      </c>
      <c r="AV137" t="s">
        <v>596</v>
      </c>
    </row>
    <row r="138" spans="32:53">
      <c r="AF138" s="483" t="s">
        <v>2997</v>
      </c>
      <c r="AG138" s="480" t="str" cm="1">
        <f t="array" ref="AG138">LEFT(AF138, 2) &amp; IF(Program_Banner= "Business Energy Savings", 2, IF(Program_Banner="Small Business / Non-Profit", 3, "#")) &amp; RIGHT(AF138,6)</f>
        <v>112222001</v>
      </c>
      <c r="AH138" s="14" t="s">
        <v>931</v>
      </c>
      <c r="AI138" t="s">
        <v>543</v>
      </c>
      <c r="AJ138" s="19"/>
      <c r="AK138" s="19"/>
      <c r="AL138" s="19"/>
      <c r="AM138" s="19"/>
      <c r="AN138" s="19"/>
      <c r="AO138" s="19"/>
      <c r="AP138" s="19"/>
      <c r="AQ138" s="19">
        <v>5</v>
      </c>
      <c r="AR138" s="19"/>
      <c r="AS138" s="20"/>
      <c r="AT138" t="s">
        <v>523</v>
      </c>
      <c r="AU138" s="19" t="s">
        <v>319</v>
      </c>
      <c r="AV138" s="50" t="s">
        <v>596</v>
      </c>
    </row>
    <row r="139" spans="32:53">
      <c r="AF139" s="483" t="s">
        <v>2989</v>
      </c>
      <c r="AG139" s="480" t="str" cm="1">
        <f t="array" ref="AG139">LEFT(AF139, 2) &amp; IF(Program_Banner= "Business Energy Savings", 2, IF(Program_Banner="Small Business / Non-Profit", 3, "#")) &amp; RIGHT(AF139,6)</f>
        <v>112205002</v>
      </c>
      <c r="AH139" s="6" t="s">
        <v>764</v>
      </c>
      <c r="AI139" s="19" t="s">
        <v>455</v>
      </c>
      <c r="AJ139" s="19"/>
      <c r="AK139" s="19"/>
      <c r="AL139" s="19">
        <v>20</v>
      </c>
      <c r="AM139" s="19"/>
      <c r="AN139" s="19"/>
      <c r="AO139" s="19"/>
      <c r="AP139" s="19"/>
      <c r="AQ139" s="19">
        <v>6</v>
      </c>
      <c r="AR139" s="19" t="s">
        <v>318</v>
      </c>
      <c r="AS139" s="20"/>
      <c r="AT139" t="s">
        <v>84</v>
      </c>
      <c r="AU139" s="19" t="s">
        <v>319</v>
      </c>
      <c r="AV139" s="50" t="s">
        <v>748</v>
      </c>
    </row>
    <row r="140" spans="32:53">
      <c r="AF140" s="483" t="s">
        <v>2990</v>
      </c>
      <c r="AG140" s="480" t="str" cm="1">
        <f t="array" ref="AG140">LEFT(AF140, 2) &amp; IF(Program_Banner= "Business Energy Savings", 2, IF(Program_Banner="Small Business / Non-Profit", 3, "#")) &amp; RIGHT(AF140,6)</f>
        <v>112205004</v>
      </c>
      <c r="AH140" s="6" t="s">
        <v>764</v>
      </c>
      <c r="AI140" s="19" t="s">
        <v>438</v>
      </c>
      <c r="AJ140" s="19"/>
      <c r="AK140" s="19"/>
      <c r="AL140" s="19">
        <v>10</v>
      </c>
      <c r="AM140" s="19"/>
      <c r="AN140" s="19"/>
      <c r="AO140" s="19"/>
      <c r="AP140" s="19"/>
      <c r="AQ140" s="19">
        <v>7</v>
      </c>
      <c r="AR140" s="19" t="s">
        <v>318</v>
      </c>
      <c r="AS140" s="20"/>
      <c r="AT140" t="s">
        <v>84</v>
      </c>
      <c r="AU140" s="19" t="s">
        <v>319</v>
      </c>
      <c r="AV140" s="50" t="s">
        <v>749</v>
      </c>
    </row>
    <row r="141" spans="32:53">
      <c r="AF141" s="483" t="s">
        <v>2991</v>
      </c>
      <c r="AG141" s="480" t="str" cm="1">
        <f t="array" ref="AG141">LEFT(AF141, 2) &amp; IF(Program_Banner= "Business Energy Savings", 2, IF(Program_Banner="Small Business / Non-Profit", 3, "#")) &amp; RIGHT(AF141,6)</f>
        <v>112205006</v>
      </c>
      <c r="AH141" s="6" t="s">
        <v>764</v>
      </c>
      <c r="AI141" s="19" t="s">
        <v>439</v>
      </c>
      <c r="AJ141" s="19"/>
      <c r="AK141" s="19"/>
      <c r="AL141" s="19">
        <v>15</v>
      </c>
      <c r="AM141" s="19"/>
      <c r="AN141" s="19"/>
      <c r="AO141" s="19"/>
      <c r="AP141" s="19"/>
      <c r="AQ141" s="19">
        <v>8</v>
      </c>
      <c r="AR141" s="19" t="s">
        <v>318</v>
      </c>
      <c r="AS141" s="20"/>
      <c r="AT141" t="s">
        <v>84</v>
      </c>
      <c r="AU141" s="19" t="s">
        <v>319</v>
      </c>
      <c r="AV141" s="50" t="s">
        <v>749</v>
      </c>
    </row>
    <row r="142" spans="32:53">
      <c r="AF142" s="483" t="s">
        <v>2992</v>
      </c>
      <c r="AG142" s="480" t="str" cm="1">
        <f t="array" ref="AG142">LEFT(AF142, 2) &amp; IF(Program_Banner= "Business Energy Savings", 2, IF(Program_Banner="Small Business / Non-Profit", 3, "#")) &amp; RIGHT(AF142,6)</f>
        <v>112205008</v>
      </c>
      <c r="AH142" s="6" t="s">
        <v>764</v>
      </c>
      <c r="AI142" t="s">
        <v>318</v>
      </c>
      <c r="AL142">
        <v>20</v>
      </c>
      <c r="AQ142" s="19">
        <v>9</v>
      </c>
      <c r="AR142" s="19" t="s">
        <v>318</v>
      </c>
      <c r="AS142" s="14"/>
      <c r="AT142" t="s">
        <v>84</v>
      </c>
      <c r="AU142" s="19" t="s">
        <v>319</v>
      </c>
      <c r="AV142" t="s">
        <v>596</v>
      </c>
    </row>
    <row r="143" spans="32:53">
      <c r="AF143" s="483" t="s">
        <v>2996</v>
      </c>
      <c r="AG143" s="480" t="str" cm="1">
        <f t="array" ref="AG143">LEFT(AF143, 2) &amp; IF(Program_Banner= "Business Energy Savings", 2, IF(Program_Banner="Small Business / Non-Profit", 3, "#")) &amp; RIGHT(AF143,6)</f>
        <v>112222002</v>
      </c>
      <c r="AH143" s="6" t="s">
        <v>764</v>
      </c>
      <c r="AI143" t="s">
        <v>542</v>
      </c>
      <c r="AJ143" s="19"/>
      <c r="AK143" s="19"/>
      <c r="AL143" s="19"/>
      <c r="AM143" s="19"/>
      <c r="AN143" s="19"/>
      <c r="AO143" s="19"/>
      <c r="AP143" s="19"/>
      <c r="AQ143" s="19">
        <v>10</v>
      </c>
      <c r="AR143" s="19"/>
      <c r="AS143" s="14"/>
      <c r="AT143" t="s">
        <v>84</v>
      </c>
      <c r="AU143" s="19" t="s">
        <v>319</v>
      </c>
      <c r="AV143" s="50" t="s">
        <v>596</v>
      </c>
    </row>
    <row r="144" spans="32:53">
      <c r="AG144" s="36"/>
    </row>
    <row r="146" spans="32:53">
      <c r="AG146" s="268" t="s">
        <v>85</v>
      </c>
      <c r="AH146" s="268" t="s">
        <v>531</v>
      </c>
      <c r="AI146" s="269" t="s">
        <v>456</v>
      </c>
      <c r="AJ146" s="269" t="s">
        <v>457</v>
      </c>
      <c r="AK146" s="269" t="s">
        <v>541</v>
      </c>
      <c r="AL146" s="269" t="s">
        <v>88</v>
      </c>
      <c r="AM146" s="269" t="s">
        <v>86</v>
      </c>
      <c r="AN146" s="269" t="s">
        <v>331</v>
      </c>
      <c r="AO146" s="269" t="s">
        <v>332</v>
      </c>
      <c r="AP146" s="269" t="s">
        <v>433</v>
      </c>
      <c r="AQ146" s="269" t="s">
        <v>336</v>
      </c>
      <c r="AR146" s="269" t="s">
        <v>432</v>
      </c>
      <c r="AS146" s="269" t="s">
        <v>322</v>
      </c>
      <c r="AT146" s="269" t="s">
        <v>569</v>
      </c>
      <c r="AU146" s="269" t="s">
        <v>431</v>
      </c>
      <c r="AV146" s="269" t="s">
        <v>743</v>
      </c>
      <c r="AW146" s="269" t="s">
        <v>1539</v>
      </c>
      <c r="AX146" s="269" t="s">
        <v>860</v>
      </c>
      <c r="AY146" s="269" t="s">
        <v>1547</v>
      </c>
      <c r="AZ146" s="269" t="s">
        <v>1548</v>
      </c>
      <c r="BA146" s="269" t="s">
        <v>1549</v>
      </c>
    </row>
    <row r="147" spans="32:53">
      <c r="AG147" s="393"/>
      <c r="AH147" s="270" t="s">
        <v>931</v>
      </c>
      <c r="AI147" s="271" t="s">
        <v>1692</v>
      </c>
      <c r="AJ147" s="271"/>
      <c r="AK147" s="271"/>
      <c r="AL147" s="271">
        <v>15</v>
      </c>
      <c r="AM147" s="271"/>
      <c r="AN147" s="271"/>
      <c r="AO147" s="271"/>
      <c r="AP147" s="271"/>
      <c r="AQ147" s="271">
        <v>1</v>
      </c>
      <c r="AR147" s="271"/>
      <c r="AS147" s="270"/>
      <c r="AT147" s="271" t="s">
        <v>523</v>
      </c>
      <c r="AU147" s="271" t="s">
        <v>319</v>
      </c>
      <c r="AV147" s="271" t="s">
        <v>596</v>
      </c>
      <c r="AW147" s="271"/>
      <c r="AX147" s="271"/>
      <c r="AY147" s="271"/>
      <c r="AZ147" s="271"/>
      <c r="BA147" s="271"/>
    </row>
    <row r="149" spans="32:53">
      <c r="AG149" s="322" t="s">
        <v>85</v>
      </c>
      <c r="AH149" s="268" t="s">
        <v>531</v>
      </c>
      <c r="AI149" s="269" t="s">
        <v>456</v>
      </c>
      <c r="AJ149" s="269" t="s">
        <v>457</v>
      </c>
      <c r="AK149" s="269" t="s">
        <v>541</v>
      </c>
      <c r="AL149" s="269" t="s">
        <v>88</v>
      </c>
      <c r="AM149" s="269" t="s">
        <v>86</v>
      </c>
      <c r="AN149" s="269" t="s">
        <v>331</v>
      </c>
      <c r="AO149" s="269" t="s">
        <v>332</v>
      </c>
      <c r="AP149" s="269" t="s">
        <v>433</v>
      </c>
      <c r="AQ149" s="269" t="s">
        <v>336</v>
      </c>
      <c r="AR149" s="269" t="s">
        <v>432</v>
      </c>
      <c r="AS149" s="269" t="s">
        <v>322</v>
      </c>
      <c r="AT149" s="269" t="s">
        <v>569</v>
      </c>
      <c r="AU149" s="269" t="s">
        <v>431</v>
      </c>
      <c r="AV149" s="269" t="s">
        <v>743</v>
      </c>
      <c r="AW149" s="269" t="s">
        <v>1539</v>
      </c>
      <c r="AX149" s="269" t="s">
        <v>860</v>
      </c>
      <c r="AY149" s="269" t="s">
        <v>1547</v>
      </c>
      <c r="AZ149" s="269" t="s">
        <v>1548</v>
      </c>
      <c r="BA149" s="323" t="s">
        <v>1549</v>
      </c>
    </row>
    <row r="150" spans="32:53">
      <c r="AF150" s="483" t="s">
        <v>2993</v>
      </c>
      <c r="AG150" s="480" t="str" cm="1">
        <f t="array" ref="AG150">LEFT(AF150, 2) &amp; IF(Program_Banner= "Business Energy Savings", 2, IF(Program_Banner="Small Business / Non-Profit", 3, "#")) &amp; RIGHT(AF150,6)</f>
        <v>112223001</v>
      </c>
      <c r="AH150" t="s">
        <v>931</v>
      </c>
      <c r="AI150" t="s">
        <v>2113</v>
      </c>
      <c r="AL150">
        <v>30</v>
      </c>
      <c r="AQ150">
        <v>1</v>
      </c>
      <c r="AR150" t="s">
        <v>319</v>
      </c>
      <c r="AT150" t="s">
        <v>523</v>
      </c>
      <c r="AU150" t="s">
        <v>319</v>
      </c>
      <c r="AV150" t="s">
        <v>2118</v>
      </c>
    </row>
    <row r="151" spans="32:53">
      <c r="AF151" s="483" t="s">
        <v>2994</v>
      </c>
      <c r="AG151" s="480" t="str" cm="1">
        <f t="array" ref="AG151">LEFT(AF151, 2) &amp; IF(Program_Banner= "Business Energy Savings", 2, IF(Program_Banner="Small Business / Non-Profit", 3, "#")) &amp; RIGHT(AF151,6)</f>
        <v>112223002</v>
      </c>
      <c r="AH151" t="s">
        <v>931</v>
      </c>
      <c r="AI151" t="s">
        <v>2115</v>
      </c>
      <c r="AL151">
        <v>30</v>
      </c>
      <c r="AQ151">
        <v>2</v>
      </c>
      <c r="AR151" t="s">
        <v>319</v>
      </c>
      <c r="AT151" t="s">
        <v>523</v>
      </c>
      <c r="AU151" t="s">
        <v>319</v>
      </c>
      <c r="AV151" t="s">
        <v>2118</v>
      </c>
    </row>
    <row r="152" spans="32:53">
      <c r="AF152" s="483" t="s">
        <v>2995</v>
      </c>
      <c r="AG152" s="480" t="str" cm="1">
        <f t="array" ref="AG152">LEFT(AF152, 2) &amp; IF(Program_Banner= "Business Energy Savings", 2, IF(Program_Banner="Small Business / Non-Profit", 3, "#")) &amp; RIGHT(AF152,6)</f>
        <v>112223003</v>
      </c>
      <c r="AH152" t="s">
        <v>931</v>
      </c>
      <c r="AI152" t="s">
        <v>2116</v>
      </c>
      <c r="AL152">
        <v>30</v>
      </c>
      <c r="AQ152">
        <v>3</v>
      </c>
      <c r="AR152" t="s">
        <v>319</v>
      </c>
      <c r="AT152" t="s">
        <v>523</v>
      </c>
      <c r="AU152" t="s">
        <v>319</v>
      </c>
      <c r="AV152" t="s">
        <v>2118</v>
      </c>
    </row>
    <row r="153" spans="32:53">
      <c r="AF153" s="483" t="s">
        <v>2993</v>
      </c>
      <c r="AG153" s="480" t="str" cm="1">
        <f t="array" ref="AG153">LEFT(AF153, 2) &amp; IF(Program_Banner= "Business Energy Savings", 2, IF(Program_Banner="Small Business / Non-Profit", 3, "#")) &amp; RIGHT(AF153,6)</f>
        <v>112223001</v>
      </c>
      <c r="AH153" t="s">
        <v>764</v>
      </c>
      <c r="AI153" t="s">
        <v>2113</v>
      </c>
      <c r="AL153">
        <v>30</v>
      </c>
      <c r="AQ153">
        <v>4</v>
      </c>
      <c r="AR153" t="s">
        <v>319</v>
      </c>
      <c r="AT153" t="s">
        <v>84</v>
      </c>
      <c r="AU153" t="s">
        <v>319</v>
      </c>
      <c r="AV153" t="s">
        <v>2118</v>
      </c>
    </row>
    <row r="154" spans="32:53">
      <c r="AF154" s="483" t="s">
        <v>2994</v>
      </c>
      <c r="AG154" s="480" t="str" cm="1">
        <f t="array" ref="AG154">LEFT(AF154, 2) &amp; IF(Program_Banner= "Business Energy Savings", 2, IF(Program_Banner="Small Business / Non-Profit", 3, "#")) &amp; RIGHT(AF154,6)</f>
        <v>112223002</v>
      </c>
      <c r="AH154" t="s">
        <v>764</v>
      </c>
      <c r="AI154" t="s">
        <v>2115</v>
      </c>
      <c r="AL154">
        <v>30</v>
      </c>
      <c r="AQ154">
        <v>5</v>
      </c>
      <c r="AR154" t="s">
        <v>319</v>
      </c>
      <c r="AT154" t="s">
        <v>84</v>
      </c>
      <c r="AU154" t="s">
        <v>319</v>
      </c>
      <c r="AV154" t="s">
        <v>2118</v>
      </c>
    </row>
    <row r="155" spans="32:53">
      <c r="AF155" s="483" t="s">
        <v>2995</v>
      </c>
      <c r="AG155" s="480" t="str" cm="1">
        <f t="array" ref="AG155">LEFT(AF155, 2) &amp; IF(Program_Banner= "Business Energy Savings", 2, IF(Program_Banner="Small Business / Non-Profit", 3, "#")) &amp; RIGHT(AF155,6)</f>
        <v>112223003</v>
      </c>
      <c r="AH155" t="s">
        <v>764</v>
      </c>
      <c r="AI155" t="s">
        <v>2116</v>
      </c>
      <c r="AL155">
        <v>30</v>
      </c>
      <c r="AQ155">
        <v>6</v>
      </c>
      <c r="AR155" t="s">
        <v>319</v>
      </c>
      <c r="AT155" t="s">
        <v>84</v>
      </c>
      <c r="AU155" t="s">
        <v>319</v>
      </c>
      <c r="AV155" t="s">
        <v>2118</v>
      </c>
    </row>
    <row r="184" spans="49:49">
      <c r="AW184" t="s">
        <v>932</v>
      </c>
    </row>
  </sheetData>
  <sheetProtection algorithmName="SHA-512" hashValue="+4TELeOOi4pvNoDxv3ARFikvB7O51vSI4FALeuNTTRhM8qVw/Vwp8Yxoeff61T6kauZwwcVsA7nKICbnsjcf+g==" saltValue="3rKClQ+H/k4W5kn9XyCebw==" spinCount="100000" sheet="1" objects="1" scenarios="1"/>
  <phoneticPr fontId="146" type="noConversion"/>
  <conditionalFormatting sqref="AR3:AR46 AR51:AR60 AR64:AR75 AR78:AR95 AR98:AR117 AR120:AR131 AR134:AR143 AR147 AR150:AR155">
    <cfRule type="expression" dxfId="151" priority="1">
      <formula>AND(NOT(ISNUMBER(MATCH(AR3, ENDUSECAT, 0))), AR3&lt;&gt;"")</formula>
    </cfRule>
  </conditionalFormatting>
  <conditionalFormatting sqref="AR51:AR60">
    <cfRule type="containsBlanks" dxfId="150" priority="3">
      <formula>LEN(TRIM(AR51))=0</formula>
    </cfRule>
  </conditionalFormatting>
  <dataValidations disablePrompts="1" count="1">
    <dataValidation type="list" allowBlank="1" showInputMessage="1" showErrorMessage="1" sqref="AR62 AR51:AR60" xr:uid="{B57342AC-D75B-40F4-BFB5-E20F4C565251}">
      <formula1>ENDUSECAT</formula1>
    </dataValidation>
  </dataValidations>
  <pageMargins left="0" right="0" top="0" bottom="0" header="0" footer="0"/>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ADA0E-C681-4540-8D49-B314B563196B}">
  <sheetPr codeName="Sheet32">
    <tabColor theme="8" tint="0.59999389629810485"/>
  </sheetPr>
  <dimension ref="A1:FA914"/>
  <sheetViews>
    <sheetView zoomScale="85" zoomScaleNormal="85" workbookViewId="0">
      <pane xSplit="1" ySplit="1" topLeftCell="B2" activePane="bottomRight" state="frozen"/>
      <selection pane="topRight" activeCell="B1" sqref="B1"/>
      <selection pane="bottomLeft" activeCell="A2" sqref="A2"/>
      <selection pane="bottomRight" activeCell="AR290" sqref="AR290:AR324"/>
    </sheetView>
  </sheetViews>
  <sheetFormatPr defaultColWidth="10" defaultRowHeight="15"/>
  <cols>
    <col min="1" max="1" width="31.140625" customWidth="1"/>
    <col min="6" max="6" width="10.7109375" bestFit="1" customWidth="1"/>
    <col min="7" max="7" width="11" bestFit="1" customWidth="1"/>
    <col min="12" max="12" width="13.28515625" customWidth="1"/>
    <col min="14" max="14" width="12.7109375" customWidth="1"/>
    <col min="17" max="18" width="11.140625" customWidth="1"/>
    <col min="28" max="29" width="11" customWidth="1"/>
    <col min="32" max="32" width="11" bestFit="1" customWidth="1"/>
    <col min="33" max="34" width="12.140625" customWidth="1"/>
    <col min="35" max="35" width="12.7109375" bestFit="1" customWidth="1"/>
    <col min="36" max="36" width="11.85546875" customWidth="1"/>
    <col min="39" max="39" width="11.7109375" customWidth="1"/>
    <col min="42" max="45" width="11.7109375" customWidth="1"/>
    <col min="46" max="46" width="11.28515625" customWidth="1"/>
    <col min="50" max="53" width="12.140625" customWidth="1"/>
    <col min="56" max="56" width="11.7109375" customWidth="1"/>
    <col min="58" max="58" width="11.42578125" customWidth="1"/>
    <col min="59" max="59" width="13.140625" customWidth="1"/>
    <col min="69" max="70" width="11.28515625" customWidth="1"/>
    <col min="71" max="71" width="13" customWidth="1"/>
    <col min="72" max="72" width="12.7109375" customWidth="1"/>
    <col min="73" max="73" width="13" customWidth="1"/>
    <col min="74" max="74" width="17.140625" customWidth="1"/>
    <col min="75" max="81" width="14.28515625" customWidth="1"/>
    <col min="82" max="86" width="15.7109375" customWidth="1"/>
    <col min="87" max="87" width="25.85546875" customWidth="1"/>
    <col min="92" max="92" width="11.7109375" customWidth="1"/>
    <col min="97" max="97" width="16.140625" customWidth="1"/>
    <col min="103" max="103" width="13.7109375" customWidth="1"/>
    <col min="108" max="108" width="25.7109375" customWidth="1"/>
    <col min="114" max="114" width="13.85546875" customWidth="1"/>
    <col min="122" max="122" width="12.28515625" customWidth="1"/>
    <col min="128" max="128" width="12.28515625" customWidth="1"/>
    <col min="136" max="136" width="14.28515625" customWidth="1"/>
    <col min="137" max="137" width="11.42578125" customWidth="1"/>
    <col min="139" max="144" width="15" customWidth="1"/>
    <col min="151" max="151" width="11.85546875" customWidth="1"/>
    <col min="157" max="157" width="14" customWidth="1"/>
  </cols>
  <sheetData>
    <row r="1" spans="1:157" ht="60">
      <c r="A1" s="436" t="s">
        <v>316</v>
      </c>
      <c r="B1" s="437" t="s">
        <v>317</v>
      </c>
      <c r="C1" s="437" t="s">
        <v>1054</v>
      </c>
      <c r="D1" s="437" t="s">
        <v>1059</v>
      </c>
      <c r="E1" s="437" t="s">
        <v>840</v>
      </c>
      <c r="F1" s="438" t="s">
        <v>0</v>
      </c>
      <c r="G1" s="438" t="s">
        <v>1757</v>
      </c>
      <c r="H1" s="437" t="s">
        <v>432</v>
      </c>
      <c r="I1" s="438" t="s">
        <v>88</v>
      </c>
      <c r="J1" s="439" t="s">
        <v>1066</v>
      </c>
      <c r="K1" s="439" t="s">
        <v>325</v>
      </c>
      <c r="L1" s="438" t="s">
        <v>1701</v>
      </c>
      <c r="M1" s="437" t="s">
        <v>75</v>
      </c>
      <c r="N1" s="438" t="s">
        <v>99</v>
      </c>
      <c r="O1" s="438" t="s">
        <v>101</v>
      </c>
      <c r="P1" s="437" t="s">
        <v>1060</v>
      </c>
      <c r="Q1" s="437" t="s">
        <v>1061</v>
      </c>
      <c r="R1" s="437" t="s">
        <v>2300</v>
      </c>
      <c r="S1" s="438" t="s">
        <v>743</v>
      </c>
      <c r="T1" s="440" t="s">
        <v>1079</v>
      </c>
      <c r="U1" s="440" t="s">
        <v>1078</v>
      </c>
      <c r="V1" s="441" t="s">
        <v>921</v>
      </c>
      <c r="W1" s="441" t="s">
        <v>1058</v>
      </c>
      <c r="X1" s="441" t="s">
        <v>789</v>
      </c>
      <c r="Y1" s="441" t="s">
        <v>879</v>
      </c>
      <c r="Z1" s="438" t="s">
        <v>1702</v>
      </c>
      <c r="AA1" s="439" t="s">
        <v>307</v>
      </c>
      <c r="AB1" s="437" t="s">
        <v>1832</v>
      </c>
      <c r="AC1" s="439" t="s">
        <v>594</v>
      </c>
      <c r="AD1" s="439" t="s">
        <v>595</v>
      </c>
      <c r="AE1" s="439" t="s">
        <v>923</v>
      </c>
      <c r="AF1" s="437" t="s">
        <v>569</v>
      </c>
      <c r="AG1" s="442" t="s">
        <v>922</v>
      </c>
      <c r="AH1" s="442" t="s">
        <v>1722</v>
      </c>
      <c r="AI1" s="441" t="s">
        <v>1697</v>
      </c>
      <c r="AJ1" s="441" t="s">
        <v>1055</v>
      </c>
      <c r="AK1" s="443" t="s">
        <v>1698</v>
      </c>
      <c r="AL1" s="443" t="s">
        <v>1056</v>
      </c>
      <c r="AM1" s="441" t="s">
        <v>635</v>
      </c>
      <c r="AN1" s="441" t="s">
        <v>875</v>
      </c>
      <c r="AO1" s="439" t="s">
        <v>1712</v>
      </c>
      <c r="AP1" s="439" t="s">
        <v>1062</v>
      </c>
      <c r="AQ1" s="439" t="s">
        <v>1063</v>
      </c>
      <c r="AR1" s="439" t="s">
        <v>1064</v>
      </c>
      <c r="AS1" s="437" t="s">
        <v>1065</v>
      </c>
      <c r="AT1" s="442" t="s">
        <v>1758</v>
      </c>
      <c r="AU1" s="442" t="s">
        <v>1759</v>
      </c>
      <c r="AV1" s="440" t="s">
        <v>1080</v>
      </c>
      <c r="AW1" s="440" t="s">
        <v>1081</v>
      </c>
      <c r="AX1" s="441" t="s">
        <v>1699</v>
      </c>
      <c r="AY1" s="441" t="s">
        <v>1057</v>
      </c>
      <c r="AZ1" s="443" t="s">
        <v>1700</v>
      </c>
      <c r="BA1" s="443" t="s">
        <v>1082</v>
      </c>
      <c r="BB1" s="437" t="s">
        <v>574</v>
      </c>
      <c r="BC1" s="438" t="s">
        <v>1068</v>
      </c>
      <c r="BD1" s="437" t="s">
        <v>1069</v>
      </c>
      <c r="BE1" s="437" t="s">
        <v>1071</v>
      </c>
      <c r="BF1" s="437" t="s">
        <v>1072</v>
      </c>
      <c r="BG1" s="437" t="s">
        <v>1077</v>
      </c>
      <c r="BH1" s="437" t="s">
        <v>1128</v>
      </c>
      <c r="BI1" s="444" t="s">
        <v>1070</v>
      </c>
      <c r="BJ1" s="444" t="s">
        <v>1142</v>
      </c>
      <c r="BK1" s="444" t="s">
        <v>1143</v>
      </c>
      <c r="BL1" s="438" t="s">
        <v>1248</v>
      </c>
      <c r="BM1" s="438" t="s">
        <v>1249</v>
      </c>
      <c r="BN1" s="438" t="s">
        <v>1251</v>
      </c>
      <c r="BO1" s="445" t="s">
        <v>1085</v>
      </c>
      <c r="BP1" s="438" t="s">
        <v>1250</v>
      </c>
      <c r="BQ1" s="437" t="s">
        <v>1224</v>
      </c>
      <c r="BR1" s="437" t="s">
        <v>1225</v>
      </c>
      <c r="BS1" s="438" t="s">
        <v>1253</v>
      </c>
      <c r="BT1" s="438" t="s">
        <v>1252</v>
      </c>
      <c r="BU1" s="442" t="s">
        <v>1717</v>
      </c>
      <c r="BV1" s="442" t="s">
        <v>1778</v>
      </c>
      <c r="BW1" s="442" t="s">
        <v>1779</v>
      </c>
      <c r="BX1" s="442" t="s">
        <v>1780</v>
      </c>
      <c r="BY1" s="442" t="s">
        <v>1781</v>
      </c>
      <c r="BZ1" s="442" t="s">
        <v>1782</v>
      </c>
      <c r="CA1" s="442" t="s">
        <v>1783</v>
      </c>
      <c r="CB1" s="442" t="s">
        <v>1784</v>
      </c>
      <c r="CC1" s="442" t="s">
        <v>1785</v>
      </c>
      <c r="CD1" s="437" t="s">
        <v>1713</v>
      </c>
      <c r="CE1" s="437" t="s">
        <v>1714</v>
      </c>
      <c r="CF1" s="437" t="s">
        <v>1308</v>
      </c>
      <c r="CG1" s="437" t="s">
        <v>1309</v>
      </c>
      <c r="CH1" s="437" t="s">
        <v>1067</v>
      </c>
      <c r="CI1" s="438" t="s">
        <v>1215</v>
      </c>
      <c r="CJ1" s="446" t="s">
        <v>1214</v>
      </c>
      <c r="CK1" s="438" t="s">
        <v>1213</v>
      </c>
      <c r="CL1" s="438" t="s">
        <v>2102</v>
      </c>
      <c r="CM1" s="438" t="s">
        <v>1127</v>
      </c>
      <c r="CN1" s="438" t="s">
        <v>1194</v>
      </c>
      <c r="CO1" s="438" t="s">
        <v>1195</v>
      </c>
      <c r="CP1" s="438" t="s">
        <v>1196</v>
      </c>
      <c r="CQ1" s="438" t="s">
        <v>1197</v>
      </c>
      <c r="CR1" s="438" t="s">
        <v>1198</v>
      </c>
      <c r="CS1" s="438" t="s">
        <v>1212</v>
      </c>
      <c r="CT1" s="438" t="s">
        <v>1211</v>
      </c>
      <c r="CU1" s="438" t="s">
        <v>1190</v>
      </c>
      <c r="CV1" s="438" t="s">
        <v>1191</v>
      </c>
      <c r="CW1" s="438" t="s">
        <v>1192</v>
      </c>
      <c r="CX1" s="438" t="s">
        <v>1193</v>
      </c>
      <c r="CY1" s="438" t="s">
        <v>1194</v>
      </c>
      <c r="CZ1" s="438" t="s">
        <v>1195</v>
      </c>
      <c r="DA1" s="438" t="s">
        <v>1196</v>
      </c>
      <c r="DB1" s="438" t="s">
        <v>1197</v>
      </c>
      <c r="DC1" s="438" t="s">
        <v>1198</v>
      </c>
      <c r="DD1" s="438" t="s">
        <v>1661</v>
      </c>
      <c r="DE1" s="438" t="s">
        <v>1199</v>
      </c>
      <c r="DF1" s="438" t="s">
        <v>1095</v>
      </c>
      <c r="DG1" s="438" t="s">
        <v>1200</v>
      </c>
      <c r="DH1" s="438" t="s">
        <v>1201</v>
      </c>
      <c r="DI1" s="438" t="s">
        <v>1202</v>
      </c>
      <c r="DJ1" s="438" t="s">
        <v>1203</v>
      </c>
      <c r="DK1" s="438" t="s">
        <v>1204</v>
      </c>
      <c r="DL1" s="438" t="s">
        <v>1205</v>
      </c>
      <c r="DM1" s="438" t="s">
        <v>1206</v>
      </c>
      <c r="DN1" s="438" t="s">
        <v>1207</v>
      </c>
      <c r="DO1" s="438" t="s">
        <v>1209</v>
      </c>
      <c r="DP1" s="438" t="s">
        <v>792</v>
      </c>
      <c r="DQ1" s="438" t="s">
        <v>1208</v>
      </c>
      <c r="DR1" s="438" t="s">
        <v>1210</v>
      </c>
      <c r="DS1" s="438" t="s">
        <v>1117</v>
      </c>
      <c r="DT1" s="438" t="s">
        <v>1109</v>
      </c>
      <c r="DU1" s="438" t="s">
        <v>1216</v>
      </c>
      <c r="DV1" s="438" t="s">
        <v>1217</v>
      </c>
      <c r="DW1" s="438" t="s">
        <v>1218</v>
      </c>
      <c r="DX1" s="438" t="s">
        <v>1219</v>
      </c>
      <c r="DY1" s="438" t="s">
        <v>1220</v>
      </c>
      <c r="DZ1" s="438" t="s">
        <v>1221</v>
      </c>
      <c r="EA1" s="438" t="s">
        <v>1222</v>
      </c>
      <c r="EB1" s="438" t="s">
        <v>1223</v>
      </c>
      <c r="EC1" s="437" t="s">
        <v>1073</v>
      </c>
      <c r="ED1" s="437" t="s">
        <v>1074</v>
      </c>
      <c r="EE1" s="437" t="s">
        <v>1075</v>
      </c>
      <c r="EF1" s="437" t="s">
        <v>1076</v>
      </c>
      <c r="EG1" s="437" t="s">
        <v>1715</v>
      </c>
      <c r="EH1" s="437" t="s">
        <v>1704</v>
      </c>
      <c r="EI1" s="445" t="s">
        <v>2301</v>
      </c>
      <c r="EJ1" s="445" t="s">
        <v>2302</v>
      </c>
      <c r="EK1" s="445" t="s">
        <v>2303</v>
      </c>
      <c r="EL1" s="445" t="s">
        <v>2304</v>
      </c>
      <c r="EM1" s="445" t="s">
        <v>2305</v>
      </c>
      <c r="EN1" s="445" t="s">
        <v>2306</v>
      </c>
      <c r="EO1" s="437" t="s">
        <v>820</v>
      </c>
      <c r="EP1" s="437" t="s">
        <v>821</v>
      </c>
      <c r="EQ1" s="437" t="s">
        <v>73</v>
      </c>
      <c r="ER1" s="437" t="s">
        <v>71</v>
      </c>
      <c r="ES1" s="437" t="s">
        <v>72</v>
      </c>
      <c r="ET1" s="437" t="s">
        <v>825</v>
      </c>
      <c r="EU1" s="437" t="s">
        <v>822</v>
      </c>
      <c r="EV1" s="437" t="s">
        <v>823</v>
      </c>
      <c r="EW1" s="437" t="s">
        <v>824</v>
      </c>
      <c r="EX1" s="437" t="s">
        <v>138</v>
      </c>
      <c r="EY1" s="437" t="s">
        <v>293</v>
      </c>
      <c r="EZ1" s="437" t="s">
        <v>826</v>
      </c>
      <c r="FA1" s="438" t="s">
        <v>835</v>
      </c>
    </row>
    <row r="2" spans="1:157">
      <c r="A2" s="10">
        <f>PROJID</f>
        <v>0</v>
      </c>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4">
        <f>PROJID</f>
        <v>0</v>
      </c>
      <c r="BD2" t="str">
        <f>VERSION</f>
        <v>v1.2.1</v>
      </c>
      <c r="BE2" t="str">
        <f>IF(M05S07F07="","",M05S07F07)</f>
        <v/>
      </c>
      <c r="BF2" t="str">
        <f>IF(M02S04F18="","",M02S04F18)</f>
        <v/>
      </c>
      <c r="BG2" t="str">
        <f>IF(M02S04F23="","",M02S04F23)</f>
        <v/>
      </c>
      <c r="BH2" t="str">
        <f>IF(M02S04F25="","",M02S04F25)</f>
        <v/>
      </c>
      <c r="BI2" t="s">
        <v>138</v>
      </c>
      <c r="BJ2" s="9" t="str">
        <f>IF(ISNUMBER(CBCUSE),CBCUSE,"")</f>
        <v/>
      </c>
      <c r="BK2" s="9" t="str">
        <f>IF(ISNUMBER(PAYCUSE),PAYCUSE,"")</f>
        <v/>
      </c>
      <c r="BL2" s="197" t="str">
        <f>IF(ENGDATE="","",ENGDATE)</f>
        <v/>
      </c>
      <c r="BM2" s="197" t="str">
        <f>IF(M05S04F04="Date","",M05S04F04)</f>
        <v/>
      </c>
      <c r="BN2" t="str">
        <f>IF(M05S04F03="Customer Signature","",M05S04F03)</f>
        <v/>
      </c>
      <c r="BO2" s="197" t="str">
        <f>IF(M05S04F01="Project Start Date","",M05S04F01)</f>
        <v/>
      </c>
      <c r="BP2" s="197" t="str">
        <f>IF(M05S04F02="Completion Paperwork Submission Date","",M05S04F02)</f>
        <v/>
      </c>
      <c r="BQ2" s="197" t="str">
        <f>IF(M05S02F01="","",M05S02F01)</f>
        <v/>
      </c>
      <c r="BR2" s="197" t="str">
        <f>IF(M05S02F02="","",M05S02F02)</f>
        <v/>
      </c>
      <c r="BS2" s="197" t="str">
        <f>IF(M05S05F02="Date","",M05S05F02)</f>
        <v/>
      </c>
      <c r="BT2" t="str">
        <f>IF(M05S05F01="Customer Signature","",M05S05F01)</f>
        <v/>
      </c>
      <c r="CF2" t="str">
        <f>IF(M05S07F08="","",M05S07F08)</f>
        <v/>
      </c>
      <c r="CG2" t="str">
        <f>IF(M05S07F09="","",M05S07F09)</f>
        <v/>
      </c>
      <c r="CH2" t="str">
        <f>IF(M05S07F02=0,"",M05S07F02)</f>
        <v/>
      </c>
      <c r="CI2" t="str">
        <f>IF(M02S01F01="","",M02S01F01)</f>
        <v/>
      </c>
      <c r="CJ2" t="str">
        <f>IF(M02S01F02="","",M02S01F02)</f>
        <v/>
      </c>
      <c r="CK2" s="197" t="str">
        <f>IF(M02S01F03="","",M02S01F03)</f>
        <v/>
      </c>
      <c r="CL2" t="str">
        <f>IF(M02S04F02="","",M02S04F02)</f>
        <v/>
      </c>
      <c r="CM2" t="str">
        <f>IF(M02S04F24="","",M02S04F24)</f>
        <v/>
      </c>
      <c r="CN2" t="str">
        <f>IF(M02S02F07="","",M02S02F07)</f>
        <v/>
      </c>
      <c r="CO2" t="str">
        <f>IF(M02S02F08="","",M02S02F08)</f>
        <v/>
      </c>
      <c r="CP2" t="str">
        <f>IF(M02S02F09="","",M02S02F09)</f>
        <v/>
      </c>
      <c r="CQ2" s="8" t="str">
        <f>IF(M02S02F10="","",M02S02F10)</f>
        <v/>
      </c>
      <c r="CR2" t="str">
        <f>IF(M02S02F11="","",M02S02F11)</f>
        <v/>
      </c>
      <c r="CS2" t="str">
        <f>IF(M02S02F01="","",M02S02F01)</f>
        <v/>
      </c>
      <c r="CT2" t="str">
        <f>IF(M02S02F02="","",M02S02F02)</f>
        <v/>
      </c>
      <c r="CU2" t="str">
        <f>IF(M02S02F03="","",M02S02F03)</f>
        <v/>
      </c>
      <c r="CV2" t="str">
        <f>IF(M02S02F04="","",M02S02F04)</f>
        <v/>
      </c>
      <c r="CW2" t="str">
        <f>IF(M02S02F05="","",M02S02F05)</f>
        <v/>
      </c>
      <c r="CX2" t="str">
        <f>IF(M02S02F06="","",M02S02F06)</f>
        <v/>
      </c>
      <c r="CY2" t="str">
        <f>IF(M02S02F13="","",M02S02F13)</f>
        <v/>
      </c>
      <c r="CZ2" t="str">
        <f>IF(M02S02F14="","",M02S02F14)</f>
        <v/>
      </c>
      <c r="DA2" t="str">
        <f>IF(M02S02F15="","",M02S02F15)</f>
        <v/>
      </c>
      <c r="DB2" s="8" t="str">
        <f>IF(M02S02F16="","",M02S02F16)</f>
        <v/>
      </c>
      <c r="DC2" t="str">
        <f>IF(M02S02F17="","",M02S02F17)</f>
        <v/>
      </c>
      <c r="DD2" t="str">
        <f>IF(M02S02F12="","",M02S02F12)</f>
        <v/>
      </c>
      <c r="DE2" t="str">
        <f>IF(M02S03F01="","",M02S03F01)</f>
        <v/>
      </c>
      <c r="DF2" t="str">
        <f>IF(M02S03F02="","",M02S03F02)</f>
        <v/>
      </c>
      <c r="DG2" t="str">
        <f>IF(M02S03F03="","",M02S03F03)</f>
        <v/>
      </c>
      <c r="DH2" t="str">
        <f>IF(M02S03F04="","",M02S03F04)</f>
        <v/>
      </c>
      <c r="DI2" t="str">
        <f>IF(M02S03F05="","",M02S03F05)</f>
        <v/>
      </c>
      <c r="DJ2" t="str">
        <f>IF(M02S03F06="","",M02S03F06)</f>
        <v/>
      </c>
      <c r="DK2" t="str">
        <f>IF(M02S03F07="","",M02S03F07)</f>
        <v/>
      </c>
      <c r="DL2" t="str">
        <f>IF(M02S03F08="","",M02S03F08)</f>
        <v/>
      </c>
      <c r="DM2" s="8" t="str">
        <f>IF(M02S03F09="","",M02S03F09)</f>
        <v/>
      </c>
      <c r="DN2" t="str">
        <f>IF(M02S03F10="","",M02S03F10)</f>
        <v/>
      </c>
      <c r="DO2" t="str">
        <f>IF(M02S04F03="","",M02S04F03)</f>
        <v/>
      </c>
      <c r="DP2" t="str">
        <f>IF(M02S04F04="","",M02S04F04)</f>
        <v/>
      </c>
      <c r="DQ2" t="str">
        <f>IF(M02S04F05="","",M02S04F05)</f>
        <v/>
      </c>
      <c r="DR2" t="str">
        <f>IF(M02S04F06="","",M02S04F06)</f>
        <v/>
      </c>
      <c r="DS2" t="str">
        <f>IF(M02S04F07="","",M02S04F07)</f>
        <v/>
      </c>
      <c r="DT2" t="str">
        <f>IF(M02S04F08="","",M02S04F08)</f>
        <v/>
      </c>
      <c r="DU2" t="str">
        <f>IF(M02S04F09="","",M02S04F09)</f>
        <v/>
      </c>
      <c r="DV2" t="str">
        <f>IF(M02S04F10="","",M02S04F10)</f>
        <v>KS</v>
      </c>
      <c r="DW2" t="str">
        <f>IF(M02S04F11="","",M02S04F11)</f>
        <v/>
      </c>
      <c r="DX2" t="str">
        <f>IF(M02S04F12="","",M02S04F12)</f>
        <v/>
      </c>
      <c r="DY2" t="str">
        <f>IF(M02S04F13="","",M02S04F13)</f>
        <v/>
      </c>
      <c r="DZ2" t="str">
        <f>IF(M02S04F14="","",M02S04F14)</f>
        <v/>
      </c>
      <c r="EA2" s="8" t="str">
        <f>IF(M02S04F15="","",M02S04F15)</f>
        <v/>
      </c>
      <c r="EB2" t="str">
        <f>IF(M02S04F16="","",M02S04F16)</f>
        <v/>
      </c>
      <c r="EC2" t="str">
        <f>IF(M02S04F19="","",M02S04F19)</f>
        <v/>
      </c>
      <c r="ED2" t="str">
        <f>IF(M02S04F20="","",M02S04F20)</f>
        <v/>
      </c>
      <c r="EE2" t="str">
        <f>IF(M02S04F21="","",M02S04F21)</f>
        <v/>
      </c>
      <c r="EF2" t="str">
        <f>IF(M02S04F22="","",M02S04F22)</f>
        <v/>
      </c>
      <c r="EO2" t="str">
        <f>IFERROR(INDEX(PAYMENT[Payment Preference],MATCH(M05S01F01,PAYMENT[Payment to],0)),"")</f>
        <v/>
      </c>
      <c r="EP2" t="str">
        <f>IF(M05S01F02="","",CLEAN(TRIM(SUBSTITUTE(PROPER(M05S01F02),"'S","'s"))))</f>
        <v/>
      </c>
      <c r="EQ2" t="str">
        <f>IF(M05S01F03="","",CLEAN(TRIM(PROPER(M05S01F03))))</f>
        <v/>
      </c>
      <c r="ER2" t="str">
        <f>IF(M05S01F04="","",CLEAN(TRIM(PROPER(M05S01F04))))</f>
        <v/>
      </c>
      <c r="ES2" t="str">
        <f>IF(M05S01F05="","",M05S01F05)</f>
        <v/>
      </c>
      <c r="ET2" t="str">
        <f>IF(M05S01F06="","",CLEAN(TRIM(M05S01F06)))</f>
        <v/>
      </c>
      <c r="EU2" t="str">
        <f>IF(M05S01F07="","",PROPER(M05S01F07))</f>
        <v/>
      </c>
      <c r="EV2" t="str">
        <f>IF(M05S01F08="","",PROPER(M05S01F08))</f>
        <v/>
      </c>
      <c r="EW2" s="8" t="str">
        <f>IF(M05S01F09="","",M05S01F09)</f>
        <v/>
      </c>
      <c r="EX2" t="str">
        <f>IF(M05S01F10="","",M05S01F10)</f>
        <v/>
      </c>
      <c r="EY2" t="str">
        <f>IFERROR(INDEX(TAXENTITY[System Text],MATCH(M05S01F11,TAXENTITY[Tax Entity],0)),"")</f>
        <v/>
      </c>
      <c r="EZ2" t="str">
        <f>IF(AND(M05S01F12&lt;&gt;"",M05S01F13&lt;&gt;""),M05S01F12&amp;"-"&amp;M05S01F13,"")</f>
        <v/>
      </c>
      <c r="FA2" t="b">
        <f>PayeeChckBox</f>
        <v>0</v>
      </c>
    </row>
    <row r="3" spans="1:157">
      <c r="A3" s="478" t="str">
        <f>"Standard "&amp;M3S2</f>
        <v>Standard Lighting</v>
      </c>
      <c r="B3" s="172"/>
      <c r="C3" s="172"/>
      <c r="D3" s="172"/>
      <c r="E3" s="172"/>
      <c r="F3" s="172"/>
      <c r="G3" s="172"/>
      <c r="H3" s="172"/>
      <c r="I3" s="172"/>
      <c r="J3" s="180"/>
      <c r="K3" s="180"/>
      <c r="L3" s="172"/>
      <c r="M3" s="172"/>
      <c r="N3" s="172"/>
      <c r="O3" s="173"/>
      <c r="P3" s="172"/>
      <c r="Q3" s="172"/>
      <c r="R3" s="172"/>
      <c r="S3" s="172"/>
      <c r="T3" s="186"/>
      <c r="U3" s="186"/>
      <c r="V3" s="183"/>
      <c r="W3" s="183"/>
      <c r="X3" s="183"/>
      <c r="Y3" s="183"/>
      <c r="Z3" s="183"/>
      <c r="AA3" s="180"/>
      <c r="AB3" s="172"/>
      <c r="AC3" s="180"/>
      <c r="AD3" s="180"/>
      <c r="AE3" s="180"/>
      <c r="AF3" s="172"/>
      <c r="AG3" s="172"/>
      <c r="AH3" s="172"/>
      <c r="AI3" s="183"/>
      <c r="AJ3" s="183"/>
      <c r="AK3" s="188"/>
      <c r="AL3" s="188"/>
      <c r="AM3" s="183"/>
      <c r="AN3" s="183"/>
      <c r="AO3" s="183"/>
      <c r="AP3" s="180"/>
      <c r="AQ3" s="180"/>
      <c r="AR3" s="180"/>
      <c r="AS3" s="172"/>
      <c r="AT3" s="172"/>
      <c r="AU3" s="172"/>
      <c r="AV3" s="186"/>
      <c r="AW3" s="186"/>
      <c r="AX3" s="183"/>
      <c r="AY3" s="183"/>
      <c r="AZ3" s="188"/>
      <c r="BA3" s="188"/>
      <c r="BB3" s="172"/>
    </row>
    <row r="4" spans="1:157">
      <c r="A4" s="10">
        <f t="shared" ref="A4:A33" si="0">PROJID</f>
        <v>0</v>
      </c>
      <c r="B4" t="str">
        <f t="shared" ref="B4:B33" si="1">IF(C4="","",CONCATENATE(ROW(),"-",C4))</f>
        <v/>
      </c>
      <c r="C4" t="str" cm="1">
        <f t="array" ref="C4">IFERROR(_xlfn.VALUETOTEXT(INDEX('M03-S02'!$BW$18:$BW$199,2*(ROWS($C$4:C4)-1)+1)),"")</f>
        <v/>
      </c>
      <c r="D4">
        <f>IFERROR(INDEX('M03-S02'!$B$18:$B$199,2*(ROWS(D$4:D4)-1)+1),"")</f>
        <v>1</v>
      </c>
      <c r="E4" s="51" t="str" cm="1">
        <f t="array" ref="E4">IFERROR(_xlfn.VALUETOTEXT(INDEX('M03-S02'!$BX$18:$BX$199,2*(ROWS($E$4:E4)-1)+1)),"")</f>
        <v/>
      </c>
      <c r="F4" t="str" cm="1">
        <f t="array" ref="F4">IF(C4&lt;&gt;"", _xlfn.SWITCH(Program_Banner, "Small Business / Non-Profit", "Hard-To-Reach Business", "Business Energy Savings", "Whole Business Efficiency", ""), "")</f>
        <v/>
      </c>
      <c r="G4" t="s">
        <v>938</v>
      </c>
      <c r="H4" t="str">
        <f>IFERROR(INDEX('M03-S02'!$BC$18:$BC$199,2*(ROWS($H$4:H4)-1)+1),"")</f>
        <v/>
      </c>
      <c r="I4" s="171"/>
      <c r="J4" s="182"/>
      <c r="K4" s="182"/>
      <c r="L4" s="51" t="str">
        <f>IFERROR(INDEX('M03-S02'!$BD$18:$BD$199,2*(ROWS($L$4:L4)-1)+1),"")</f>
        <v/>
      </c>
      <c r="M4" s="51">
        <f>IFERROR(INDEX('M03-S02'!$AG$18:$AG$199,2*(ROWS($M$4:M4)-1)+1),"")</f>
        <v>0</v>
      </c>
      <c r="N4" s="171"/>
      <c r="O4">
        <f>IFERROR(INDEX('M03-S02'!$G$18:$G$199,2*(ROWS(O$4:O4)-1)+1),"")</f>
        <v>0</v>
      </c>
      <c r="P4">
        <f>IFERROR(INDEX('M03-S02'!$O$18:$O$199,2*(ROWS(P$4:P4)-1)+1),"")</f>
        <v>0</v>
      </c>
      <c r="Q4">
        <f>IFERROR(INDEX('M03-S02'!$AC$18:$AC$199,2*(ROWS(Q$4:Q4)-1)+1),"")</f>
        <v>0</v>
      </c>
      <c r="S4" t="str">
        <f>IFERROR(INDEX('M03-S02'!$AX$18:$AX$199,2*(ROWS(S$4:S4)-1)+1),"")</f>
        <v/>
      </c>
      <c r="T4" s="545" t="str">
        <f>IFERROR(ROUND(INDEX('M03-S02'!$AY$18:$AY$199,2*(ROWS(T$4:T4)-1)+1),3),"")</f>
        <v/>
      </c>
      <c r="U4" s="545" t="str">
        <f>IFERROR(ROUND(INDEX('M03-S02'!$AZ$18:$AZ$199,2*(ROWS(U$4:U4)-1)+1),3),"")</f>
        <v/>
      </c>
      <c r="V4" s="26">
        <f>IFERROR(INDEX('M03-S02'!$X$18:$X$199,2*(ROWS($G$4:V4)-1)+1),"")</f>
        <v>0</v>
      </c>
      <c r="W4" s="27" t="str">
        <f>IFERROR(INDEX('M03-S02'!$R$18:$R$199,2*(ROWS(W$4:W4)-1)+1),"")</f>
        <v/>
      </c>
      <c r="X4" s="27" t="str">
        <f>IFERROR(INDEX('M03-S02'!$T$18:$T$199,2*(ROWS(X$4:X4)-1)+1),"")</f>
        <v/>
      </c>
      <c r="Y4" s="184"/>
      <c r="Z4" s="184"/>
      <c r="AA4" s="9" t="str" cm="1">
        <f t="array" ref="AA4">IFERROR(ROUND(INDEX('M03-S02'!$AR$18:$AR$199,2*(ROWS(AA$4:AA4)-1)+1), 2),"")</f>
        <v/>
      </c>
      <c r="AB4" s="9" t="str" cm="1">
        <f t="array" ref="AB4">_xlfn.LET(_xlpm.ROWS, 2*(ROWS(AB$4:AB4)-1)+1,IFERROR(INDEX('M03-S02'!$AR$18:$AR$199, _xlpm.ROWS)-INDEX('M03-S02'!$BS$18:$BS$199, _xlpm.ROWS),""))</f>
        <v/>
      </c>
      <c r="AC4" s="9">
        <f>IFERROR(ROUND(INDEX('M03-S02'!$AI$18:$AI$199,2*(ROWS(AC$4:AC4)-1)+1),2),"")</f>
        <v>0</v>
      </c>
      <c r="AD4" s="9">
        <f>IFERROR(ROUND(INDEX('M03-S02'!$AK$18:$AK$199,2*(ROWS(AD$4:AD4)-1)+1),2),"")</f>
        <v>0</v>
      </c>
      <c r="AE4" s="9" t="str">
        <f>IFERROR(ROUND(INDEX('M03-S02'!$BL$18:$BL$199,2*(ROWS(AE$4:AE4)-1)+1),2),"")</f>
        <v/>
      </c>
      <c r="AF4" t="s">
        <v>84</v>
      </c>
      <c r="AG4" s="51" t="str">
        <f>IFERROR(ROUND(INDEX('M03-S02'!$BM$18:$BM$199,2*(ROWS(AG$4:AG4)-1)+1),2),"")</f>
        <v/>
      </c>
      <c r="AH4" s="184"/>
      <c r="AI4" s="32" t="str">
        <f>IFERROR(INDEX('M03-S02'!$BH$18:$BH$199,2*(ROWS(AI$4:AI4)-1)+1),"")</f>
        <v/>
      </c>
      <c r="AJ4" s="32" t="str">
        <f>IFERROR(INDEX('M03-S02'!$BE$18:$BE$199,2*(ROWS(AJ$4:AJ4)-1)+1),"")</f>
        <v/>
      </c>
      <c r="AK4" s="32" t="str">
        <f>IFERROR(INDEX('M03-S02'!$BI$18:$BI$199,2*(ROWS(AK$4:AK4)-1)+1),"")</f>
        <v/>
      </c>
      <c r="AL4" s="32" t="str">
        <f>IFERROR(INDEX('M03-S02'!$BF$18:$BF$199,2*(ROWS(AL$4:AL4)-1)+1),"")</f>
        <v/>
      </c>
      <c r="AM4" s="32" t="str">
        <f>IFERROR(INDEX('M03-S02'!$BA$18:$BA$199,2*(ROWS(AM$4:AM4)-1)+1),"")</f>
        <v/>
      </c>
      <c r="AN4" s="32" t="str">
        <f>IFERROR(INDEX('M03-S02'!$BB$18:$BB$199,2*(ROWS(AN$4:AN4)-1)+1),"")</f>
        <v/>
      </c>
      <c r="AO4" s="32"/>
      <c r="AP4" s="182"/>
      <c r="AQ4" s="182"/>
      <c r="AR4" s="182"/>
      <c r="AS4" s="171"/>
      <c r="AT4" s="171"/>
      <c r="AU4" s="171"/>
      <c r="AV4" s="190"/>
      <c r="AW4" s="190"/>
      <c r="AX4" s="184"/>
      <c r="AY4" s="184"/>
      <c r="AZ4" s="191"/>
      <c r="BA4" s="191"/>
      <c r="BB4" s="171"/>
    </row>
    <row r="5" spans="1:157">
      <c r="A5" s="10">
        <f t="shared" si="0"/>
        <v>0</v>
      </c>
      <c r="B5" t="str">
        <f t="shared" si="1"/>
        <v/>
      </c>
      <c r="C5" t="str" cm="1">
        <f t="array" ref="C5">IFERROR(_xlfn.VALUETOTEXT(INDEX('M03-S02'!$BW$18:$BW$199,2*(ROWS($C$4:C5)-1)+1)),"")</f>
        <v/>
      </c>
      <c r="D5">
        <f>IFERROR(INDEX('M03-S02'!$B$18:$B$199,2*(ROWS(D$4:D5)-1)+1),"")</f>
        <v>2</v>
      </c>
      <c r="E5" s="51" t="str" cm="1">
        <f t="array" ref="E5">IFERROR(_xlfn.VALUETOTEXT(INDEX('M03-S02'!$BX$18:$BX$199,2*(ROWS($E$4:E5)-1)+1)),"")</f>
        <v/>
      </c>
      <c r="F5" t="str" cm="1">
        <f t="array" ref="F5">IF(C5&lt;&gt;"", _xlfn.SWITCH(Program_Banner, "Small Business / Non-Profit", "Hard-To-Reach Business", "Business Energy Savings", "Whole Business Efficiency", ""), "")</f>
        <v/>
      </c>
      <c r="G5" t="s">
        <v>938</v>
      </c>
      <c r="H5" t="str">
        <f>IFERROR(INDEX('M03-S02'!$BC$18:$BC$199,2*(ROWS($H$4:H5)-1)+1),"")</f>
        <v/>
      </c>
      <c r="I5" s="171"/>
      <c r="J5" s="182"/>
      <c r="K5" s="182"/>
      <c r="L5" s="51" t="str">
        <f>IFERROR(INDEX('M03-S02'!$BD$18:$BD$199,2*(ROWS($L$4:L5)-1)+1),"")</f>
        <v/>
      </c>
      <c r="M5" s="51">
        <f>IFERROR(INDEX('M03-S02'!$AG$18:$AG$199,2*(ROWS($M$4:M5)-1)+1),"")</f>
        <v>0</v>
      </c>
      <c r="N5" s="171"/>
      <c r="O5">
        <f>IFERROR(INDEX('M03-S02'!$G$18:$G$199,2*(ROWS(O$4:O5)-1)+1),"")</f>
        <v>0</v>
      </c>
      <c r="P5">
        <f>IFERROR(INDEX('M03-S02'!$O$18:$O$199,2*(ROWS(P$4:P5)-1)+1),"")</f>
        <v>0</v>
      </c>
      <c r="Q5">
        <f>IFERROR(INDEX('M03-S02'!$AC$18:$AC$199,2*(ROWS(Q$4:Q5)-1)+1),"")</f>
        <v>0</v>
      </c>
      <c r="S5" t="str">
        <f>IFERROR(INDEX('M03-S02'!$AX$18:$AX$199,2*(ROWS(S$4:S5)-1)+1),"")</f>
        <v/>
      </c>
      <c r="T5" s="545" t="str">
        <f>IFERROR(ROUND(INDEX('M03-S02'!$AY$18:$AY$199,2*(ROWS(T$4:T5)-1)+1),3),"")</f>
        <v/>
      </c>
      <c r="U5" s="545" t="str">
        <f>IFERROR(ROUND(INDEX('M03-S02'!$AZ$18:$AZ$199,2*(ROWS(U$4:U5)-1)+1),3),"")</f>
        <v/>
      </c>
      <c r="V5" s="26">
        <f>IFERROR(INDEX('M03-S02'!$X$18:$X$199,2*(ROWS($G$4:V5)-1)+1),"")</f>
        <v>0</v>
      </c>
      <c r="W5" s="27" t="str">
        <f>IFERROR(INDEX('M03-S02'!$R$18:$R$199,2*(ROWS(W$4:W5)-1)+1),"")</f>
        <v/>
      </c>
      <c r="X5" s="27" t="str">
        <f>IFERROR(INDEX('M03-S02'!$T$18:$T$199,2*(ROWS(X$4:X5)-1)+1),"")</f>
        <v/>
      </c>
      <c r="Y5" s="184"/>
      <c r="Z5" s="184"/>
      <c r="AA5" s="9" t="str" cm="1">
        <f t="array" ref="AA5">IFERROR(ROUND(INDEX('M03-S02'!$AR$18:$AR$199,2*(ROWS(AA$4:AA5)-1)+1), 2),"")</f>
        <v/>
      </c>
      <c r="AB5" s="9" t="str" cm="1">
        <f t="array" ref="AB5">_xlfn.LET(_xlpm.ROWS, 2*(ROWS(AB$4:AB5)-1)+1,IFERROR(INDEX('M03-S02'!$AR$18:$AR$199, _xlpm.ROWS)-INDEX('M03-S02'!$BS$18:$BS$199, _xlpm.ROWS),""))</f>
        <v/>
      </c>
      <c r="AC5" s="9">
        <f>IFERROR(ROUND(INDEX('M03-S02'!$AI$18:$AI$199,2*(ROWS(AC$4:AC5)-1)+1),2),"")</f>
        <v>0</v>
      </c>
      <c r="AD5" s="9">
        <f>IFERROR(ROUND(INDEX('M03-S02'!$AK$18:$AK$199,2*(ROWS(AD$4:AD5)-1)+1),2),"")</f>
        <v>0</v>
      </c>
      <c r="AE5" s="9" t="str">
        <f>IFERROR(ROUND(INDEX('M03-S02'!$BL$18:$BL$199,2*(ROWS(AE$4:AE5)-1)+1),2),"")</f>
        <v/>
      </c>
      <c r="AF5" t="s">
        <v>84</v>
      </c>
      <c r="AG5" s="51" t="str">
        <f>IFERROR(ROUND(INDEX('M03-S02'!$BM$18:$BM$199,2*(ROWS(AG$4:AG5)-1)+1),2),"")</f>
        <v/>
      </c>
      <c r="AH5" s="184"/>
      <c r="AI5" s="32" t="str">
        <f>IFERROR(INDEX('M03-S02'!$BH$18:$BH$199,2*(ROWS(AI$4:AI5)-1)+1),"")</f>
        <v/>
      </c>
      <c r="AJ5" s="32" t="str">
        <f>IFERROR(INDEX('M03-S02'!$BE$18:$BE$199,2*(ROWS(AJ$4:AJ5)-1)+1),"")</f>
        <v/>
      </c>
      <c r="AK5" s="32" t="str">
        <f>IFERROR(INDEX('M03-S02'!$BI$18:$BI$199,2*(ROWS(AK$4:AK5)-1)+1),"")</f>
        <v/>
      </c>
      <c r="AL5" s="32" t="str">
        <f>IFERROR(INDEX('M03-S02'!$BF$18:$BF$199,2*(ROWS(AL$4:AL5)-1)+1),"")</f>
        <v/>
      </c>
      <c r="AM5" s="32" t="str">
        <f>IFERROR(INDEX('M03-S02'!$BA$18:$BA$199,2*(ROWS(AM$4:AM5)-1)+1),"")</f>
        <v/>
      </c>
      <c r="AN5" s="32" t="str">
        <f>IFERROR(INDEX('M03-S02'!$BB$18:$BB$199,2*(ROWS(AN$4:AN5)-1)+1),"")</f>
        <v/>
      </c>
      <c r="AO5" s="32"/>
      <c r="AP5" s="182"/>
      <c r="AQ5" s="182"/>
      <c r="AR5" s="182"/>
      <c r="AS5" s="171"/>
      <c r="AT5" s="171"/>
      <c r="AU5" s="171"/>
      <c r="AV5" s="190"/>
      <c r="AW5" s="190"/>
      <c r="AX5" s="184"/>
      <c r="AY5" s="184"/>
      <c r="AZ5" s="191"/>
      <c r="BA5" s="191"/>
      <c r="BB5" s="171"/>
    </row>
    <row r="6" spans="1:157">
      <c r="A6" s="10">
        <f t="shared" si="0"/>
        <v>0</v>
      </c>
      <c r="B6" t="str">
        <f t="shared" si="1"/>
        <v/>
      </c>
      <c r="C6" t="str" cm="1">
        <f t="array" ref="C6">IFERROR(_xlfn.VALUETOTEXT(INDEX('M03-S02'!$BW$18:$BW$199,2*(ROWS($C$4:C6)-1)+1)),"")</f>
        <v/>
      </c>
      <c r="D6">
        <f>IFERROR(INDEX('M03-S02'!$B$18:$B$199,2*(ROWS(D$4:D6)-1)+1),"")</f>
        <v>3</v>
      </c>
      <c r="E6" s="51" t="str" cm="1">
        <f t="array" ref="E6">IFERROR(_xlfn.VALUETOTEXT(INDEX('M03-S02'!$BX$18:$BX$199,2*(ROWS($E$4:E6)-1)+1)),"")</f>
        <v/>
      </c>
      <c r="F6" t="str" cm="1">
        <f t="array" ref="F6">IF(C6&lt;&gt;"", _xlfn.SWITCH(Program_Banner, "Small Business / Non-Profit", "Hard-To-Reach Business", "Business Energy Savings", "Whole Business Efficiency", ""), "")</f>
        <v/>
      </c>
      <c r="G6" t="s">
        <v>938</v>
      </c>
      <c r="H6" t="str">
        <f>IFERROR(INDEX('M03-S02'!$BC$18:$BC$199,2*(ROWS($H$4:H6)-1)+1),"")</f>
        <v/>
      </c>
      <c r="I6" s="171"/>
      <c r="J6" s="182"/>
      <c r="K6" s="182"/>
      <c r="L6" s="51" t="str">
        <f>IFERROR(INDEX('M03-S02'!$BD$18:$BD$199,2*(ROWS($L$4:L6)-1)+1),"")</f>
        <v/>
      </c>
      <c r="M6" s="51">
        <f>IFERROR(INDEX('M03-S02'!$AG$18:$AG$199,2*(ROWS($M$4:M6)-1)+1),"")</f>
        <v>0</v>
      </c>
      <c r="N6" s="171"/>
      <c r="O6">
        <f>IFERROR(INDEX('M03-S02'!$G$18:$G$199,2*(ROWS(O$4:O6)-1)+1),"")</f>
        <v>0</v>
      </c>
      <c r="P6">
        <f>IFERROR(INDEX('M03-S02'!$O$18:$O$199,2*(ROWS(P$4:P6)-1)+1),"")</f>
        <v>0</v>
      </c>
      <c r="Q6">
        <f>IFERROR(INDEX('M03-S02'!$AC$18:$AC$199,2*(ROWS(Q$4:Q6)-1)+1),"")</f>
        <v>0</v>
      </c>
      <c r="S6" t="str">
        <f>IFERROR(INDEX('M03-S02'!$AX$18:$AX$199,2*(ROWS(S$4:S6)-1)+1),"")</f>
        <v/>
      </c>
      <c r="T6" s="545" t="str">
        <f>IFERROR(ROUND(INDEX('M03-S02'!$AY$18:$AY$199,2*(ROWS(T$4:T6)-1)+1),3),"")</f>
        <v/>
      </c>
      <c r="U6" s="545" t="str">
        <f>IFERROR(ROUND(INDEX('M03-S02'!$AZ$18:$AZ$199,2*(ROWS(U$4:U6)-1)+1),3),"")</f>
        <v/>
      </c>
      <c r="V6" s="26">
        <f>IFERROR(INDEX('M03-S02'!$X$18:$X$199,2*(ROWS($G$4:V6)-1)+1),"")</f>
        <v>0</v>
      </c>
      <c r="W6" s="27" t="str">
        <f>IFERROR(INDEX('M03-S02'!$R$18:$R$199,2*(ROWS(W$4:W6)-1)+1),"")</f>
        <v/>
      </c>
      <c r="X6" s="27" t="str">
        <f>IFERROR(INDEX('M03-S02'!$T$18:$T$199,2*(ROWS(X$4:X6)-1)+1),"")</f>
        <v/>
      </c>
      <c r="Y6" s="184"/>
      <c r="Z6" s="184"/>
      <c r="AA6" s="9" t="str" cm="1">
        <f t="array" ref="AA6">IFERROR(ROUND(INDEX('M03-S02'!$AR$18:$AR$199,2*(ROWS(AA$4:AA6)-1)+1), 2),"")</f>
        <v/>
      </c>
      <c r="AB6" s="9" t="str" cm="1">
        <f t="array" ref="AB6">_xlfn.LET(_xlpm.ROWS, 2*(ROWS(AB$4:AB6)-1)+1,IFERROR(INDEX('M03-S02'!$AR$18:$AR$199, _xlpm.ROWS)-INDEX('M03-S02'!$BS$18:$BS$199, _xlpm.ROWS),""))</f>
        <v/>
      </c>
      <c r="AC6" s="9">
        <f>IFERROR(ROUND(INDEX('M03-S02'!$AI$18:$AI$199,2*(ROWS(AC$4:AC6)-1)+1),2),"")</f>
        <v>0</v>
      </c>
      <c r="AD6" s="9">
        <f>IFERROR(ROUND(INDEX('M03-S02'!$AK$18:$AK$199,2*(ROWS(AD$4:AD6)-1)+1),2),"")</f>
        <v>0</v>
      </c>
      <c r="AE6" s="9" t="str">
        <f>IFERROR(ROUND(INDEX('M03-S02'!$BL$18:$BL$199,2*(ROWS(AE$4:AE6)-1)+1),2),"")</f>
        <v/>
      </c>
      <c r="AF6" t="s">
        <v>84</v>
      </c>
      <c r="AG6" s="51" t="str">
        <f>IFERROR(ROUND(INDEX('M03-S02'!$BM$18:$BM$199,2*(ROWS(AG$4:AG6)-1)+1),2),"")</f>
        <v/>
      </c>
      <c r="AH6" s="184"/>
      <c r="AI6" s="32" t="str">
        <f>IFERROR(INDEX('M03-S02'!$BH$18:$BH$199,2*(ROWS(AI$4:AI6)-1)+1),"")</f>
        <v/>
      </c>
      <c r="AJ6" s="32" t="str">
        <f>IFERROR(INDEX('M03-S02'!$BE$18:$BE$199,2*(ROWS(AJ$4:AJ6)-1)+1),"")</f>
        <v/>
      </c>
      <c r="AK6" s="32" t="str">
        <f>IFERROR(INDEX('M03-S02'!$BI$18:$BI$199,2*(ROWS(AK$4:AK6)-1)+1),"")</f>
        <v/>
      </c>
      <c r="AL6" s="32" t="str">
        <f>IFERROR(INDEX('M03-S02'!$BF$18:$BF$199,2*(ROWS(AL$4:AL6)-1)+1),"")</f>
        <v/>
      </c>
      <c r="AM6" s="32" t="str">
        <f>IFERROR(INDEX('M03-S02'!$BA$18:$BA$199,2*(ROWS(AM$4:AM6)-1)+1),"")</f>
        <v/>
      </c>
      <c r="AN6" s="32" t="str">
        <f>IFERROR(INDEX('M03-S02'!$BB$18:$BB$199,2*(ROWS(AN$4:AN6)-1)+1),"")</f>
        <v/>
      </c>
      <c r="AO6" s="32"/>
      <c r="AP6" s="182"/>
      <c r="AQ6" s="182"/>
      <c r="AR6" s="182"/>
      <c r="AS6" s="171"/>
      <c r="AT6" s="171"/>
      <c r="AU6" s="171"/>
      <c r="AV6" s="190"/>
      <c r="AW6" s="190"/>
      <c r="AX6" s="184"/>
      <c r="AY6" s="184"/>
      <c r="AZ6" s="191"/>
      <c r="BA6" s="191"/>
      <c r="BB6" s="171"/>
    </row>
    <row r="7" spans="1:157">
      <c r="A7" s="10">
        <f t="shared" si="0"/>
        <v>0</v>
      </c>
      <c r="B7" t="str">
        <f t="shared" si="1"/>
        <v/>
      </c>
      <c r="C7" t="str" cm="1">
        <f t="array" ref="C7">IFERROR(_xlfn.VALUETOTEXT(INDEX('M03-S02'!$BW$18:$BW$199,2*(ROWS($C$4:C7)-1)+1)),"")</f>
        <v/>
      </c>
      <c r="D7">
        <f>IFERROR(INDEX('M03-S02'!$B$18:$B$199,2*(ROWS(D$4:D7)-1)+1),"")</f>
        <v>4</v>
      </c>
      <c r="E7" s="51" t="str" cm="1">
        <f t="array" ref="E7">IFERROR(_xlfn.VALUETOTEXT(INDEX('M03-S02'!$BX$18:$BX$199,2*(ROWS($E$4:E7)-1)+1)),"")</f>
        <v/>
      </c>
      <c r="F7" t="str" cm="1">
        <f t="array" ref="F7">IF(C7&lt;&gt;"", _xlfn.SWITCH(Program_Banner, "Small Business / Non-Profit", "Hard-To-Reach Business", "Business Energy Savings", "Whole Business Efficiency", ""), "")</f>
        <v/>
      </c>
      <c r="G7" t="s">
        <v>938</v>
      </c>
      <c r="H7" t="str">
        <f>IFERROR(INDEX('M03-S02'!$BC$18:$BC$199,2*(ROWS($H$4:H7)-1)+1),"")</f>
        <v/>
      </c>
      <c r="I7" s="171"/>
      <c r="J7" s="182"/>
      <c r="K7" s="182"/>
      <c r="L7" s="51" t="str">
        <f>IFERROR(INDEX('M03-S02'!$BD$18:$BD$199,2*(ROWS($L$4:L7)-1)+1),"")</f>
        <v/>
      </c>
      <c r="M7" s="51">
        <f>IFERROR(INDEX('M03-S02'!$AG$18:$AG$199,2*(ROWS($M$4:M7)-1)+1),"")</f>
        <v>0</v>
      </c>
      <c r="N7" s="171"/>
      <c r="O7">
        <f>IFERROR(INDEX('M03-S02'!$G$18:$G$199,2*(ROWS(O$4:O7)-1)+1),"")</f>
        <v>0</v>
      </c>
      <c r="P7">
        <f>IFERROR(INDEX('M03-S02'!$O$18:$O$199,2*(ROWS(P$4:P7)-1)+1),"")</f>
        <v>0</v>
      </c>
      <c r="Q7">
        <f>IFERROR(INDEX('M03-S02'!$AC$18:$AC$199,2*(ROWS(Q$4:Q7)-1)+1),"")</f>
        <v>0</v>
      </c>
      <c r="S7" t="str">
        <f>IFERROR(INDEX('M03-S02'!$AX$18:$AX$199,2*(ROWS(S$4:S7)-1)+1),"")</f>
        <v/>
      </c>
      <c r="T7" s="545" t="str">
        <f>IFERROR(ROUND(INDEX('M03-S02'!$AY$18:$AY$199,2*(ROWS(T$4:T7)-1)+1),3),"")</f>
        <v/>
      </c>
      <c r="U7" s="545" t="str">
        <f>IFERROR(ROUND(INDEX('M03-S02'!$AZ$18:$AZ$199,2*(ROWS(U$4:U7)-1)+1),3),"")</f>
        <v/>
      </c>
      <c r="V7" s="26">
        <f>IFERROR(INDEX('M03-S02'!$X$18:$X$199,2*(ROWS($G$4:V7)-1)+1),"")</f>
        <v>0</v>
      </c>
      <c r="W7" s="27" t="str">
        <f>IFERROR(INDEX('M03-S02'!$R$18:$R$199,2*(ROWS(W$4:W7)-1)+1),"")</f>
        <v/>
      </c>
      <c r="X7" s="27" t="str">
        <f>IFERROR(INDEX('M03-S02'!$T$18:$T$199,2*(ROWS(X$4:X7)-1)+1),"")</f>
        <v/>
      </c>
      <c r="Y7" s="184"/>
      <c r="Z7" s="184"/>
      <c r="AA7" s="9" t="str" cm="1">
        <f t="array" ref="AA7">IFERROR(ROUND(INDEX('M03-S02'!$AR$18:$AR$199,2*(ROWS(AA$4:AA7)-1)+1), 2),"")</f>
        <v/>
      </c>
      <c r="AB7" s="9" t="str" cm="1">
        <f t="array" ref="AB7">_xlfn.LET(_xlpm.ROWS, 2*(ROWS(AB$4:AB7)-1)+1,IFERROR(INDEX('M03-S02'!$AR$18:$AR$199, _xlpm.ROWS)-INDEX('M03-S02'!$BS$18:$BS$199, _xlpm.ROWS),""))</f>
        <v/>
      </c>
      <c r="AC7" s="9">
        <f>IFERROR(ROUND(INDEX('M03-S02'!$AI$18:$AI$199,2*(ROWS(AC$4:AC7)-1)+1),2),"")</f>
        <v>0</v>
      </c>
      <c r="AD7" s="9">
        <f>IFERROR(ROUND(INDEX('M03-S02'!$AK$18:$AK$199,2*(ROWS(AD$4:AD7)-1)+1),2),"")</f>
        <v>0</v>
      </c>
      <c r="AE7" s="9" t="str">
        <f>IFERROR(ROUND(INDEX('M03-S02'!$BL$18:$BL$199,2*(ROWS(AE$4:AE7)-1)+1),2),"")</f>
        <v/>
      </c>
      <c r="AF7" t="s">
        <v>84</v>
      </c>
      <c r="AG7" s="51" t="str">
        <f>IFERROR(ROUND(INDEX('M03-S02'!$BM$18:$BM$199,2*(ROWS(AG$4:AG7)-1)+1),2),"")</f>
        <v/>
      </c>
      <c r="AH7" s="184"/>
      <c r="AI7" s="32" t="str">
        <f>IFERROR(INDEX('M03-S02'!$BH$18:$BH$199,2*(ROWS(AI$4:AI7)-1)+1),"")</f>
        <v/>
      </c>
      <c r="AJ7" s="32" t="str">
        <f>IFERROR(INDEX('M03-S02'!$BE$18:$BE$199,2*(ROWS(AJ$4:AJ7)-1)+1),"")</f>
        <v/>
      </c>
      <c r="AK7" s="32" t="str">
        <f>IFERROR(INDEX('M03-S02'!$BI$18:$BI$199,2*(ROWS(AK$4:AK7)-1)+1),"")</f>
        <v/>
      </c>
      <c r="AL7" s="32" t="str">
        <f>IFERROR(INDEX('M03-S02'!$BF$18:$BF$199,2*(ROWS(AL$4:AL7)-1)+1),"")</f>
        <v/>
      </c>
      <c r="AM7" s="32" t="str">
        <f>IFERROR(INDEX('M03-S02'!$BA$18:$BA$199,2*(ROWS(AM$4:AM7)-1)+1),"")</f>
        <v/>
      </c>
      <c r="AN7" s="32" t="str">
        <f>IFERROR(INDEX('M03-S02'!$BB$18:$BB$199,2*(ROWS(AN$4:AN7)-1)+1),"")</f>
        <v/>
      </c>
      <c r="AO7" s="32"/>
      <c r="AP7" s="182"/>
      <c r="AQ7" s="182"/>
      <c r="AR7" s="182"/>
      <c r="AS7" s="171"/>
      <c r="AT7" s="171"/>
      <c r="AU7" s="171"/>
      <c r="AV7" s="190"/>
      <c r="AW7" s="190"/>
      <c r="AX7" s="184"/>
      <c r="AY7" s="184"/>
      <c r="AZ7" s="191"/>
      <c r="BA7" s="191"/>
      <c r="BB7" s="171"/>
    </row>
    <row r="8" spans="1:157">
      <c r="A8" s="10">
        <f t="shared" si="0"/>
        <v>0</v>
      </c>
      <c r="B8" t="str">
        <f t="shared" si="1"/>
        <v/>
      </c>
      <c r="C8" t="str" cm="1">
        <f t="array" ref="C8">IFERROR(_xlfn.VALUETOTEXT(INDEX('M03-S02'!$BW$18:$BW$199,2*(ROWS($C$4:C8)-1)+1)),"")</f>
        <v/>
      </c>
      <c r="D8">
        <f>IFERROR(INDEX('M03-S02'!$B$18:$B$199,2*(ROWS(D$4:D8)-1)+1),"")</f>
        <v>5</v>
      </c>
      <c r="E8" s="51" t="str" cm="1">
        <f t="array" ref="E8">IFERROR(_xlfn.VALUETOTEXT(INDEX('M03-S02'!$BX$18:$BX$199,2*(ROWS($E$4:E8)-1)+1)),"")</f>
        <v/>
      </c>
      <c r="F8" t="str" cm="1">
        <f t="array" ref="F8">IF(C8&lt;&gt;"", _xlfn.SWITCH(Program_Banner, "Small Business / Non-Profit", "Hard-To-Reach Business", "Business Energy Savings", "Whole Business Efficiency", ""), "")</f>
        <v/>
      </c>
      <c r="G8" t="s">
        <v>938</v>
      </c>
      <c r="H8" t="str">
        <f>IFERROR(INDEX('M03-S02'!$BC$18:$BC$199,2*(ROWS($H$4:H8)-1)+1),"")</f>
        <v/>
      </c>
      <c r="I8" s="171"/>
      <c r="J8" s="182"/>
      <c r="K8" s="182"/>
      <c r="L8" s="51" t="str">
        <f>IFERROR(INDEX('M03-S02'!$BD$18:$BD$199,2*(ROWS($L$4:L8)-1)+1),"")</f>
        <v/>
      </c>
      <c r="M8" s="51">
        <f>IFERROR(INDEX('M03-S02'!$AG$18:$AG$199,2*(ROWS($M$4:M8)-1)+1),"")</f>
        <v>0</v>
      </c>
      <c r="N8" s="171"/>
      <c r="O8">
        <f>IFERROR(INDEX('M03-S02'!$G$18:$G$199,2*(ROWS(O$4:O8)-1)+1),"")</f>
        <v>0</v>
      </c>
      <c r="P8">
        <f>IFERROR(INDEX('M03-S02'!$O$18:$O$199,2*(ROWS(P$4:P8)-1)+1),"")</f>
        <v>0</v>
      </c>
      <c r="Q8">
        <f>IFERROR(INDEX('M03-S02'!$AC$18:$AC$199,2*(ROWS(Q$4:Q8)-1)+1),"")</f>
        <v>0</v>
      </c>
      <c r="S8" t="str">
        <f>IFERROR(INDEX('M03-S02'!$AX$18:$AX$199,2*(ROWS(S$4:S8)-1)+1),"")</f>
        <v/>
      </c>
      <c r="T8" s="545" t="str">
        <f>IFERROR(ROUND(INDEX('M03-S02'!$AY$18:$AY$199,2*(ROWS(T$4:T8)-1)+1),3),"")</f>
        <v/>
      </c>
      <c r="U8" s="545" t="str">
        <f>IFERROR(ROUND(INDEX('M03-S02'!$AZ$18:$AZ$199,2*(ROWS(U$4:U8)-1)+1),3),"")</f>
        <v/>
      </c>
      <c r="V8" s="26">
        <f>IFERROR(INDEX('M03-S02'!$X$18:$X$199,2*(ROWS($G$4:V8)-1)+1),"")</f>
        <v>0</v>
      </c>
      <c r="W8" s="27" t="str">
        <f>IFERROR(INDEX('M03-S02'!$R$18:$R$199,2*(ROWS(W$4:W8)-1)+1),"")</f>
        <v/>
      </c>
      <c r="X8" s="27" t="str">
        <f>IFERROR(INDEX('M03-S02'!$T$18:$T$199,2*(ROWS(X$4:X8)-1)+1),"")</f>
        <v/>
      </c>
      <c r="Y8" s="184"/>
      <c r="Z8" s="184"/>
      <c r="AA8" s="9" t="str" cm="1">
        <f t="array" ref="AA8">IFERROR(ROUND(INDEX('M03-S02'!$AR$18:$AR$199,2*(ROWS(AA$4:AA8)-1)+1), 2),"")</f>
        <v/>
      </c>
      <c r="AB8" s="9" t="str" cm="1">
        <f t="array" ref="AB8">_xlfn.LET(_xlpm.ROWS, 2*(ROWS(AB$4:AB8)-1)+1,IFERROR(INDEX('M03-S02'!$AR$18:$AR$199, _xlpm.ROWS)-INDEX('M03-S02'!$BS$18:$BS$199, _xlpm.ROWS),""))</f>
        <v/>
      </c>
      <c r="AC8" s="9">
        <f>IFERROR(ROUND(INDEX('M03-S02'!$AI$18:$AI$199,2*(ROWS(AC$4:AC8)-1)+1),2),"")</f>
        <v>0</v>
      </c>
      <c r="AD8" s="9">
        <f>IFERROR(ROUND(INDEX('M03-S02'!$AK$18:$AK$199,2*(ROWS(AD$4:AD8)-1)+1),2),"")</f>
        <v>0</v>
      </c>
      <c r="AE8" s="9" t="str">
        <f>IFERROR(ROUND(INDEX('M03-S02'!$BL$18:$BL$199,2*(ROWS(AE$4:AE8)-1)+1),2),"")</f>
        <v/>
      </c>
      <c r="AF8" t="s">
        <v>84</v>
      </c>
      <c r="AG8" s="51" t="str">
        <f>IFERROR(ROUND(INDEX('M03-S02'!$BM$18:$BM$199,2*(ROWS(AG$4:AG8)-1)+1),2),"")</f>
        <v/>
      </c>
      <c r="AH8" s="184"/>
      <c r="AI8" s="32" t="str">
        <f>IFERROR(INDEX('M03-S02'!$BH$18:$BH$199,2*(ROWS(AI$4:AI8)-1)+1),"")</f>
        <v/>
      </c>
      <c r="AJ8" s="32" t="str">
        <f>IFERROR(INDEX('M03-S02'!$BE$18:$BE$199,2*(ROWS(AJ$4:AJ8)-1)+1),"")</f>
        <v/>
      </c>
      <c r="AK8" s="32" t="str">
        <f>IFERROR(INDEX('M03-S02'!$BI$18:$BI$199,2*(ROWS(AK$4:AK8)-1)+1),"")</f>
        <v/>
      </c>
      <c r="AL8" s="32" t="str">
        <f>IFERROR(INDEX('M03-S02'!$BF$18:$BF$199,2*(ROWS(AL$4:AL8)-1)+1),"")</f>
        <v/>
      </c>
      <c r="AM8" s="32" t="str">
        <f>IFERROR(INDEX('M03-S02'!$BA$18:$BA$199,2*(ROWS(AM$4:AM8)-1)+1),"")</f>
        <v/>
      </c>
      <c r="AN8" s="32" t="str">
        <f>IFERROR(INDEX('M03-S02'!$BB$18:$BB$199,2*(ROWS(AN$4:AN8)-1)+1),"")</f>
        <v/>
      </c>
      <c r="AO8" s="32"/>
      <c r="AP8" s="182"/>
      <c r="AQ8" s="182"/>
      <c r="AR8" s="182"/>
      <c r="AS8" s="171"/>
      <c r="AT8" s="171"/>
      <c r="AU8" s="171"/>
      <c r="AV8" s="190"/>
      <c r="AW8" s="190"/>
      <c r="AX8" s="184"/>
      <c r="AY8" s="184"/>
      <c r="AZ8" s="191"/>
      <c r="BA8" s="191"/>
      <c r="BB8" s="171"/>
    </row>
    <row r="9" spans="1:157">
      <c r="A9" s="10">
        <f t="shared" si="0"/>
        <v>0</v>
      </c>
      <c r="B9" t="str">
        <f t="shared" si="1"/>
        <v/>
      </c>
      <c r="C9" t="str" cm="1">
        <f t="array" ref="C9">IFERROR(_xlfn.VALUETOTEXT(INDEX('M03-S02'!$BW$18:$BW$199,2*(ROWS($C$4:C9)-1)+1)),"")</f>
        <v/>
      </c>
      <c r="D9">
        <f>IFERROR(INDEX('M03-S02'!$B$18:$B$199,2*(ROWS(D$4:D9)-1)+1),"")</f>
        <v>6</v>
      </c>
      <c r="E9" s="51" t="str" cm="1">
        <f t="array" ref="E9">IFERROR(_xlfn.VALUETOTEXT(INDEX('M03-S02'!$BX$18:$BX$199,2*(ROWS($E$4:E9)-1)+1)),"")</f>
        <v/>
      </c>
      <c r="F9" t="str" cm="1">
        <f t="array" ref="F9">IF(C9&lt;&gt;"", _xlfn.SWITCH(Program_Banner, "Small Business / Non-Profit", "Hard-To-Reach Business", "Business Energy Savings", "Whole Business Efficiency", ""), "")</f>
        <v/>
      </c>
      <c r="G9" t="s">
        <v>938</v>
      </c>
      <c r="H9" t="str">
        <f>IFERROR(INDEX('M03-S02'!$BC$18:$BC$199,2*(ROWS($H$4:H9)-1)+1),"")</f>
        <v/>
      </c>
      <c r="I9" s="171"/>
      <c r="J9" s="182"/>
      <c r="K9" s="182"/>
      <c r="L9" s="51" t="str">
        <f>IFERROR(INDEX('M03-S02'!$BD$18:$BD$199,2*(ROWS($L$4:L9)-1)+1),"")</f>
        <v/>
      </c>
      <c r="M9" s="51">
        <f>IFERROR(INDEX('M03-S02'!$AG$18:$AG$199,2*(ROWS($M$4:M9)-1)+1),"")</f>
        <v>0</v>
      </c>
      <c r="N9" s="171"/>
      <c r="O9">
        <f>IFERROR(INDEX('M03-S02'!$G$18:$G$199,2*(ROWS(O$4:O9)-1)+1),"")</f>
        <v>0</v>
      </c>
      <c r="P9">
        <f>IFERROR(INDEX('M03-S02'!$O$18:$O$199,2*(ROWS(P$4:P9)-1)+1),"")</f>
        <v>0</v>
      </c>
      <c r="Q9">
        <f>IFERROR(INDEX('M03-S02'!$AC$18:$AC$199,2*(ROWS(Q$4:Q9)-1)+1),"")</f>
        <v>0</v>
      </c>
      <c r="S9" t="str">
        <f>IFERROR(INDEX('M03-S02'!$AX$18:$AX$199,2*(ROWS(S$4:S9)-1)+1),"")</f>
        <v/>
      </c>
      <c r="T9" s="545" t="str">
        <f>IFERROR(ROUND(INDEX('M03-S02'!$AY$18:$AY$199,2*(ROWS(T$4:T9)-1)+1),3),"")</f>
        <v/>
      </c>
      <c r="U9" s="545" t="str">
        <f>IFERROR(ROUND(INDEX('M03-S02'!$AZ$18:$AZ$199,2*(ROWS(U$4:U9)-1)+1),3),"")</f>
        <v/>
      </c>
      <c r="V9" s="26">
        <f>IFERROR(INDEX('M03-S02'!$X$18:$X$199,2*(ROWS($G$4:V9)-1)+1),"")</f>
        <v>0</v>
      </c>
      <c r="W9" s="27" t="str">
        <f>IFERROR(INDEX('M03-S02'!$R$18:$R$199,2*(ROWS(W$4:W9)-1)+1),"")</f>
        <v/>
      </c>
      <c r="X9" s="27" t="str">
        <f>IFERROR(INDEX('M03-S02'!$T$18:$T$199,2*(ROWS(X$4:X9)-1)+1),"")</f>
        <v/>
      </c>
      <c r="Y9" s="184"/>
      <c r="Z9" s="184"/>
      <c r="AA9" s="9" t="str" cm="1">
        <f t="array" ref="AA9">IFERROR(ROUND(INDEX('M03-S02'!$AR$18:$AR$199,2*(ROWS(AA$4:AA9)-1)+1), 2),"")</f>
        <v/>
      </c>
      <c r="AB9" s="9" t="str" cm="1">
        <f t="array" ref="AB9">_xlfn.LET(_xlpm.ROWS, 2*(ROWS(AB$4:AB9)-1)+1,IFERROR(INDEX('M03-S02'!$AR$18:$AR$199, _xlpm.ROWS)-INDEX('M03-S02'!$BS$18:$BS$199, _xlpm.ROWS),""))</f>
        <v/>
      </c>
      <c r="AC9" s="9">
        <f>IFERROR(ROUND(INDEX('M03-S02'!$AI$18:$AI$199,2*(ROWS(AC$4:AC9)-1)+1),2),"")</f>
        <v>0</v>
      </c>
      <c r="AD9" s="9">
        <f>IFERROR(ROUND(INDEX('M03-S02'!$AK$18:$AK$199,2*(ROWS(AD$4:AD9)-1)+1),2),"")</f>
        <v>0</v>
      </c>
      <c r="AE9" s="9" t="str">
        <f>IFERROR(ROUND(INDEX('M03-S02'!$BL$18:$BL$199,2*(ROWS(AE$4:AE9)-1)+1),2),"")</f>
        <v/>
      </c>
      <c r="AF9" t="s">
        <v>84</v>
      </c>
      <c r="AG9" s="51" t="str">
        <f>IFERROR(ROUND(INDEX('M03-S02'!$BM$18:$BM$199,2*(ROWS(AG$4:AG9)-1)+1),2),"")</f>
        <v/>
      </c>
      <c r="AH9" s="184"/>
      <c r="AI9" s="32" t="str">
        <f>IFERROR(INDEX('M03-S02'!$BH$18:$BH$199,2*(ROWS(AI$4:AI9)-1)+1),"")</f>
        <v/>
      </c>
      <c r="AJ9" s="32" t="str">
        <f>IFERROR(INDEX('M03-S02'!$BE$18:$BE$199,2*(ROWS(AJ$4:AJ9)-1)+1),"")</f>
        <v/>
      </c>
      <c r="AK9" s="32" t="str">
        <f>IFERROR(INDEX('M03-S02'!$BI$18:$BI$199,2*(ROWS(AK$4:AK9)-1)+1),"")</f>
        <v/>
      </c>
      <c r="AL9" s="32" t="str">
        <f>IFERROR(INDEX('M03-S02'!$BF$18:$BF$199,2*(ROWS(AL$4:AL9)-1)+1),"")</f>
        <v/>
      </c>
      <c r="AM9" s="32" t="str">
        <f>IFERROR(INDEX('M03-S02'!$BA$18:$BA$199,2*(ROWS(AM$4:AM9)-1)+1),"")</f>
        <v/>
      </c>
      <c r="AN9" s="32" t="str">
        <f>IFERROR(INDEX('M03-S02'!$BB$18:$BB$199,2*(ROWS(AN$4:AN9)-1)+1),"")</f>
        <v/>
      </c>
      <c r="AO9" s="32"/>
      <c r="AP9" s="182"/>
      <c r="AQ9" s="182"/>
      <c r="AR9" s="182"/>
      <c r="AS9" s="171"/>
      <c r="AT9" s="171"/>
      <c r="AU9" s="171"/>
      <c r="AV9" s="190"/>
      <c r="AW9" s="190"/>
      <c r="AX9" s="184"/>
      <c r="AY9" s="184"/>
      <c r="AZ9" s="191"/>
      <c r="BA9" s="191"/>
      <c r="BB9" s="171"/>
    </row>
    <row r="10" spans="1:157">
      <c r="A10" s="10">
        <f t="shared" si="0"/>
        <v>0</v>
      </c>
      <c r="B10" t="str">
        <f t="shared" si="1"/>
        <v/>
      </c>
      <c r="C10" t="str" cm="1">
        <f t="array" ref="C10">IFERROR(_xlfn.VALUETOTEXT(INDEX('M03-S02'!$BW$18:$BW$199,2*(ROWS($C$4:C10)-1)+1)),"")</f>
        <v/>
      </c>
      <c r="D10">
        <f>IFERROR(INDEX('M03-S02'!$B$18:$B$199,2*(ROWS(D$4:D10)-1)+1),"")</f>
        <v>7</v>
      </c>
      <c r="E10" s="51" t="str" cm="1">
        <f t="array" ref="E10">IFERROR(_xlfn.VALUETOTEXT(INDEX('M03-S02'!$BX$18:$BX$199,2*(ROWS($E$4:E10)-1)+1)),"")</f>
        <v/>
      </c>
      <c r="F10" t="str" cm="1">
        <f t="array" ref="F10">IF(C10&lt;&gt;"", _xlfn.SWITCH(Program_Banner, "Small Business / Non-Profit", "Hard-To-Reach Business", "Business Energy Savings", "Whole Business Efficiency", ""), "")</f>
        <v/>
      </c>
      <c r="G10" t="s">
        <v>938</v>
      </c>
      <c r="H10" t="str">
        <f>IFERROR(INDEX('M03-S02'!$BC$18:$BC$199,2*(ROWS($H$4:H10)-1)+1),"")</f>
        <v/>
      </c>
      <c r="I10" s="171"/>
      <c r="J10" s="182"/>
      <c r="K10" s="182"/>
      <c r="L10" s="51" t="str">
        <f>IFERROR(INDEX('M03-S02'!$BD$18:$BD$199,2*(ROWS($L$4:L10)-1)+1),"")</f>
        <v/>
      </c>
      <c r="M10" s="51">
        <f>IFERROR(INDEX('M03-S02'!$AG$18:$AG$199,2*(ROWS($M$4:M10)-1)+1),"")</f>
        <v>0</v>
      </c>
      <c r="N10" s="171"/>
      <c r="O10">
        <f>IFERROR(INDEX('M03-S02'!$G$18:$G$199,2*(ROWS(O$4:O10)-1)+1),"")</f>
        <v>0</v>
      </c>
      <c r="P10">
        <f>IFERROR(INDEX('M03-S02'!$O$18:$O$199,2*(ROWS(P$4:P10)-1)+1),"")</f>
        <v>0</v>
      </c>
      <c r="Q10">
        <f>IFERROR(INDEX('M03-S02'!$AC$18:$AC$199,2*(ROWS(Q$4:Q10)-1)+1),"")</f>
        <v>0</v>
      </c>
      <c r="S10" t="str">
        <f>IFERROR(INDEX('M03-S02'!$AX$18:$AX$199,2*(ROWS(S$4:S10)-1)+1),"")</f>
        <v/>
      </c>
      <c r="T10" s="545" t="str">
        <f>IFERROR(ROUND(INDEX('M03-S02'!$AY$18:$AY$199,2*(ROWS(T$4:T10)-1)+1),3),"")</f>
        <v/>
      </c>
      <c r="U10" s="545" t="str">
        <f>IFERROR(ROUND(INDEX('M03-S02'!$AZ$18:$AZ$199,2*(ROWS(U$4:U10)-1)+1),3),"")</f>
        <v/>
      </c>
      <c r="V10" s="26">
        <f>IFERROR(INDEX('M03-S02'!$X$18:$X$199,2*(ROWS($G$4:V10)-1)+1),"")</f>
        <v>0</v>
      </c>
      <c r="W10" s="27" t="str">
        <f>IFERROR(INDEX('M03-S02'!$R$18:$R$199,2*(ROWS(W$4:W10)-1)+1),"")</f>
        <v/>
      </c>
      <c r="X10" s="27" t="str">
        <f>IFERROR(INDEX('M03-S02'!$T$18:$T$199,2*(ROWS(X$4:X10)-1)+1),"")</f>
        <v/>
      </c>
      <c r="Y10" s="184"/>
      <c r="Z10" s="184"/>
      <c r="AA10" s="9" t="str" cm="1">
        <f t="array" ref="AA10">IFERROR(ROUND(INDEX('M03-S02'!$AR$18:$AR$199,2*(ROWS(AA$4:AA10)-1)+1), 2),"")</f>
        <v/>
      </c>
      <c r="AB10" s="9" t="str" cm="1">
        <f t="array" ref="AB10">_xlfn.LET(_xlpm.ROWS, 2*(ROWS(AB$4:AB10)-1)+1,IFERROR(INDEX('M03-S02'!$AR$18:$AR$199, _xlpm.ROWS)-INDEX('M03-S02'!$BS$18:$BS$199, _xlpm.ROWS),""))</f>
        <v/>
      </c>
      <c r="AC10" s="9">
        <f>IFERROR(ROUND(INDEX('M03-S02'!$AI$18:$AI$199,2*(ROWS(AC$4:AC10)-1)+1),2),"")</f>
        <v>0</v>
      </c>
      <c r="AD10" s="9">
        <f>IFERROR(ROUND(INDEX('M03-S02'!$AK$18:$AK$199,2*(ROWS(AD$4:AD10)-1)+1),2),"")</f>
        <v>0</v>
      </c>
      <c r="AE10" s="9" t="str">
        <f>IFERROR(ROUND(INDEX('M03-S02'!$BL$18:$BL$199,2*(ROWS(AE$4:AE10)-1)+1),2),"")</f>
        <v/>
      </c>
      <c r="AF10" t="s">
        <v>84</v>
      </c>
      <c r="AG10" s="51" t="str">
        <f>IFERROR(ROUND(INDEX('M03-S02'!$BM$18:$BM$199,2*(ROWS(AG$4:AG10)-1)+1),2),"")</f>
        <v/>
      </c>
      <c r="AH10" s="184"/>
      <c r="AI10" s="32" t="str">
        <f>IFERROR(INDEX('M03-S02'!$BH$18:$BH$199,2*(ROWS(AI$4:AI10)-1)+1),"")</f>
        <v/>
      </c>
      <c r="AJ10" s="32" t="str">
        <f>IFERROR(INDEX('M03-S02'!$BE$18:$BE$199,2*(ROWS(AJ$4:AJ10)-1)+1),"")</f>
        <v/>
      </c>
      <c r="AK10" s="32" t="str">
        <f>IFERROR(INDEX('M03-S02'!$BI$18:$BI$199,2*(ROWS(AK$4:AK10)-1)+1),"")</f>
        <v/>
      </c>
      <c r="AL10" s="32" t="str">
        <f>IFERROR(INDEX('M03-S02'!$BF$18:$BF$199,2*(ROWS(AL$4:AL10)-1)+1),"")</f>
        <v/>
      </c>
      <c r="AM10" s="32" t="str">
        <f>IFERROR(INDEX('M03-S02'!$BA$18:$BA$199,2*(ROWS(AM$4:AM10)-1)+1),"")</f>
        <v/>
      </c>
      <c r="AN10" s="32" t="str">
        <f>IFERROR(INDEX('M03-S02'!$BB$18:$BB$199,2*(ROWS(AN$4:AN10)-1)+1),"")</f>
        <v/>
      </c>
      <c r="AO10" s="32"/>
      <c r="AP10" s="182"/>
      <c r="AQ10" s="182"/>
      <c r="AR10" s="182"/>
      <c r="AS10" s="171"/>
      <c r="AT10" s="171"/>
      <c r="AU10" s="171"/>
      <c r="AV10" s="190"/>
      <c r="AW10" s="190"/>
      <c r="AX10" s="184"/>
      <c r="AY10" s="184"/>
      <c r="AZ10" s="191"/>
      <c r="BA10" s="191"/>
      <c r="BB10" s="171"/>
    </row>
    <row r="11" spans="1:157">
      <c r="A11" s="10">
        <f t="shared" si="0"/>
        <v>0</v>
      </c>
      <c r="B11" t="str">
        <f t="shared" si="1"/>
        <v/>
      </c>
      <c r="C11" t="str" cm="1">
        <f t="array" ref="C11">IFERROR(_xlfn.VALUETOTEXT(INDEX('M03-S02'!$BW$18:$BW$199,2*(ROWS($C$4:C11)-1)+1)),"")</f>
        <v/>
      </c>
      <c r="D11">
        <f>IFERROR(INDEX('M03-S02'!$B$18:$B$199,2*(ROWS(D$4:D11)-1)+1),"")</f>
        <v>8</v>
      </c>
      <c r="E11" s="51" t="str" cm="1">
        <f t="array" ref="E11">IFERROR(_xlfn.VALUETOTEXT(INDEX('M03-S02'!$BX$18:$BX$199,2*(ROWS($E$4:E11)-1)+1)),"")</f>
        <v/>
      </c>
      <c r="F11" t="str" cm="1">
        <f t="array" ref="F11">IF(C11&lt;&gt;"", _xlfn.SWITCH(Program_Banner, "Small Business / Non-Profit", "Hard-To-Reach Business", "Business Energy Savings", "Whole Business Efficiency", ""), "")</f>
        <v/>
      </c>
      <c r="G11" t="s">
        <v>938</v>
      </c>
      <c r="H11" t="str">
        <f>IFERROR(INDEX('M03-S02'!$BC$18:$BC$199,2*(ROWS($H$4:H11)-1)+1),"")</f>
        <v/>
      </c>
      <c r="I11" s="171"/>
      <c r="J11" s="182"/>
      <c r="K11" s="182"/>
      <c r="L11" s="51" t="str">
        <f>IFERROR(INDEX('M03-S02'!$BD$18:$BD$199,2*(ROWS($L$4:L11)-1)+1),"")</f>
        <v/>
      </c>
      <c r="M11" s="51">
        <f>IFERROR(INDEX('M03-S02'!$AG$18:$AG$199,2*(ROWS($M$4:M11)-1)+1),"")</f>
        <v>0</v>
      </c>
      <c r="N11" s="171"/>
      <c r="O11">
        <f>IFERROR(INDEX('M03-S02'!$G$18:$G$199,2*(ROWS(O$4:O11)-1)+1),"")</f>
        <v>0</v>
      </c>
      <c r="P11">
        <f>IFERROR(INDEX('M03-S02'!$O$18:$O$199,2*(ROWS(P$4:P11)-1)+1),"")</f>
        <v>0</v>
      </c>
      <c r="Q11">
        <f>IFERROR(INDEX('M03-S02'!$AC$18:$AC$199,2*(ROWS(Q$4:Q11)-1)+1),"")</f>
        <v>0</v>
      </c>
      <c r="S11" t="str">
        <f>IFERROR(INDEX('M03-S02'!$AX$18:$AX$199,2*(ROWS(S$4:S11)-1)+1),"")</f>
        <v/>
      </c>
      <c r="T11" s="545" t="str">
        <f>IFERROR(ROUND(INDEX('M03-S02'!$AY$18:$AY$199,2*(ROWS(T$4:T11)-1)+1),3),"")</f>
        <v/>
      </c>
      <c r="U11" s="545" t="str">
        <f>IFERROR(ROUND(INDEX('M03-S02'!$AZ$18:$AZ$199,2*(ROWS(U$4:U11)-1)+1),3),"")</f>
        <v/>
      </c>
      <c r="V11" s="26">
        <f>IFERROR(INDEX('M03-S02'!$X$18:$X$199,2*(ROWS($G$4:V11)-1)+1),"")</f>
        <v>0</v>
      </c>
      <c r="W11" s="27" t="str">
        <f>IFERROR(INDEX('M03-S02'!$R$18:$R$199,2*(ROWS(W$4:W11)-1)+1),"")</f>
        <v/>
      </c>
      <c r="X11" s="27" t="str">
        <f>IFERROR(INDEX('M03-S02'!$T$18:$T$199,2*(ROWS(X$4:X11)-1)+1),"")</f>
        <v/>
      </c>
      <c r="Y11" s="184"/>
      <c r="Z11" s="184"/>
      <c r="AA11" s="9" t="str" cm="1">
        <f t="array" ref="AA11">IFERROR(ROUND(INDEX('M03-S02'!$AR$18:$AR$199,2*(ROWS(AA$4:AA11)-1)+1), 2),"")</f>
        <v/>
      </c>
      <c r="AB11" s="9" t="str" cm="1">
        <f t="array" ref="AB11">_xlfn.LET(_xlpm.ROWS, 2*(ROWS(AB$4:AB11)-1)+1,IFERROR(INDEX('M03-S02'!$AR$18:$AR$199, _xlpm.ROWS)-INDEX('M03-S02'!$BS$18:$BS$199, _xlpm.ROWS),""))</f>
        <v/>
      </c>
      <c r="AC11" s="9">
        <f>IFERROR(ROUND(INDEX('M03-S02'!$AI$18:$AI$199,2*(ROWS(AC$4:AC11)-1)+1),2),"")</f>
        <v>0</v>
      </c>
      <c r="AD11" s="9">
        <f>IFERROR(ROUND(INDEX('M03-S02'!$AK$18:$AK$199,2*(ROWS(AD$4:AD11)-1)+1),2),"")</f>
        <v>0</v>
      </c>
      <c r="AE11" s="9" t="str">
        <f>IFERROR(ROUND(INDEX('M03-S02'!$BL$18:$BL$199,2*(ROWS(AE$4:AE11)-1)+1),2),"")</f>
        <v/>
      </c>
      <c r="AF11" t="s">
        <v>84</v>
      </c>
      <c r="AG11" s="51" t="str">
        <f>IFERROR(ROUND(INDEX('M03-S02'!$BM$18:$BM$199,2*(ROWS(AG$4:AG11)-1)+1),2),"")</f>
        <v/>
      </c>
      <c r="AH11" s="184"/>
      <c r="AI11" s="32" t="str">
        <f>IFERROR(INDEX('M03-S02'!$BH$18:$BH$199,2*(ROWS(AI$4:AI11)-1)+1),"")</f>
        <v/>
      </c>
      <c r="AJ11" s="32" t="str">
        <f>IFERROR(INDEX('M03-S02'!$BE$18:$BE$199,2*(ROWS(AJ$4:AJ11)-1)+1),"")</f>
        <v/>
      </c>
      <c r="AK11" s="32" t="str">
        <f>IFERROR(INDEX('M03-S02'!$BI$18:$BI$199,2*(ROWS(AK$4:AK11)-1)+1),"")</f>
        <v/>
      </c>
      <c r="AL11" s="32" t="str">
        <f>IFERROR(INDEX('M03-S02'!$BF$18:$BF$199,2*(ROWS(AL$4:AL11)-1)+1),"")</f>
        <v/>
      </c>
      <c r="AM11" s="32" t="str">
        <f>IFERROR(INDEX('M03-S02'!$BA$18:$BA$199,2*(ROWS(AM$4:AM11)-1)+1),"")</f>
        <v/>
      </c>
      <c r="AN11" s="32" t="str">
        <f>IFERROR(INDEX('M03-S02'!$BB$18:$BB$199,2*(ROWS(AN$4:AN11)-1)+1),"")</f>
        <v/>
      </c>
      <c r="AO11" s="32"/>
      <c r="AP11" s="182"/>
      <c r="AQ11" s="182"/>
      <c r="AR11" s="182"/>
      <c r="AS11" s="171"/>
      <c r="AT11" s="171"/>
      <c r="AU11" s="171"/>
      <c r="AV11" s="190"/>
      <c r="AW11" s="190"/>
      <c r="AX11" s="184"/>
      <c r="AY11" s="184"/>
      <c r="AZ11" s="191"/>
      <c r="BA11" s="191"/>
      <c r="BB11" s="171"/>
    </row>
    <row r="12" spans="1:157">
      <c r="A12" s="10">
        <f t="shared" si="0"/>
        <v>0</v>
      </c>
      <c r="B12" t="str">
        <f t="shared" si="1"/>
        <v/>
      </c>
      <c r="C12" t="str" cm="1">
        <f t="array" ref="C12">IFERROR(_xlfn.VALUETOTEXT(INDEX('M03-S02'!$BW$18:$BW$199,2*(ROWS($C$4:C12)-1)+1)),"")</f>
        <v/>
      </c>
      <c r="D12">
        <f>IFERROR(INDEX('M03-S02'!$B$18:$B$199,2*(ROWS(D$4:D12)-1)+1),"")</f>
        <v>9</v>
      </c>
      <c r="E12" s="51" t="str" cm="1">
        <f t="array" ref="E12">IFERROR(_xlfn.VALUETOTEXT(INDEX('M03-S02'!$BX$18:$BX$199,2*(ROWS($E$4:E12)-1)+1)),"")</f>
        <v/>
      </c>
      <c r="F12" t="str" cm="1">
        <f t="array" ref="F12">IF(C12&lt;&gt;"", _xlfn.SWITCH(Program_Banner, "Small Business / Non-Profit", "Hard-To-Reach Business", "Business Energy Savings", "Whole Business Efficiency", ""), "")</f>
        <v/>
      </c>
      <c r="G12" t="s">
        <v>938</v>
      </c>
      <c r="H12" t="str">
        <f>IFERROR(INDEX('M03-S02'!$BC$18:$BC$199,2*(ROWS($H$4:H12)-1)+1),"")</f>
        <v/>
      </c>
      <c r="I12" s="171"/>
      <c r="J12" s="182"/>
      <c r="K12" s="182"/>
      <c r="L12" s="51" t="str">
        <f>IFERROR(INDEX('M03-S02'!$BD$18:$BD$199,2*(ROWS($L$4:L12)-1)+1),"")</f>
        <v/>
      </c>
      <c r="M12" s="51">
        <f>IFERROR(INDEX('M03-S02'!$AG$18:$AG$199,2*(ROWS($M$4:M12)-1)+1),"")</f>
        <v>0</v>
      </c>
      <c r="N12" s="171"/>
      <c r="O12">
        <f>IFERROR(INDEX('M03-S02'!$G$18:$G$199,2*(ROWS(O$4:O12)-1)+1),"")</f>
        <v>0</v>
      </c>
      <c r="P12">
        <f>IFERROR(INDEX('M03-S02'!$O$18:$O$199,2*(ROWS(P$4:P12)-1)+1),"")</f>
        <v>0</v>
      </c>
      <c r="Q12">
        <f>IFERROR(INDEX('M03-S02'!$AC$18:$AC$199,2*(ROWS(Q$4:Q12)-1)+1),"")</f>
        <v>0</v>
      </c>
      <c r="S12" t="str">
        <f>IFERROR(INDEX('M03-S02'!$AX$18:$AX$199,2*(ROWS(S$4:S12)-1)+1),"")</f>
        <v/>
      </c>
      <c r="T12" s="545" t="str">
        <f>IFERROR(ROUND(INDEX('M03-S02'!$AY$18:$AY$199,2*(ROWS(T$4:T12)-1)+1),3),"")</f>
        <v/>
      </c>
      <c r="U12" s="545" t="str">
        <f>IFERROR(ROUND(INDEX('M03-S02'!$AZ$18:$AZ$199,2*(ROWS(U$4:U12)-1)+1),3),"")</f>
        <v/>
      </c>
      <c r="V12" s="26">
        <f>IFERROR(INDEX('M03-S02'!$X$18:$X$199,2*(ROWS($G$4:V12)-1)+1),"")</f>
        <v>0</v>
      </c>
      <c r="W12" s="27" t="str">
        <f>IFERROR(INDEX('M03-S02'!$R$18:$R$199,2*(ROWS(W$4:W12)-1)+1),"")</f>
        <v/>
      </c>
      <c r="X12" s="27" t="str">
        <f>IFERROR(INDEX('M03-S02'!$T$18:$T$199,2*(ROWS(X$4:X12)-1)+1),"")</f>
        <v/>
      </c>
      <c r="Y12" s="184"/>
      <c r="Z12" s="184"/>
      <c r="AA12" s="9" t="str" cm="1">
        <f t="array" ref="AA12">IFERROR(ROUND(INDEX('M03-S02'!$AR$18:$AR$199,2*(ROWS(AA$4:AA12)-1)+1), 2),"")</f>
        <v/>
      </c>
      <c r="AB12" s="9" t="str" cm="1">
        <f t="array" ref="AB12">_xlfn.LET(_xlpm.ROWS, 2*(ROWS(AB$4:AB12)-1)+1,IFERROR(INDEX('M03-S02'!$AR$18:$AR$199, _xlpm.ROWS)-INDEX('M03-S02'!$BS$18:$BS$199, _xlpm.ROWS),""))</f>
        <v/>
      </c>
      <c r="AC12" s="9">
        <f>IFERROR(ROUND(INDEX('M03-S02'!$AI$18:$AI$199,2*(ROWS(AC$4:AC12)-1)+1),2),"")</f>
        <v>0</v>
      </c>
      <c r="AD12" s="9">
        <f>IFERROR(ROUND(INDEX('M03-S02'!$AK$18:$AK$199,2*(ROWS(AD$4:AD12)-1)+1),2),"")</f>
        <v>0</v>
      </c>
      <c r="AE12" s="9" t="str">
        <f>IFERROR(ROUND(INDEX('M03-S02'!$BL$18:$BL$199,2*(ROWS(AE$4:AE12)-1)+1),2),"")</f>
        <v/>
      </c>
      <c r="AF12" t="s">
        <v>84</v>
      </c>
      <c r="AG12" s="51" t="str">
        <f>IFERROR(ROUND(INDEX('M03-S02'!$BM$18:$BM$199,2*(ROWS(AG$4:AG12)-1)+1),2),"")</f>
        <v/>
      </c>
      <c r="AH12" s="184"/>
      <c r="AI12" s="32" t="str">
        <f>IFERROR(INDEX('M03-S02'!$BH$18:$BH$199,2*(ROWS(AI$4:AI12)-1)+1),"")</f>
        <v/>
      </c>
      <c r="AJ12" s="32" t="str">
        <f>IFERROR(INDEX('M03-S02'!$BE$18:$BE$199,2*(ROWS(AJ$4:AJ12)-1)+1),"")</f>
        <v/>
      </c>
      <c r="AK12" s="32" t="str">
        <f>IFERROR(INDEX('M03-S02'!$BI$18:$BI$199,2*(ROWS(AK$4:AK12)-1)+1),"")</f>
        <v/>
      </c>
      <c r="AL12" s="32" t="str">
        <f>IFERROR(INDEX('M03-S02'!$BF$18:$BF$199,2*(ROWS(AL$4:AL12)-1)+1),"")</f>
        <v/>
      </c>
      <c r="AM12" s="32" t="str">
        <f>IFERROR(INDEX('M03-S02'!$BA$18:$BA$199,2*(ROWS(AM$4:AM12)-1)+1),"")</f>
        <v/>
      </c>
      <c r="AN12" s="32" t="str">
        <f>IFERROR(INDEX('M03-S02'!$BB$18:$BB$199,2*(ROWS(AN$4:AN12)-1)+1),"")</f>
        <v/>
      </c>
      <c r="AO12" s="32"/>
      <c r="AP12" s="182"/>
      <c r="AQ12" s="182"/>
      <c r="AR12" s="182"/>
      <c r="AS12" s="171"/>
      <c r="AT12" s="171"/>
      <c r="AU12" s="171"/>
      <c r="AV12" s="190"/>
      <c r="AW12" s="190"/>
      <c r="AX12" s="184"/>
      <c r="AY12" s="184"/>
      <c r="AZ12" s="191"/>
      <c r="BA12" s="191"/>
      <c r="BB12" s="171"/>
    </row>
    <row r="13" spans="1:157">
      <c r="A13" s="10">
        <f t="shared" si="0"/>
        <v>0</v>
      </c>
      <c r="B13" t="str">
        <f t="shared" si="1"/>
        <v/>
      </c>
      <c r="C13" t="str" cm="1">
        <f t="array" ref="C13">IFERROR(_xlfn.VALUETOTEXT(INDEX('M03-S02'!$BW$18:$BW$199,2*(ROWS($C$4:C13)-1)+1)),"")</f>
        <v/>
      </c>
      <c r="D13">
        <f>IFERROR(INDEX('M03-S02'!$B$18:$B$199,2*(ROWS(D$4:D13)-1)+1),"")</f>
        <v>10</v>
      </c>
      <c r="E13" s="51" t="str" cm="1">
        <f t="array" ref="E13">IFERROR(_xlfn.VALUETOTEXT(INDEX('M03-S02'!$BX$18:$BX$199,2*(ROWS($E$4:E13)-1)+1)),"")</f>
        <v/>
      </c>
      <c r="F13" t="str" cm="1">
        <f t="array" ref="F13">IF(C13&lt;&gt;"", _xlfn.SWITCH(Program_Banner, "Small Business / Non-Profit", "Hard-To-Reach Business", "Business Energy Savings", "Whole Business Efficiency", ""), "")</f>
        <v/>
      </c>
      <c r="G13" t="s">
        <v>938</v>
      </c>
      <c r="H13" t="str">
        <f>IFERROR(INDEX('M03-S02'!$BC$18:$BC$199,2*(ROWS($H$4:H13)-1)+1),"")</f>
        <v/>
      </c>
      <c r="I13" s="171"/>
      <c r="J13" s="182"/>
      <c r="K13" s="182"/>
      <c r="L13" s="51" t="str">
        <f>IFERROR(INDEX('M03-S02'!$BD$18:$BD$199,2*(ROWS($L$4:L13)-1)+1),"")</f>
        <v/>
      </c>
      <c r="M13" s="51">
        <f>IFERROR(INDEX('M03-S02'!$AG$18:$AG$199,2*(ROWS($M$4:M13)-1)+1),"")</f>
        <v>0</v>
      </c>
      <c r="N13" s="171"/>
      <c r="O13">
        <f>IFERROR(INDEX('M03-S02'!$G$18:$G$199,2*(ROWS(O$4:O13)-1)+1),"")</f>
        <v>0</v>
      </c>
      <c r="P13">
        <f>IFERROR(INDEX('M03-S02'!$O$18:$O$199,2*(ROWS(P$4:P13)-1)+1),"")</f>
        <v>0</v>
      </c>
      <c r="Q13">
        <f>IFERROR(INDEX('M03-S02'!$AC$18:$AC$199,2*(ROWS(Q$4:Q13)-1)+1),"")</f>
        <v>0</v>
      </c>
      <c r="S13" t="str">
        <f>IFERROR(INDEX('M03-S02'!$AX$18:$AX$199,2*(ROWS(S$4:S13)-1)+1),"")</f>
        <v/>
      </c>
      <c r="T13" s="545" t="str">
        <f>IFERROR(ROUND(INDEX('M03-S02'!$AY$18:$AY$199,2*(ROWS(T$4:T13)-1)+1),3),"")</f>
        <v/>
      </c>
      <c r="U13" s="545" t="str">
        <f>IFERROR(ROUND(INDEX('M03-S02'!$AZ$18:$AZ$199,2*(ROWS(U$4:U13)-1)+1),3),"")</f>
        <v/>
      </c>
      <c r="V13" s="26">
        <f>IFERROR(INDEX('M03-S02'!$X$18:$X$199,2*(ROWS($G$4:V13)-1)+1),"")</f>
        <v>0</v>
      </c>
      <c r="W13" s="27" t="str">
        <f>IFERROR(INDEX('M03-S02'!$R$18:$R$199,2*(ROWS(W$4:W13)-1)+1),"")</f>
        <v/>
      </c>
      <c r="X13" s="27" t="str">
        <f>IFERROR(INDEX('M03-S02'!$T$18:$T$199,2*(ROWS(X$4:X13)-1)+1),"")</f>
        <v/>
      </c>
      <c r="Y13" s="184"/>
      <c r="Z13" s="184"/>
      <c r="AA13" s="9" t="str" cm="1">
        <f t="array" ref="AA13">IFERROR(ROUND(INDEX('M03-S02'!$AR$18:$AR$199,2*(ROWS(AA$4:AA13)-1)+1), 2),"")</f>
        <v/>
      </c>
      <c r="AB13" s="9" t="str" cm="1">
        <f t="array" ref="AB13">_xlfn.LET(_xlpm.ROWS, 2*(ROWS(AB$4:AB13)-1)+1,IFERROR(INDEX('M03-S02'!$AR$18:$AR$199, _xlpm.ROWS)-INDEX('M03-S02'!$BS$18:$BS$199, _xlpm.ROWS),""))</f>
        <v/>
      </c>
      <c r="AC13" s="9">
        <f>IFERROR(ROUND(INDEX('M03-S02'!$AI$18:$AI$199,2*(ROWS(AC$4:AC13)-1)+1),2),"")</f>
        <v>0</v>
      </c>
      <c r="AD13" s="9">
        <f>IFERROR(ROUND(INDEX('M03-S02'!$AK$18:$AK$199,2*(ROWS(AD$4:AD13)-1)+1),2),"")</f>
        <v>0</v>
      </c>
      <c r="AE13" s="9" t="str">
        <f>IFERROR(ROUND(INDEX('M03-S02'!$BL$18:$BL$199,2*(ROWS(AE$4:AE13)-1)+1),2),"")</f>
        <v/>
      </c>
      <c r="AF13" t="s">
        <v>84</v>
      </c>
      <c r="AG13" s="51" t="str">
        <f>IFERROR(ROUND(INDEX('M03-S02'!$BM$18:$BM$199,2*(ROWS(AG$4:AG13)-1)+1),2),"")</f>
        <v/>
      </c>
      <c r="AH13" s="184"/>
      <c r="AI13" s="32" t="str">
        <f>IFERROR(INDEX('M03-S02'!$BH$18:$BH$199,2*(ROWS(AI$4:AI13)-1)+1),"")</f>
        <v/>
      </c>
      <c r="AJ13" s="32" t="str">
        <f>IFERROR(INDEX('M03-S02'!$BE$18:$BE$199,2*(ROWS(AJ$4:AJ13)-1)+1),"")</f>
        <v/>
      </c>
      <c r="AK13" s="32" t="str">
        <f>IFERROR(INDEX('M03-S02'!$BI$18:$BI$199,2*(ROWS(AK$4:AK13)-1)+1),"")</f>
        <v/>
      </c>
      <c r="AL13" s="32" t="str">
        <f>IFERROR(INDEX('M03-S02'!$BF$18:$BF$199,2*(ROWS(AL$4:AL13)-1)+1),"")</f>
        <v/>
      </c>
      <c r="AM13" s="32" t="str">
        <f>IFERROR(INDEX('M03-S02'!$BA$18:$BA$199,2*(ROWS(AM$4:AM13)-1)+1),"")</f>
        <v/>
      </c>
      <c r="AN13" s="32" t="str">
        <f>IFERROR(INDEX('M03-S02'!$BB$18:$BB$199,2*(ROWS(AN$4:AN13)-1)+1),"")</f>
        <v/>
      </c>
      <c r="AO13" s="32"/>
      <c r="AP13" s="182"/>
      <c r="AQ13" s="182"/>
      <c r="AR13" s="182"/>
      <c r="AS13" s="171"/>
      <c r="AT13" s="171"/>
      <c r="AU13" s="171"/>
      <c r="AV13" s="190"/>
      <c r="AW13" s="190"/>
      <c r="AX13" s="184"/>
      <c r="AY13" s="184"/>
      <c r="AZ13" s="191"/>
      <c r="BA13" s="191"/>
      <c r="BB13" s="171"/>
    </row>
    <row r="14" spans="1:157">
      <c r="A14" s="10">
        <f t="shared" si="0"/>
        <v>0</v>
      </c>
      <c r="B14" t="str">
        <f t="shared" si="1"/>
        <v/>
      </c>
      <c r="C14" t="str" cm="1">
        <f t="array" ref="C14">IFERROR(_xlfn.VALUETOTEXT(INDEX('M03-S02'!$BW$18:$BW$199,2*(ROWS($C$4:C14)-1)+1)),"")</f>
        <v/>
      </c>
      <c r="D14">
        <f>IFERROR(INDEX('M03-S02'!$B$18:$B$199,2*(ROWS(D$4:D14)-1)+1),"")</f>
        <v>11</v>
      </c>
      <c r="E14" s="51" t="str" cm="1">
        <f t="array" ref="E14">IFERROR(_xlfn.VALUETOTEXT(INDEX('M03-S02'!$BX$18:$BX$199,2*(ROWS($E$4:E14)-1)+1)),"")</f>
        <v/>
      </c>
      <c r="F14" t="str" cm="1">
        <f t="array" ref="F14">IF(C14&lt;&gt;"", _xlfn.SWITCH(Program_Banner, "Small Business / Non-Profit", "Hard-To-Reach Business", "Business Energy Savings", "Whole Business Efficiency", ""), "")</f>
        <v/>
      </c>
      <c r="G14" t="s">
        <v>938</v>
      </c>
      <c r="H14" t="str">
        <f>IFERROR(INDEX('M03-S02'!$BC$18:$BC$199,2*(ROWS($H$4:H14)-1)+1),"")</f>
        <v/>
      </c>
      <c r="I14" s="171"/>
      <c r="J14" s="182"/>
      <c r="K14" s="182"/>
      <c r="L14" s="51" t="str">
        <f>IFERROR(INDEX('M03-S02'!$BD$18:$BD$199,2*(ROWS($L$4:L14)-1)+1),"")</f>
        <v/>
      </c>
      <c r="M14" s="51">
        <f>IFERROR(INDEX('M03-S02'!$AG$18:$AG$199,2*(ROWS($M$4:M14)-1)+1),"")</f>
        <v>0</v>
      </c>
      <c r="N14" s="171"/>
      <c r="O14">
        <f>IFERROR(INDEX('M03-S02'!$G$18:$G$199,2*(ROWS(O$4:O14)-1)+1),"")</f>
        <v>0</v>
      </c>
      <c r="P14">
        <f>IFERROR(INDEX('M03-S02'!$O$18:$O$199,2*(ROWS(P$4:P14)-1)+1),"")</f>
        <v>0</v>
      </c>
      <c r="Q14">
        <f>IFERROR(INDEX('M03-S02'!$AC$18:$AC$199,2*(ROWS(Q$4:Q14)-1)+1),"")</f>
        <v>0</v>
      </c>
      <c r="S14" t="str">
        <f>IFERROR(INDEX('M03-S02'!$AX$18:$AX$199,2*(ROWS(S$4:S14)-1)+1),"")</f>
        <v/>
      </c>
      <c r="T14" s="545" t="str">
        <f>IFERROR(ROUND(INDEX('M03-S02'!$AY$18:$AY$199,2*(ROWS(T$4:T14)-1)+1),3),"")</f>
        <v/>
      </c>
      <c r="U14" s="545" t="str">
        <f>IFERROR(ROUND(INDEX('M03-S02'!$AZ$18:$AZ$199,2*(ROWS(U$4:U14)-1)+1),3),"")</f>
        <v/>
      </c>
      <c r="V14" s="26">
        <f>IFERROR(INDEX('M03-S02'!$X$18:$X$199,2*(ROWS($G$4:V14)-1)+1),"")</f>
        <v>0</v>
      </c>
      <c r="W14" s="27" t="str">
        <f>IFERROR(INDEX('M03-S02'!$R$18:$R$199,2*(ROWS(W$4:W14)-1)+1),"")</f>
        <v/>
      </c>
      <c r="X14" s="27" t="str">
        <f>IFERROR(INDEX('M03-S02'!$T$18:$T$199,2*(ROWS(X$4:X14)-1)+1),"")</f>
        <v/>
      </c>
      <c r="Y14" s="184"/>
      <c r="Z14" s="184"/>
      <c r="AA14" s="9" t="str" cm="1">
        <f t="array" ref="AA14">IFERROR(ROUND(INDEX('M03-S02'!$AR$18:$AR$199,2*(ROWS(AA$4:AA14)-1)+1), 2),"")</f>
        <v/>
      </c>
      <c r="AB14" s="9" t="str" cm="1">
        <f t="array" ref="AB14">_xlfn.LET(_xlpm.ROWS, 2*(ROWS(AB$4:AB14)-1)+1,IFERROR(INDEX('M03-S02'!$AR$18:$AR$199, _xlpm.ROWS)-INDEX('M03-S02'!$BS$18:$BS$199, _xlpm.ROWS),""))</f>
        <v/>
      </c>
      <c r="AC14" s="9">
        <f>IFERROR(ROUND(INDEX('M03-S02'!$AI$18:$AI$199,2*(ROWS(AC$4:AC14)-1)+1),2),"")</f>
        <v>0</v>
      </c>
      <c r="AD14" s="9">
        <f>IFERROR(ROUND(INDEX('M03-S02'!$AK$18:$AK$199,2*(ROWS(AD$4:AD14)-1)+1),2),"")</f>
        <v>0</v>
      </c>
      <c r="AE14" s="9" t="str">
        <f>IFERROR(ROUND(INDEX('M03-S02'!$BL$18:$BL$199,2*(ROWS(AE$4:AE14)-1)+1),2),"")</f>
        <v/>
      </c>
      <c r="AF14" t="s">
        <v>84</v>
      </c>
      <c r="AG14" s="51" t="str">
        <f>IFERROR(ROUND(INDEX('M03-S02'!$BM$18:$BM$199,2*(ROWS(AG$4:AG14)-1)+1),2),"")</f>
        <v/>
      </c>
      <c r="AH14" s="184"/>
      <c r="AI14" s="32" t="str">
        <f>IFERROR(INDEX('M03-S02'!$BH$18:$BH$199,2*(ROWS(AI$4:AI14)-1)+1),"")</f>
        <v/>
      </c>
      <c r="AJ14" s="32" t="str">
        <f>IFERROR(INDEX('M03-S02'!$BE$18:$BE$199,2*(ROWS(AJ$4:AJ14)-1)+1),"")</f>
        <v/>
      </c>
      <c r="AK14" s="32" t="str">
        <f>IFERROR(INDEX('M03-S02'!$BI$18:$BI$199,2*(ROWS(AK$4:AK14)-1)+1),"")</f>
        <v/>
      </c>
      <c r="AL14" s="32" t="str">
        <f>IFERROR(INDEX('M03-S02'!$BF$18:$BF$199,2*(ROWS(AL$4:AL14)-1)+1),"")</f>
        <v/>
      </c>
      <c r="AM14" s="32" t="str">
        <f>IFERROR(INDEX('M03-S02'!$BA$18:$BA$199,2*(ROWS(AM$4:AM14)-1)+1),"")</f>
        <v/>
      </c>
      <c r="AN14" s="32" t="str">
        <f>IFERROR(INDEX('M03-S02'!$BB$18:$BB$199,2*(ROWS(AN$4:AN14)-1)+1),"")</f>
        <v/>
      </c>
      <c r="AO14" s="32"/>
      <c r="AP14" s="182"/>
      <c r="AQ14" s="182"/>
      <c r="AR14" s="182"/>
      <c r="AS14" s="171"/>
      <c r="AT14" s="171"/>
      <c r="AU14" s="171"/>
      <c r="AV14" s="190"/>
      <c r="AW14" s="190"/>
      <c r="AX14" s="184"/>
      <c r="AY14" s="184"/>
      <c r="AZ14" s="191"/>
      <c r="BA14" s="191"/>
      <c r="BB14" s="171"/>
    </row>
    <row r="15" spans="1:157">
      <c r="A15" s="10">
        <f t="shared" si="0"/>
        <v>0</v>
      </c>
      <c r="B15" t="str">
        <f t="shared" si="1"/>
        <v/>
      </c>
      <c r="C15" t="str" cm="1">
        <f t="array" ref="C15">IFERROR(_xlfn.VALUETOTEXT(INDEX('M03-S02'!$BW$18:$BW$199,2*(ROWS($C$4:C15)-1)+1)),"")</f>
        <v/>
      </c>
      <c r="D15">
        <f>IFERROR(INDEX('M03-S02'!$B$18:$B$199,2*(ROWS(D$4:D15)-1)+1),"")</f>
        <v>12</v>
      </c>
      <c r="E15" s="51" t="str" cm="1">
        <f t="array" ref="E15">IFERROR(_xlfn.VALUETOTEXT(INDEX('M03-S02'!$BX$18:$BX$199,2*(ROWS($E$4:E15)-1)+1)),"")</f>
        <v/>
      </c>
      <c r="F15" t="str" cm="1">
        <f t="array" ref="F15">IF(C15&lt;&gt;"", _xlfn.SWITCH(Program_Banner, "Small Business / Non-Profit", "Hard-To-Reach Business", "Business Energy Savings", "Whole Business Efficiency", ""), "")</f>
        <v/>
      </c>
      <c r="G15" t="s">
        <v>938</v>
      </c>
      <c r="H15" t="str">
        <f>IFERROR(INDEX('M03-S02'!$BC$18:$BC$199,2*(ROWS($H$4:H15)-1)+1),"")</f>
        <v/>
      </c>
      <c r="I15" s="171"/>
      <c r="J15" s="182"/>
      <c r="K15" s="182"/>
      <c r="L15" s="51" t="str">
        <f>IFERROR(INDEX('M03-S02'!$BD$18:$BD$199,2*(ROWS($L$4:L15)-1)+1),"")</f>
        <v/>
      </c>
      <c r="M15" s="51">
        <f>IFERROR(INDEX('M03-S02'!$AG$18:$AG$199,2*(ROWS($M$4:M15)-1)+1),"")</f>
        <v>0</v>
      </c>
      <c r="N15" s="171"/>
      <c r="O15">
        <f>IFERROR(INDEX('M03-S02'!$G$18:$G$199,2*(ROWS(O$4:O15)-1)+1),"")</f>
        <v>0</v>
      </c>
      <c r="P15">
        <f>IFERROR(INDEX('M03-S02'!$O$18:$O$199,2*(ROWS(P$4:P15)-1)+1),"")</f>
        <v>0</v>
      </c>
      <c r="Q15">
        <f>IFERROR(INDEX('M03-S02'!$AC$18:$AC$199,2*(ROWS(Q$4:Q15)-1)+1),"")</f>
        <v>0</v>
      </c>
      <c r="S15" t="str">
        <f>IFERROR(INDEX('M03-S02'!$AX$18:$AX$199,2*(ROWS(S$4:S15)-1)+1),"")</f>
        <v/>
      </c>
      <c r="T15" s="545" t="str">
        <f>IFERROR(ROUND(INDEX('M03-S02'!$AY$18:$AY$199,2*(ROWS(T$4:T15)-1)+1),3),"")</f>
        <v/>
      </c>
      <c r="U15" s="545" t="str">
        <f>IFERROR(ROUND(INDEX('M03-S02'!$AZ$18:$AZ$199,2*(ROWS(U$4:U15)-1)+1),3),"")</f>
        <v/>
      </c>
      <c r="V15" s="26">
        <f>IFERROR(INDEX('M03-S02'!$X$18:$X$199,2*(ROWS($G$4:V15)-1)+1),"")</f>
        <v>0</v>
      </c>
      <c r="W15" s="27" t="str">
        <f>IFERROR(INDEX('M03-S02'!$R$18:$R$199,2*(ROWS(W$4:W15)-1)+1),"")</f>
        <v/>
      </c>
      <c r="X15" s="27" t="str">
        <f>IFERROR(INDEX('M03-S02'!$T$18:$T$199,2*(ROWS(X$4:X15)-1)+1),"")</f>
        <v/>
      </c>
      <c r="Y15" s="184"/>
      <c r="Z15" s="184"/>
      <c r="AA15" s="9" t="str" cm="1">
        <f t="array" ref="AA15">IFERROR(ROUND(INDEX('M03-S02'!$AR$18:$AR$199,2*(ROWS(AA$4:AA15)-1)+1), 2),"")</f>
        <v/>
      </c>
      <c r="AB15" s="9" t="str" cm="1">
        <f t="array" ref="AB15">_xlfn.LET(_xlpm.ROWS, 2*(ROWS(AB$4:AB15)-1)+1,IFERROR(INDEX('M03-S02'!$AR$18:$AR$199, _xlpm.ROWS)-INDEX('M03-S02'!$BS$18:$BS$199, _xlpm.ROWS),""))</f>
        <v/>
      </c>
      <c r="AC15" s="9">
        <f>IFERROR(ROUND(INDEX('M03-S02'!$AI$18:$AI$199,2*(ROWS(AC$4:AC15)-1)+1),2),"")</f>
        <v>0</v>
      </c>
      <c r="AD15" s="9">
        <f>IFERROR(ROUND(INDEX('M03-S02'!$AK$18:$AK$199,2*(ROWS(AD$4:AD15)-1)+1),2),"")</f>
        <v>0</v>
      </c>
      <c r="AE15" s="9" t="str">
        <f>IFERROR(ROUND(INDEX('M03-S02'!$BL$18:$BL$199,2*(ROWS(AE$4:AE15)-1)+1),2),"")</f>
        <v/>
      </c>
      <c r="AF15" t="s">
        <v>84</v>
      </c>
      <c r="AG15" s="51" t="str">
        <f>IFERROR(ROUND(INDEX('M03-S02'!$BM$18:$BM$199,2*(ROWS(AG$4:AG15)-1)+1),2),"")</f>
        <v/>
      </c>
      <c r="AH15" s="184"/>
      <c r="AI15" s="32" t="str">
        <f>IFERROR(INDEX('M03-S02'!$BH$18:$BH$199,2*(ROWS(AI$4:AI15)-1)+1),"")</f>
        <v/>
      </c>
      <c r="AJ15" s="32" t="str">
        <f>IFERROR(INDEX('M03-S02'!$BE$18:$BE$199,2*(ROWS(AJ$4:AJ15)-1)+1),"")</f>
        <v/>
      </c>
      <c r="AK15" s="32" t="str">
        <f>IFERROR(INDEX('M03-S02'!$BI$18:$BI$199,2*(ROWS(AK$4:AK15)-1)+1),"")</f>
        <v/>
      </c>
      <c r="AL15" s="32" t="str">
        <f>IFERROR(INDEX('M03-S02'!$BF$18:$BF$199,2*(ROWS(AL$4:AL15)-1)+1),"")</f>
        <v/>
      </c>
      <c r="AM15" s="32" t="str">
        <f>IFERROR(INDEX('M03-S02'!$BA$18:$BA$199,2*(ROWS(AM$4:AM15)-1)+1),"")</f>
        <v/>
      </c>
      <c r="AN15" s="32" t="str">
        <f>IFERROR(INDEX('M03-S02'!$BB$18:$BB$199,2*(ROWS(AN$4:AN15)-1)+1),"")</f>
        <v/>
      </c>
      <c r="AO15" s="32"/>
      <c r="AP15" s="182"/>
      <c r="AQ15" s="182"/>
      <c r="AR15" s="182"/>
      <c r="AS15" s="171"/>
      <c r="AT15" s="171"/>
      <c r="AU15" s="171"/>
      <c r="AV15" s="190"/>
      <c r="AW15" s="190"/>
      <c r="AX15" s="184"/>
      <c r="AY15" s="184"/>
      <c r="AZ15" s="191"/>
      <c r="BA15" s="191"/>
      <c r="BB15" s="171"/>
    </row>
    <row r="16" spans="1:157">
      <c r="A16" s="10">
        <f t="shared" si="0"/>
        <v>0</v>
      </c>
      <c r="B16" t="str">
        <f t="shared" si="1"/>
        <v/>
      </c>
      <c r="C16" t="str" cm="1">
        <f t="array" ref="C16">IFERROR(_xlfn.VALUETOTEXT(INDEX('M03-S02'!$BW$18:$BW$199,2*(ROWS($C$4:C16)-1)+1)),"")</f>
        <v/>
      </c>
      <c r="D16">
        <f>IFERROR(INDEX('M03-S02'!$B$18:$B$199,2*(ROWS(D$4:D16)-1)+1),"")</f>
        <v>13</v>
      </c>
      <c r="E16" s="51" t="str" cm="1">
        <f t="array" ref="E16">IFERROR(_xlfn.VALUETOTEXT(INDEX('M03-S02'!$BX$18:$BX$199,2*(ROWS($E$4:E16)-1)+1)),"")</f>
        <v/>
      </c>
      <c r="F16" t="str" cm="1">
        <f t="array" ref="F16">IF(C16&lt;&gt;"", _xlfn.SWITCH(Program_Banner, "Small Business / Non-Profit", "Hard-To-Reach Business", "Business Energy Savings", "Whole Business Efficiency", ""), "")</f>
        <v/>
      </c>
      <c r="G16" t="s">
        <v>938</v>
      </c>
      <c r="H16" t="str">
        <f>IFERROR(INDEX('M03-S02'!$BC$18:$BC$199,2*(ROWS($H$4:H16)-1)+1),"")</f>
        <v/>
      </c>
      <c r="I16" s="171"/>
      <c r="J16" s="182"/>
      <c r="K16" s="182"/>
      <c r="L16" s="51" t="str">
        <f>IFERROR(INDEX('M03-S02'!$BD$18:$BD$199,2*(ROWS($L$4:L16)-1)+1),"")</f>
        <v/>
      </c>
      <c r="M16" s="51">
        <f>IFERROR(INDEX('M03-S02'!$AG$18:$AG$199,2*(ROWS($M$4:M16)-1)+1),"")</f>
        <v>0</v>
      </c>
      <c r="N16" s="171"/>
      <c r="O16">
        <f>IFERROR(INDEX('M03-S02'!$G$18:$G$199,2*(ROWS(O$4:O16)-1)+1),"")</f>
        <v>0</v>
      </c>
      <c r="P16">
        <f>IFERROR(INDEX('M03-S02'!$O$18:$O$199,2*(ROWS(P$4:P16)-1)+1),"")</f>
        <v>0</v>
      </c>
      <c r="Q16">
        <f>IFERROR(INDEX('M03-S02'!$AC$18:$AC$199,2*(ROWS(Q$4:Q16)-1)+1),"")</f>
        <v>0</v>
      </c>
      <c r="S16" t="str">
        <f>IFERROR(INDEX('M03-S02'!$AX$18:$AX$199,2*(ROWS(S$4:S16)-1)+1),"")</f>
        <v/>
      </c>
      <c r="T16" s="545" t="str">
        <f>IFERROR(ROUND(INDEX('M03-S02'!$AY$18:$AY$199,2*(ROWS(T$4:T16)-1)+1),3),"")</f>
        <v/>
      </c>
      <c r="U16" s="545" t="str">
        <f>IFERROR(ROUND(INDEX('M03-S02'!$AZ$18:$AZ$199,2*(ROWS(U$4:U16)-1)+1),3),"")</f>
        <v/>
      </c>
      <c r="V16" s="26">
        <f>IFERROR(INDEX('M03-S02'!$X$18:$X$199,2*(ROWS($G$4:V16)-1)+1),"")</f>
        <v>0</v>
      </c>
      <c r="W16" s="27" t="str">
        <f>IFERROR(INDEX('M03-S02'!$R$18:$R$199,2*(ROWS(W$4:W16)-1)+1),"")</f>
        <v/>
      </c>
      <c r="X16" s="27" t="str">
        <f>IFERROR(INDEX('M03-S02'!$T$18:$T$199,2*(ROWS(X$4:X16)-1)+1),"")</f>
        <v/>
      </c>
      <c r="Y16" s="184"/>
      <c r="Z16" s="184"/>
      <c r="AA16" s="9" t="str" cm="1">
        <f t="array" ref="AA16">IFERROR(ROUND(INDEX('M03-S02'!$AR$18:$AR$199,2*(ROWS(AA$4:AA16)-1)+1), 2),"")</f>
        <v/>
      </c>
      <c r="AB16" s="9" t="str" cm="1">
        <f t="array" ref="AB16">_xlfn.LET(_xlpm.ROWS, 2*(ROWS(AB$4:AB16)-1)+1,IFERROR(INDEX('M03-S02'!$AR$18:$AR$199, _xlpm.ROWS)-INDEX('M03-S02'!$BS$18:$BS$199, _xlpm.ROWS),""))</f>
        <v/>
      </c>
      <c r="AC16" s="9">
        <f>IFERROR(ROUND(INDEX('M03-S02'!$AI$18:$AI$199,2*(ROWS(AC$4:AC16)-1)+1),2),"")</f>
        <v>0</v>
      </c>
      <c r="AD16" s="9">
        <f>IFERROR(ROUND(INDEX('M03-S02'!$AK$18:$AK$199,2*(ROWS(AD$4:AD16)-1)+1),2),"")</f>
        <v>0</v>
      </c>
      <c r="AE16" s="9" t="str">
        <f>IFERROR(ROUND(INDEX('M03-S02'!$BL$18:$BL$199,2*(ROWS(AE$4:AE16)-1)+1),2),"")</f>
        <v/>
      </c>
      <c r="AF16" t="s">
        <v>84</v>
      </c>
      <c r="AG16" s="51" t="str">
        <f>IFERROR(ROUND(INDEX('M03-S02'!$BM$18:$BM$199,2*(ROWS(AG$4:AG16)-1)+1),2),"")</f>
        <v/>
      </c>
      <c r="AH16" s="184"/>
      <c r="AI16" s="32" t="str">
        <f>IFERROR(INDEX('M03-S02'!$BH$18:$BH$199,2*(ROWS(AI$4:AI16)-1)+1),"")</f>
        <v/>
      </c>
      <c r="AJ16" s="32" t="str">
        <f>IFERROR(INDEX('M03-S02'!$BE$18:$BE$199,2*(ROWS(AJ$4:AJ16)-1)+1),"")</f>
        <v/>
      </c>
      <c r="AK16" s="32" t="str">
        <f>IFERROR(INDEX('M03-S02'!$BI$18:$BI$199,2*(ROWS(AK$4:AK16)-1)+1),"")</f>
        <v/>
      </c>
      <c r="AL16" s="32" t="str">
        <f>IFERROR(INDEX('M03-S02'!$BF$18:$BF$199,2*(ROWS(AL$4:AL16)-1)+1),"")</f>
        <v/>
      </c>
      <c r="AM16" s="32" t="str">
        <f>IFERROR(INDEX('M03-S02'!$BA$18:$BA$199,2*(ROWS(AM$4:AM16)-1)+1),"")</f>
        <v/>
      </c>
      <c r="AN16" s="32" t="str">
        <f>IFERROR(INDEX('M03-S02'!$BB$18:$BB$199,2*(ROWS(AN$4:AN16)-1)+1),"")</f>
        <v/>
      </c>
      <c r="AO16" s="32"/>
      <c r="AP16" s="182"/>
      <c r="AQ16" s="182"/>
      <c r="AR16" s="182"/>
      <c r="AS16" s="171"/>
      <c r="AT16" s="171"/>
      <c r="AU16" s="171"/>
      <c r="AV16" s="190"/>
      <c r="AW16" s="190"/>
      <c r="AX16" s="184"/>
      <c r="AY16" s="184"/>
      <c r="AZ16" s="191"/>
      <c r="BA16" s="191"/>
      <c r="BB16" s="171"/>
    </row>
    <row r="17" spans="1:54">
      <c r="A17" s="10">
        <f t="shared" si="0"/>
        <v>0</v>
      </c>
      <c r="B17" t="str">
        <f t="shared" si="1"/>
        <v/>
      </c>
      <c r="C17" t="str" cm="1">
        <f t="array" ref="C17">IFERROR(_xlfn.VALUETOTEXT(INDEX('M03-S02'!$BW$18:$BW$199,2*(ROWS($C$4:C17)-1)+1)),"")</f>
        <v/>
      </c>
      <c r="D17">
        <f>IFERROR(INDEX('M03-S02'!$B$18:$B$199,2*(ROWS(D$4:D17)-1)+1),"")</f>
        <v>14</v>
      </c>
      <c r="E17" s="51" t="str" cm="1">
        <f t="array" ref="E17">IFERROR(_xlfn.VALUETOTEXT(INDEX('M03-S02'!$BX$18:$BX$199,2*(ROWS($E$4:E17)-1)+1)),"")</f>
        <v/>
      </c>
      <c r="F17" t="str" cm="1">
        <f t="array" ref="F17">IF(C17&lt;&gt;"", _xlfn.SWITCH(Program_Banner, "Small Business / Non-Profit", "Hard-To-Reach Business", "Business Energy Savings", "Whole Business Efficiency", ""), "")</f>
        <v/>
      </c>
      <c r="G17" t="s">
        <v>938</v>
      </c>
      <c r="H17" t="str">
        <f>IFERROR(INDEX('M03-S02'!$BC$18:$BC$199,2*(ROWS($H$4:H17)-1)+1),"")</f>
        <v/>
      </c>
      <c r="I17" s="171"/>
      <c r="J17" s="182"/>
      <c r="K17" s="182"/>
      <c r="L17" s="51" t="str">
        <f>IFERROR(INDEX('M03-S02'!$BD$18:$BD$199,2*(ROWS($L$4:L17)-1)+1),"")</f>
        <v/>
      </c>
      <c r="M17" s="51">
        <f>IFERROR(INDEX('M03-S02'!$AG$18:$AG$199,2*(ROWS($M$4:M17)-1)+1),"")</f>
        <v>0</v>
      </c>
      <c r="N17" s="171"/>
      <c r="O17">
        <f>IFERROR(INDEX('M03-S02'!$G$18:$G$199,2*(ROWS(O$4:O17)-1)+1),"")</f>
        <v>0</v>
      </c>
      <c r="P17">
        <f>IFERROR(INDEX('M03-S02'!$O$18:$O$199,2*(ROWS(P$4:P17)-1)+1),"")</f>
        <v>0</v>
      </c>
      <c r="Q17">
        <f>IFERROR(INDEX('M03-S02'!$AC$18:$AC$199,2*(ROWS(Q$4:Q17)-1)+1),"")</f>
        <v>0</v>
      </c>
      <c r="S17" t="str">
        <f>IFERROR(INDEX('M03-S02'!$AX$18:$AX$199,2*(ROWS(S$4:S17)-1)+1),"")</f>
        <v/>
      </c>
      <c r="T17" s="545" t="str">
        <f>IFERROR(ROUND(INDEX('M03-S02'!$AY$18:$AY$199,2*(ROWS(T$4:T17)-1)+1),3),"")</f>
        <v/>
      </c>
      <c r="U17" s="545" t="str">
        <f>IFERROR(ROUND(INDEX('M03-S02'!$AZ$18:$AZ$199,2*(ROWS(U$4:U17)-1)+1),3),"")</f>
        <v/>
      </c>
      <c r="V17" s="26">
        <f>IFERROR(INDEX('M03-S02'!$X$18:$X$199,2*(ROWS($G$4:V17)-1)+1),"")</f>
        <v>0</v>
      </c>
      <c r="W17" s="27" t="str">
        <f>IFERROR(INDEX('M03-S02'!$R$18:$R$199,2*(ROWS(W$4:W17)-1)+1),"")</f>
        <v/>
      </c>
      <c r="X17" s="27" t="str">
        <f>IFERROR(INDEX('M03-S02'!$T$18:$T$199,2*(ROWS(X$4:X17)-1)+1),"")</f>
        <v/>
      </c>
      <c r="Y17" s="184"/>
      <c r="Z17" s="184"/>
      <c r="AA17" s="9" t="str" cm="1">
        <f t="array" ref="AA17">IFERROR(ROUND(INDEX('M03-S02'!$AR$18:$AR$199,2*(ROWS(AA$4:AA17)-1)+1), 2),"")</f>
        <v/>
      </c>
      <c r="AB17" s="9" t="str" cm="1">
        <f t="array" ref="AB17">_xlfn.LET(_xlpm.ROWS, 2*(ROWS(AB$4:AB17)-1)+1,IFERROR(INDEX('M03-S02'!$AR$18:$AR$199, _xlpm.ROWS)-INDEX('M03-S02'!$BS$18:$BS$199, _xlpm.ROWS),""))</f>
        <v/>
      </c>
      <c r="AC17" s="9">
        <f>IFERROR(ROUND(INDEX('M03-S02'!$AI$18:$AI$199,2*(ROWS(AC$4:AC17)-1)+1),2),"")</f>
        <v>0</v>
      </c>
      <c r="AD17" s="9">
        <f>IFERROR(ROUND(INDEX('M03-S02'!$AK$18:$AK$199,2*(ROWS(AD$4:AD17)-1)+1),2),"")</f>
        <v>0</v>
      </c>
      <c r="AE17" s="9" t="str">
        <f>IFERROR(ROUND(INDEX('M03-S02'!$BL$18:$BL$199,2*(ROWS(AE$4:AE17)-1)+1),2),"")</f>
        <v/>
      </c>
      <c r="AF17" t="s">
        <v>84</v>
      </c>
      <c r="AG17" s="51" t="str">
        <f>IFERROR(ROUND(INDEX('M03-S02'!$BM$18:$BM$199,2*(ROWS(AG$4:AG17)-1)+1),2),"")</f>
        <v/>
      </c>
      <c r="AH17" s="184"/>
      <c r="AI17" s="32" t="str">
        <f>IFERROR(INDEX('M03-S02'!$BH$18:$BH$199,2*(ROWS(AI$4:AI17)-1)+1),"")</f>
        <v/>
      </c>
      <c r="AJ17" s="32" t="str">
        <f>IFERROR(INDEX('M03-S02'!$BE$18:$BE$199,2*(ROWS(AJ$4:AJ17)-1)+1),"")</f>
        <v/>
      </c>
      <c r="AK17" s="32" t="str">
        <f>IFERROR(INDEX('M03-S02'!$BI$18:$BI$199,2*(ROWS(AK$4:AK17)-1)+1),"")</f>
        <v/>
      </c>
      <c r="AL17" s="32" t="str">
        <f>IFERROR(INDEX('M03-S02'!$BF$18:$BF$199,2*(ROWS(AL$4:AL17)-1)+1),"")</f>
        <v/>
      </c>
      <c r="AM17" s="32" t="str">
        <f>IFERROR(INDEX('M03-S02'!$BA$18:$BA$199,2*(ROWS(AM$4:AM17)-1)+1),"")</f>
        <v/>
      </c>
      <c r="AN17" s="32" t="str">
        <f>IFERROR(INDEX('M03-S02'!$BB$18:$BB$199,2*(ROWS(AN$4:AN17)-1)+1),"")</f>
        <v/>
      </c>
      <c r="AO17" s="32"/>
      <c r="AP17" s="182"/>
      <c r="AQ17" s="182"/>
      <c r="AR17" s="182"/>
      <c r="AS17" s="171"/>
      <c r="AT17" s="171"/>
      <c r="AU17" s="171"/>
      <c r="AV17" s="190"/>
      <c r="AW17" s="190"/>
      <c r="AX17" s="184"/>
      <c r="AY17" s="184"/>
      <c r="AZ17" s="191"/>
      <c r="BA17" s="191"/>
      <c r="BB17" s="171"/>
    </row>
    <row r="18" spans="1:54">
      <c r="A18" s="10">
        <f t="shared" si="0"/>
        <v>0</v>
      </c>
      <c r="B18" t="str">
        <f t="shared" si="1"/>
        <v/>
      </c>
      <c r="C18" t="str" cm="1">
        <f t="array" ref="C18">IFERROR(_xlfn.VALUETOTEXT(INDEX('M03-S02'!$BW$18:$BW$199,2*(ROWS($C$4:C18)-1)+1)),"")</f>
        <v/>
      </c>
      <c r="D18">
        <f>IFERROR(INDEX('M03-S02'!$B$18:$B$199,2*(ROWS(D$4:D18)-1)+1),"")</f>
        <v>15</v>
      </c>
      <c r="E18" s="51" t="str" cm="1">
        <f t="array" ref="E18">IFERROR(_xlfn.VALUETOTEXT(INDEX('M03-S02'!$BX$18:$BX$199,2*(ROWS($E$4:E18)-1)+1)),"")</f>
        <v/>
      </c>
      <c r="F18" t="str" cm="1">
        <f t="array" ref="F18">IF(C18&lt;&gt;"", _xlfn.SWITCH(Program_Banner, "Small Business / Non-Profit", "Hard-To-Reach Business", "Business Energy Savings", "Whole Business Efficiency", ""), "")</f>
        <v/>
      </c>
      <c r="G18" t="s">
        <v>938</v>
      </c>
      <c r="H18" t="str">
        <f>IFERROR(INDEX('M03-S02'!$BC$18:$BC$199,2*(ROWS($H$4:H18)-1)+1),"")</f>
        <v/>
      </c>
      <c r="I18" s="171"/>
      <c r="J18" s="182"/>
      <c r="K18" s="182"/>
      <c r="L18" s="51" t="str">
        <f>IFERROR(INDEX('M03-S02'!$BD$18:$BD$199,2*(ROWS($L$4:L18)-1)+1),"")</f>
        <v/>
      </c>
      <c r="M18" s="51">
        <f>IFERROR(INDEX('M03-S02'!$AG$18:$AG$199,2*(ROWS($M$4:M18)-1)+1),"")</f>
        <v>0</v>
      </c>
      <c r="N18" s="171"/>
      <c r="O18">
        <f>IFERROR(INDEX('M03-S02'!$G$18:$G$199,2*(ROWS(O$4:O18)-1)+1),"")</f>
        <v>0</v>
      </c>
      <c r="P18">
        <f>IFERROR(INDEX('M03-S02'!$O$18:$O$199,2*(ROWS(P$4:P18)-1)+1),"")</f>
        <v>0</v>
      </c>
      <c r="Q18">
        <f>IFERROR(INDEX('M03-S02'!$AC$18:$AC$199,2*(ROWS(Q$4:Q18)-1)+1),"")</f>
        <v>0</v>
      </c>
      <c r="S18" t="str">
        <f>IFERROR(INDEX('M03-S02'!$AX$18:$AX$199,2*(ROWS(S$4:S18)-1)+1),"")</f>
        <v/>
      </c>
      <c r="T18" s="545" t="str">
        <f>IFERROR(ROUND(INDEX('M03-S02'!$AY$18:$AY$199,2*(ROWS(T$4:T18)-1)+1),3),"")</f>
        <v/>
      </c>
      <c r="U18" s="545" t="str">
        <f>IFERROR(ROUND(INDEX('M03-S02'!$AZ$18:$AZ$199,2*(ROWS(U$4:U18)-1)+1),3),"")</f>
        <v/>
      </c>
      <c r="V18" s="26">
        <f>IFERROR(INDEX('M03-S02'!$X$18:$X$199,2*(ROWS($G$4:V18)-1)+1),"")</f>
        <v>0</v>
      </c>
      <c r="W18" s="27" t="str">
        <f>IFERROR(INDEX('M03-S02'!$R$18:$R$199,2*(ROWS(W$4:W18)-1)+1),"")</f>
        <v/>
      </c>
      <c r="X18" s="27" t="str">
        <f>IFERROR(INDEX('M03-S02'!$T$18:$T$199,2*(ROWS(X$4:X18)-1)+1),"")</f>
        <v/>
      </c>
      <c r="Y18" s="184"/>
      <c r="Z18" s="184"/>
      <c r="AA18" s="9" t="str" cm="1">
        <f t="array" ref="AA18">IFERROR(ROUND(INDEX('M03-S02'!$AR$18:$AR$199,2*(ROWS(AA$4:AA18)-1)+1), 2),"")</f>
        <v/>
      </c>
      <c r="AB18" s="9" t="str" cm="1">
        <f t="array" ref="AB18">_xlfn.LET(_xlpm.ROWS, 2*(ROWS(AB$4:AB18)-1)+1,IFERROR(INDEX('M03-S02'!$AR$18:$AR$199, _xlpm.ROWS)-INDEX('M03-S02'!$BS$18:$BS$199, _xlpm.ROWS),""))</f>
        <v/>
      </c>
      <c r="AC18" s="9">
        <f>IFERROR(ROUND(INDEX('M03-S02'!$AI$18:$AI$199,2*(ROWS(AC$4:AC18)-1)+1),2),"")</f>
        <v>0</v>
      </c>
      <c r="AD18" s="9">
        <f>IFERROR(ROUND(INDEX('M03-S02'!$AK$18:$AK$199,2*(ROWS(AD$4:AD18)-1)+1),2),"")</f>
        <v>0</v>
      </c>
      <c r="AE18" s="9" t="str">
        <f>IFERROR(ROUND(INDEX('M03-S02'!$BL$18:$BL$199,2*(ROWS(AE$4:AE18)-1)+1),2),"")</f>
        <v/>
      </c>
      <c r="AF18" t="s">
        <v>84</v>
      </c>
      <c r="AG18" s="51" t="str">
        <f>IFERROR(ROUND(INDEX('M03-S02'!$BM$18:$BM$199,2*(ROWS(AG$4:AG18)-1)+1),2),"")</f>
        <v/>
      </c>
      <c r="AH18" s="184"/>
      <c r="AI18" s="32" t="str">
        <f>IFERROR(INDEX('M03-S02'!$BH$18:$BH$199,2*(ROWS(AI$4:AI18)-1)+1),"")</f>
        <v/>
      </c>
      <c r="AJ18" s="32" t="str">
        <f>IFERROR(INDEX('M03-S02'!$BE$18:$BE$199,2*(ROWS(AJ$4:AJ18)-1)+1),"")</f>
        <v/>
      </c>
      <c r="AK18" s="32" t="str">
        <f>IFERROR(INDEX('M03-S02'!$BI$18:$BI$199,2*(ROWS(AK$4:AK18)-1)+1),"")</f>
        <v/>
      </c>
      <c r="AL18" s="32" t="str">
        <f>IFERROR(INDEX('M03-S02'!$BF$18:$BF$199,2*(ROWS(AL$4:AL18)-1)+1),"")</f>
        <v/>
      </c>
      <c r="AM18" s="32" t="str">
        <f>IFERROR(INDEX('M03-S02'!$BA$18:$BA$199,2*(ROWS(AM$4:AM18)-1)+1),"")</f>
        <v/>
      </c>
      <c r="AN18" s="32" t="str">
        <f>IFERROR(INDEX('M03-S02'!$BB$18:$BB$199,2*(ROWS(AN$4:AN18)-1)+1),"")</f>
        <v/>
      </c>
      <c r="AO18" s="32"/>
      <c r="AP18" s="182"/>
      <c r="AQ18" s="182"/>
      <c r="AR18" s="182"/>
      <c r="AS18" s="171"/>
      <c r="AT18" s="171"/>
      <c r="AU18" s="171"/>
      <c r="AV18" s="190"/>
      <c r="AW18" s="190"/>
      <c r="AX18" s="184"/>
      <c r="AY18" s="184"/>
      <c r="AZ18" s="191"/>
      <c r="BA18" s="191"/>
      <c r="BB18" s="171"/>
    </row>
    <row r="19" spans="1:54">
      <c r="A19" s="10">
        <f t="shared" si="0"/>
        <v>0</v>
      </c>
      <c r="B19" t="str">
        <f t="shared" si="1"/>
        <v/>
      </c>
      <c r="C19" t="str" cm="1">
        <f t="array" ref="C19">IFERROR(_xlfn.VALUETOTEXT(INDEX('M03-S02'!$BW$18:$BW$199,2*(ROWS($C$4:C19)-1)+1)),"")</f>
        <v/>
      </c>
      <c r="D19">
        <f>IFERROR(INDEX('M03-S02'!$B$18:$B$199,2*(ROWS(D$4:D19)-1)+1),"")</f>
        <v>16</v>
      </c>
      <c r="E19" s="51" t="str" cm="1">
        <f t="array" ref="E19">IFERROR(_xlfn.VALUETOTEXT(INDEX('M03-S02'!$BX$18:$BX$199,2*(ROWS($E$4:E19)-1)+1)),"")</f>
        <v/>
      </c>
      <c r="F19" t="str" cm="1">
        <f t="array" ref="F19">IF(C19&lt;&gt;"", _xlfn.SWITCH(Program_Banner, "Small Business / Non-Profit", "Hard-To-Reach Business", "Business Energy Savings", "Whole Business Efficiency", ""), "")</f>
        <v/>
      </c>
      <c r="G19" t="s">
        <v>938</v>
      </c>
      <c r="H19" t="str">
        <f>IFERROR(INDEX('M03-S02'!$BC$18:$BC$199,2*(ROWS($H$4:H19)-1)+1),"")</f>
        <v/>
      </c>
      <c r="I19" s="171"/>
      <c r="J19" s="182"/>
      <c r="K19" s="182"/>
      <c r="L19" s="51" t="str">
        <f>IFERROR(INDEX('M03-S02'!$BD$18:$BD$199,2*(ROWS($L$4:L19)-1)+1),"")</f>
        <v/>
      </c>
      <c r="M19" s="51">
        <f>IFERROR(INDEX('M03-S02'!$AG$18:$AG$199,2*(ROWS($M$4:M19)-1)+1),"")</f>
        <v>0</v>
      </c>
      <c r="N19" s="171"/>
      <c r="O19">
        <f>IFERROR(INDEX('M03-S02'!$G$18:$G$199,2*(ROWS(O$4:O19)-1)+1),"")</f>
        <v>0</v>
      </c>
      <c r="P19">
        <f>IFERROR(INDEX('M03-S02'!$O$18:$O$199,2*(ROWS(P$4:P19)-1)+1),"")</f>
        <v>0</v>
      </c>
      <c r="Q19">
        <f>IFERROR(INDEX('M03-S02'!$AC$18:$AC$199,2*(ROWS(Q$4:Q19)-1)+1),"")</f>
        <v>0</v>
      </c>
      <c r="S19" t="str">
        <f>IFERROR(INDEX('M03-S02'!$AX$18:$AX$199,2*(ROWS(S$4:S19)-1)+1),"")</f>
        <v/>
      </c>
      <c r="T19" s="545" t="str">
        <f>IFERROR(ROUND(INDEX('M03-S02'!$AY$18:$AY$199,2*(ROWS(T$4:T19)-1)+1),3),"")</f>
        <v/>
      </c>
      <c r="U19" s="545" t="str">
        <f>IFERROR(ROUND(INDEX('M03-S02'!$AZ$18:$AZ$199,2*(ROWS(U$4:U19)-1)+1),3),"")</f>
        <v/>
      </c>
      <c r="V19" s="26">
        <f>IFERROR(INDEX('M03-S02'!$X$18:$X$199,2*(ROWS($G$4:V19)-1)+1),"")</f>
        <v>0</v>
      </c>
      <c r="W19" s="27" t="str">
        <f>IFERROR(INDEX('M03-S02'!$R$18:$R$199,2*(ROWS(W$4:W19)-1)+1),"")</f>
        <v/>
      </c>
      <c r="X19" s="27" t="str">
        <f>IFERROR(INDEX('M03-S02'!$T$18:$T$199,2*(ROWS(X$4:X19)-1)+1),"")</f>
        <v/>
      </c>
      <c r="Y19" s="184"/>
      <c r="Z19" s="184"/>
      <c r="AA19" s="9" t="str" cm="1">
        <f t="array" ref="AA19">IFERROR(ROUND(INDEX('M03-S02'!$AR$18:$AR$199,2*(ROWS(AA$4:AA19)-1)+1), 2),"")</f>
        <v/>
      </c>
      <c r="AB19" s="9" t="str" cm="1">
        <f t="array" ref="AB19">_xlfn.LET(_xlpm.ROWS, 2*(ROWS(AB$4:AB19)-1)+1,IFERROR(INDEX('M03-S02'!$AR$18:$AR$199, _xlpm.ROWS)-INDEX('M03-S02'!$BS$18:$BS$199, _xlpm.ROWS),""))</f>
        <v/>
      </c>
      <c r="AC19" s="9">
        <f>IFERROR(ROUND(INDEX('M03-S02'!$AI$18:$AI$199,2*(ROWS(AC$4:AC19)-1)+1),2),"")</f>
        <v>0</v>
      </c>
      <c r="AD19" s="9">
        <f>IFERROR(ROUND(INDEX('M03-S02'!$AK$18:$AK$199,2*(ROWS(AD$4:AD19)-1)+1),2),"")</f>
        <v>0</v>
      </c>
      <c r="AE19" s="9" t="str">
        <f>IFERROR(ROUND(INDEX('M03-S02'!$BL$18:$BL$199,2*(ROWS(AE$4:AE19)-1)+1),2),"")</f>
        <v/>
      </c>
      <c r="AF19" t="s">
        <v>84</v>
      </c>
      <c r="AG19" s="51" t="str">
        <f>IFERROR(ROUND(INDEX('M03-S02'!$BM$18:$BM$199,2*(ROWS(AG$4:AG19)-1)+1),2),"")</f>
        <v/>
      </c>
      <c r="AH19" s="184"/>
      <c r="AI19" s="32" t="str">
        <f>IFERROR(INDEX('M03-S02'!$BH$18:$BH$199,2*(ROWS(AI$4:AI19)-1)+1),"")</f>
        <v/>
      </c>
      <c r="AJ19" s="32" t="str">
        <f>IFERROR(INDEX('M03-S02'!$BE$18:$BE$199,2*(ROWS(AJ$4:AJ19)-1)+1),"")</f>
        <v/>
      </c>
      <c r="AK19" s="32" t="str">
        <f>IFERROR(INDEX('M03-S02'!$BI$18:$BI$199,2*(ROWS(AK$4:AK19)-1)+1),"")</f>
        <v/>
      </c>
      <c r="AL19" s="32" t="str">
        <f>IFERROR(INDEX('M03-S02'!$BF$18:$BF$199,2*(ROWS(AL$4:AL19)-1)+1),"")</f>
        <v/>
      </c>
      <c r="AM19" s="32" t="str">
        <f>IFERROR(INDEX('M03-S02'!$BA$18:$BA$199,2*(ROWS(AM$4:AM19)-1)+1),"")</f>
        <v/>
      </c>
      <c r="AN19" s="32" t="str">
        <f>IFERROR(INDEX('M03-S02'!$BB$18:$BB$199,2*(ROWS(AN$4:AN19)-1)+1),"")</f>
        <v/>
      </c>
      <c r="AO19" s="32"/>
      <c r="AP19" s="182"/>
      <c r="AQ19" s="182"/>
      <c r="AR19" s="182"/>
      <c r="AS19" s="171"/>
      <c r="AT19" s="171"/>
      <c r="AU19" s="171"/>
      <c r="AV19" s="190"/>
      <c r="AW19" s="190"/>
      <c r="AX19" s="184"/>
      <c r="AY19" s="184"/>
      <c r="AZ19" s="191"/>
      <c r="BA19" s="191"/>
      <c r="BB19" s="171"/>
    </row>
    <row r="20" spans="1:54">
      <c r="A20" s="10">
        <f t="shared" si="0"/>
        <v>0</v>
      </c>
      <c r="B20" t="str">
        <f t="shared" si="1"/>
        <v/>
      </c>
      <c r="C20" t="str" cm="1">
        <f t="array" ref="C20">IFERROR(_xlfn.VALUETOTEXT(INDEX('M03-S02'!$BW$18:$BW$199,2*(ROWS($C$4:C20)-1)+1)),"")</f>
        <v/>
      </c>
      <c r="D20">
        <f>IFERROR(INDEX('M03-S02'!$B$18:$B$199,2*(ROWS(D$4:D20)-1)+1),"")</f>
        <v>17</v>
      </c>
      <c r="E20" s="51" t="str" cm="1">
        <f t="array" ref="E20">IFERROR(_xlfn.VALUETOTEXT(INDEX('M03-S02'!$BX$18:$BX$199,2*(ROWS($E$4:E20)-1)+1)),"")</f>
        <v/>
      </c>
      <c r="F20" t="str" cm="1">
        <f t="array" ref="F20">IF(C20&lt;&gt;"", _xlfn.SWITCH(Program_Banner, "Small Business / Non-Profit", "Hard-To-Reach Business", "Business Energy Savings", "Whole Business Efficiency", ""), "")</f>
        <v/>
      </c>
      <c r="G20" t="s">
        <v>938</v>
      </c>
      <c r="H20" t="str">
        <f>IFERROR(INDEX('M03-S02'!$BC$18:$BC$199,2*(ROWS($H$4:H20)-1)+1),"")</f>
        <v/>
      </c>
      <c r="I20" s="171"/>
      <c r="J20" s="182"/>
      <c r="K20" s="182"/>
      <c r="L20" s="51" t="str">
        <f>IFERROR(INDEX('M03-S02'!$BD$18:$BD$199,2*(ROWS($L$4:L20)-1)+1),"")</f>
        <v/>
      </c>
      <c r="M20" s="51">
        <f>IFERROR(INDEX('M03-S02'!$AG$18:$AG$199,2*(ROWS($M$4:M20)-1)+1),"")</f>
        <v>0</v>
      </c>
      <c r="N20" s="171"/>
      <c r="O20">
        <f>IFERROR(INDEX('M03-S02'!$G$18:$G$199,2*(ROWS(O$4:O20)-1)+1),"")</f>
        <v>0</v>
      </c>
      <c r="P20">
        <f>IFERROR(INDEX('M03-S02'!$O$18:$O$199,2*(ROWS(P$4:P20)-1)+1),"")</f>
        <v>0</v>
      </c>
      <c r="Q20">
        <f>IFERROR(INDEX('M03-S02'!$AC$18:$AC$199,2*(ROWS(Q$4:Q20)-1)+1),"")</f>
        <v>0</v>
      </c>
      <c r="S20" t="str">
        <f>IFERROR(INDEX('M03-S02'!$AX$18:$AX$199,2*(ROWS(S$4:S20)-1)+1),"")</f>
        <v/>
      </c>
      <c r="T20" s="545" t="str">
        <f>IFERROR(ROUND(INDEX('M03-S02'!$AY$18:$AY$199,2*(ROWS(T$4:T20)-1)+1),3),"")</f>
        <v/>
      </c>
      <c r="U20" s="545" t="str">
        <f>IFERROR(ROUND(INDEX('M03-S02'!$AZ$18:$AZ$199,2*(ROWS(U$4:U20)-1)+1),3),"")</f>
        <v/>
      </c>
      <c r="V20" s="26">
        <f>IFERROR(INDEX('M03-S02'!$X$18:$X$199,2*(ROWS($G$4:V20)-1)+1),"")</f>
        <v>0</v>
      </c>
      <c r="W20" s="27" t="str">
        <f>IFERROR(INDEX('M03-S02'!$R$18:$R$199,2*(ROWS(W$4:W20)-1)+1),"")</f>
        <v/>
      </c>
      <c r="X20" s="27" t="str">
        <f>IFERROR(INDEX('M03-S02'!$T$18:$T$199,2*(ROWS(X$4:X20)-1)+1),"")</f>
        <v/>
      </c>
      <c r="Y20" s="184"/>
      <c r="Z20" s="184"/>
      <c r="AA20" s="9" t="str" cm="1">
        <f t="array" ref="AA20">IFERROR(ROUND(INDEX('M03-S02'!$AR$18:$AR$199,2*(ROWS(AA$4:AA20)-1)+1), 2),"")</f>
        <v/>
      </c>
      <c r="AB20" s="9" t="str" cm="1">
        <f t="array" ref="AB20">_xlfn.LET(_xlpm.ROWS, 2*(ROWS(AB$4:AB20)-1)+1,IFERROR(INDEX('M03-S02'!$AR$18:$AR$199, _xlpm.ROWS)-INDEX('M03-S02'!$BS$18:$BS$199, _xlpm.ROWS),""))</f>
        <v/>
      </c>
      <c r="AC20" s="9">
        <f>IFERROR(ROUND(INDEX('M03-S02'!$AI$18:$AI$199,2*(ROWS(AC$4:AC20)-1)+1),2),"")</f>
        <v>0</v>
      </c>
      <c r="AD20" s="9">
        <f>IFERROR(ROUND(INDEX('M03-S02'!$AK$18:$AK$199,2*(ROWS(AD$4:AD20)-1)+1),2),"")</f>
        <v>0</v>
      </c>
      <c r="AE20" s="9" t="str">
        <f>IFERROR(ROUND(INDEX('M03-S02'!$BL$18:$BL$199,2*(ROWS(AE$4:AE20)-1)+1),2),"")</f>
        <v/>
      </c>
      <c r="AF20" t="s">
        <v>84</v>
      </c>
      <c r="AG20" s="51" t="str">
        <f>IFERROR(ROUND(INDEX('M03-S02'!$BM$18:$BM$199,2*(ROWS(AG$4:AG20)-1)+1),2),"")</f>
        <v/>
      </c>
      <c r="AH20" s="184"/>
      <c r="AI20" s="32" t="str">
        <f>IFERROR(INDEX('M03-S02'!$BH$18:$BH$199,2*(ROWS(AI$4:AI20)-1)+1),"")</f>
        <v/>
      </c>
      <c r="AJ20" s="32" t="str">
        <f>IFERROR(INDEX('M03-S02'!$BE$18:$BE$199,2*(ROWS(AJ$4:AJ20)-1)+1),"")</f>
        <v/>
      </c>
      <c r="AK20" s="32" t="str">
        <f>IFERROR(INDEX('M03-S02'!$BI$18:$BI$199,2*(ROWS(AK$4:AK20)-1)+1),"")</f>
        <v/>
      </c>
      <c r="AL20" s="32" t="str">
        <f>IFERROR(INDEX('M03-S02'!$BF$18:$BF$199,2*(ROWS(AL$4:AL20)-1)+1),"")</f>
        <v/>
      </c>
      <c r="AM20" s="32" t="str">
        <f>IFERROR(INDEX('M03-S02'!$BA$18:$BA$199,2*(ROWS(AM$4:AM20)-1)+1),"")</f>
        <v/>
      </c>
      <c r="AN20" s="32" t="str">
        <f>IFERROR(INDEX('M03-S02'!$BB$18:$BB$199,2*(ROWS(AN$4:AN20)-1)+1),"")</f>
        <v/>
      </c>
      <c r="AO20" s="32"/>
      <c r="AP20" s="182"/>
      <c r="AQ20" s="182"/>
      <c r="AR20" s="182"/>
      <c r="AS20" s="171"/>
      <c r="AT20" s="171"/>
      <c r="AU20" s="171"/>
      <c r="AV20" s="190"/>
      <c r="AW20" s="190"/>
      <c r="AX20" s="184"/>
      <c r="AY20" s="184"/>
      <c r="AZ20" s="191"/>
      <c r="BA20" s="191"/>
      <c r="BB20" s="171"/>
    </row>
    <row r="21" spans="1:54">
      <c r="A21" s="10">
        <f t="shared" si="0"/>
        <v>0</v>
      </c>
      <c r="B21" t="str">
        <f t="shared" si="1"/>
        <v/>
      </c>
      <c r="C21" t="str" cm="1">
        <f t="array" ref="C21">IFERROR(_xlfn.VALUETOTEXT(INDEX('M03-S02'!$BW$18:$BW$199,2*(ROWS($C$4:C21)-1)+1)),"")</f>
        <v/>
      </c>
      <c r="D21">
        <f>IFERROR(INDEX('M03-S02'!$B$18:$B$199,2*(ROWS(D$4:D21)-1)+1),"")</f>
        <v>18</v>
      </c>
      <c r="E21" s="51" t="str" cm="1">
        <f t="array" ref="E21">IFERROR(_xlfn.VALUETOTEXT(INDEX('M03-S02'!$BX$18:$BX$199,2*(ROWS($E$4:E21)-1)+1)),"")</f>
        <v/>
      </c>
      <c r="F21" t="str" cm="1">
        <f t="array" ref="F21">IF(C21&lt;&gt;"", _xlfn.SWITCH(Program_Banner, "Small Business / Non-Profit", "Hard-To-Reach Business", "Business Energy Savings", "Whole Business Efficiency", ""), "")</f>
        <v/>
      </c>
      <c r="G21" t="s">
        <v>938</v>
      </c>
      <c r="H21" t="str">
        <f>IFERROR(INDEX('M03-S02'!$BC$18:$BC$199,2*(ROWS($H$4:H21)-1)+1),"")</f>
        <v/>
      </c>
      <c r="I21" s="171"/>
      <c r="J21" s="182"/>
      <c r="K21" s="182"/>
      <c r="L21" s="51" t="str">
        <f>IFERROR(INDEX('M03-S02'!$BD$18:$BD$199,2*(ROWS($L$4:L21)-1)+1),"")</f>
        <v/>
      </c>
      <c r="M21" s="51">
        <f>IFERROR(INDEX('M03-S02'!$AG$18:$AG$199,2*(ROWS($M$4:M21)-1)+1),"")</f>
        <v>0</v>
      </c>
      <c r="N21" s="171"/>
      <c r="O21">
        <f>IFERROR(INDEX('M03-S02'!$G$18:$G$199,2*(ROWS(O$4:O21)-1)+1),"")</f>
        <v>0</v>
      </c>
      <c r="P21">
        <f>IFERROR(INDEX('M03-S02'!$O$18:$O$199,2*(ROWS(P$4:P21)-1)+1),"")</f>
        <v>0</v>
      </c>
      <c r="Q21">
        <f>IFERROR(INDEX('M03-S02'!$AC$18:$AC$199,2*(ROWS(Q$4:Q21)-1)+1),"")</f>
        <v>0</v>
      </c>
      <c r="S21" t="str">
        <f>IFERROR(INDEX('M03-S02'!$AX$18:$AX$199,2*(ROWS(S$4:S21)-1)+1),"")</f>
        <v/>
      </c>
      <c r="T21" s="545" t="str">
        <f>IFERROR(ROUND(INDEX('M03-S02'!$AY$18:$AY$199,2*(ROWS(T$4:T21)-1)+1),3),"")</f>
        <v/>
      </c>
      <c r="U21" s="545" t="str">
        <f>IFERROR(ROUND(INDEX('M03-S02'!$AZ$18:$AZ$199,2*(ROWS(U$4:U21)-1)+1),3),"")</f>
        <v/>
      </c>
      <c r="V21" s="26">
        <f>IFERROR(INDEX('M03-S02'!$X$18:$X$199,2*(ROWS($G$4:V21)-1)+1),"")</f>
        <v>0</v>
      </c>
      <c r="W21" s="27" t="str">
        <f>IFERROR(INDEX('M03-S02'!$R$18:$R$199,2*(ROWS(W$4:W21)-1)+1),"")</f>
        <v/>
      </c>
      <c r="X21" s="27" t="str">
        <f>IFERROR(INDEX('M03-S02'!$T$18:$T$199,2*(ROWS(X$4:X21)-1)+1),"")</f>
        <v/>
      </c>
      <c r="Y21" s="184"/>
      <c r="Z21" s="184"/>
      <c r="AA21" s="9" t="str" cm="1">
        <f t="array" ref="AA21">IFERROR(ROUND(INDEX('M03-S02'!$AR$18:$AR$199,2*(ROWS(AA$4:AA21)-1)+1), 2),"")</f>
        <v/>
      </c>
      <c r="AB21" s="9" t="str" cm="1">
        <f t="array" ref="AB21">_xlfn.LET(_xlpm.ROWS, 2*(ROWS(AB$4:AB21)-1)+1,IFERROR(INDEX('M03-S02'!$AR$18:$AR$199, _xlpm.ROWS)-INDEX('M03-S02'!$BS$18:$BS$199, _xlpm.ROWS),""))</f>
        <v/>
      </c>
      <c r="AC21" s="9">
        <f>IFERROR(ROUND(INDEX('M03-S02'!$AI$18:$AI$199,2*(ROWS(AC$4:AC21)-1)+1),2),"")</f>
        <v>0</v>
      </c>
      <c r="AD21" s="9">
        <f>IFERROR(ROUND(INDEX('M03-S02'!$AK$18:$AK$199,2*(ROWS(AD$4:AD21)-1)+1),2),"")</f>
        <v>0</v>
      </c>
      <c r="AE21" s="9" t="str">
        <f>IFERROR(ROUND(INDEX('M03-S02'!$BL$18:$BL$199,2*(ROWS(AE$4:AE21)-1)+1),2),"")</f>
        <v/>
      </c>
      <c r="AF21" t="s">
        <v>84</v>
      </c>
      <c r="AG21" s="51" t="str">
        <f>IFERROR(ROUND(INDEX('M03-S02'!$BM$18:$BM$199,2*(ROWS(AG$4:AG21)-1)+1),2),"")</f>
        <v/>
      </c>
      <c r="AH21" s="184"/>
      <c r="AI21" s="32" t="str">
        <f>IFERROR(INDEX('M03-S02'!$BH$18:$BH$199,2*(ROWS(AI$4:AI21)-1)+1),"")</f>
        <v/>
      </c>
      <c r="AJ21" s="32" t="str">
        <f>IFERROR(INDEX('M03-S02'!$BE$18:$BE$199,2*(ROWS(AJ$4:AJ21)-1)+1),"")</f>
        <v/>
      </c>
      <c r="AK21" s="32" t="str">
        <f>IFERROR(INDEX('M03-S02'!$BI$18:$BI$199,2*(ROWS(AK$4:AK21)-1)+1),"")</f>
        <v/>
      </c>
      <c r="AL21" s="32" t="str">
        <f>IFERROR(INDEX('M03-S02'!$BF$18:$BF$199,2*(ROWS(AL$4:AL21)-1)+1),"")</f>
        <v/>
      </c>
      <c r="AM21" s="32" t="str">
        <f>IFERROR(INDEX('M03-S02'!$BA$18:$BA$199,2*(ROWS(AM$4:AM21)-1)+1),"")</f>
        <v/>
      </c>
      <c r="AN21" s="32" t="str">
        <f>IFERROR(INDEX('M03-S02'!$BB$18:$BB$199,2*(ROWS(AN$4:AN21)-1)+1),"")</f>
        <v/>
      </c>
      <c r="AO21" s="32"/>
      <c r="AP21" s="182"/>
      <c r="AQ21" s="182"/>
      <c r="AR21" s="182"/>
      <c r="AS21" s="171"/>
      <c r="AT21" s="171"/>
      <c r="AU21" s="171"/>
      <c r="AV21" s="190"/>
      <c r="AW21" s="190"/>
      <c r="AX21" s="184"/>
      <c r="AY21" s="184"/>
      <c r="AZ21" s="191"/>
      <c r="BA21" s="191"/>
      <c r="BB21" s="171"/>
    </row>
    <row r="22" spans="1:54">
      <c r="A22" s="10">
        <f t="shared" si="0"/>
        <v>0</v>
      </c>
      <c r="B22" t="str">
        <f t="shared" si="1"/>
        <v/>
      </c>
      <c r="C22" t="str" cm="1">
        <f t="array" ref="C22">IFERROR(_xlfn.VALUETOTEXT(INDEX('M03-S02'!$BW$18:$BW$199,2*(ROWS($C$4:C22)-1)+1)),"")</f>
        <v/>
      </c>
      <c r="D22">
        <f>IFERROR(INDEX('M03-S02'!$B$18:$B$199,2*(ROWS(D$4:D22)-1)+1),"")</f>
        <v>19</v>
      </c>
      <c r="E22" s="51" t="str" cm="1">
        <f t="array" ref="E22">IFERROR(_xlfn.VALUETOTEXT(INDEX('M03-S02'!$BX$18:$BX$199,2*(ROWS($E$4:E22)-1)+1)),"")</f>
        <v/>
      </c>
      <c r="F22" t="str" cm="1">
        <f t="array" ref="F22">IF(C22&lt;&gt;"", _xlfn.SWITCH(Program_Banner, "Small Business / Non-Profit", "Hard-To-Reach Business", "Business Energy Savings", "Whole Business Efficiency", ""), "")</f>
        <v/>
      </c>
      <c r="G22" t="s">
        <v>938</v>
      </c>
      <c r="H22" t="str">
        <f>IFERROR(INDEX('M03-S02'!$BC$18:$BC$199,2*(ROWS($H$4:H22)-1)+1),"")</f>
        <v/>
      </c>
      <c r="I22" s="171"/>
      <c r="J22" s="182"/>
      <c r="K22" s="182"/>
      <c r="L22" s="51" t="str">
        <f>IFERROR(INDEX('M03-S02'!$BD$18:$BD$199,2*(ROWS($L$4:L22)-1)+1),"")</f>
        <v/>
      </c>
      <c r="M22" s="51">
        <f>IFERROR(INDEX('M03-S02'!$AG$18:$AG$199,2*(ROWS($M$4:M22)-1)+1),"")</f>
        <v>0</v>
      </c>
      <c r="N22" s="171"/>
      <c r="O22">
        <f>IFERROR(INDEX('M03-S02'!$G$18:$G$199,2*(ROWS(O$4:O22)-1)+1),"")</f>
        <v>0</v>
      </c>
      <c r="P22">
        <f>IFERROR(INDEX('M03-S02'!$O$18:$O$199,2*(ROWS(P$4:P22)-1)+1),"")</f>
        <v>0</v>
      </c>
      <c r="Q22">
        <f>IFERROR(INDEX('M03-S02'!$AC$18:$AC$199,2*(ROWS(Q$4:Q22)-1)+1),"")</f>
        <v>0</v>
      </c>
      <c r="S22" t="str">
        <f>IFERROR(INDEX('M03-S02'!$AX$18:$AX$199,2*(ROWS(S$4:S22)-1)+1),"")</f>
        <v/>
      </c>
      <c r="T22" s="545" t="str">
        <f>IFERROR(ROUND(INDEX('M03-S02'!$AY$18:$AY$199,2*(ROWS(T$4:T22)-1)+1),3),"")</f>
        <v/>
      </c>
      <c r="U22" s="545" t="str">
        <f>IFERROR(ROUND(INDEX('M03-S02'!$AZ$18:$AZ$199,2*(ROWS(U$4:U22)-1)+1),3),"")</f>
        <v/>
      </c>
      <c r="V22" s="26">
        <f>IFERROR(INDEX('M03-S02'!$X$18:$X$199,2*(ROWS($G$4:V22)-1)+1),"")</f>
        <v>0</v>
      </c>
      <c r="W22" s="27" t="str">
        <f>IFERROR(INDEX('M03-S02'!$R$18:$R$199,2*(ROWS(W$4:W22)-1)+1),"")</f>
        <v/>
      </c>
      <c r="X22" s="27" t="str">
        <f>IFERROR(INDEX('M03-S02'!$T$18:$T$199,2*(ROWS(X$4:X22)-1)+1),"")</f>
        <v/>
      </c>
      <c r="Y22" s="184"/>
      <c r="Z22" s="184"/>
      <c r="AA22" s="9" t="str" cm="1">
        <f t="array" ref="AA22">IFERROR(ROUND(INDEX('M03-S02'!$AR$18:$AR$199,2*(ROWS(AA$4:AA22)-1)+1), 2),"")</f>
        <v/>
      </c>
      <c r="AB22" s="9" t="str" cm="1">
        <f t="array" ref="AB22">_xlfn.LET(_xlpm.ROWS, 2*(ROWS(AB$4:AB22)-1)+1,IFERROR(INDEX('M03-S02'!$AR$18:$AR$199, _xlpm.ROWS)-INDEX('M03-S02'!$BS$18:$BS$199, _xlpm.ROWS),""))</f>
        <v/>
      </c>
      <c r="AC22" s="9">
        <f>IFERROR(ROUND(INDEX('M03-S02'!$AI$18:$AI$199,2*(ROWS(AC$4:AC22)-1)+1),2),"")</f>
        <v>0</v>
      </c>
      <c r="AD22" s="9">
        <f>IFERROR(ROUND(INDEX('M03-S02'!$AK$18:$AK$199,2*(ROWS(AD$4:AD22)-1)+1),2),"")</f>
        <v>0</v>
      </c>
      <c r="AE22" s="9" t="str">
        <f>IFERROR(ROUND(INDEX('M03-S02'!$BL$18:$BL$199,2*(ROWS(AE$4:AE22)-1)+1),2),"")</f>
        <v/>
      </c>
      <c r="AF22" t="s">
        <v>84</v>
      </c>
      <c r="AG22" s="51" t="str">
        <f>IFERROR(ROUND(INDEX('M03-S02'!$BM$18:$BM$199,2*(ROWS(AG$4:AG22)-1)+1),2),"")</f>
        <v/>
      </c>
      <c r="AH22" s="184"/>
      <c r="AI22" s="32" t="str">
        <f>IFERROR(INDEX('M03-S02'!$BH$18:$BH$199,2*(ROWS(AI$4:AI22)-1)+1),"")</f>
        <v/>
      </c>
      <c r="AJ22" s="32" t="str">
        <f>IFERROR(INDEX('M03-S02'!$BE$18:$BE$199,2*(ROWS(AJ$4:AJ22)-1)+1),"")</f>
        <v/>
      </c>
      <c r="AK22" s="32" t="str">
        <f>IFERROR(INDEX('M03-S02'!$BI$18:$BI$199,2*(ROWS(AK$4:AK22)-1)+1),"")</f>
        <v/>
      </c>
      <c r="AL22" s="32" t="str">
        <f>IFERROR(INDEX('M03-S02'!$BF$18:$BF$199,2*(ROWS(AL$4:AL22)-1)+1),"")</f>
        <v/>
      </c>
      <c r="AM22" s="32" t="str">
        <f>IFERROR(INDEX('M03-S02'!$BA$18:$BA$199,2*(ROWS(AM$4:AM22)-1)+1),"")</f>
        <v/>
      </c>
      <c r="AN22" s="32" t="str">
        <f>IFERROR(INDEX('M03-S02'!$BB$18:$BB$199,2*(ROWS(AN$4:AN22)-1)+1),"")</f>
        <v/>
      </c>
      <c r="AO22" s="32"/>
      <c r="AP22" s="182"/>
      <c r="AQ22" s="182"/>
      <c r="AR22" s="182"/>
      <c r="AS22" s="171"/>
      <c r="AT22" s="171"/>
      <c r="AU22" s="171"/>
      <c r="AV22" s="190"/>
      <c r="AW22" s="190"/>
      <c r="AX22" s="184"/>
      <c r="AY22" s="184"/>
      <c r="AZ22" s="191"/>
      <c r="BA22" s="191"/>
      <c r="BB22" s="171"/>
    </row>
    <row r="23" spans="1:54">
      <c r="A23" s="10">
        <f t="shared" si="0"/>
        <v>0</v>
      </c>
      <c r="B23" t="str">
        <f t="shared" si="1"/>
        <v/>
      </c>
      <c r="C23" t="str" cm="1">
        <f t="array" ref="C23">IFERROR(_xlfn.VALUETOTEXT(INDEX('M03-S02'!$BW$18:$BW$199,2*(ROWS($C$4:C23)-1)+1)),"")</f>
        <v/>
      </c>
      <c r="D23">
        <f>IFERROR(INDEX('M03-S02'!$B$18:$B$199,2*(ROWS(D$4:D23)-1)+1),"")</f>
        <v>20</v>
      </c>
      <c r="E23" s="51" t="str" cm="1">
        <f t="array" ref="E23">IFERROR(_xlfn.VALUETOTEXT(INDEX('M03-S02'!$BX$18:$BX$199,2*(ROWS($E$4:E23)-1)+1)),"")</f>
        <v/>
      </c>
      <c r="F23" t="str" cm="1">
        <f t="array" ref="F23">IF(C23&lt;&gt;"", _xlfn.SWITCH(Program_Banner, "Small Business / Non-Profit", "Hard-To-Reach Business", "Business Energy Savings", "Whole Business Efficiency", ""), "")</f>
        <v/>
      </c>
      <c r="G23" t="s">
        <v>938</v>
      </c>
      <c r="H23" t="str">
        <f>IFERROR(INDEX('M03-S02'!$BC$18:$BC$199,2*(ROWS($H$4:H23)-1)+1),"")</f>
        <v/>
      </c>
      <c r="I23" s="171"/>
      <c r="J23" s="182"/>
      <c r="K23" s="182"/>
      <c r="L23" s="51" t="str">
        <f>IFERROR(INDEX('M03-S02'!$BD$18:$BD$199,2*(ROWS($L$4:L23)-1)+1),"")</f>
        <v/>
      </c>
      <c r="M23" s="51">
        <f>IFERROR(INDEX('M03-S02'!$AG$18:$AG$199,2*(ROWS($M$4:M23)-1)+1),"")</f>
        <v>0</v>
      </c>
      <c r="N23" s="171"/>
      <c r="O23">
        <f>IFERROR(INDEX('M03-S02'!$G$18:$G$199,2*(ROWS(O$4:O23)-1)+1),"")</f>
        <v>0</v>
      </c>
      <c r="P23">
        <f>IFERROR(INDEX('M03-S02'!$O$18:$O$199,2*(ROWS(P$4:P23)-1)+1),"")</f>
        <v>0</v>
      </c>
      <c r="Q23">
        <f>IFERROR(INDEX('M03-S02'!$AC$18:$AC$199,2*(ROWS(Q$4:Q23)-1)+1),"")</f>
        <v>0</v>
      </c>
      <c r="S23" t="str">
        <f>IFERROR(INDEX('M03-S02'!$AX$18:$AX$199,2*(ROWS(S$4:S23)-1)+1),"")</f>
        <v/>
      </c>
      <c r="T23" s="545" t="str">
        <f>IFERROR(ROUND(INDEX('M03-S02'!$AY$18:$AY$199,2*(ROWS(T$4:T23)-1)+1),3),"")</f>
        <v/>
      </c>
      <c r="U23" s="545" t="str">
        <f>IFERROR(ROUND(INDEX('M03-S02'!$AZ$18:$AZ$199,2*(ROWS(U$4:U23)-1)+1),3),"")</f>
        <v/>
      </c>
      <c r="V23" s="26">
        <f>IFERROR(INDEX('M03-S02'!$X$18:$X$199,2*(ROWS($G$4:V23)-1)+1),"")</f>
        <v>0</v>
      </c>
      <c r="W23" s="27" t="str">
        <f>IFERROR(INDEX('M03-S02'!$R$18:$R$199,2*(ROWS(W$4:W23)-1)+1),"")</f>
        <v/>
      </c>
      <c r="X23" s="27" t="str">
        <f>IFERROR(INDEX('M03-S02'!$T$18:$T$199,2*(ROWS(X$4:X23)-1)+1),"")</f>
        <v/>
      </c>
      <c r="Y23" s="184"/>
      <c r="Z23" s="184"/>
      <c r="AA23" s="9" t="str" cm="1">
        <f t="array" ref="AA23">IFERROR(ROUND(INDEX('M03-S02'!$AR$18:$AR$199,2*(ROWS(AA$4:AA23)-1)+1), 2),"")</f>
        <v/>
      </c>
      <c r="AB23" s="9" t="str" cm="1">
        <f t="array" ref="AB23">_xlfn.LET(_xlpm.ROWS, 2*(ROWS(AB$4:AB23)-1)+1,IFERROR(INDEX('M03-S02'!$AR$18:$AR$199, _xlpm.ROWS)-INDEX('M03-S02'!$BS$18:$BS$199, _xlpm.ROWS),""))</f>
        <v/>
      </c>
      <c r="AC23" s="9">
        <f>IFERROR(ROUND(INDEX('M03-S02'!$AI$18:$AI$199,2*(ROWS(AC$4:AC23)-1)+1),2),"")</f>
        <v>0</v>
      </c>
      <c r="AD23" s="9">
        <f>IFERROR(ROUND(INDEX('M03-S02'!$AK$18:$AK$199,2*(ROWS(AD$4:AD23)-1)+1),2),"")</f>
        <v>0</v>
      </c>
      <c r="AE23" s="9" t="str">
        <f>IFERROR(ROUND(INDEX('M03-S02'!$BL$18:$BL$199,2*(ROWS(AE$4:AE23)-1)+1),2),"")</f>
        <v/>
      </c>
      <c r="AF23" t="s">
        <v>84</v>
      </c>
      <c r="AG23" s="51" t="str">
        <f>IFERROR(ROUND(INDEX('M03-S02'!$BM$18:$BM$199,2*(ROWS(AG$4:AG23)-1)+1),2),"")</f>
        <v/>
      </c>
      <c r="AH23" s="184"/>
      <c r="AI23" s="32" t="str">
        <f>IFERROR(INDEX('M03-S02'!$BH$18:$BH$199,2*(ROWS(AI$4:AI23)-1)+1),"")</f>
        <v/>
      </c>
      <c r="AJ23" s="32" t="str">
        <f>IFERROR(INDEX('M03-S02'!$BE$18:$BE$199,2*(ROWS(AJ$4:AJ23)-1)+1),"")</f>
        <v/>
      </c>
      <c r="AK23" s="32" t="str">
        <f>IFERROR(INDEX('M03-S02'!$BI$18:$BI$199,2*(ROWS(AK$4:AK23)-1)+1),"")</f>
        <v/>
      </c>
      <c r="AL23" s="32" t="str">
        <f>IFERROR(INDEX('M03-S02'!$BF$18:$BF$199,2*(ROWS(AL$4:AL23)-1)+1),"")</f>
        <v/>
      </c>
      <c r="AM23" s="32" t="str">
        <f>IFERROR(INDEX('M03-S02'!$BA$18:$BA$199,2*(ROWS(AM$4:AM23)-1)+1),"")</f>
        <v/>
      </c>
      <c r="AN23" s="32" t="str">
        <f>IFERROR(INDEX('M03-S02'!$BB$18:$BB$199,2*(ROWS(AN$4:AN23)-1)+1),"")</f>
        <v/>
      </c>
      <c r="AO23" s="32"/>
      <c r="AP23" s="182"/>
      <c r="AQ23" s="182"/>
      <c r="AR23" s="182"/>
      <c r="AS23" s="171"/>
      <c r="AT23" s="171"/>
      <c r="AU23" s="171"/>
      <c r="AV23" s="190"/>
      <c r="AW23" s="190"/>
      <c r="AX23" s="184"/>
      <c r="AY23" s="184"/>
      <c r="AZ23" s="191"/>
      <c r="BA23" s="191"/>
      <c r="BB23" s="171"/>
    </row>
    <row r="24" spans="1:54">
      <c r="A24" s="10">
        <f t="shared" si="0"/>
        <v>0</v>
      </c>
      <c r="B24" t="str">
        <f t="shared" si="1"/>
        <v/>
      </c>
      <c r="C24" t="str" cm="1">
        <f t="array" ref="C24">IFERROR(_xlfn.VALUETOTEXT(INDEX('M03-S02'!$BW$18:$BW$199,2*(ROWS($C$4:C24)-1)+1)),"")</f>
        <v/>
      </c>
      <c r="D24">
        <f>IFERROR(INDEX('M03-S02'!$B$18:$B$199,2*(ROWS(D$4:D24)-1)+1),"")</f>
        <v>21</v>
      </c>
      <c r="E24" s="51" t="str" cm="1">
        <f t="array" ref="E24">IFERROR(_xlfn.VALUETOTEXT(INDEX('M03-S02'!$BX$18:$BX$199,2*(ROWS($E$4:E24)-1)+1)),"")</f>
        <v/>
      </c>
      <c r="F24" t="str" cm="1">
        <f t="array" ref="F24">IF(C24&lt;&gt;"", _xlfn.SWITCH(Program_Banner, "Small Business / Non-Profit", "Hard-To-Reach Business", "Business Energy Savings", "Whole Business Efficiency", ""), "")</f>
        <v/>
      </c>
      <c r="G24" t="s">
        <v>938</v>
      </c>
      <c r="H24" t="str">
        <f>IFERROR(INDEX('M03-S02'!$BC$18:$BC$199,2*(ROWS($H$4:H24)-1)+1),"")</f>
        <v/>
      </c>
      <c r="I24" s="171"/>
      <c r="J24" s="182"/>
      <c r="K24" s="182"/>
      <c r="L24" s="51" t="str">
        <f>IFERROR(INDEX('M03-S02'!$BD$18:$BD$199,2*(ROWS($L$4:L24)-1)+1),"")</f>
        <v/>
      </c>
      <c r="M24" s="51">
        <f>IFERROR(INDEX('M03-S02'!$AG$18:$AG$199,2*(ROWS($M$4:M24)-1)+1),"")</f>
        <v>0</v>
      </c>
      <c r="N24" s="171"/>
      <c r="O24">
        <f>IFERROR(INDEX('M03-S02'!$G$18:$G$199,2*(ROWS(O$4:O24)-1)+1),"")</f>
        <v>0</v>
      </c>
      <c r="P24">
        <f>IFERROR(INDEX('M03-S02'!$O$18:$O$199,2*(ROWS(P$4:P24)-1)+1),"")</f>
        <v>0</v>
      </c>
      <c r="Q24">
        <f>IFERROR(INDEX('M03-S02'!$AC$18:$AC$199,2*(ROWS(Q$4:Q24)-1)+1),"")</f>
        <v>0</v>
      </c>
      <c r="S24" t="str">
        <f>IFERROR(INDEX('M03-S02'!$AX$18:$AX$199,2*(ROWS(S$4:S24)-1)+1),"")</f>
        <v/>
      </c>
      <c r="T24" s="545" t="str">
        <f>IFERROR(ROUND(INDEX('M03-S02'!$AY$18:$AY$199,2*(ROWS(T$4:T24)-1)+1),3),"")</f>
        <v/>
      </c>
      <c r="U24" s="545" t="str">
        <f>IFERROR(ROUND(INDEX('M03-S02'!$AZ$18:$AZ$199,2*(ROWS(U$4:U24)-1)+1),3),"")</f>
        <v/>
      </c>
      <c r="V24" s="26">
        <f>IFERROR(INDEX('M03-S02'!$X$18:$X$199,2*(ROWS($G$4:V24)-1)+1),"")</f>
        <v>0</v>
      </c>
      <c r="W24" s="27" t="str">
        <f>IFERROR(INDEX('M03-S02'!$R$18:$R$199,2*(ROWS(W$4:W24)-1)+1),"")</f>
        <v/>
      </c>
      <c r="X24" s="27" t="str">
        <f>IFERROR(INDEX('M03-S02'!$T$18:$T$199,2*(ROWS(X$4:X24)-1)+1),"")</f>
        <v/>
      </c>
      <c r="Y24" s="184"/>
      <c r="Z24" s="184"/>
      <c r="AA24" s="9" t="str" cm="1">
        <f t="array" ref="AA24">IFERROR(ROUND(INDEX('M03-S02'!$AR$18:$AR$199,2*(ROWS(AA$4:AA24)-1)+1), 2),"")</f>
        <v/>
      </c>
      <c r="AB24" s="9" t="str" cm="1">
        <f t="array" ref="AB24">_xlfn.LET(_xlpm.ROWS, 2*(ROWS(AB$4:AB24)-1)+1,IFERROR(INDEX('M03-S02'!$AR$18:$AR$199, _xlpm.ROWS)-INDEX('M03-S02'!$BS$18:$BS$199, _xlpm.ROWS),""))</f>
        <v/>
      </c>
      <c r="AC24" s="9">
        <f>IFERROR(ROUND(INDEX('M03-S02'!$AI$18:$AI$199,2*(ROWS(AC$4:AC24)-1)+1),2),"")</f>
        <v>0</v>
      </c>
      <c r="AD24" s="9">
        <f>IFERROR(ROUND(INDEX('M03-S02'!$AK$18:$AK$199,2*(ROWS(AD$4:AD24)-1)+1),2),"")</f>
        <v>0</v>
      </c>
      <c r="AE24" s="9" t="str">
        <f>IFERROR(ROUND(INDEX('M03-S02'!$BL$18:$BL$199,2*(ROWS(AE$4:AE24)-1)+1),2),"")</f>
        <v/>
      </c>
      <c r="AF24" t="s">
        <v>84</v>
      </c>
      <c r="AG24" s="51" t="str">
        <f>IFERROR(ROUND(INDEX('M03-S02'!$BM$18:$BM$199,2*(ROWS(AG$4:AG24)-1)+1),2),"")</f>
        <v/>
      </c>
      <c r="AH24" s="184"/>
      <c r="AI24" s="32" t="str">
        <f>IFERROR(INDEX('M03-S02'!$BH$18:$BH$199,2*(ROWS(AI$4:AI24)-1)+1),"")</f>
        <v/>
      </c>
      <c r="AJ24" s="32" t="str">
        <f>IFERROR(INDEX('M03-S02'!$BE$18:$BE$199,2*(ROWS(AJ$4:AJ24)-1)+1),"")</f>
        <v/>
      </c>
      <c r="AK24" s="32" t="str">
        <f>IFERROR(INDEX('M03-S02'!$BI$18:$BI$199,2*(ROWS(AK$4:AK24)-1)+1),"")</f>
        <v/>
      </c>
      <c r="AL24" s="32" t="str">
        <f>IFERROR(INDEX('M03-S02'!$BF$18:$BF$199,2*(ROWS(AL$4:AL24)-1)+1),"")</f>
        <v/>
      </c>
      <c r="AM24" s="32" t="str">
        <f>IFERROR(INDEX('M03-S02'!$BA$18:$BA$199,2*(ROWS(AM$4:AM24)-1)+1),"")</f>
        <v/>
      </c>
      <c r="AN24" s="32" t="str">
        <f>IFERROR(INDEX('M03-S02'!$BB$18:$BB$199,2*(ROWS(AN$4:AN24)-1)+1),"")</f>
        <v/>
      </c>
      <c r="AO24" s="32"/>
      <c r="AP24" s="182"/>
      <c r="AQ24" s="182"/>
      <c r="AR24" s="182"/>
      <c r="AS24" s="171"/>
      <c r="AT24" s="171"/>
      <c r="AU24" s="171"/>
      <c r="AV24" s="190"/>
      <c r="AW24" s="190"/>
      <c r="AX24" s="184"/>
      <c r="AY24" s="184"/>
      <c r="AZ24" s="191"/>
      <c r="BA24" s="191"/>
      <c r="BB24" s="171"/>
    </row>
    <row r="25" spans="1:54">
      <c r="A25" s="10">
        <f t="shared" si="0"/>
        <v>0</v>
      </c>
      <c r="B25" t="str">
        <f t="shared" si="1"/>
        <v/>
      </c>
      <c r="C25" t="str" cm="1">
        <f t="array" ref="C25">IFERROR(_xlfn.VALUETOTEXT(INDEX('M03-S02'!$BW$18:$BW$199,2*(ROWS($C$4:C25)-1)+1)),"")</f>
        <v/>
      </c>
      <c r="D25">
        <f>IFERROR(INDEX('M03-S02'!$B$18:$B$199,2*(ROWS(D$4:D25)-1)+1),"")</f>
        <v>22</v>
      </c>
      <c r="E25" s="51" t="str" cm="1">
        <f t="array" ref="E25">IFERROR(_xlfn.VALUETOTEXT(INDEX('M03-S02'!$BX$18:$BX$199,2*(ROWS($E$4:E25)-1)+1)),"")</f>
        <v/>
      </c>
      <c r="F25" t="str" cm="1">
        <f t="array" ref="F25">IF(C25&lt;&gt;"", _xlfn.SWITCH(Program_Banner, "Small Business / Non-Profit", "Hard-To-Reach Business", "Business Energy Savings", "Whole Business Efficiency", ""), "")</f>
        <v/>
      </c>
      <c r="G25" t="s">
        <v>938</v>
      </c>
      <c r="H25" t="str">
        <f>IFERROR(INDEX('M03-S02'!$BC$18:$BC$199,2*(ROWS($H$4:H25)-1)+1),"")</f>
        <v/>
      </c>
      <c r="I25" s="171"/>
      <c r="J25" s="182"/>
      <c r="K25" s="182"/>
      <c r="L25" s="51" t="str">
        <f>IFERROR(INDEX('M03-S02'!$BD$18:$BD$199,2*(ROWS($L$4:L25)-1)+1),"")</f>
        <v/>
      </c>
      <c r="M25" s="51">
        <f>IFERROR(INDEX('M03-S02'!$AG$18:$AG$199,2*(ROWS($M$4:M25)-1)+1),"")</f>
        <v>0</v>
      </c>
      <c r="N25" s="171"/>
      <c r="O25">
        <f>IFERROR(INDEX('M03-S02'!$G$18:$G$199,2*(ROWS(O$4:O25)-1)+1),"")</f>
        <v>0</v>
      </c>
      <c r="P25">
        <f>IFERROR(INDEX('M03-S02'!$O$18:$O$199,2*(ROWS(P$4:P25)-1)+1),"")</f>
        <v>0</v>
      </c>
      <c r="Q25">
        <f>IFERROR(INDEX('M03-S02'!$AC$18:$AC$199,2*(ROWS(Q$4:Q25)-1)+1),"")</f>
        <v>0</v>
      </c>
      <c r="S25" t="str">
        <f>IFERROR(INDEX('M03-S02'!$AX$18:$AX$199,2*(ROWS(S$4:S25)-1)+1),"")</f>
        <v/>
      </c>
      <c r="T25" s="545" t="str">
        <f>IFERROR(ROUND(INDEX('M03-S02'!$AY$18:$AY$199,2*(ROWS(T$4:T25)-1)+1),3),"")</f>
        <v/>
      </c>
      <c r="U25" s="545" t="str">
        <f>IFERROR(ROUND(INDEX('M03-S02'!$AZ$18:$AZ$199,2*(ROWS(U$4:U25)-1)+1),3),"")</f>
        <v/>
      </c>
      <c r="V25" s="26">
        <f>IFERROR(INDEX('M03-S02'!$X$18:$X$199,2*(ROWS($G$4:V25)-1)+1),"")</f>
        <v>0</v>
      </c>
      <c r="W25" s="27" t="str">
        <f>IFERROR(INDEX('M03-S02'!$R$18:$R$199,2*(ROWS(W$4:W25)-1)+1),"")</f>
        <v/>
      </c>
      <c r="X25" s="27" t="str">
        <f>IFERROR(INDEX('M03-S02'!$T$18:$T$199,2*(ROWS(X$4:X25)-1)+1),"")</f>
        <v/>
      </c>
      <c r="Y25" s="184"/>
      <c r="Z25" s="184"/>
      <c r="AA25" s="9" t="str" cm="1">
        <f t="array" ref="AA25">IFERROR(ROUND(INDEX('M03-S02'!$AR$18:$AR$199,2*(ROWS(AA$4:AA25)-1)+1), 2),"")</f>
        <v/>
      </c>
      <c r="AB25" s="9" t="str" cm="1">
        <f t="array" ref="AB25">_xlfn.LET(_xlpm.ROWS, 2*(ROWS(AB$4:AB25)-1)+1,IFERROR(INDEX('M03-S02'!$AR$18:$AR$199, _xlpm.ROWS)-INDEX('M03-S02'!$BS$18:$BS$199, _xlpm.ROWS),""))</f>
        <v/>
      </c>
      <c r="AC25" s="9">
        <f>IFERROR(ROUND(INDEX('M03-S02'!$AI$18:$AI$199,2*(ROWS(AC$4:AC25)-1)+1),2),"")</f>
        <v>0</v>
      </c>
      <c r="AD25" s="9">
        <f>IFERROR(ROUND(INDEX('M03-S02'!$AK$18:$AK$199,2*(ROWS(AD$4:AD25)-1)+1),2),"")</f>
        <v>0</v>
      </c>
      <c r="AE25" s="9" t="str">
        <f>IFERROR(ROUND(INDEX('M03-S02'!$BL$18:$BL$199,2*(ROWS(AE$4:AE25)-1)+1),2),"")</f>
        <v/>
      </c>
      <c r="AF25" t="s">
        <v>84</v>
      </c>
      <c r="AG25" s="51" t="str">
        <f>IFERROR(ROUND(INDEX('M03-S02'!$BM$18:$BM$199,2*(ROWS(AG$4:AG25)-1)+1),2),"")</f>
        <v/>
      </c>
      <c r="AH25" s="184"/>
      <c r="AI25" s="32" t="str">
        <f>IFERROR(INDEX('M03-S02'!$BH$18:$BH$199,2*(ROWS(AI$4:AI25)-1)+1),"")</f>
        <v/>
      </c>
      <c r="AJ25" s="32" t="str">
        <f>IFERROR(INDEX('M03-S02'!$BE$18:$BE$199,2*(ROWS(AJ$4:AJ25)-1)+1),"")</f>
        <v/>
      </c>
      <c r="AK25" s="32" t="str">
        <f>IFERROR(INDEX('M03-S02'!$BI$18:$BI$199,2*(ROWS(AK$4:AK25)-1)+1),"")</f>
        <v/>
      </c>
      <c r="AL25" s="32" t="str">
        <f>IFERROR(INDEX('M03-S02'!$BF$18:$BF$199,2*(ROWS(AL$4:AL25)-1)+1),"")</f>
        <v/>
      </c>
      <c r="AM25" s="32" t="str">
        <f>IFERROR(INDEX('M03-S02'!$BA$18:$BA$199,2*(ROWS(AM$4:AM25)-1)+1),"")</f>
        <v/>
      </c>
      <c r="AN25" s="32" t="str">
        <f>IFERROR(INDEX('M03-S02'!$BB$18:$BB$199,2*(ROWS(AN$4:AN25)-1)+1),"")</f>
        <v/>
      </c>
      <c r="AO25" s="32"/>
      <c r="AP25" s="182"/>
      <c r="AQ25" s="182"/>
      <c r="AR25" s="182"/>
      <c r="AS25" s="171"/>
      <c r="AT25" s="171"/>
      <c r="AU25" s="171"/>
      <c r="AV25" s="190"/>
      <c r="AW25" s="190"/>
      <c r="AX25" s="184"/>
      <c r="AY25" s="184"/>
      <c r="AZ25" s="191"/>
      <c r="BA25" s="191"/>
      <c r="BB25" s="171"/>
    </row>
    <row r="26" spans="1:54">
      <c r="A26" s="10">
        <f t="shared" si="0"/>
        <v>0</v>
      </c>
      <c r="B26" t="str">
        <f t="shared" si="1"/>
        <v/>
      </c>
      <c r="C26" t="str" cm="1">
        <f t="array" ref="C26">IFERROR(_xlfn.VALUETOTEXT(INDEX('M03-S02'!$BW$18:$BW$199,2*(ROWS($C$4:C26)-1)+1)),"")</f>
        <v/>
      </c>
      <c r="D26">
        <f>IFERROR(INDEX('M03-S02'!$B$18:$B$199,2*(ROWS(D$4:D26)-1)+1),"")</f>
        <v>23</v>
      </c>
      <c r="E26" s="51" t="str" cm="1">
        <f t="array" ref="E26">IFERROR(_xlfn.VALUETOTEXT(INDEX('M03-S02'!$BX$18:$BX$199,2*(ROWS($E$4:E26)-1)+1)),"")</f>
        <v/>
      </c>
      <c r="F26" t="str" cm="1">
        <f t="array" ref="F26">IF(C26&lt;&gt;"", _xlfn.SWITCH(Program_Banner, "Small Business / Non-Profit", "Hard-To-Reach Business", "Business Energy Savings", "Whole Business Efficiency", ""), "")</f>
        <v/>
      </c>
      <c r="G26" t="s">
        <v>938</v>
      </c>
      <c r="H26" t="str">
        <f>IFERROR(INDEX('M03-S02'!$BC$18:$BC$199,2*(ROWS($H$4:H26)-1)+1),"")</f>
        <v/>
      </c>
      <c r="I26" s="171"/>
      <c r="J26" s="182"/>
      <c r="K26" s="182"/>
      <c r="L26" s="51" t="str">
        <f>IFERROR(INDEX('M03-S02'!$BD$18:$BD$199,2*(ROWS($L$4:L26)-1)+1),"")</f>
        <v/>
      </c>
      <c r="M26" s="51">
        <f>IFERROR(INDEX('M03-S02'!$AG$18:$AG$199,2*(ROWS($M$4:M26)-1)+1),"")</f>
        <v>0</v>
      </c>
      <c r="N26" s="171"/>
      <c r="O26">
        <f>IFERROR(INDEX('M03-S02'!$G$18:$G$199,2*(ROWS(O$4:O26)-1)+1),"")</f>
        <v>0</v>
      </c>
      <c r="P26">
        <f>IFERROR(INDEX('M03-S02'!$O$18:$O$199,2*(ROWS(P$4:P26)-1)+1),"")</f>
        <v>0</v>
      </c>
      <c r="Q26">
        <f>IFERROR(INDEX('M03-S02'!$AC$18:$AC$199,2*(ROWS(Q$4:Q26)-1)+1),"")</f>
        <v>0</v>
      </c>
      <c r="S26" t="str">
        <f>IFERROR(INDEX('M03-S02'!$AX$18:$AX$199,2*(ROWS(S$4:S26)-1)+1),"")</f>
        <v/>
      </c>
      <c r="T26" s="545" t="str">
        <f>IFERROR(ROUND(INDEX('M03-S02'!$AY$18:$AY$199,2*(ROWS(T$4:T26)-1)+1),3),"")</f>
        <v/>
      </c>
      <c r="U26" s="545" t="str">
        <f>IFERROR(ROUND(INDEX('M03-S02'!$AZ$18:$AZ$199,2*(ROWS(U$4:U26)-1)+1),3),"")</f>
        <v/>
      </c>
      <c r="V26" s="26">
        <f>IFERROR(INDEX('M03-S02'!$X$18:$X$199,2*(ROWS($G$4:V26)-1)+1),"")</f>
        <v>0</v>
      </c>
      <c r="W26" s="27" t="str">
        <f>IFERROR(INDEX('M03-S02'!$R$18:$R$199,2*(ROWS(W$4:W26)-1)+1),"")</f>
        <v/>
      </c>
      <c r="X26" s="27" t="str">
        <f>IFERROR(INDEX('M03-S02'!$T$18:$T$199,2*(ROWS(X$4:X26)-1)+1),"")</f>
        <v/>
      </c>
      <c r="Y26" s="184"/>
      <c r="Z26" s="184"/>
      <c r="AA26" s="9" t="str" cm="1">
        <f t="array" ref="AA26">IFERROR(ROUND(INDEX('M03-S02'!$AR$18:$AR$199,2*(ROWS(AA$4:AA26)-1)+1), 2),"")</f>
        <v/>
      </c>
      <c r="AB26" s="9" t="str" cm="1">
        <f t="array" ref="AB26">_xlfn.LET(_xlpm.ROWS, 2*(ROWS(AB$4:AB26)-1)+1,IFERROR(INDEX('M03-S02'!$AR$18:$AR$199, _xlpm.ROWS)-INDEX('M03-S02'!$BS$18:$BS$199, _xlpm.ROWS),""))</f>
        <v/>
      </c>
      <c r="AC26" s="9">
        <f>IFERROR(ROUND(INDEX('M03-S02'!$AI$18:$AI$199,2*(ROWS(AC$4:AC26)-1)+1),2),"")</f>
        <v>0</v>
      </c>
      <c r="AD26" s="9">
        <f>IFERROR(ROUND(INDEX('M03-S02'!$AK$18:$AK$199,2*(ROWS(AD$4:AD26)-1)+1),2),"")</f>
        <v>0</v>
      </c>
      <c r="AE26" s="9" t="str">
        <f>IFERROR(ROUND(INDEX('M03-S02'!$BL$18:$BL$199,2*(ROWS(AE$4:AE26)-1)+1),2),"")</f>
        <v/>
      </c>
      <c r="AF26" t="s">
        <v>84</v>
      </c>
      <c r="AG26" s="51" t="str">
        <f>IFERROR(ROUND(INDEX('M03-S02'!$BM$18:$BM$199,2*(ROWS(AG$4:AG26)-1)+1),2),"")</f>
        <v/>
      </c>
      <c r="AH26" s="184"/>
      <c r="AI26" s="32" t="str">
        <f>IFERROR(INDEX('M03-S02'!$BH$18:$BH$199,2*(ROWS(AI$4:AI26)-1)+1),"")</f>
        <v/>
      </c>
      <c r="AJ26" s="32" t="str">
        <f>IFERROR(INDEX('M03-S02'!$BE$18:$BE$199,2*(ROWS(AJ$4:AJ26)-1)+1),"")</f>
        <v/>
      </c>
      <c r="AK26" s="32" t="str">
        <f>IFERROR(INDEX('M03-S02'!$BI$18:$BI$199,2*(ROWS(AK$4:AK26)-1)+1),"")</f>
        <v/>
      </c>
      <c r="AL26" s="32" t="str">
        <f>IFERROR(INDEX('M03-S02'!$BF$18:$BF$199,2*(ROWS(AL$4:AL26)-1)+1),"")</f>
        <v/>
      </c>
      <c r="AM26" s="32" t="str">
        <f>IFERROR(INDEX('M03-S02'!$BA$18:$BA$199,2*(ROWS(AM$4:AM26)-1)+1),"")</f>
        <v/>
      </c>
      <c r="AN26" s="32" t="str">
        <f>IFERROR(INDEX('M03-S02'!$BB$18:$BB$199,2*(ROWS(AN$4:AN26)-1)+1),"")</f>
        <v/>
      </c>
      <c r="AO26" s="32"/>
      <c r="AP26" s="182"/>
      <c r="AQ26" s="182"/>
      <c r="AR26" s="182"/>
      <c r="AS26" s="171"/>
      <c r="AT26" s="171"/>
      <c r="AU26" s="171"/>
      <c r="AV26" s="190"/>
      <c r="AW26" s="190"/>
      <c r="AX26" s="184"/>
      <c r="AY26" s="184"/>
      <c r="AZ26" s="191"/>
      <c r="BA26" s="191"/>
      <c r="BB26" s="171"/>
    </row>
    <row r="27" spans="1:54">
      <c r="A27" s="10">
        <f t="shared" si="0"/>
        <v>0</v>
      </c>
      <c r="B27" t="str">
        <f t="shared" si="1"/>
        <v/>
      </c>
      <c r="C27" t="str" cm="1">
        <f t="array" ref="C27">IFERROR(_xlfn.VALUETOTEXT(INDEX('M03-S02'!$BW$18:$BW$199,2*(ROWS($C$4:C27)-1)+1)),"")</f>
        <v/>
      </c>
      <c r="D27">
        <f>IFERROR(INDEX('M03-S02'!$B$18:$B$199,2*(ROWS(D$4:D27)-1)+1),"")</f>
        <v>24</v>
      </c>
      <c r="E27" s="51" t="str" cm="1">
        <f t="array" ref="E27">IFERROR(_xlfn.VALUETOTEXT(INDEX('M03-S02'!$BX$18:$BX$199,2*(ROWS($E$4:E27)-1)+1)),"")</f>
        <v/>
      </c>
      <c r="F27" t="str" cm="1">
        <f t="array" ref="F27">IF(C27&lt;&gt;"", _xlfn.SWITCH(Program_Banner, "Small Business / Non-Profit", "Hard-To-Reach Business", "Business Energy Savings", "Whole Business Efficiency", ""), "")</f>
        <v/>
      </c>
      <c r="G27" t="s">
        <v>938</v>
      </c>
      <c r="H27" t="str">
        <f>IFERROR(INDEX('M03-S02'!$BC$18:$BC$199,2*(ROWS($H$4:H27)-1)+1),"")</f>
        <v/>
      </c>
      <c r="I27" s="171"/>
      <c r="J27" s="182"/>
      <c r="K27" s="182"/>
      <c r="L27" s="51" t="str">
        <f>IFERROR(INDEX('M03-S02'!$BD$18:$BD$199,2*(ROWS($L$4:L27)-1)+1),"")</f>
        <v/>
      </c>
      <c r="M27" s="51">
        <f>IFERROR(INDEX('M03-S02'!$AG$18:$AG$199,2*(ROWS($M$4:M27)-1)+1),"")</f>
        <v>0</v>
      </c>
      <c r="N27" s="171"/>
      <c r="O27">
        <f>IFERROR(INDEX('M03-S02'!$G$18:$G$199,2*(ROWS(O$4:O27)-1)+1),"")</f>
        <v>0</v>
      </c>
      <c r="P27">
        <f>IFERROR(INDEX('M03-S02'!$O$18:$O$199,2*(ROWS(P$4:P27)-1)+1),"")</f>
        <v>0</v>
      </c>
      <c r="Q27">
        <f>IFERROR(INDEX('M03-S02'!$AC$18:$AC$199,2*(ROWS(Q$4:Q27)-1)+1),"")</f>
        <v>0</v>
      </c>
      <c r="S27" t="str">
        <f>IFERROR(INDEX('M03-S02'!$AX$18:$AX$199,2*(ROWS(S$4:S27)-1)+1),"")</f>
        <v/>
      </c>
      <c r="T27" s="545" t="str">
        <f>IFERROR(ROUND(INDEX('M03-S02'!$AY$18:$AY$199,2*(ROWS(T$4:T27)-1)+1),3),"")</f>
        <v/>
      </c>
      <c r="U27" s="545" t="str">
        <f>IFERROR(ROUND(INDEX('M03-S02'!$AZ$18:$AZ$199,2*(ROWS(U$4:U27)-1)+1),3),"")</f>
        <v/>
      </c>
      <c r="V27" s="26">
        <f>IFERROR(INDEX('M03-S02'!$X$18:$X$199,2*(ROWS($G$4:V27)-1)+1),"")</f>
        <v>0</v>
      </c>
      <c r="W27" s="27" t="str">
        <f>IFERROR(INDEX('M03-S02'!$R$18:$R$199,2*(ROWS(W$4:W27)-1)+1),"")</f>
        <v/>
      </c>
      <c r="X27" s="27" t="str">
        <f>IFERROR(INDEX('M03-S02'!$T$18:$T$199,2*(ROWS(X$4:X27)-1)+1),"")</f>
        <v/>
      </c>
      <c r="Y27" s="184"/>
      <c r="Z27" s="184"/>
      <c r="AA27" s="9" t="str" cm="1">
        <f t="array" ref="AA27">IFERROR(ROUND(INDEX('M03-S02'!$AR$18:$AR$199,2*(ROWS(AA$4:AA27)-1)+1), 2),"")</f>
        <v/>
      </c>
      <c r="AB27" s="9" t="str" cm="1">
        <f t="array" ref="AB27">_xlfn.LET(_xlpm.ROWS, 2*(ROWS(AB$4:AB27)-1)+1,IFERROR(INDEX('M03-S02'!$AR$18:$AR$199, _xlpm.ROWS)-INDEX('M03-S02'!$BS$18:$BS$199, _xlpm.ROWS),""))</f>
        <v/>
      </c>
      <c r="AC27" s="9">
        <f>IFERROR(ROUND(INDEX('M03-S02'!$AI$18:$AI$199,2*(ROWS(AC$4:AC27)-1)+1),2),"")</f>
        <v>0</v>
      </c>
      <c r="AD27" s="9">
        <f>IFERROR(ROUND(INDEX('M03-S02'!$AK$18:$AK$199,2*(ROWS(AD$4:AD27)-1)+1),2),"")</f>
        <v>0</v>
      </c>
      <c r="AE27" s="9" t="str">
        <f>IFERROR(ROUND(INDEX('M03-S02'!$BL$18:$BL$199,2*(ROWS(AE$4:AE27)-1)+1),2),"")</f>
        <v/>
      </c>
      <c r="AF27" t="s">
        <v>84</v>
      </c>
      <c r="AG27" s="51" t="str">
        <f>IFERROR(ROUND(INDEX('M03-S02'!$BM$18:$BM$199,2*(ROWS(AG$4:AG27)-1)+1),2),"")</f>
        <v/>
      </c>
      <c r="AH27" s="184"/>
      <c r="AI27" s="32" t="str">
        <f>IFERROR(INDEX('M03-S02'!$BH$18:$BH$199,2*(ROWS(AI$4:AI27)-1)+1),"")</f>
        <v/>
      </c>
      <c r="AJ27" s="32" t="str">
        <f>IFERROR(INDEX('M03-S02'!$BE$18:$BE$199,2*(ROWS(AJ$4:AJ27)-1)+1),"")</f>
        <v/>
      </c>
      <c r="AK27" s="32" t="str">
        <f>IFERROR(INDEX('M03-S02'!$BI$18:$BI$199,2*(ROWS(AK$4:AK27)-1)+1),"")</f>
        <v/>
      </c>
      <c r="AL27" s="32" t="str">
        <f>IFERROR(INDEX('M03-S02'!$BF$18:$BF$199,2*(ROWS(AL$4:AL27)-1)+1),"")</f>
        <v/>
      </c>
      <c r="AM27" s="32" t="str">
        <f>IFERROR(INDEX('M03-S02'!$BA$18:$BA$199,2*(ROWS(AM$4:AM27)-1)+1),"")</f>
        <v/>
      </c>
      <c r="AN27" s="32" t="str">
        <f>IFERROR(INDEX('M03-S02'!$BB$18:$BB$199,2*(ROWS(AN$4:AN27)-1)+1),"")</f>
        <v/>
      </c>
      <c r="AO27" s="32"/>
      <c r="AP27" s="182"/>
      <c r="AQ27" s="182"/>
      <c r="AR27" s="182"/>
      <c r="AS27" s="171"/>
      <c r="AT27" s="171"/>
      <c r="AU27" s="171"/>
      <c r="AV27" s="190"/>
      <c r="AW27" s="190"/>
      <c r="AX27" s="184"/>
      <c r="AY27" s="184"/>
      <c r="AZ27" s="191"/>
      <c r="BA27" s="191"/>
      <c r="BB27" s="171"/>
    </row>
    <row r="28" spans="1:54">
      <c r="A28" s="10">
        <f t="shared" si="0"/>
        <v>0</v>
      </c>
      <c r="B28" t="str">
        <f t="shared" si="1"/>
        <v/>
      </c>
      <c r="C28" t="str" cm="1">
        <f t="array" ref="C28">IFERROR(_xlfn.VALUETOTEXT(INDEX('M03-S02'!$BW$18:$BW$199,2*(ROWS($C$4:C28)-1)+1)),"")</f>
        <v/>
      </c>
      <c r="D28">
        <f>IFERROR(INDEX('M03-S02'!$B$18:$B$199,2*(ROWS(D$4:D28)-1)+1),"")</f>
        <v>25</v>
      </c>
      <c r="E28" s="51" t="str" cm="1">
        <f t="array" ref="E28">IFERROR(_xlfn.VALUETOTEXT(INDEX('M03-S02'!$BX$18:$BX$199,2*(ROWS($E$4:E28)-1)+1)),"")</f>
        <v/>
      </c>
      <c r="F28" t="str" cm="1">
        <f t="array" ref="F28">IF(C28&lt;&gt;"", _xlfn.SWITCH(Program_Banner, "Small Business / Non-Profit", "Hard-To-Reach Business", "Business Energy Savings", "Whole Business Efficiency", ""), "")</f>
        <v/>
      </c>
      <c r="G28" t="s">
        <v>938</v>
      </c>
      <c r="H28" t="str">
        <f>IFERROR(INDEX('M03-S02'!$BC$18:$BC$199,2*(ROWS($H$4:H28)-1)+1),"")</f>
        <v/>
      </c>
      <c r="I28" s="171"/>
      <c r="J28" s="182"/>
      <c r="K28" s="182"/>
      <c r="L28" s="51" t="str">
        <f>IFERROR(INDEX('M03-S02'!$BD$18:$BD$199,2*(ROWS($L$4:L28)-1)+1),"")</f>
        <v/>
      </c>
      <c r="M28" s="51">
        <f>IFERROR(INDEX('M03-S02'!$AG$18:$AG$199,2*(ROWS($M$4:M28)-1)+1),"")</f>
        <v>0</v>
      </c>
      <c r="N28" s="171"/>
      <c r="O28">
        <f>IFERROR(INDEX('M03-S02'!$G$18:$G$199,2*(ROWS(O$4:O28)-1)+1),"")</f>
        <v>0</v>
      </c>
      <c r="P28">
        <f>IFERROR(INDEX('M03-S02'!$O$18:$O$199,2*(ROWS(P$4:P28)-1)+1),"")</f>
        <v>0</v>
      </c>
      <c r="Q28">
        <f>IFERROR(INDEX('M03-S02'!$AC$18:$AC$199,2*(ROWS(Q$4:Q28)-1)+1),"")</f>
        <v>0</v>
      </c>
      <c r="S28" t="str">
        <f>IFERROR(INDEX('M03-S02'!$AX$18:$AX$199,2*(ROWS(S$4:S28)-1)+1),"")</f>
        <v/>
      </c>
      <c r="T28" s="545" t="str">
        <f>IFERROR(ROUND(INDEX('M03-S02'!$AY$18:$AY$199,2*(ROWS(T$4:T28)-1)+1),3),"")</f>
        <v/>
      </c>
      <c r="U28" s="545" t="str">
        <f>IFERROR(ROUND(INDEX('M03-S02'!$AZ$18:$AZ$199,2*(ROWS(U$4:U28)-1)+1),3),"")</f>
        <v/>
      </c>
      <c r="V28" s="26">
        <f>IFERROR(INDEX('M03-S02'!$X$18:$X$199,2*(ROWS($G$4:V28)-1)+1),"")</f>
        <v>0</v>
      </c>
      <c r="W28" s="27" t="str">
        <f>IFERROR(INDEX('M03-S02'!$R$18:$R$199,2*(ROWS(W$4:W28)-1)+1),"")</f>
        <v/>
      </c>
      <c r="X28" s="27" t="str">
        <f>IFERROR(INDEX('M03-S02'!$T$18:$T$199,2*(ROWS(X$4:X28)-1)+1),"")</f>
        <v/>
      </c>
      <c r="Y28" s="184"/>
      <c r="Z28" s="184"/>
      <c r="AA28" s="9" t="str" cm="1">
        <f t="array" ref="AA28">IFERROR(ROUND(INDEX('M03-S02'!$AR$18:$AR$199,2*(ROWS(AA$4:AA28)-1)+1), 2),"")</f>
        <v/>
      </c>
      <c r="AB28" s="9" t="str" cm="1">
        <f t="array" ref="AB28">_xlfn.LET(_xlpm.ROWS, 2*(ROWS(AB$4:AB28)-1)+1,IFERROR(INDEX('M03-S02'!$AR$18:$AR$199, _xlpm.ROWS)-INDEX('M03-S02'!$BS$18:$BS$199, _xlpm.ROWS),""))</f>
        <v/>
      </c>
      <c r="AC28" s="9">
        <f>IFERROR(ROUND(INDEX('M03-S02'!$AI$18:$AI$199,2*(ROWS(AC$4:AC28)-1)+1),2),"")</f>
        <v>0</v>
      </c>
      <c r="AD28" s="9">
        <f>IFERROR(ROUND(INDEX('M03-S02'!$AK$18:$AK$199,2*(ROWS(AD$4:AD28)-1)+1),2),"")</f>
        <v>0</v>
      </c>
      <c r="AE28" s="9" t="str">
        <f>IFERROR(ROUND(INDEX('M03-S02'!$BL$18:$BL$199,2*(ROWS(AE$4:AE28)-1)+1),2),"")</f>
        <v/>
      </c>
      <c r="AF28" t="s">
        <v>84</v>
      </c>
      <c r="AG28" s="51" t="str">
        <f>IFERROR(ROUND(INDEX('M03-S02'!$BM$18:$BM$199,2*(ROWS(AG$4:AG28)-1)+1),2),"")</f>
        <v/>
      </c>
      <c r="AH28" s="184"/>
      <c r="AI28" s="32" t="str">
        <f>IFERROR(INDEX('M03-S02'!$BH$18:$BH$199,2*(ROWS(AI$4:AI28)-1)+1),"")</f>
        <v/>
      </c>
      <c r="AJ28" s="32" t="str">
        <f>IFERROR(INDEX('M03-S02'!$BE$18:$BE$199,2*(ROWS(AJ$4:AJ28)-1)+1),"")</f>
        <v/>
      </c>
      <c r="AK28" s="32" t="str">
        <f>IFERROR(INDEX('M03-S02'!$BI$18:$BI$199,2*(ROWS(AK$4:AK28)-1)+1),"")</f>
        <v/>
      </c>
      <c r="AL28" s="32" t="str">
        <f>IFERROR(INDEX('M03-S02'!$BF$18:$BF$199,2*(ROWS(AL$4:AL28)-1)+1),"")</f>
        <v/>
      </c>
      <c r="AM28" s="32" t="str">
        <f>IFERROR(INDEX('M03-S02'!$BA$18:$BA$199,2*(ROWS(AM$4:AM28)-1)+1),"")</f>
        <v/>
      </c>
      <c r="AN28" s="32" t="str">
        <f>IFERROR(INDEX('M03-S02'!$BB$18:$BB$199,2*(ROWS(AN$4:AN28)-1)+1),"")</f>
        <v/>
      </c>
      <c r="AO28" s="32"/>
      <c r="AP28" s="182"/>
      <c r="AQ28" s="182"/>
      <c r="AR28" s="182"/>
      <c r="AS28" s="171"/>
      <c r="AT28" s="171"/>
      <c r="AU28" s="171"/>
      <c r="AV28" s="190"/>
      <c r="AW28" s="190"/>
      <c r="AX28" s="184"/>
      <c r="AY28" s="184"/>
      <c r="AZ28" s="191"/>
      <c r="BA28" s="191"/>
      <c r="BB28" s="171"/>
    </row>
    <row r="29" spans="1:54">
      <c r="A29" s="10">
        <f t="shared" si="0"/>
        <v>0</v>
      </c>
      <c r="B29" t="str">
        <f t="shared" si="1"/>
        <v/>
      </c>
      <c r="C29" t="str" cm="1">
        <f t="array" ref="C29">IFERROR(_xlfn.VALUETOTEXT(INDEX('M03-S02'!$BW$18:$BW$199,2*(ROWS($C$4:C29)-1)+1)),"")</f>
        <v/>
      </c>
      <c r="D29">
        <f>IFERROR(INDEX('M03-S02'!$B$18:$B$199,2*(ROWS(D$4:D29)-1)+1),"")</f>
        <v>26</v>
      </c>
      <c r="E29" s="51" t="str" cm="1">
        <f t="array" ref="E29">IFERROR(_xlfn.VALUETOTEXT(INDEX('M03-S02'!$BX$18:$BX$199,2*(ROWS($E$4:E29)-1)+1)),"")</f>
        <v/>
      </c>
      <c r="F29" t="str" cm="1">
        <f t="array" ref="F29">IF(C29&lt;&gt;"", _xlfn.SWITCH(Program_Banner, "Small Business / Non-Profit", "Hard-To-Reach Business", "Business Energy Savings", "Whole Business Efficiency", ""), "")</f>
        <v/>
      </c>
      <c r="G29" t="s">
        <v>938</v>
      </c>
      <c r="H29" t="str">
        <f>IFERROR(INDEX('M03-S02'!$BC$18:$BC$199,2*(ROWS($H$4:H29)-1)+1),"")</f>
        <v/>
      </c>
      <c r="I29" s="171"/>
      <c r="J29" s="182"/>
      <c r="K29" s="182"/>
      <c r="L29" s="51" t="str">
        <f>IFERROR(INDEX('M03-S02'!$BD$18:$BD$199,2*(ROWS($L$4:L29)-1)+1),"")</f>
        <v/>
      </c>
      <c r="M29" s="51">
        <f>IFERROR(INDEX('M03-S02'!$AG$18:$AG$199,2*(ROWS($M$4:M29)-1)+1),"")</f>
        <v>0</v>
      </c>
      <c r="N29" s="171"/>
      <c r="O29">
        <f>IFERROR(INDEX('M03-S02'!$G$18:$G$199,2*(ROWS(O$4:O29)-1)+1),"")</f>
        <v>0</v>
      </c>
      <c r="P29">
        <f>IFERROR(INDEX('M03-S02'!$O$18:$O$199,2*(ROWS(P$4:P29)-1)+1),"")</f>
        <v>0</v>
      </c>
      <c r="Q29">
        <f>IFERROR(INDEX('M03-S02'!$AC$18:$AC$199,2*(ROWS(Q$4:Q29)-1)+1),"")</f>
        <v>0</v>
      </c>
      <c r="S29" t="str">
        <f>IFERROR(INDEX('M03-S02'!$AX$18:$AX$199,2*(ROWS(S$4:S29)-1)+1),"")</f>
        <v/>
      </c>
      <c r="T29" s="545" t="str">
        <f>IFERROR(ROUND(INDEX('M03-S02'!$AY$18:$AY$199,2*(ROWS(T$4:T29)-1)+1),3),"")</f>
        <v/>
      </c>
      <c r="U29" s="545" t="str">
        <f>IFERROR(ROUND(INDEX('M03-S02'!$AZ$18:$AZ$199,2*(ROWS(U$4:U29)-1)+1),3),"")</f>
        <v/>
      </c>
      <c r="V29" s="26">
        <f>IFERROR(INDEX('M03-S02'!$X$18:$X$199,2*(ROWS($G$4:V29)-1)+1),"")</f>
        <v>0</v>
      </c>
      <c r="W29" s="27" t="str">
        <f>IFERROR(INDEX('M03-S02'!$R$18:$R$199,2*(ROWS(W$4:W29)-1)+1),"")</f>
        <v/>
      </c>
      <c r="X29" s="27" t="str">
        <f>IFERROR(INDEX('M03-S02'!$T$18:$T$199,2*(ROWS(X$4:X29)-1)+1),"")</f>
        <v/>
      </c>
      <c r="Y29" s="184"/>
      <c r="Z29" s="184"/>
      <c r="AA29" s="9" t="str" cm="1">
        <f t="array" ref="AA29">IFERROR(ROUND(INDEX('M03-S02'!$AR$18:$AR$199,2*(ROWS(AA$4:AA29)-1)+1), 2),"")</f>
        <v/>
      </c>
      <c r="AB29" s="9" t="str" cm="1">
        <f t="array" ref="AB29">_xlfn.LET(_xlpm.ROWS, 2*(ROWS(AB$4:AB29)-1)+1,IFERROR(INDEX('M03-S02'!$AR$18:$AR$199, _xlpm.ROWS)-INDEX('M03-S02'!$BS$18:$BS$199, _xlpm.ROWS),""))</f>
        <v/>
      </c>
      <c r="AC29" s="9">
        <f>IFERROR(ROUND(INDEX('M03-S02'!$AI$18:$AI$199,2*(ROWS(AC$4:AC29)-1)+1),2),"")</f>
        <v>0</v>
      </c>
      <c r="AD29" s="9">
        <f>IFERROR(ROUND(INDEX('M03-S02'!$AK$18:$AK$199,2*(ROWS(AD$4:AD29)-1)+1),2),"")</f>
        <v>0</v>
      </c>
      <c r="AE29" s="9" t="str">
        <f>IFERROR(ROUND(INDEX('M03-S02'!$BL$18:$BL$199,2*(ROWS(AE$4:AE29)-1)+1),2),"")</f>
        <v/>
      </c>
      <c r="AF29" t="s">
        <v>84</v>
      </c>
      <c r="AG29" s="51" t="str">
        <f>IFERROR(ROUND(INDEX('M03-S02'!$BM$18:$BM$199,2*(ROWS(AG$4:AG29)-1)+1),2),"")</f>
        <v/>
      </c>
      <c r="AH29" s="184"/>
      <c r="AI29" s="32" t="str">
        <f>IFERROR(INDEX('M03-S02'!$BH$18:$BH$199,2*(ROWS(AI$4:AI29)-1)+1),"")</f>
        <v/>
      </c>
      <c r="AJ29" s="32" t="str">
        <f>IFERROR(INDEX('M03-S02'!$BE$18:$BE$199,2*(ROWS(AJ$4:AJ29)-1)+1),"")</f>
        <v/>
      </c>
      <c r="AK29" s="32" t="str">
        <f>IFERROR(INDEX('M03-S02'!$BI$18:$BI$199,2*(ROWS(AK$4:AK29)-1)+1),"")</f>
        <v/>
      </c>
      <c r="AL29" s="32" t="str">
        <f>IFERROR(INDEX('M03-S02'!$BF$18:$BF$199,2*(ROWS(AL$4:AL29)-1)+1),"")</f>
        <v/>
      </c>
      <c r="AM29" s="32" t="str">
        <f>IFERROR(INDEX('M03-S02'!$BA$18:$BA$199,2*(ROWS(AM$4:AM29)-1)+1),"")</f>
        <v/>
      </c>
      <c r="AN29" s="32" t="str">
        <f>IFERROR(INDEX('M03-S02'!$BB$18:$BB$199,2*(ROWS(AN$4:AN29)-1)+1),"")</f>
        <v/>
      </c>
      <c r="AO29" s="32"/>
      <c r="AP29" s="182"/>
      <c r="AQ29" s="182"/>
      <c r="AR29" s="182"/>
      <c r="AS29" s="171"/>
      <c r="AT29" s="171"/>
      <c r="AU29" s="171"/>
      <c r="AV29" s="190"/>
      <c r="AW29" s="190"/>
      <c r="AX29" s="184"/>
      <c r="AY29" s="184"/>
      <c r="AZ29" s="191"/>
      <c r="BA29" s="191"/>
      <c r="BB29" s="171"/>
    </row>
    <row r="30" spans="1:54">
      <c r="A30" s="10">
        <f t="shared" si="0"/>
        <v>0</v>
      </c>
      <c r="B30" t="str">
        <f t="shared" si="1"/>
        <v/>
      </c>
      <c r="C30" t="str" cm="1">
        <f t="array" ref="C30">IFERROR(_xlfn.VALUETOTEXT(INDEX('M03-S02'!$BW$18:$BW$199,2*(ROWS($C$4:C30)-1)+1)),"")</f>
        <v/>
      </c>
      <c r="D30">
        <f>IFERROR(INDEX('M03-S02'!$B$18:$B$199,2*(ROWS(D$4:D30)-1)+1),"")</f>
        <v>27</v>
      </c>
      <c r="E30" s="51" t="str" cm="1">
        <f t="array" ref="E30">IFERROR(_xlfn.VALUETOTEXT(INDEX('M03-S02'!$BX$18:$BX$199,2*(ROWS($E$4:E30)-1)+1)),"")</f>
        <v/>
      </c>
      <c r="F30" t="str" cm="1">
        <f t="array" ref="F30">IF(C30&lt;&gt;"", _xlfn.SWITCH(Program_Banner, "Small Business / Non-Profit", "Hard-To-Reach Business", "Business Energy Savings", "Whole Business Efficiency", ""), "")</f>
        <v/>
      </c>
      <c r="G30" t="s">
        <v>938</v>
      </c>
      <c r="H30" t="str">
        <f>IFERROR(INDEX('M03-S02'!$BC$18:$BC$199,2*(ROWS($H$4:H30)-1)+1),"")</f>
        <v/>
      </c>
      <c r="I30" s="171"/>
      <c r="J30" s="182"/>
      <c r="K30" s="182"/>
      <c r="L30" s="51" t="str">
        <f>IFERROR(INDEX('M03-S02'!$BD$18:$BD$199,2*(ROWS($L$4:L30)-1)+1),"")</f>
        <v/>
      </c>
      <c r="M30" s="51">
        <f>IFERROR(INDEX('M03-S02'!$AG$18:$AG$199,2*(ROWS($M$4:M30)-1)+1),"")</f>
        <v>0</v>
      </c>
      <c r="N30" s="171"/>
      <c r="O30">
        <f>IFERROR(INDEX('M03-S02'!$G$18:$G$199,2*(ROWS(O$4:O30)-1)+1),"")</f>
        <v>0</v>
      </c>
      <c r="P30">
        <f>IFERROR(INDEX('M03-S02'!$O$18:$O$199,2*(ROWS(P$4:P30)-1)+1),"")</f>
        <v>0</v>
      </c>
      <c r="Q30">
        <f>IFERROR(INDEX('M03-S02'!$AC$18:$AC$199,2*(ROWS(Q$4:Q30)-1)+1),"")</f>
        <v>0</v>
      </c>
      <c r="S30" t="str">
        <f>IFERROR(INDEX('M03-S02'!$AX$18:$AX$199,2*(ROWS(S$4:S30)-1)+1),"")</f>
        <v/>
      </c>
      <c r="T30" s="545" t="str">
        <f>IFERROR(ROUND(INDEX('M03-S02'!$AY$18:$AY$199,2*(ROWS(T$4:T30)-1)+1),3),"")</f>
        <v/>
      </c>
      <c r="U30" s="545" t="str">
        <f>IFERROR(ROUND(INDEX('M03-S02'!$AZ$18:$AZ$199,2*(ROWS(U$4:U30)-1)+1),3),"")</f>
        <v/>
      </c>
      <c r="V30" s="26">
        <f>IFERROR(INDEX('M03-S02'!$X$18:$X$199,2*(ROWS($G$4:V30)-1)+1),"")</f>
        <v>0</v>
      </c>
      <c r="W30" s="27" t="str">
        <f>IFERROR(INDEX('M03-S02'!$R$18:$R$199,2*(ROWS(W$4:W30)-1)+1),"")</f>
        <v/>
      </c>
      <c r="X30" s="27" t="str">
        <f>IFERROR(INDEX('M03-S02'!$T$18:$T$199,2*(ROWS(X$4:X30)-1)+1),"")</f>
        <v/>
      </c>
      <c r="Y30" s="184"/>
      <c r="Z30" s="184"/>
      <c r="AA30" s="9" t="str" cm="1">
        <f t="array" ref="AA30">IFERROR(ROUND(INDEX('M03-S02'!$AR$18:$AR$199,2*(ROWS(AA$4:AA30)-1)+1), 2),"")</f>
        <v/>
      </c>
      <c r="AB30" s="9" t="str" cm="1">
        <f t="array" ref="AB30">_xlfn.LET(_xlpm.ROWS, 2*(ROWS(AB$4:AB30)-1)+1,IFERROR(INDEX('M03-S02'!$AR$18:$AR$199, _xlpm.ROWS)-INDEX('M03-S02'!$BS$18:$BS$199, _xlpm.ROWS),""))</f>
        <v/>
      </c>
      <c r="AC30" s="9">
        <f>IFERROR(ROUND(INDEX('M03-S02'!$AI$18:$AI$199,2*(ROWS(AC$4:AC30)-1)+1),2),"")</f>
        <v>0</v>
      </c>
      <c r="AD30" s="9">
        <f>IFERROR(ROUND(INDEX('M03-S02'!$AK$18:$AK$199,2*(ROWS(AD$4:AD30)-1)+1),2),"")</f>
        <v>0</v>
      </c>
      <c r="AE30" s="9" t="str">
        <f>IFERROR(ROUND(INDEX('M03-S02'!$BL$18:$BL$199,2*(ROWS(AE$4:AE30)-1)+1),2),"")</f>
        <v/>
      </c>
      <c r="AF30" t="s">
        <v>84</v>
      </c>
      <c r="AG30" s="51" t="str">
        <f>IFERROR(ROUND(INDEX('M03-S02'!$BM$18:$BM$199,2*(ROWS(AG$4:AG30)-1)+1),2),"")</f>
        <v/>
      </c>
      <c r="AH30" s="184"/>
      <c r="AI30" s="32" t="str">
        <f>IFERROR(INDEX('M03-S02'!$BH$18:$BH$199,2*(ROWS(AI$4:AI30)-1)+1),"")</f>
        <v/>
      </c>
      <c r="AJ30" s="32" t="str">
        <f>IFERROR(INDEX('M03-S02'!$BE$18:$BE$199,2*(ROWS(AJ$4:AJ30)-1)+1),"")</f>
        <v/>
      </c>
      <c r="AK30" s="32" t="str">
        <f>IFERROR(INDEX('M03-S02'!$BI$18:$BI$199,2*(ROWS(AK$4:AK30)-1)+1),"")</f>
        <v/>
      </c>
      <c r="AL30" s="32" t="str">
        <f>IFERROR(INDEX('M03-S02'!$BF$18:$BF$199,2*(ROWS(AL$4:AL30)-1)+1),"")</f>
        <v/>
      </c>
      <c r="AM30" s="32" t="str">
        <f>IFERROR(INDEX('M03-S02'!$BA$18:$BA$199,2*(ROWS(AM$4:AM30)-1)+1),"")</f>
        <v/>
      </c>
      <c r="AN30" s="32" t="str">
        <f>IFERROR(INDEX('M03-S02'!$BB$18:$BB$199,2*(ROWS(AN$4:AN30)-1)+1),"")</f>
        <v/>
      </c>
      <c r="AO30" s="32"/>
      <c r="AP30" s="182"/>
      <c r="AQ30" s="182"/>
      <c r="AR30" s="182"/>
      <c r="AS30" s="171"/>
      <c r="AT30" s="171"/>
      <c r="AU30" s="171"/>
      <c r="AV30" s="190"/>
      <c r="AW30" s="190"/>
      <c r="AX30" s="184"/>
      <c r="AY30" s="184"/>
      <c r="AZ30" s="191"/>
      <c r="BA30" s="191"/>
      <c r="BB30" s="171"/>
    </row>
    <row r="31" spans="1:54">
      <c r="A31" s="10">
        <f t="shared" si="0"/>
        <v>0</v>
      </c>
      <c r="B31" t="str">
        <f t="shared" si="1"/>
        <v/>
      </c>
      <c r="C31" t="str" cm="1">
        <f t="array" ref="C31">IFERROR(_xlfn.VALUETOTEXT(INDEX('M03-S02'!$BW$18:$BW$199,2*(ROWS($C$4:C31)-1)+1)),"")</f>
        <v/>
      </c>
      <c r="D31">
        <f>IFERROR(INDEX('M03-S02'!$B$18:$B$199,2*(ROWS(D$4:D31)-1)+1),"")</f>
        <v>28</v>
      </c>
      <c r="E31" s="51" t="str" cm="1">
        <f t="array" ref="E31">IFERROR(_xlfn.VALUETOTEXT(INDEX('M03-S02'!$BX$18:$BX$199,2*(ROWS($E$4:E31)-1)+1)),"")</f>
        <v/>
      </c>
      <c r="F31" t="str" cm="1">
        <f t="array" ref="F31">IF(C31&lt;&gt;"", _xlfn.SWITCH(Program_Banner, "Small Business / Non-Profit", "Hard-To-Reach Business", "Business Energy Savings", "Whole Business Efficiency", ""), "")</f>
        <v/>
      </c>
      <c r="G31" t="s">
        <v>938</v>
      </c>
      <c r="H31" t="str">
        <f>IFERROR(INDEX('M03-S02'!$BC$18:$BC$199,2*(ROWS($H$4:H31)-1)+1),"")</f>
        <v/>
      </c>
      <c r="I31" s="171"/>
      <c r="J31" s="182"/>
      <c r="K31" s="182"/>
      <c r="L31" s="51" t="str">
        <f>IFERROR(INDEX('M03-S02'!$BD$18:$BD$199,2*(ROWS($L$4:L31)-1)+1),"")</f>
        <v/>
      </c>
      <c r="M31" s="51">
        <f>IFERROR(INDEX('M03-S02'!$AG$18:$AG$199,2*(ROWS($M$4:M31)-1)+1),"")</f>
        <v>0</v>
      </c>
      <c r="N31" s="171"/>
      <c r="O31">
        <f>IFERROR(INDEX('M03-S02'!$G$18:$G$199,2*(ROWS(O$4:O31)-1)+1),"")</f>
        <v>0</v>
      </c>
      <c r="P31">
        <f>IFERROR(INDEX('M03-S02'!$O$18:$O$199,2*(ROWS(P$4:P31)-1)+1),"")</f>
        <v>0</v>
      </c>
      <c r="Q31">
        <f>IFERROR(INDEX('M03-S02'!$AC$18:$AC$199,2*(ROWS(Q$4:Q31)-1)+1),"")</f>
        <v>0</v>
      </c>
      <c r="S31" t="str">
        <f>IFERROR(INDEX('M03-S02'!$AX$18:$AX$199,2*(ROWS(S$4:S31)-1)+1),"")</f>
        <v/>
      </c>
      <c r="T31" s="545" t="str">
        <f>IFERROR(ROUND(INDEX('M03-S02'!$AY$18:$AY$199,2*(ROWS(T$4:T31)-1)+1),3),"")</f>
        <v/>
      </c>
      <c r="U31" s="545" t="str">
        <f>IFERROR(ROUND(INDEX('M03-S02'!$AZ$18:$AZ$199,2*(ROWS(U$4:U31)-1)+1),3),"")</f>
        <v/>
      </c>
      <c r="V31" s="26">
        <f>IFERROR(INDEX('M03-S02'!$X$18:$X$199,2*(ROWS($G$4:V31)-1)+1),"")</f>
        <v>0</v>
      </c>
      <c r="W31" s="27" t="str">
        <f>IFERROR(INDEX('M03-S02'!$R$18:$R$199,2*(ROWS(W$4:W31)-1)+1),"")</f>
        <v/>
      </c>
      <c r="X31" s="27" t="str">
        <f>IFERROR(INDEX('M03-S02'!$T$18:$T$199,2*(ROWS(X$4:X31)-1)+1),"")</f>
        <v/>
      </c>
      <c r="Y31" s="184"/>
      <c r="Z31" s="184"/>
      <c r="AA31" s="9" t="str" cm="1">
        <f t="array" ref="AA31">IFERROR(ROUND(INDEX('M03-S02'!$AR$18:$AR$199,2*(ROWS(AA$4:AA31)-1)+1), 2),"")</f>
        <v/>
      </c>
      <c r="AB31" s="9" t="str" cm="1">
        <f t="array" ref="AB31">_xlfn.LET(_xlpm.ROWS, 2*(ROWS(AB$4:AB31)-1)+1,IFERROR(INDEX('M03-S02'!$AR$18:$AR$199, _xlpm.ROWS)-INDEX('M03-S02'!$BS$18:$BS$199, _xlpm.ROWS),""))</f>
        <v/>
      </c>
      <c r="AC31" s="9">
        <f>IFERROR(ROUND(INDEX('M03-S02'!$AI$18:$AI$199,2*(ROWS(AC$4:AC31)-1)+1),2),"")</f>
        <v>0</v>
      </c>
      <c r="AD31" s="9">
        <f>IFERROR(ROUND(INDEX('M03-S02'!$AK$18:$AK$199,2*(ROWS(AD$4:AD31)-1)+1),2),"")</f>
        <v>0</v>
      </c>
      <c r="AE31" s="9" t="str">
        <f>IFERROR(ROUND(INDEX('M03-S02'!$BL$18:$BL$199,2*(ROWS(AE$4:AE31)-1)+1),2),"")</f>
        <v/>
      </c>
      <c r="AF31" t="s">
        <v>84</v>
      </c>
      <c r="AG31" s="51" t="str">
        <f>IFERROR(ROUND(INDEX('M03-S02'!$BM$18:$BM$199,2*(ROWS(AG$4:AG31)-1)+1),2),"")</f>
        <v/>
      </c>
      <c r="AH31" s="184"/>
      <c r="AI31" s="32" t="str">
        <f>IFERROR(INDEX('M03-S02'!$BH$18:$BH$199,2*(ROWS(AI$4:AI31)-1)+1),"")</f>
        <v/>
      </c>
      <c r="AJ31" s="32" t="str">
        <f>IFERROR(INDEX('M03-S02'!$BE$18:$BE$199,2*(ROWS(AJ$4:AJ31)-1)+1),"")</f>
        <v/>
      </c>
      <c r="AK31" s="32" t="str">
        <f>IFERROR(INDEX('M03-S02'!$BI$18:$BI$199,2*(ROWS(AK$4:AK31)-1)+1),"")</f>
        <v/>
      </c>
      <c r="AL31" s="32" t="str">
        <f>IFERROR(INDEX('M03-S02'!$BF$18:$BF$199,2*(ROWS(AL$4:AL31)-1)+1),"")</f>
        <v/>
      </c>
      <c r="AM31" s="32" t="str">
        <f>IFERROR(INDEX('M03-S02'!$BA$18:$BA$199,2*(ROWS(AM$4:AM31)-1)+1),"")</f>
        <v/>
      </c>
      <c r="AN31" s="32" t="str">
        <f>IFERROR(INDEX('M03-S02'!$BB$18:$BB$199,2*(ROWS(AN$4:AN31)-1)+1),"")</f>
        <v/>
      </c>
      <c r="AO31" s="32"/>
      <c r="AP31" s="182"/>
      <c r="AQ31" s="182"/>
      <c r="AR31" s="182"/>
      <c r="AS31" s="171"/>
      <c r="AT31" s="171"/>
      <c r="AU31" s="171"/>
      <c r="AV31" s="190"/>
      <c r="AW31" s="190"/>
      <c r="AX31" s="184"/>
      <c r="AY31" s="184"/>
      <c r="AZ31" s="191"/>
      <c r="BA31" s="191"/>
      <c r="BB31" s="171"/>
    </row>
    <row r="32" spans="1:54">
      <c r="A32" s="10">
        <f t="shared" si="0"/>
        <v>0</v>
      </c>
      <c r="B32" t="str">
        <f t="shared" si="1"/>
        <v/>
      </c>
      <c r="C32" t="str" cm="1">
        <f t="array" ref="C32">IFERROR(_xlfn.VALUETOTEXT(INDEX('M03-S02'!$BW$18:$BW$199,2*(ROWS($C$4:C32)-1)+1)),"")</f>
        <v/>
      </c>
      <c r="D32">
        <f>IFERROR(INDEX('M03-S02'!$B$18:$B$199,2*(ROWS(D$4:D32)-1)+1),"")</f>
        <v>29</v>
      </c>
      <c r="E32" s="51" t="str" cm="1">
        <f t="array" ref="E32">IFERROR(_xlfn.VALUETOTEXT(INDEX('M03-S02'!$BX$18:$BX$199,2*(ROWS($E$4:E32)-1)+1)),"")</f>
        <v/>
      </c>
      <c r="F32" t="str" cm="1">
        <f t="array" ref="F32">IF(C32&lt;&gt;"", _xlfn.SWITCH(Program_Banner, "Small Business / Non-Profit", "Hard-To-Reach Business", "Business Energy Savings", "Whole Business Efficiency", ""), "")</f>
        <v/>
      </c>
      <c r="G32" t="s">
        <v>938</v>
      </c>
      <c r="H32" t="str">
        <f>IFERROR(INDEX('M03-S02'!$BC$18:$BC$199,2*(ROWS($H$4:H32)-1)+1),"")</f>
        <v/>
      </c>
      <c r="I32" s="171"/>
      <c r="J32" s="182"/>
      <c r="K32" s="182"/>
      <c r="L32" s="51" t="str">
        <f>IFERROR(INDEX('M03-S02'!$BD$18:$BD$199,2*(ROWS($L$4:L32)-1)+1),"")</f>
        <v/>
      </c>
      <c r="M32" s="51">
        <f>IFERROR(INDEX('M03-S02'!$AG$18:$AG$199,2*(ROWS($M$4:M32)-1)+1),"")</f>
        <v>0</v>
      </c>
      <c r="N32" s="171"/>
      <c r="O32">
        <f>IFERROR(INDEX('M03-S02'!$G$18:$G$199,2*(ROWS(O$4:O32)-1)+1),"")</f>
        <v>0</v>
      </c>
      <c r="P32">
        <f>IFERROR(INDEX('M03-S02'!$O$18:$O$199,2*(ROWS(P$4:P32)-1)+1),"")</f>
        <v>0</v>
      </c>
      <c r="Q32">
        <f>IFERROR(INDEX('M03-S02'!$AC$18:$AC$199,2*(ROWS(Q$4:Q32)-1)+1),"")</f>
        <v>0</v>
      </c>
      <c r="S32" t="str">
        <f>IFERROR(INDEX('M03-S02'!$AX$18:$AX$199,2*(ROWS(S$4:S32)-1)+1),"")</f>
        <v/>
      </c>
      <c r="T32" s="545" t="str">
        <f>IFERROR(ROUND(INDEX('M03-S02'!$AY$18:$AY$199,2*(ROWS(T$4:T32)-1)+1),3),"")</f>
        <v/>
      </c>
      <c r="U32" s="545" t="str">
        <f>IFERROR(ROUND(INDEX('M03-S02'!$AZ$18:$AZ$199,2*(ROWS(U$4:U32)-1)+1),3),"")</f>
        <v/>
      </c>
      <c r="V32" s="26">
        <f>IFERROR(INDEX('M03-S02'!$X$18:$X$199,2*(ROWS($G$4:V32)-1)+1),"")</f>
        <v>0</v>
      </c>
      <c r="W32" s="27" t="str">
        <f>IFERROR(INDEX('M03-S02'!$R$18:$R$199,2*(ROWS(W$4:W32)-1)+1),"")</f>
        <v/>
      </c>
      <c r="X32" s="27" t="str">
        <f>IFERROR(INDEX('M03-S02'!$T$18:$T$199,2*(ROWS(X$4:X32)-1)+1),"")</f>
        <v/>
      </c>
      <c r="Y32" s="184"/>
      <c r="Z32" s="184"/>
      <c r="AA32" s="9" t="str" cm="1">
        <f t="array" ref="AA32">IFERROR(ROUND(INDEX('M03-S02'!$AR$18:$AR$199,2*(ROWS(AA$4:AA32)-1)+1), 2),"")</f>
        <v/>
      </c>
      <c r="AB32" s="9" t="str" cm="1">
        <f t="array" ref="AB32">_xlfn.LET(_xlpm.ROWS, 2*(ROWS(AB$4:AB32)-1)+1,IFERROR(INDEX('M03-S02'!$AR$18:$AR$199, _xlpm.ROWS)-INDEX('M03-S02'!$BS$18:$BS$199, _xlpm.ROWS),""))</f>
        <v/>
      </c>
      <c r="AC32" s="9">
        <f>IFERROR(ROUND(INDEX('M03-S02'!$AI$18:$AI$199,2*(ROWS(AC$4:AC32)-1)+1),2),"")</f>
        <v>0</v>
      </c>
      <c r="AD32" s="9">
        <f>IFERROR(ROUND(INDEX('M03-S02'!$AK$18:$AK$199,2*(ROWS(AD$4:AD32)-1)+1),2),"")</f>
        <v>0</v>
      </c>
      <c r="AE32" s="9" t="str">
        <f>IFERROR(ROUND(INDEX('M03-S02'!$BL$18:$BL$199,2*(ROWS(AE$4:AE32)-1)+1),2),"")</f>
        <v/>
      </c>
      <c r="AF32" t="s">
        <v>84</v>
      </c>
      <c r="AG32" s="51" t="str">
        <f>IFERROR(ROUND(INDEX('M03-S02'!$BM$18:$BM$199,2*(ROWS(AG$4:AG32)-1)+1),2),"")</f>
        <v/>
      </c>
      <c r="AH32" s="184"/>
      <c r="AI32" s="32" t="str">
        <f>IFERROR(INDEX('M03-S02'!$BH$18:$BH$199,2*(ROWS(AI$4:AI32)-1)+1),"")</f>
        <v/>
      </c>
      <c r="AJ32" s="32" t="str">
        <f>IFERROR(INDEX('M03-S02'!$BE$18:$BE$199,2*(ROWS(AJ$4:AJ32)-1)+1),"")</f>
        <v/>
      </c>
      <c r="AK32" s="32" t="str">
        <f>IFERROR(INDEX('M03-S02'!$BI$18:$BI$199,2*(ROWS(AK$4:AK32)-1)+1),"")</f>
        <v/>
      </c>
      <c r="AL32" s="32" t="str">
        <f>IFERROR(INDEX('M03-S02'!$BF$18:$BF$199,2*(ROWS(AL$4:AL32)-1)+1),"")</f>
        <v/>
      </c>
      <c r="AM32" s="32" t="str">
        <f>IFERROR(INDEX('M03-S02'!$BA$18:$BA$199,2*(ROWS(AM$4:AM32)-1)+1),"")</f>
        <v/>
      </c>
      <c r="AN32" s="32" t="str">
        <f>IFERROR(INDEX('M03-S02'!$BB$18:$BB$199,2*(ROWS(AN$4:AN32)-1)+1),"")</f>
        <v/>
      </c>
      <c r="AO32" s="32"/>
      <c r="AP32" s="182"/>
      <c r="AQ32" s="182"/>
      <c r="AR32" s="182"/>
      <c r="AS32" s="171"/>
      <c r="AT32" s="171"/>
      <c r="AU32" s="171"/>
      <c r="AV32" s="190"/>
      <c r="AW32" s="190"/>
      <c r="AX32" s="184"/>
      <c r="AY32" s="184"/>
      <c r="AZ32" s="191"/>
      <c r="BA32" s="191"/>
      <c r="BB32" s="171"/>
    </row>
    <row r="33" spans="1:54">
      <c r="A33" s="10">
        <f t="shared" si="0"/>
        <v>0</v>
      </c>
      <c r="B33" t="str">
        <f t="shared" si="1"/>
        <v/>
      </c>
      <c r="C33" t="str" cm="1">
        <f t="array" ref="C33">IFERROR(_xlfn.VALUETOTEXT(INDEX('M03-S02'!$BW$18:$BW$199,2*(ROWS($C$4:C33)-1)+1)),"")</f>
        <v/>
      </c>
      <c r="D33">
        <f>IFERROR(INDEX('M03-S02'!$B$18:$B$199,2*(ROWS(D$4:D33)-1)+1),"")</f>
        <v>30</v>
      </c>
      <c r="E33" s="51" t="str" cm="1">
        <f t="array" ref="E33">IFERROR(_xlfn.VALUETOTEXT(INDEX('M03-S02'!$BX$18:$BX$199,2*(ROWS($E$4:E33)-1)+1)),"")</f>
        <v/>
      </c>
      <c r="F33" t="str" cm="1">
        <f t="array" ref="F33">IF(C33&lt;&gt;"", _xlfn.SWITCH(Program_Banner, "Small Business / Non-Profit", "Hard-To-Reach Business", "Business Energy Savings", "Whole Business Efficiency", ""), "")</f>
        <v/>
      </c>
      <c r="G33" t="s">
        <v>938</v>
      </c>
      <c r="H33" t="str">
        <f>IFERROR(INDEX('M03-S02'!$BC$18:$BC$199,2*(ROWS($H$4:H33)-1)+1),"")</f>
        <v/>
      </c>
      <c r="I33" s="171"/>
      <c r="J33" s="182"/>
      <c r="K33" s="182"/>
      <c r="L33" s="51" t="str">
        <f>IFERROR(INDEX('M03-S02'!$BD$18:$BD$199,2*(ROWS($L$4:L33)-1)+1),"")</f>
        <v/>
      </c>
      <c r="M33" s="51">
        <f>IFERROR(INDEX('M03-S02'!$AG$18:$AG$199,2*(ROWS($M$4:M33)-1)+1),"")</f>
        <v>0</v>
      </c>
      <c r="N33" s="171"/>
      <c r="O33">
        <f>IFERROR(INDEX('M03-S02'!$G$18:$G$199,2*(ROWS(O$4:O33)-1)+1),"")</f>
        <v>0</v>
      </c>
      <c r="P33">
        <f>IFERROR(INDEX('M03-S02'!$O$18:$O$199,2*(ROWS(P$4:P33)-1)+1),"")</f>
        <v>0</v>
      </c>
      <c r="Q33">
        <f>IFERROR(INDEX('M03-S02'!$AC$18:$AC$199,2*(ROWS(Q$4:Q33)-1)+1),"")</f>
        <v>0</v>
      </c>
      <c r="S33" t="str">
        <f>IFERROR(INDEX('M03-S02'!$AX$18:$AX$199,2*(ROWS(S$4:S33)-1)+1),"")</f>
        <v/>
      </c>
      <c r="T33" s="545" t="str">
        <f>IFERROR(ROUND(INDEX('M03-S02'!$AY$18:$AY$199,2*(ROWS(T$4:T33)-1)+1),3),"")</f>
        <v/>
      </c>
      <c r="U33" s="545" t="str">
        <f>IFERROR(ROUND(INDEX('M03-S02'!$AZ$18:$AZ$199,2*(ROWS(U$4:U33)-1)+1),3),"")</f>
        <v/>
      </c>
      <c r="V33" s="26">
        <f>IFERROR(INDEX('M03-S02'!$X$18:$X$199,2*(ROWS($G$4:V33)-1)+1),"")</f>
        <v>0</v>
      </c>
      <c r="W33" s="27" t="str">
        <f>IFERROR(INDEX('M03-S02'!$R$18:$R$199,2*(ROWS(W$4:W33)-1)+1),"")</f>
        <v/>
      </c>
      <c r="X33" s="27" t="str">
        <f>IFERROR(INDEX('M03-S02'!$T$18:$T$199,2*(ROWS(X$4:X33)-1)+1),"")</f>
        <v/>
      </c>
      <c r="Y33" s="184"/>
      <c r="Z33" s="184"/>
      <c r="AA33" s="9" t="str" cm="1">
        <f t="array" ref="AA33">IFERROR(ROUND(INDEX('M03-S02'!$AR$18:$AR$199,2*(ROWS(AA$4:AA33)-1)+1), 2),"")</f>
        <v/>
      </c>
      <c r="AB33" s="9" t="str" cm="1">
        <f t="array" ref="AB33">_xlfn.LET(_xlpm.ROWS, 2*(ROWS(AB$4:AB33)-1)+1,IFERROR(INDEX('M03-S02'!$AR$18:$AR$199, _xlpm.ROWS)-INDEX('M03-S02'!$BS$18:$BS$199, _xlpm.ROWS),""))</f>
        <v/>
      </c>
      <c r="AC33" s="9">
        <f>IFERROR(ROUND(INDEX('M03-S02'!$AI$18:$AI$199,2*(ROWS(AC$4:AC33)-1)+1),2),"")</f>
        <v>0</v>
      </c>
      <c r="AD33" s="9">
        <f>IFERROR(ROUND(INDEX('M03-S02'!$AK$18:$AK$199,2*(ROWS(AD$4:AD33)-1)+1),2),"")</f>
        <v>0</v>
      </c>
      <c r="AE33" s="9" t="str">
        <f>IFERROR(ROUND(INDEX('M03-S02'!$BL$18:$BL$199,2*(ROWS(AE$4:AE33)-1)+1),2),"")</f>
        <v/>
      </c>
      <c r="AF33" t="s">
        <v>84</v>
      </c>
      <c r="AG33" s="51" t="str">
        <f>IFERROR(ROUND(INDEX('M03-S02'!$BM$18:$BM$199,2*(ROWS(AG$4:AG33)-1)+1),2),"")</f>
        <v/>
      </c>
      <c r="AH33" s="184"/>
      <c r="AI33" s="32" t="str">
        <f>IFERROR(INDEX('M03-S02'!$BH$18:$BH$199,2*(ROWS(AI$4:AI33)-1)+1),"")</f>
        <v/>
      </c>
      <c r="AJ33" s="32" t="str">
        <f>IFERROR(INDEX('M03-S02'!$BE$18:$BE$199,2*(ROWS(AJ$4:AJ33)-1)+1),"")</f>
        <v/>
      </c>
      <c r="AK33" s="32" t="str">
        <f>IFERROR(INDEX('M03-S02'!$BI$18:$BI$199,2*(ROWS(AK$4:AK33)-1)+1),"")</f>
        <v/>
      </c>
      <c r="AL33" s="32" t="str">
        <f>IFERROR(INDEX('M03-S02'!$BF$18:$BF$199,2*(ROWS(AL$4:AL33)-1)+1),"")</f>
        <v/>
      </c>
      <c r="AM33" s="32" t="str">
        <f>IFERROR(INDEX('M03-S02'!$BA$18:$BA$199,2*(ROWS(AM$4:AM33)-1)+1),"")</f>
        <v/>
      </c>
      <c r="AN33" s="32" t="str">
        <f>IFERROR(INDEX('M03-S02'!$BB$18:$BB$199,2*(ROWS(AN$4:AN33)-1)+1),"")</f>
        <v/>
      </c>
      <c r="AO33" s="32"/>
      <c r="AP33" s="182"/>
      <c r="AQ33" s="182"/>
      <c r="AR33" s="182"/>
      <c r="AS33" s="171"/>
      <c r="AT33" s="171"/>
      <c r="AU33" s="171"/>
      <c r="AV33" s="190"/>
      <c r="AW33" s="190"/>
      <c r="AX33" s="184"/>
      <c r="AY33" s="184"/>
      <c r="AZ33" s="191"/>
      <c r="BA33" s="191"/>
      <c r="BB33" s="171"/>
    </row>
    <row r="34" spans="1:54">
      <c r="A34" s="479" t="str">
        <f>"Standard "&amp;M3S3</f>
        <v>Standard Lighting Controls</v>
      </c>
      <c r="B34" s="172"/>
      <c r="C34" s="172"/>
      <c r="D34" s="172"/>
      <c r="E34" s="172"/>
      <c r="F34" s="172"/>
      <c r="G34" s="172"/>
      <c r="H34" s="172"/>
      <c r="I34" s="172"/>
      <c r="J34" s="180"/>
      <c r="K34" s="180"/>
      <c r="L34" s="172"/>
      <c r="M34" s="172"/>
      <c r="N34" s="172"/>
      <c r="O34" s="173"/>
      <c r="P34" s="172"/>
      <c r="Q34" s="172"/>
      <c r="R34" s="172"/>
      <c r="S34" s="172"/>
      <c r="T34" s="186"/>
      <c r="U34" s="186"/>
      <c r="V34" s="183"/>
      <c r="W34" s="183"/>
      <c r="X34" s="183"/>
      <c r="Y34" s="183"/>
      <c r="Z34" s="183"/>
      <c r="AA34" s="180"/>
      <c r="AB34" s="172"/>
      <c r="AC34" s="180"/>
      <c r="AD34" s="180"/>
      <c r="AE34" s="180"/>
      <c r="AF34" s="172"/>
      <c r="AG34" s="172"/>
      <c r="AH34" s="172"/>
      <c r="AI34" s="188"/>
      <c r="AJ34" s="188"/>
      <c r="AK34" s="188"/>
      <c r="AL34" s="188"/>
      <c r="AM34" s="188"/>
      <c r="AN34" s="188"/>
      <c r="AO34" s="188"/>
      <c r="AP34" s="180"/>
      <c r="AQ34" s="180"/>
      <c r="AR34" s="180"/>
      <c r="AS34" s="172"/>
      <c r="AT34" s="172"/>
      <c r="AU34" s="172"/>
      <c r="AV34" s="186"/>
      <c r="AW34" s="186"/>
      <c r="AX34" s="183"/>
      <c r="AY34" s="183"/>
      <c r="AZ34" s="188"/>
      <c r="BA34" s="188"/>
      <c r="BB34" s="172"/>
    </row>
    <row r="35" spans="1:54">
      <c r="A35" s="10">
        <f t="shared" ref="A35:A49" si="2">PROJID</f>
        <v>0</v>
      </c>
      <c r="B35" t="str">
        <f t="shared" ref="B35:B49" si="3">IF(C35="","",CONCATENATE(ROW(),"-",C35))</f>
        <v/>
      </c>
      <c r="C35" t="str" cm="1">
        <f t="array" ref="C35">IFERROR(_xlfn.VALUETOTEXT(INDEX('M03-S03'!$BW$18:$BW$199,2*(ROWS($C$35:C35)-1)+1)),"")</f>
        <v/>
      </c>
      <c r="D35">
        <f>IFERROR(INDEX('M03-S03'!$B$18:$B$199,2*(ROWS(D$35:D35)-1)+1),"")</f>
        <v>1</v>
      </c>
      <c r="E35" s="51" t="str" cm="1">
        <f t="array" ref="E35">IFERROR(_xlfn.VALUETOTEXT(INDEX('M03-S03'!$BX$18:$BX$199,2*(ROWS($E$35:E35)-1)+1)),"")</f>
        <v/>
      </c>
      <c r="F35" t="str" cm="1">
        <f t="array" ref="F35">IF(C35&lt;&gt;"", _xlfn.SWITCH(Program_Banner, "Small Business / Non-Profit", "Hard-To-Reach Business", "Business Energy Savings", "Whole Business Efficiency", ""), "")</f>
        <v/>
      </c>
      <c r="G35" t="s">
        <v>938</v>
      </c>
      <c r="H35" t="str">
        <f>IFERROR(INDEX('M03-S03'!$BC$18:$BC$199,2*(ROWS($H$35:H35)-1)+1),"")</f>
        <v/>
      </c>
      <c r="I35" s="171"/>
      <c r="J35" s="182"/>
      <c r="K35" s="182"/>
      <c r="L35" s="51" t="str">
        <f>IFERROR(INDEX('M03-S03'!$BD$18:$BD$199,2*(ROWS($L$35:L35)-1)+1),"")</f>
        <v/>
      </c>
      <c r="M35" s="51">
        <f>IFERROR(INDEX('M03-S03'!$AF$18:$AF$199,2*(ROWS($M$35:M35)-1)+1),"")</f>
        <v>0</v>
      </c>
      <c r="N35" s="171"/>
      <c r="O35">
        <f>IFERROR(INDEX('M03-S03'!$C$18:$C$199,2*(ROWS(O$35:O35)-1)+1),"")</f>
        <v>0</v>
      </c>
      <c r="P35" s="171"/>
      <c r="Q35">
        <f>IFERROR(INDEX('M03-S03'!$AB$18:$AB$199,2*(ROWS(Q$35:Q35)-1)+1),"")</f>
        <v>0</v>
      </c>
      <c r="S35" t="str">
        <f>IFERROR(INDEX('M03-S03'!$AX$18:$AX$199,2*(ROWS(S$35:S35)-1)+1),"")</f>
        <v/>
      </c>
      <c r="T35" s="545" t="str">
        <f>IFERROR(ROUND(INDEX('M03-S03'!$AY$18:$AY$199,2*(ROWS(T$35:T35)-1)+1),3),"")</f>
        <v/>
      </c>
      <c r="U35" s="545" t="str">
        <f>IFERROR(ROUND(INDEX('M03-S03'!$AZ$18:$AZ$199,2*(ROWS(U$35:U35)-1)+1),3),"")</f>
        <v/>
      </c>
      <c r="V35" s="26">
        <f>IFERROR(INDEX('M03-S03'!$T$18:$T$199,2*(ROWS($G$35:V35)-1)+1),"")</f>
        <v>0</v>
      </c>
      <c r="W35" s="184"/>
      <c r="X35" s="184"/>
      <c r="Y35" s="26">
        <f>IFERROR(INDEX('M03-S03'!$Q$18:$Q$199,2*(ROWS(Y$35:Y35)-1)+1),"")</f>
        <v>0</v>
      </c>
      <c r="Z35" s="26"/>
      <c r="AA35" s="9" t="str" cm="1">
        <f t="array" ref="AA35">IFERROR(ROUND(INDEX('M03-S03'!$AR$18:$AR$199,2*(ROWS(AA$35:AA35)-1)+1), 2),"")</f>
        <v/>
      </c>
      <c r="AB35" s="9" t="str" cm="1">
        <f t="array" ref="AB35">_xlfn.LET(_xlpm.ROWS, 2*(ROWS(AB$35:AB35)-1)+1,IFERROR(INDEX('M03-S03'!$AR$18:$AR$199, _xlpm.ROWS)-INDEX('M03-S03'!$BS$18:$BS$199, _xlpm.ROWS),""))</f>
        <v/>
      </c>
      <c r="AC35" s="9">
        <f>IFERROR(ROUND(INDEX('M03-S03'!$AI$18:$AI$199,2*(ROWS(AC$35:AC35)-1)+1),2),"")</f>
        <v>0</v>
      </c>
      <c r="AD35" s="9">
        <f>IFERROR(ROUND(INDEX('M03-S03'!$AK$18:$AK$199,2*(ROWS(AD$35:AD35)-1)+1),2),"")</f>
        <v>0</v>
      </c>
      <c r="AE35" s="9" t="str">
        <f>IFERROR(ROUND(INDEX('M03-S03'!$BL$18:$BL$199,2*(ROWS(AE$35:AE35)-1)+1),2),"")</f>
        <v/>
      </c>
      <c r="AF35" t="s">
        <v>84</v>
      </c>
      <c r="AG35" t="str">
        <f>IFERROR(INDEX(STDLIGHTCONT[Incremental Measure Cost ($/Unit)], MATCH(C35, STDLIGHTCONT[Measure Number], 0))*U35, "")</f>
        <v/>
      </c>
      <c r="AH35" s="184"/>
      <c r="AI35" s="32" t="str">
        <f>IFERROR(INDEX('M03-S03'!$BH$18:$BH$199,2*(ROWS(AI$35:AI35)-1)+1),"")</f>
        <v/>
      </c>
      <c r="AJ35" s="32" t="str">
        <f>IFERROR(INDEX('M03-S03'!$BE$18:$BE$199,2*(ROWS(AJ$35:AJ35)-1)+1),"")</f>
        <v/>
      </c>
      <c r="AK35" s="32" t="str">
        <f>IFERROR(INDEX('M03-S03'!$BI$18:$BI$199,2*(ROWS(AK$35:AK35)-1)+1),"")</f>
        <v/>
      </c>
      <c r="AL35" s="32" t="str">
        <f>IFERROR(INDEX('M03-S03'!$BF$18:$BF$199,2*(ROWS(AL$35:AL35)-1)+1),"")</f>
        <v/>
      </c>
      <c r="AM35" s="32">
        <f>IFERROR(INDEX('M03-S03'!$BA$18:$BA$199,2*(ROWS(AM$35:AM35)-1)+1),"")</f>
        <v>0</v>
      </c>
      <c r="AN35" s="32">
        <f>IFERROR(INDEX('M03-S03'!$BB$18:$BB$199,2*(ROWS(AN$35:AN35)-1)+1),"")</f>
        <v>0</v>
      </c>
      <c r="AO35" s="32"/>
      <c r="AP35" s="182"/>
      <c r="AQ35" s="182"/>
      <c r="AR35" s="182"/>
      <c r="AS35" s="171"/>
      <c r="AT35" s="171"/>
      <c r="AU35" s="171"/>
      <c r="AV35" s="190"/>
      <c r="AW35" s="190"/>
      <c r="AX35" s="184"/>
      <c r="AY35" s="184"/>
      <c r="AZ35" s="191"/>
      <c r="BA35" s="191"/>
      <c r="BB35" s="171"/>
    </row>
    <row r="36" spans="1:54">
      <c r="A36" s="10">
        <f t="shared" si="2"/>
        <v>0</v>
      </c>
      <c r="B36" t="str">
        <f t="shared" si="3"/>
        <v/>
      </c>
      <c r="C36" t="str" cm="1">
        <f t="array" ref="C36">IFERROR(_xlfn.VALUETOTEXT(INDEX('M03-S03'!$BW$18:$BW$199,2*(ROWS($C$35:C36)-1)+1)),"")</f>
        <v/>
      </c>
      <c r="D36">
        <f>IFERROR(INDEX('M03-S03'!$B$18:$B$199,2*(ROWS(D$35:D36)-1)+1),"")</f>
        <v>2</v>
      </c>
      <c r="E36" s="51" t="str" cm="1">
        <f t="array" ref="E36">IFERROR(_xlfn.VALUETOTEXT(INDEX('M03-S03'!$BX$18:$BX$199,2*(ROWS($E$35:E36)-1)+1)),"")</f>
        <v/>
      </c>
      <c r="F36" t="str" cm="1">
        <f t="array" ref="F36">IF(C36&lt;&gt;"", _xlfn.SWITCH(Program_Banner, "Small Business / Non-Profit", "Hard-To-Reach Business", "Business Energy Savings", "Whole Business Efficiency", ""), "")</f>
        <v/>
      </c>
      <c r="G36" t="s">
        <v>938</v>
      </c>
      <c r="H36" t="str">
        <f>IFERROR(INDEX('M03-S03'!$BC$18:$BC$199,2*(ROWS($H$35:H36)-1)+1),"")</f>
        <v/>
      </c>
      <c r="I36" s="171"/>
      <c r="J36" s="182"/>
      <c r="K36" s="182"/>
      <c r="L36" s="51" t="str">
        <f>IFERROR(INDEX('M03-S03'!$BD$18:$BD$199,2*(ROWS($L$35:L36)-1)+1),"")</f>
        <v/>
      </c>
      <c r="M36" s="51">
        <f>IFERROR(INDEX('M03-S03'!$AF$18:$AF$199,2*(ROWS($M$35:M36)-1)+1),"")</f>
        <v>0</v>
      </c>
      <c r="N36" s="171"/>
      <c r="O36">
        <f>IFERROR(INDEX('M03-S03'!$C$18:$C$199,2*(ROWS(O$35:O36)-1)+1),"")</f>
        <v>0</v>
      </c>
      <c r="P36" s="171"/>
      <c r="Q36">
        <f>IFERROR(INDEX('M03-S03'!$AB$18:$AB$199,2*(ROWS(Q$35:Q36)-1)+1),"")</f>
        <v>0</v>
      </c>
      <c r="S36" t="str">
        <f>IFERROR(INDEX('M03-S03'!$AX$18:$AX$199,2*(ROWS(S$35:S36)-1)+1),"")</f>
        <v/>
      </c>
      <c r="T36" s="545" t="str">
        <f>IFERROR(ROUND(INDEX('M03-S03'!$AY$18:$AY$199,2*(ROWS(T$35:T36)-1)+1),3),"")</f>
        <v/>
      </c>
      <c r="U36" s="545" t="str">
        <f>IFERROR(ROUND(INDEX('M03-S03'!$AZ$18:$AZ$199,2*(ROWS(U$35:U36)-1)+1),3),"")</f>
        <v/>
      </c>
      <c r="V36" s="26">
        <f>IFERROR(INDEX('M03-S03'!$T$18:$T$199,2*(ROWS($G$35:V36)-1)+1),"")</f>
        <v>0</v>
      </c>
      <c r="W36" s="184"/>
      <c r="X36" s="184"/>
      <c r="Y36" s="26">
        <f>IFERROR(INDEX('M03-S03'!$Q$18:$Q$199,2*(ROWS(Y$35:Y36)-1)+1),"")</f>
        <v>0</v>
      </c>
      <c r="Z36" s="26"/>
      <c r="AA36" s="9" t="str" cm="1">
        <f t="array" ref="AA36">IFERROR(ROUND(INDEX('M03-S03'!$AR$18:$AR$199,2*(ROWS(AA$35:AA36)-1)+1), 2),"")</f>
        <v/>
      </c>
      <c r="AB36" s="9" t="str" cm="1">
        <f t="array" ref="AB36">_xlfn.LET(_xlpm.ROWS, 2*(ROWS(AB$35:AB36)-1)+1,IFERROR(INDEX('M03-S03'!$AR$18:$AR$199, _xlpm.ROWS)-INDEX('M03-S03'!$BS$18:$BS$199, _xlpm.ROWS),""))</f>
        <v/>
      </c>
      <c r="AC36" s="9">
        <f>IFERROR(ROUND(INDEX('M03-S03'!$AI$18:$AI$199,2*(ROWS(AC$35:AC36)-1)+1),2),"")</f>
        <v>0</v>
      </c>
      <c r="AD36" s="9">
        <f>IFERROR(ROUND(INDEX('M03-S03'!$AK$18:$AK$199,2*(ROWS(AD$35:AD36)-1)+1),2),"")</f>
        <v>0</v>
      </c>
      <c r="AE36" s="9" t="str">
        <f>IFERROR(ROUND(INDEX('M03-S03'!$BL$18:$BL$199,2*(ROWS(AE$35:AE36)-1)+1),2),"")</f>
        <v/>
      </c>
      <c r="AF36" t="s">
        <v>84</v>
      </c>
      <c r="AG36" t="str">
        <f>IFERROR(INDEX(STDLIGHTCONT[Incremental Measure Cost ($/Unit)], MATCH(C36, STDLIGHTCONT[Measure Number], 0))*U36, "")</f>
        <v/>
      </c>
      <c r="AH36" s="184"/>
      <c r="AI36" s="32" t="str">
        <f>IFERROR(INDEX('M03-S03'!$BH$18:$BH$199,2*(ROWS(AI$35:AI36)-1)+1),"")</f>
        <v/>
      </c>
      <c r="AJ36" s="32" t="str">
        <f>IFERROR(INDEX('M03-S03'!$BE$18:$BE$199,2*(ROWS(AJ$35:AJ36)-1)+1),"")</f>
        <v/>
      </c>
      <c r="AK36" s="32" t="str">
        <f>IFERROR(INDEX('M03-S03'!$BI$18:$BI$199,2*(ROWS(AK$35:AK36)-1)+1),"")</f>
        <v/>
      </c>
      <c r="AL36" s="32" t="str">
        <f>IFERROR(INDEX('M03-S03'!$BF$18:$BF$199,2*(ROWS(AL$35:AL36)-1)+1),"")</f>
        <v/>
      </c>
      <c r="AM36" s="32">
        <f>IFERROR(INDEX('M03-S03'!$BA$18:$BA$199,2*(ROWS(AM$35:AM36)-1)+1),"")</f>
        <v>0</v>
      </c>
      <c r="AN36" s="32">
        <f>IFERROR(INDEX('M03-S03'!$BB$18:$BB$199,2*(ROWS(AN$35:AN36)-1)+1),"")</f>
        <v>0</v>
      </c>
      <c r="AO36" s="32"/>
      <c r="AP36" s="182"/>
      <c r="AQ36" s="182"/>
      <c r="AR36" s="182"/>
      <c r="AS36" s="171"/>
      <c r="AT36" s="171"/>
      <c r="AU36" s="171"/>
      <c r="AV36" s="190"/>
      <c r="AW36" s="190"/>
      <c r="AX36" s="184"/>
      <c r="AY36" s="184"/>
      <c r="AZ36" s="191"/>
      <c r="BA36" s="191"/>
      <c r="BB36" s="171"/>
    </row>
    <row r="37" spans="1:54">
      <c r="A37" s="10">
        <f t="shared" si="2"/>
        <v>0</v>
      </c>
      <c r="B37" t="str">
        <f t="shared" si="3"/>
        <v/>
      </c>
      <c r="C37" t="str" cm="1">
        <f t="array" ref="C37">IFERROR(_xlfn.VALUETOTEXT(INDEX('M03-S03'!$BW$18:$BW$199,2*(ROWS($C$35:C37)-1)+1)),"")</f>
        <v/>
      </c>
      <c r="D37">
        <f>IFERROR(INDEX('M03-S03'!$B$18:$B$199,2*(ROWS(D$35:D37)-1)+1),"")</f>
        <v>3</v>
      </c>
      <c r="E37" s="51" t="str" cm="1">
        <f t="array" ref="E37">IFERROR(_xlfn.VALUETOTEXT(INDEX('M03-S03'!$BX$18:$BX$199,2*(ROWS($E$35:E37)-1)+1)),"")</f>
        <v/>
      </c>
      <c r="F37" t="str" cm="1">
        <f t="array" ref="F37">IF(C37&lt;&gt;"", _xlfn.SWITCH(Program_Banner, "Small Business / Non-Profit", "Hard-To-Reach Business", "Business Energy Savings", "Whole Business Efficiency", ""), "")</f>
        <v/>
      </c>
      <c r="G37" t="s">
        <v>938</v>
      </c>
      <c r="H37" t="str">
        <f>IFERROR(INDEX('M03-S03'!$BC$18:$BC$199,2*(ROWS($H$35:H37)-1)+1),"")</f>
        <v/>
      </c>
      <c r="I37" s="171"/>
      <c r="J37" s="182"/>
      <c r="K37" s="182"/>
      <c r="L37" s="51" t="str">
        <f>IFERROR(INDEX('M03-S03'!$BD$18:$BD$199,2*(ROWS($L$35:L37)-1)+1),"")</f>
        <v/>
      </c>
      <c r="M37" s="51">
        <f>IFERROR(INDEX('M03-S03'!$AF$18:$AF$199,2*(ROWS($M$35:M37)-1)+1),"")</f>
        <v>0</v>
      </c>
      <c r="N37" s="171"/>
      <c r="O37">
        <f>IFERROR(INDEX('M03-S03'!$C$18:$C$199,2*(ROWS(O$35:O37)-1)+1),"")</f>
        <v>0</v>
      </c>
      <c r="P37" s="171"/>
      <c r="Q37">
        <f>IFERROR(INDEX('M03-S03'!$AB$18:$AB$199,2*(ROWS(Q$35:Q37)-1)+1),"")</f>
        <v>0</v>
      </c>
      <c r="S37" t="str">
        <f>IFERROR(INDEX('M03-S03'!$AX$18:$AX$199,2*(ROWS(S$35:S37)-1)+1),"")</f>
        <v/>
      </c>
      <c r="T37" s="545" t="str">
        <f>IFERROR(ROUND(INDEX('M03-S03'!$AY$18:$AY$199,2*(ROWS(T$35:T37)-1)+1),3),"")</f>
        <v/>
      </c>
      <c r="U37" s="545" t="str">
        <f>IFERROR(ROUND(INDEX('M03-S03'!$AZ$18:$AZ$199,2*(ROWS(U$35:U37)-1)+1),3),"")</f>
        <v/>
      </c>
      <c r="V37" s="26">
        <f>IFERROR(INDEX('M03-S03'!$T$18:$T$199,2*(ROWS($G$35:V37)-1)+1),"")</f>
        <v>0</v>
      </c>
      <c r="W37" s="184"/>
      <c r="X37" s="184"/>
      <c r="Y37" s="26">
        <f>IFERROR(INDEX('M03-S03'!$Q$18:$Q$199,2*(ROWS(Y$35:Y37)-1)+1),"")</f>
        <v>0</v>
      </c>
      <c r="Z37" s="26"/>
      <c r="AA37" s="9" t="str" cm="1">
        <f t="array" ref="AA37">IFERROR(ROUND(INDEX('M03-S03'!$AR$18:$AR$199,2*(ROWS(AA$35:AA37)-1)+1), 2),"")</f>
        <v/>
      </c>
      <c r="AB37" s="9" t="str" cm="1">
        <f t="array" ref="AB37">_xlfn.LET(_xlpm.ROWS, 2*(ROWS(AB$35:AB37)-1)+1,IFERROR(INDEX('M03-S03'!$AR$18:$AR$199, _xlpm.ROWS)-INDEX('M03-S03'!$BS$18:$BS$199, _xlpm.ROWS),""))</f>
        <v/>
      </c>
      <c r="AC37" s="9">
        <f>IFERROR(ROUND(INDEX('M03-S03'!$AI$18:$AI$199,2*(ROWS(AC$35:AC37)-1)+1),2),"")</f>
        <v>0</v>
      </c>
      <c r="AD37" s="9">
        <f>IFERROR(ROUND(INDEX('M03-S03'!$AK$18:$AK$199,2*(ROWS(AD$35:AD37)-1)+1),2),"")</f>
        <v>0</v>
      </c>
      <c r="AE37" s="9" t="str">
        <f>IFERROR(ROUND(INDEX('M03-S03'!$BL$18:$BL$199,2*(ROWS(AE$35:AE37)-1)+1),2),"")</f>
        <v/>
      </c>
      <c r="AF37" t="s">
        <v>84</v>
      </c>
      <c r="AG37" t="str">
        <f>IFERROR(INDEX(STDLIGHTCONT[Incremental Measure Cost ($/Unit)], MATCH(C37, STDLIGHTCONT[Measure Number], 0))*U37, "")</f>
        <v/>
      </c>
      <c r="AH37" s="184"/>
      <c r="AI37" s="32" t="str">
        <f>IFERROR(INDEX('M03-S03'!$BH$18:$BH$199,2*(ROWS(AI$35:AI37)-1)+1),"")</f>
        <v/>
      </c>
      <c r="AJ37" s="32" t="str">
        <f>IFERROR(INDEX('M03-S03'!$BE$18:$BE$199,2*(ROWS(AJ$35:AJ37)-1)+1),"")</f>
        <v/>
      </c>
      <c r="AK37" s="32" t="str">
        <f>IFERROR(INDEX('M03-S03'!$BI$18:$BI$199,2*(ROWS(AK$35:AK37)-1)+1),"")</f>
        <v/>
      </c>
      <c r="AL37" s="32" t="str">
        <f>IFERROR(INDEX('M03-S03'!$BF$18:$BF$199,2*(ROWS(AL$35:AL37)-1)+1),"")</f>
        <v/>
      </c>
      <c r="AM37" s="32">
        <f>IFERROR(INDEX('M03-S03'!$BA$18:$BA$199,2*(ROWS(AM$35:AM37)-1)+1),"")</f>
        <v>0</v>
      </c>
      <c r="AN37" s="32">
        <f>IFERROR(INDEX('M03-S03'!$BB$18:$BB$199,2*(ROWS(AN$35:AN37)-1)+1),"")</f>
        <v>0</v>
      </c>
      <c r="AO37" s="32"/>
      <c r="AP37" s="182"/>
      <c r="AQ37" s="182"/>
      <c r="AR37" s="182"/>
      <c r="AS37" s="171"/>
      <c r="AT37" s="171"/>
      <c r="AU37" s="171"/>
      <c r="AV37" s="190"/>
      <c r="AW37" s="190"/>
      <c r="AX37" s="184"/>
      <c r="AY37" s="184"/>
      <c r="AZ37" s="191"/>
      <c r="BA37" s="191"/>
      <c r="BB37" s="171"/>
    </row>
    <row r="38" spans="1:54">
      <c r="A38" s="10">
        <f t="shared" si="2"/>
        <v>0</v>
      </c>
      <c r="B38" t="str">
        <f t="shared" si="3"/>
        <v/>
      </c>
      <c r="C38" t="str" cm="1">
        <f t="array" ref="C38">IFERROR(_xlfn.VALUETOTEXT(INDEX('M03-S03'!$BW$18:$BW$199,2*(ROWS($C$35:C38)-1)+1)),"")</f>
        <v/>
      </c>
      <c r="D38">
        <f>IFERROR(INDEX('M03-S03'!$B$18:$B$199,2*(ROWS(D$35:D38)-1)+1),"")</f>
        <v>4</v>
      </c>
      <c r="E38" s="51" t="str" cm="1">
        <f t="array" ref="E38">IFERROR(_xlfn.VALUETOTEXT(INDEX('M03-S03'!$BX$18:$BX$199,2*(ROWS($E$35:E38)-1)+1)),"")</f>
        <v/>
      </c>
      <c r="F38" t="str" cm="1">
        <f t="array" ref="F38">IF(C38&lt;&gt;"", _xlfn.SWITCH(Program_Banner, "Small Business / Non-Profit", "Hard-To-Reach Business", "Business Energy Savings", "Whole Business Efficiency", ""), "")</f>
        <v/>
      </c>
      <c r="G38" t="s">
        <v>938</v>
      </c>
      <c r="H38" t="str">
        <f>IFERROR(INDEX('M03-S03'!$BC$18:$BC$199,2*(ROWS($H$35:H38)-1)+1),"")</f>
        <v/>
      </c>
      <c r="I38" s="171"/>
      <c r="J38" s="182"/>
      <c r="K38" s="182"/>
      <c r="L38" s="51" t="str">
        <f>IFERROR(INDEX('M03-S03'!$BD$18:$BD$199,2*(ROWS($L$35:L38)-1)+1),"")</f>
        <v/>
      </c>
      <c r="M38" s="51">
        <f>IFERROR(INDEX('M03-S03'!$AF$18:$AF$199,2*(ROWS($M$35:M38)-1)+1),"")</f>
        <v>0</v>
      </c>
      <c r="N38" s="171"/>
      <c r="O38">
        <f>IFERROR(INDEX('M03-S03'!$C$18:$C$199,2*(ROWS(O$35:O38)-1)+1),"")</f>
        <v>0</v>
      </c>
      <c r="P38" s="171"/>
      <c r="Q38">
        <f>IFERROR(INDEX('M03-S03'!$AB$18:$AB$199,2*(ROWS(Q$35:Q38)-1)+1),"")</f>
        <v>0</v>
      </c>
      <c r="S38" t="str">
        <f>IFERROR(INDEX('M03-S03'!$AX$18:$AX$199,2*(ROWS(S$35:S38)-1)+1),"")</f>
        <v/>
      </c>
      <c r="T38" s="545" t="str">
        <f>IFERROR(ROUND(INDEX('M03-S03'!$AY$18:$AY$199,2*(ROWS(T$35:T38)-1)+1),3),"")</f>
        <v/>
      </c>
      <c r="U38" s="545" t="str">
        <f>IFERROR(ROUND(INDEX('M03-S03'!$AZ$18:$AZ$199,2*(ROWS(U$35:U38)-1)+1),3),"")</f>
        <v/>
      </c>
      <c r="V38" s="26">
        <f>IFERROR(INDEX('M03-S03'!$T$18:$T$199,2*(ROWS($G$35:V38)-1)+1),"")</f>
        <v>0</v>
      </c>
      <c r="W38" s="184"/>
      <c r="X38" s="184"/>
      <c r="Y38" s="26">
        <f>IFERROR(INDEX('M03-S03'!$Q$18:$Q$199,2*(ROWS(Y$35:Y38)-1)+1),"")</f>
        <v>0</v>
      </c>
      <c r="Z38" s="26"/>
      <c r="AA38" s="9" t="str" cm="1">
        <f t="array" ref="AA38">IFERROR(ROUND(INDEX('M03-S03'!$AR$18:$AR$199,2*(ROWS(AA$35:AA38)-1)+1), 2),"")</f>
        <v/>
      </c>
      <c r="AB38" s="9" t="str" cm="1">
        <f t="array" ref="AB38">_xlfn.LET(_xlpm.ROWS, 2*(ROWS(AB$35:AB38)-1)+1,IFERROR(INDEX('M03-S03'!$AR$18:$AR$199, _xlpm.ROWS)-INDEX('M03-S03'!$BS$18:$BS$199, _xlpm.ROWS),""))</f>
        <v/>
      </c>
      <c r="AC38" s="9">
        <f>IFERROR(ROUND(INDEX('M03-S03'!$AI$18:$AI$199,2*(ROWS(AC$35:AC38)-1)+1),2),"")</f>
        <v>0</v>
      </c>
      <c r="AD38" s="9">
        <f>IFERROR(ROUND(INDEX('M03-S03'!$AK$18:$AK$199,2*(ROWS(AD$35:AD38)-1)+1),2),"")</f>
        <v>0</v>
      </c>
      <c r="AE38" s="9" t="str">
        <f>IFERROR(ROUND(INDEX('M03-S03'!$BL$18:$BL$199,2*(ROWS(AE$35:AE38)-1)+1),2),"")</f>
        <v/>
      </c>
      <c r="AF38" t="s">
        <v>84</v>
      </c>
      <c r="AG38" t="str">
        <f>IFERROR(INDEX(STDLIGHTCONT[Incremental Measure Cost ($/Unit)], MATCH(C38, STDLIGHTCONT[Measure Number], 0))*U38, "")</f>
        <v/>
      </c>
      <c r="AH38" s="184"/>
      <c r="AI38" s="32" t="str">
        <f>IFERROR(INDEX('M03-S03'!$BH$18:$BH$199,2*(ROWS(AI$35:AI38)-1)+1),"")</f>
        <v/>
      </c>
      <c r="AJ38" s="32" t="str">
        <f>IFERROR(INDEX('M03-S03'!$BE$18:$BE$199,2*(ROWS(AJ$35:AJ38)-1)+1),"")</f>
        <v/>
      </c>
      <c r="AK38" s="32" t="str">
        <f>IFERROR(INDEX('M03-S03'!$BI$18:$BI$199,2*(ROWS(AK$35:AK38)-1)+1),"")</f>
        <v/>
      </c>
      <c r="AL38" s="32" t="str">
        <f>IFERROR(INDEX('M03-S03'!$BF$18:$BF$199,2*(ROWS(AL$35:AL38)-1)+1),"")</f>
        <v/>
      </c>
      <c r="AM38" s="32">
        <f>IFERROR(INDEX('M03-S03'!$BA$18:$BA$199,2*(ROWS(AM$35:AM38)-1)+1),"")</f>
        <v>0</v>
      </c>
      <c r="AN38" s="32">
        <f>IFERROR(INDEX('M03-S03'!$BB$18:$BB$199,2*(ROWS(AN$35:AN38)-1)+1),"")</f>
        <v>0</v>
      </c>
      <c r="AO38" s="32"/>
      <c r="AP38" s="182"/>
      <c r="AQ38" s="182"/>
      <c r="AR38" s="182"/>
      <c r="AS38" s="171"/>
      <c r="AT38" s="171"/>
      <c r="AU38" s="171"/>
      <c r="AV38" s="190"/>
      <c r="AW38" s="190"/>
      <c r="AX38" s="184"/>
      <c r="AY38" s="184"/>
      <c r="AZ38" s="191"/>
      <c r="BA38" s="191"/>
      <c r="BB38" s="171"/>
    </row>
    <row r="39" spans="1:54">
      <c r="A39" s="10">
        <f t="shared" si="2"/>
        <v>0</v>
      </c>
      <c r="B39" t="str">
        <f t="shared" si="3"/>
        <v/>
      </c>
      <c r="C39" t="str" cm="1">
        <f t="array" ref="C39">IFERROR(_xlfn.VALUETOTEXT(INDEX('M03-S03'!$BW$18:$BW$199,2*(ROWS($C$35:C39)-1)+1)),"")</f>
        <v/>
      </c>
      <c r="D39">
        <f>IFERROR(INDEX('M03-S03'!$B$18:$B$199,2*(ROWS(D$35:D39)-1)+1),"")</f>
        <v>5</v>
      </c>
      <c r="E39" s="51" t="str" cm="1">
        <f t="array" ref="E39">IFERROR(_xlfn.VALUETOTEXT(INDEX('M03-S03'!$BX$18:$BX$199,2*(ROWS($E$35:E39)-1)+1)),"")</f>
        <v/>
      </c>
      <c r="F39" t="str" cm="1">
        <f t="array" ref="F39">IF(C39&lt;&gt;"", _xlfn.SWITCH(Program_Banner, "Small Business / Non-Profit", "Hard-To-Reach Business", "Business Energy Savings", "Whole Business Efficiency", ""), "")</f>
        <v/>
      </c>
      <c r="G39" t="s">
        <v>938</v>
      </c>
      <c r="H39" t="str">
        <f>IFERROR(INDEX('M03-S03'!$BC$18:$BC$199,2*(ROWS($H$35:H39)-1)+1),"")</f>
        <v/>
      </c>
      <c r="I39" s="171"/>
      <c r="J39" s="182"/>
      <c r="K39" s="182"/>
      <c r="L39" s="51" t="str">
        <f>IFERROR(INDEX('M03-S03'!$BD$18:$BD$199,2*(ROWS($L$35:L39)-1)+1),"")</f>
        <v/>
      </c>
      <c r="M39" s="51">
        <f>IFERROR(INDEX('M03-S03'!$AF$18:$AF$199,2*(ROWS($M$35:M39)-1)+1),"")</f>
        <v>0</v>
      </c>
      <c r="N39" s="171"/>
      <c r="O39">
        <f>IFERROR(INDEX('M03-S03'!$C$18:$C$199,2*(ROWS(O$35:O39)-1)+1),"")</f>
        <v>0</v>
      </c>
      <c r="P39" s="171"/>
      <c r="Q39">
        <f>IFERROR(INDEX('M03-S03'!$AB$18:$AB$199,2*(ROWS(Q$35:Q39)-1)+1),"")</f>
        <v>0</v>
      </c>
      <c r="S39" t="str">
        <f>IFERROR(INDEX('M03-S03'!$AX$18:$AX$199,2*(ROWS(S$35:S39)-1)+1),"")</f>
        <v/>
      </c>
      <c r="T39" s="545" t="str">
        <f>IFERROR(ROUND(INDEX('M03-S03'!$AY$18:$AY$199,2*(ROWS(T$35:T39)-1)+1),3),"")</f>
        <v/>
      </c>
      <c r="U39" s="545" t="str">
        <f>IFERROR(ROUND(INDEX('M03-S03'!$AZ$18:$AZ$199,2*(ROWS(U$35:U39)-1)+1),3),"")</f>
        <v/>
      </c>
      <c r="V39" s="26">
        <f>IFERROR(INDEX('M03-S03'!$T$18:$T$199,2*(ROWS($G$35:V39)-1)+1),"")</f>
        <v>0</v>
      </c>
      <c r="W39" s="184"/>
      <c r="X39" s="184"/>
      <c r="Y39" s="26">
        <f>IFERROR(INDEX('M03-S03'!$Q$18:$Q$199,2*(ROWS(Y$35:Y39)-1)+1),"")</f>
        <v>0</v>
      </c>
      <c r="Z39" s="26"/>
      <c r="AA39" s="9" t="str" cm="1">
        <f t="array" ref="AA39">IFERROR(ROUND(INDEX('M03-S03'!$AR$18:$AR$199,2*(ROWS(AA$35:AA39)-1)+1), 2),"")</f>
        <v/>
      </c>
      <c r="AB39" s="9" t="str" cm="1">
        <f t="array" ref="AB39">_xlfn.LET(_xlpm.ROWS, 2*(ROWS(AB$35:AB39)-1)+1,IFERROR(INDEX('M03-S03'!$AR$18:$AR$199, _xlpm.ROWS)-INDEX('M03-S03'!$BS$18:$BS$199, _xlpm.ROWS),""))</f>
        <v/>
      </c>
      <c r="AC39" s="9">
        <f>IFERROR(ROUND(INDEX('M03-S03'!$AI$18:$AI$199,2*(ROWS(AC$35:AC39)-1)+1),2),"")</f>
        <v>0</v>
      </c>
      <c r="AD39" s="9">
        <f>IFERROR(ROUND(INDEX('M03-S03'!$AK$18:$AK$199,2*(ROWS(AD$35:AD39)-1)+1),2),"")</f>
        <v>0</v>
      </c>
      <c r="AE39" s="9" t="str">
        <f>IFERROR(ROUND(INDEX('M03-S03'!$BL$18:$BL$199,2*(ROWS(AE$35:AE39)-1)+1),2),"")</f>
        <v/>
      </c>
      <c r="AF39" t="s">
        <v>84</v>
      </c>
      <c r="AG39" t="str">
        <f>IFERROR(INDEX(STDLIGHTCONT[Incremental Measure Cost ($/Unit)], MATCH(C39, STDLIGHTCONT[Measure Number], 0))*U39, "")</f>
        <v/>
      </c>
      <c r="AH39" s="184"/>
      <c r="AI39" s="32" t="str">
        <f>IFERROR(INDEX('M03-S03'!$BH$18:$BH$199,2*(ROWS(AI$35:AI39)-1)+1),"")</f>
        <v/>
      </c>
      <c r="AJ39" s="32" t="str">
        <f>IFERROR(INDEX('M03-S03'!$BE$18:$BE$199,2*(ROWS(AJ$35:AJ39)-1)+1),"")</f>
        <v/>
      </c>
      <c r="AK39" s="32" t="str">
        <f>IFERROR(INDEX('M03-S03'!$BI$18:$BI$199,2*(ROWS(AK$35:AK39)-1)+1),"")</f>
        <v/>
      </c>
      <c r="AL39" s="32" t="str">
        <f>IFERROR(INDEX('M03-S03'!$BF$18:$BF$199,2*(ROWS(AL$35:AL39)-1)+1),"")</f>
        <v/>
      </c>
      <c r="AM39" s="32">
        <f>IFERROR(INDEX('M03-S03'!$BA$18:$BA$199,2*(ROWS(AM$35:AM39)-1)+1),"")</f>
        <v>0</v>
      </c>
      <c r="AN39" s="32">
        <f>IFERROR(INDEX('M03-S03'!$BB$18:$BB$199,2*(ROWS(AN$35:AN39)-1)+1),"")</f>
        <v>0</v>
      </c>
      <c r="AO39" s="32"/>
      <c r="AP39" s="182"/>
      <c r="AQ39" s="182"/>
      <c r="AR39" s="182"/>
      <c r="AS39" s="171"/>
      <c r="AT39" s="171"/>
      <c r="AU39" s="171"/>
      <c r="AV39" s="190"/>
      <c r="AW39" s="190"/>
      <c r="AX39" s="184"/>
      <c r="AY39" s="184"/>
      <c r="AZ39" s="191"/>
      <c r="BA39" s="191"/>
      <c r="BB39" s="171"/>
    </row>
    <row r="40" spans="1:54">
      <c r="A40" s="10">
        <f t="shared" si="2"/>
        <v>0</v>
      </c>
      <c r="B40" t="str">
        <f t="shared" si="3"/>
        <v/>
      </c>
      <c r="C40" t="str" cm="1">
        <f t="array" ref="C40">IFERROR(_xlfn.VALUETOTEXT(INDEX('M03-S03'!$BW$18:$BW$199,2*(ROWS($C$35:C40)-1)+1)),"")</f>
        <v/>
      </c>
      <c r="D40">
        <f>IFERROR(INDEX('M03-S03'!$B$18:$B$199,2*(ROWS(D$35:D40)-1)+1),"")</f>
        <v>6</v>
      </c>
      <c r="E40" s="51" t="str" cm="1">
        <f t="array" ref="E40">IFERROR(_xlfn.VALUETOTEXT(INDEX('M03-S03'!$BX$18:$BX$199,2*(ROWS($E$35:E40)-1)+1)),"")</f>
        <v/>
      </c>
      <c r="F40" t="str" cm="1">
        <f t="array" ref="F40">IF(C40&lt;&gt;"", _xlfn.SWITCH(Program_Banner, "Small Business / Non-Profit", "Hard-To-Reach Business", "Business Energy Savings", "Whole Business Efficiency", ""), "")</f>
        <v/>
      </c>
      <c r="G40" t="s">
        <v>938</v>
      </c>
      <c r="H40" t="str">
        <f>IFERROR(INDEX('M03-S03'!$BC$18:$BC$199,2*(ROWS($H$35:H40)-1)+1),"")</f>
        <v/>
      </c>
      <c r="I40" s="171"/>
      <c r="J40" s="182"/>
      <c r="K40" s="182"/>
      <c r="L40" s="51" t="str">
        <f>IFERROR(INDEX('M03-S03'!$BD$18:$BD$199,2*(ROWS($L$35:L40)-1)+1),"")</f>
        <v/>
      </c>
      <c r="M40" s="51">
        <f>IFERROR(INDEX('M03-S03'!$AF$18:$AF$199,2*(ROWS($M$35:M40)-1)+1),"")</f>
        <v>0</v>
      </c>
      <c r="N40" s="171"/>
      <c r="O40">
        <f>IFERROR(INDEX('M03-S03'!$C$18:$C$199,2*(ROWS(O$35:O40)-1)+1),"")</f>
        <v>0</v>
      </c>
      <c r="P40" s="171"/>
      <c r="Q40">
        <f>IFERROR(INDEX('M03-S03'!$AB$18:$AB$199,2*(ROWS(Q$35:Q40)-1)+1),"")</f>
        <v>0</v>
      </c>
      <c r="S40" t="str">
        <f>IFERROR(INDEX('M03-S03'!$AX$18:$AX$199,2*(ROWS(S$35:S40)-1)+1),"")</f>
        <v/>
      </c>
      <c r="T40" s="545" t="str">
        <f>IFERROR(ROUND(INDEX('M03-S03'!$AY$18:$AY$199,2*(ROWS(T$35:T40)-1)+1),3),"")</f>
        <v/>
      </c>
      <c r="U40" s="545" t="str">
        <f>IFERROR(ROUND(INDEX('M03-S03'!$AZ$18:$AZ$199,2*(ROWS(U$35:U40)-1)+1),3),"")</f>
        <v/>
      </c>
      <c r="V40" s="26">
        <f>IFERROR(INDEX('M03-S03'!$T$18:$T$199,2*(ROWS($G$35:V40)-1)+1),"")</f>
        <v>0</v>
      </c>
      <c r="W40" s="184"/>
      <c r="X40" s="184"/>
      <c r="Y40" s="26">
        <f>IFERROR(INDEX('M03-S03'!$Q$18:$Q$199,2*(ROWS(Y$35:Y40)-1)+1),"")</f>
        <v>0</v>
      </c>
      <c r="Z40" s="26"/>
      <c r="AA40" s="9" t="str" cm="1">
        <f t="array" ref="AA40">IFERROR(ROUND(INDEX('M03-S03'!$AR$18:$AR$199,2*(ROWS(AA$35:AA40)-1)+1), 2),"")</f>
        <v/>
      </c>
      <c r="AB40" s="9" t="str" cm="1">
        <f t="array" ref="AB40">_xlfn.LET(_xlpm.ROWS, 2*(ROWS(AB$35:AB40)-1)+1,IFERROR(INDEX('M03-S03'!$AR$18:$AR$199, _xlpm.ROWS)-INDEX('M03-S03'!$BS$18:$BS$199, _xlpm.ROWS),""))</f>
        <v/>
      </c>
      <c r="AC40" s="9">
        <f>IFERROR(ROUND(INDEX('M03-S03'!$AI$18:$AI$199,2*(ROWS(AC$35:AC40)-1)+1),2),"")</f>
        <v>0</v>
      </c>
      <c r="AD40" s="9">
        <f>IFERROR(ROUND(INDEX('M03-S03'!$AK$18:$AK$199,2*(ROWS(AD$35:AD40)-1)+1),2),"")</f>
        <v>0</v>
      </c>
      <c r="AE40" s="9" t="str">
        <f>IFERROR(ROUND(INDEX('M03-S03'!$BL$18:$BL$199,2*(ROWS(AE$35:AE40)-1)+1),2),"")</f>
        <v/>
      </c>
      <c r="AF40" t="s">
        <v>84</v>
      </c>
      <c r="AG40" t="str">
        <f>IFERROR(INDEX(STDLIGHTCONT[Incremental Measure Cost ($/Unit)], MATCH(C40, STDLIGHTCONT[Measure Number], 0))*U40, "")</f>
        <v/>
      </c>
      <c r="AH40" s="184"/>
      <c r="AI40" s="32" t="str">
        <f>IFERROR(INDEX('M03-S03'!$BH$18:$BH$199,2*(ROWS(AI$35:AI40)-1)+1),"")</f>
        <v/>
      </c>
      <c r="AJ40" s="32" t="str">
        <f>IFERROR(INDEX('M03-S03'!$BE$18:$BE$199,2*(ROWS(AJ$35:AJ40)-1)+1),"")</f>
        <v/>
      </c>
      <c r="AK40" s="32" t="str">
        <f>IFERROR(INDEX('M03-S03'!$BI$18:$BI$199,2*(ROWS(AK$35:AK40)-1)+1),"")</f>
        <v/>
      </c>
      <c r="AL40" s="32" t="str">
        <f>IFERROR(INDEX('M03-S03'!$BF$18:$BF$199,2*(ROWS(AL$35:AL40)-1)+1),"")</f>
        <v/>
      </c>
      <c r="AM40" s="32">
        <f>IFERROR(INDEX('M03-S03'!$BA$18:$BA$199,2*(ROWS(AM$35:AM40)-1)+1),"")</f>
        <v>0</v>
      </c>
      <c r="AN40" s="32">
        <f>IFERROR(INDEX('M03-S03'!$BB$18:$BB$199,2*(ROWS(AN$35:AN40)-1)+1),"")</f>
        <v>0</v>
      </c>
      <c r="AO40" s="32"/>
      <c r="AP40" s="182"/>
      <c r="AQ40" s="182"/>
      <c r="AR40" s="182"/>
      <c r="AS40" s="171"/>
      <c r="AT40" s="171"/>
      <c r="AU40" s="171"/>
      <c r="AV40" s="190"/>
      <c r="AW40" s="190"/>
      <c r="AX40" s="184"/>
      <c r="AY40" s="184"/>
      <c r="AZ40" s="191"/>
      <c r="BA40" s="191"/>
      <c r="BB40" s="171"/>
    </row>
    <row r="41" spans="1:54">
      <c r="A41" s="10">
        <f t="shared" si="2"/>
        <v>0</v>
      </c>
      <c r="B41" t="str">
        <f t="shared" si="3"/>
        <v/>
      </c>
      <c r="C41" t="str" cm="1">
        <f t="array" ref="C41">IFERROR(_xlfn.VALUETOTEXT(INDEX('M03-S03'!$BW$18:$BW$199,2*(ROWS($C$35:C41)-1)+1)),"")</f>
        <v/>
      </c>
      <c r="D41">
        <f>IFERROR(INDEX('M03-S03'!$B$18:$B$199,2*(ROWS(D$35:D41)-1)+1),"")</f>
        <v>7</v>
      </c>
      <c r="E41" s="51" t="str" cm="1">
        <f t="array" ref="E41">IFERROR(_xlfn.VALUETOTEXT(INDEX('M03-S03'!$BX$18:$BX$199,2*(ROWS($E$35:E41)-1)+1)),"")</f>
        <v/>
      </c>
      <c r="F41" t="str" cm="1">
        <f t="array" ref="F41">IF(C41&lt;&gt;"", _xlfn.SWITCH(Program_Banner, "Small Business / Non-Profit", "Hard-To-Reach Business", "Business Energy Savings", "Whole Business Efficiency", ""), "")</f>
        <v/>
      </c>
      <c r="G41" t="s">
        <v>938</v>
      </c>
      <c r="H41" t="str">
        <f>IFERROR(INDEX('M03-S03'!$BC$18:$BC$199,2*(ROWS($H$35:H41)-1)+1),"")</f>
        <v/>
      </c>
      <c r="I41" s="171"/>
      <c r="J41" s="182"/>
      <c r="K41" s="182"/>
      <c r="L41" s="51" t="str">
        <f>IFERROR(INDEX('M03-S03'!$BD$18:$BD$199,2*(ROWS($L$35:L41)-1)+1),"")</f>
        <v/>
      </c>
      <c r="M41" s="51">
        <f>IFERROR(INDEX('M03-S03'!$AF$18:$AF$199,2*(ROWS($M$35:M41)-1)+1),"")</f>
        <v>0</v>
      </c>
      <c r="N41" s="171"/>
      <c r="O41">
        <f>IFERROR(INDEX('M03-S03'!$C$18:$C$199,2*(ROWS(O$35:O41)-1)+1),"")</f>
        <v>0</v>
      </c>
      <c r="P41" s="171"/>
      <c r="Q41">
        <f>IFERROR(INDEX('M03-S03'!$AB$18:$AB$199,2*(ROWS(Q$35:Q41)-1)+1),"")</f>
        <v>0</v>
      </c>
      <c r="S41" t="str">
        <f>IFERROR(INDEX('M03-S03'!$AX$18:$AX$199,2*(ROWS(S$35:S41)-1)+1),"")</f>
        <v/>
      </c>
      <c r="T41" s="545" t="str">
        <f>IFERROR(ROUND(INDEX('M03-S03'!$AY$18:$AY$199,2*(ROWS(T$35:T41)-1)+1),3),"")</f>
        <v/>
      </c>
      <c r="U41" s="545" t="str">
        <f>IFERROR(ROUND(INDEX('M03-S03'!$AZ$18:$AZ$199,2*(ROWS(U$35:U41)-1)+1),3),"")</f>
        <v/>
      </c>
      <c r="V41" s="26">
        <f>IFERROR(INDEX('M03-S03'!$T$18:$T$199,2*(ROWS($G$35:V41)-1)+1),"")</f>
        <v>0</v>
      </c>
      <c r="W41" s="184"/>
      <c r="X41" s="184"/>
      <c r="Y41" s="26">
        <f>IFERROR(INDEX('M03-S03'!$Q$18:$Q$199,2*(ROWS(Y$35:Y41)-1)+1),"")</f>
        <v>0</v>
      </c>
      <c r="Z41" s="26"/>
      <c r="AA41" s="9" t="str" cm="1">
        <f t="array" ref="AA41">IFERROR(ROUND(INDEX('M03-S03'!$AR$18:$AR$199,2*(ROWS(AA$35:AA41)-1)+1), 2),"")</f>
        <v/>
      </c>
      <c r="AB41" s="9" t="str" cm="1">
        <f t="array" ref="AB41">_xlfn.LET(_xlpm.ROWS, 2*(ROWS(AB$35:AB41)-1)+1,IFERROR(INDEX('M03-S03'!$AR$18:$AR$199, _xlpm.ROWS)-INDEX('M03-S03'!$BS$18:$BS$199, _xlpm.ROWS),""))</f>
        <v/>
      </c>
      <c r="AC41" s="9">
        <f>IFERROR(ROUND(INDEX('M03-S03'!$AI$18:$AI$199,2*(ROWS(AC$35:AC41)-1)+1),2),"")</f>
        <v>0</v>
      </c>
      <c r="AD41" s="9">
        <f>IFERROR(ROUND(INDEX('M03-S03'!$AK$18:$AK$199,2*(ROWS(AD$35:AD41)-1)+1),2),"")</f>
        <v>0</v>
      </c>
      <c r="AE41" s="9" t="str">
        <f>IFERROR(ROUND(INDEX('M03-S03'!$BL$18:$BL$199,2*(ROWS(AE$35:AE41)-1)+1),2),"")</f>
        <v/>
      </c>
      <c r="AF41" t="s">
        <v>84</v>
      </c>
      <c r="AG41" t="str">
        <f>IFERROR(INDEX(STDLIGHTCONT[Incremental Measure Cost ($/Unit)], MATCH(C41, STDLIGHTCONT[Measure Number], 0))*U41, "")</f>
        <v/>
      </c>
      <c r="AH41" s="184"/>
      <c r="AI41" s="32" t="str">
        <f>IFERROR(INDEX('M03-S03'!$BH$18:$BH$199,2*(ROWS(AI$35:AI41)-1)+1),"")</f>
        <v/>
      </c>
      <c r="AJ41" s="32" t="str">
        <f>IFERROR(INDEX('M03-S03'!$BE$18:$BE$199,2*(ROWS(AJ$35:AJ41)-1)+1),"")</f>
        <v/>
      </c>
      <c r="AK41" s="32" t="str">
        <f>IFERROR(INDEX('M03-S03'!$BI$18:$BI$199,2*(ROWS(AK$35:AK41)-1)+1),"")</f>
        <v/>
      </c>
      <c r="AL41" s="32" t="str">
        <f>IFERROR(INDEX('M03-S03'!$BF$18:$BF$199,2*(ROWS(AL$35:AL41)-1)+1),"")</f>
        <v/>
      </c>
      <c r="AM41" s="32">
        <f>IFERROR(INDEX('M03-S03'!$BA$18:$BA$199,2*(ROWS(AM$35:AM41)-1)+1),"")</f>
        <v>0</v>
      </c>
      <c r="AN41" s="32">
        <f>IFERROR(INDEX('M03-S03'!$BB$18:$BB$199,2*(ROWS(AN$35:AN41)-1)+1),"")</f>
        <v>0</v>
      </c>
      <c r="AO41" s="32"/>
      <c r="AP41" s="182"/>
      <c r="AQ41" s="182"/>
      <c r="AR41" s="182"/>
      <c r="AS41" s="171"/>
      <c r="AT41" s="171"/>
      <c r="AU41" s="171"/>
      <c r="AV41" s="190"/>
      <c r="AW41" s="190"/>
      <c r="AX41" s="184"/>
      <c r="AY41" s="184"/>
      <c r="AZ41" s="191"/>
      <c r="BA41" s="191"/>
      <c r="BB41" s="171"/>
    </row>
    <row r="42" spans="1:54">
      <c r="A42" s="10">
        <f t="shared" si="2"/>
        <v>0</v>
      </c>
      <c r="B42" t="str">
        <f t="shared" si="3"/>
        <v/>
      </c>
      <c r="C42" t="str" cm="1">
        <f t="array" ref="C42">IFERROR(_xlfn.VALUETOTEXT(INDEX('M03-S03'!$BW$18:$BW$199,2*(ROWS($C$35:C42)-1)+1)),"")</f>
        <v/>
      </c>
      <c r="D42">
        <f>IFERROR(INDEX('M03-S03'!$B$18:$B$199,2*(ROWS(D$35:D42)-1)+1),"")</f>
        <v>8</v>
      </c>
      <c r="E42" s="51" t="str" cm="1">
        <f t="array" ref="E42">IFERROR(_xlfn.VALUETOTEXT(INDEX('M03-S03'!$BX$18:$BX$199,2*(ROWS($E$35:E42)-1)+1)),"")</f>
        <v/>
      </c>
      <c r="F42" t="str" cm="1">
        <f t="array" ref="F42">IF(C42&lt;&gt;"", _xlfn.SWITCH(Program_Banner, "Small Business / Non-Profit", "Hard-To-Reach Business", "Business Energy Savings", "Whole Business Efficiency", ""), "")</f>
        <v/>
      </c>
      <c r="G42" t="s">
        <v>938</v>
      </c>
      <c r="H42" t="str">
        <f>IFERROR(INDEX('M03-S03'!$BC$18:$BC$199,2*(ROWS($H$35:H42)-1)+1),"")</f>
        <v/>
      </c>
      <c r="I42" s="171"/>
      <c r="J42" s="182"/>
      <c r="K42" s="182"/>
      <c r="L42" s="51" t="str">
        <f>IFERROR(INDEX('M03-S03'!$BD$18:$BD$199,2*(ROWS($L$35:L42)-1)+1),"")</f>
        <v/>
      </c>
      <c r="M42" s="51">
        <f>IFERROR(INDEX('M03-S03'!$AF$18:$AF$199,2*(ROWS($M$35:M42)-1)+1),"")</f>
        <v>0</v>
      </c>
      <c r="N42" s="171"/>
      <c r="O42">
        <f>IFERROR(INDEX('M03-S03'!$C$18:$C$199,2*(ROWS(O$35:O42)-1)+1),"")</f>
        <v>0</v>
      </c>
      <c r="P42" s="171"/>
      <c r="Q42">
        <f>IFERROR(INDEX('M03-S03'!$AB$18:$AB$199,2*(ROWS(Q$35:Q42)-1)+1),"")</f>
        <v>0</v>
      </c>
      <c r="S42" t="str">
        <f>IFERROR(INDEX('M03-S03'!$AX$18:$AX$199,2*(ROWS(S$35:S42)-1)+1),"")</f>
        <v/>
      </c>
      <c r="T42" s="545" t="str">
        <f>IFERROR(ROUND(INDEX('M03-S03'!$AY$18:$AY$199,2*(ROWS(T$35:T42)-1)+1),3),"")</f>
        <v/>
      </c>
      <c r="U42" s="545" t="str">
        <f>IFERROR(ROUND(INDEX('M03-S03'!$AZ$18:$AZ$199,2*(ROWS(U$35:U42)-1)+1),3),"")</f>
        <v/>
      </c>
      <c r="V42" s="26">
        <f>IFERROR(INDEX('M03-S03'!$T$18:$T$199,2*(ROWS($G$35:V42)-1)+1),"")</f>
        <v>0</v>
      </c>
      <c r="W42" s="184"/>
      <c r="X42" s="184"/>
      <c r="Y42" s="26">
        <f>IFERROR(INDEX('M03-S03'!$Q$18:$Q$199,2*(ROWS(Y$35:Y42)-1)+1),"")</f>
        <v>0</v>
      </c>
      <c r="Z42" s="26"/>
      <c r="AA42" s="9" t="str" cm="1">
        <f t="array" ref="AA42">IFERROR(ROUND(INDEX('M03-S03'!$AR$18:$AR$199,2*(ROWS(AA$35:AA42)-1)+1), 2),"")</f>
        <v/>
      </c>
      <c r="AB42" s="9" t="str" cm="1">
        <f t="array" ref="AB42">_xlfn.LET(_xlpm.ROWS, 2*(ROWS(AB$35:AB42)-1)+1,IFERROR(INDEX('M03-S03'!$AR$18:$AR$199, _xlpm.ROWS)-INDEX('M03-S03'!$BS$18:$BS$199, _xlpm.ROWS),""))</f>
        <v/>
      </c>
      <c r="AC42" s="9">
        <f>IFERROR(ROUND(INDEX('M03-S03'!$AI$18:$AI$199,2*(ROWS(AC$35:AC42)-1)+1),2),"")</f>
        <v>0</v>
      </c>
      <c r="AD42" s="9">
        <f>IFERROR(ROUND(INDEX('M03-S03'!$AK$18:$AK$199,2*(ROWS(AD$35:AD42)-1)+1),2),"")</f>
        <v>0</v>
      </c>
      <c r="AE42" s="9" t="str">
        <f>IFERROR(ROUND(INDEX('M03-S03'!$BL$18:$BL$199,2*(ROWS(AE$35:AE42)-1)+1),2),"")</f>
        <v/>
      </c>
      <c r="AF42" t="s">
        <v>84</v>
      </c>
      <c r="AG42" t="str">
        <f>IFERROR(INDEX(STDLIGHTCONT[Incremental Measure Cost ($/Unit)], MATCH(C42, STDLIGHTCONT[Measure Number], 0))*U42, "")</f>
        <v/>
      </c>
      <c r="AH42" s="184"/>
      <c r="AI42" s="32" t="str">
        <f>IFERROR(INDEX('M03-S03'!$BH$18:$BH$199,2*(ROWS(AI$35:AI42)-1)+1),"")</f>
        <v/>
      </c>
      <c r="AJ42" s="32" t="str">
        <f>IFERROR(INDEX('M03-S03'!$BE$18:$BE$199,2*(ROWS(AJ$35:AJ42)-1)+1),"")</f>
        <v/>
      </c>
      <c r="AK42" s="32" t="str">
        <f>IFERROR(INDEX('M03-S03'!$BI$18:$BI$199,2*(ROWS(AK$35:AK42)-1)+1),"")</f>
        <v/>
      </c>
      <c r="AL42" s="32" t="str">
        <f>IFERROR(INDEX('M03-S03'!$BF$18:$BF$199,2*(ROWS(AL$35:AL42)-1)+1),"")</f>
        <v/>
      </c>
      <c r="AM42" s="32">
        <f>IFERROR(INDEX('M03-S03'!$BA$18:$BA$199,2*(ROWS(AM$35:AM42)-1)+1),"")</f>
        <v>0</v>
      </c>
      <c r="AN42" s="32">
        <f>IFERROR(INDEX('M03-S03'!$BB$18:$BB$199,2*(ROWS(AN$35:AN42)-1)+1),"")</f>
        <v>0</v>
      </c>
      <c r="AO42" s="32"/>
      <c r="AP42" s="182"/>
      <c r="AQ42" s="182"/>
      <c r="AR42" s="182"/>
      <c r="AS42" s="171"/>
      <c r="AT42" s="171"/>
      <c r="AU42" s="171"/>
      <c r="AV42" s="190"/>
      <c r="AW42" s="190"/>
      <c r="AX42" s="184"/>
      <c r="AY42" s="184"/>
      <c r="AZ42" s="191"/>
      <c r="BA42" s="191"/>
      <c r="BB42" s="171"/>
    </row>
    <row r="43" spans="1:54">
      <c r="A43" s="10">
        <f t="shared" si="2"/>
        <v>0</v>
      </c>
      <c r="B43" t="str">
        <f t="shared" si="3"/>
        <v/>
      </c>
      <c r="C43" t="str" cm="1">
        <f t="array" ref="C43">IFERROR(_xlfn.VALUETOTEXT(INDEX('M03-S03'!$BW$18:$BW$199,2*(ROWS($C$35:C43)-1)+1)),"")</f>
        <v/>
      </c>
      <c r="D43">
        <f>IFERROR(INDEX('M03-S03'!$B$18:$B$199,2*(ROWS(D$35:D43)-1)+1),"")</f>
        <v>9</v>
      </c>
      <c r="E43" s="51" t="str" cm="1">
        <f t="array" ref="E43">IFERROR(_xlfn.VALUETOTEXT(INDEX('M03-S03'!$BX$18:$BX$199,2*(ROWS($E$35:E43)-1)+1)),"")</f>
        <v/>
      </c>
      <c r="F43" t="str" cm="1">
        <f t="array" ref="F43">IF(C43&lt;&gt;"", _xlfn.SWITCH(Program_Banner, "Small Business / Non-Profit", "Hard-To-Reach Business", "Business Energy Savings", "Whole Business Efficiency", ""), "")</f>
        <v/>
      </c>
      <c r="G43" t="s">
        <v>938</v>
      </c>
      <c r="H43" t="str">
        <f>IFERROR(INDEX('M03-S03'!$BC$18:$BC$199,2*(ROWS($H$35:H43)-1)+1),"")</f>
        <v/>
      </c>
      <c r="I43" s="171"/>
      <c r="J43" s="182"/>
      <c r="K43" s="182"/>
      <c r="L43" s="51" t="str">
        <f>IFERROR(INDEX('M03-S03'!$BD$18:$BD$199,2*(ROWS($L$35:L43)-1)+1),"")</f>
        <v/>
      </c>
      <c r="M43" s="51">
        <f>IFERROR(INDEX('M03-S03'!$AF$18:$AF$199,2*(ROWS($M$35:M43)-1)+1),"")</f>
        <v>0</v>
      </c>
      <c r="N43" s="171"/>
      <c r="O43">
        <f>IFERROR(INDEX('M03-S03'!$C$18:$C$199,2*(ROWS(O$35:O43)-1)+1),"")</f>
        <v>0</v>
      </c>
      <c r="P43" s="171"/>
      <c r="Q43">
        <f>IFERROR(INDEX('M03-S03'!$AB$18:$AB$199,2*(ROWS(Q$35:Q43)-1)+1),"")</f>
        <v>0</v>
      </c>
      <c r="S43" t="str">
        <f>IFERROR(INDEX('M03-S03'!$AX$18:$AX$199,2*(ROWS(S$35:S43)-1)+1),"")</f>
        <v/>
      </c>
      <c r="T43" s="545" t="str">
        <f>IFERROR(ROUND(INDEX('M03-S03'!$AY$18:$AY$199,2*(ROWS(T$35:T43)-1)+1),3),"")</f>
        <v/>
      </c>
      <c r="U43" s="545" t="str">
        <f>IFERROR(ROUND(INDEX('M03-S03'!$AZ$18:$AZ$199,2*(ROWS(U$35:U43)-1)+1),3),"")</f>
        <v/>
      </c>
      <c r="V43" s="26">
        <f>IFERROR(INDEX('M03-S03'!$T$18:$T$199,2*(ROWS($G$35:V43)-1)+1),"")</f>
        <v>0</v>
      </c>
      <c r="W43" s="184"/>
      <c r="X43" s="184"/>
      <c r="Y43" s="26">
        <f>IFERROR(INDEX('M03-S03'!$Q$18:$Q$199,2*(ROWS(Y$35:Y43)-1)+1),"")</f>
        <v>0</v>
      </c>
      <c r="Z43" s="26"/>
      <c r="AA43" s="9" t="str" cm="1">
        <f t="array" ref="AA43">IFERROR(ROUND(INDEX('M03-S03'!$AR$18:$AR$199,2*(ROWS(AA$35:AA43)-1)+1), 2),"")</f>
        <v/>
      </c>
      <c r="AB43" s="9" t="str" cm="1">
        <f t="array" ref="AB43">_xlfn.LET(_xlpm.ROWS, 2*(ROWS(AB$35:AB43)-1)+1,IFERROR(INDEX('M03-S03'!$AR$18:$AR$199, _xlpm.ROWS)-INDEX('M03-S03'!$BS$18:$BS$199, _xlpm.ROWS),""))</f>
        <v/>
      </c>
      <c r="AC43" s="9">
        <f>IFERROR(ROUND(INDEX('M03-S03'!$AI$18:$AI$199,2*(ROWS(AC$35:AC43)-1)+1),2),"")</f>
        <v>0</v>
      </c>
      <c r="AD43" s="9">
        <f>IFERROR(ROUND(INDEX('M03-S03'!$AK$18:$AK$199,2*(ROWS(AD$35:AD43)-1)+1),2),"")</f>
        <v>0</v>
      </c>
      <c r="AE43" s="9" t="str">
        <f>IFERROR(ROUND(INDEX('M03-S03'!$BL$18:$BL$199,2*(ROWS(AE$35:AE43)-1)+1),2),"")</f>
        <v/>
      </c>
      <c r="AF43" t="s">
        <v>84</v>
      </c>
      <c r="AG43" t="str">
        <f>IFERROR(INDEX(STDLIGHTCONT[Incremental Measure Cost ($/Unit)], MATCH(C43, STDLIGHTCONT[Measure Number], 0))*U43, "")</f>
        <v/>
      </c>
      <c r="AH43" s="184"/>
      <c r="AI43" s="32" t="str">
        <f>IFERROR(INDEX('M03-S03'!$BH$18:$BH$199,2*(ROWS(AI$35:AI43)-1)+1),"")</f>
        <v/>
      </c>
      <c r="AJ43" s="32" t="str">
        <f>IFERROR(INDEX('M03-S03'!$BE$18:$BE$199,2*(ROWS(AJ$35:AJ43)-1)+1),"")</f>
        <v/>
      </c>
      <c r="AK43" s="32" t="str">
        <f>IFERROR(INDEX('M03-S03'!$BI$18:$BI$199,2*(ROWS(AK$35:AK43)-1)+1),"")</f>
        <v/>
      </c>
      <c r="AL43" s="32" t="str">
        <f>IFERROR(INDEX('M03-S03'!$BF$18:$BF$199,2*(ROWS(AL$35:AL43)-1)+1),"")</f>
        <v/>
      </c>
      <c r="AM43" s="32">
        <f>IFERROR(INDEX('M03-S03'!$BA$18:$BA$199,2*(ROWS(AM$35:AM43)-1)+1),"")</f>
        <v>0</v>
      </c>
      <c r="AN43" s="32">
        <f>IFERROR(INDEX('M03-S03'!$BB$18:$BB$199,2*(ROWS(AN$35:AN43)-1)+1),"")</f>
        <v>0</v>
      </c>
      <c r="AO43" s="32"/>
      <c r="AP43" s="182"/>
      <c r="AQ43" s="182"/>
      <c r="AR43" s="182"/>
      <c r="AS43" s="171"/>
      <c r="AT43" s="171"/>
      <c r="AU43" s="171"/>
      <c r="AV43" s="190"/>
      <c r="AW43" s="190"/>
      <c r="AX43" s="184"/>
      <c r="AY43" s="184"/>
      <c r="AZ43" s="191"/>
      <c r="BA43" s="191"/>
      <c r="BB43" s="171"/>
    </row>
    <row r="44" spans="1:54">
      <c r="A44" s="10">
        <f t="shared" si="2"/>
        <v>0</v>
      </c>
      <c r="B44" t="str">
        <f t="shared" si="3"/>
        <v/>
      </c>
      <c r="C44" t="str" cm="1">
        <f t="array" ref="C44">IFERROR(_xlfn.VALUETOTEXT(INDEX('M03-S03'!$BW$18:$BW$199,2*(ROWS($C$35:C44)-1)+1)),"")</f>
        <v/>
      </c>
      <c r="D44">
        <f>IFERROR(INDEX('M03-S03'!$B$18:$B$199,2*(ROWS(D$35:D44)-1)+1),"")</f>
        <v>10</v>
      </c>
      <c r="E44" s="51" t="str" cm="1">
        <f t="array" ref="E44">IFERROR(_xlfn.VALUETOTEXT(INDEX('M03-S03'!$BX$18:$BX$199,2*(ROWS($E$35:E44)-1)+1)),"")</f>
        <v/>
      </c>
      <c r="F44" t="str" cm="1">
        <f t="array" ref="F44">IF(C44&lt;&gt;"", _xlfn.SWITCH(Program_Banner, "Small Business / Non-Profit", "Hard-To-Reach Business", "Business Energy Savings", "Whole Business Efficiency", ""), "")</f>
        <v/>
      </c>
      <c r="G44" t="s">
        <v>938</v>
      </c>
      <c r="H44" t="str">
        <f>IFERROR(INDEX('M03-S03'!$BC$18:$BC$199,2*(ROWS($H$35:H44)-1)+1),"")</f>
        <v/>
      </c>
      <c r="I44" s="171"/>
      <c r="J44" s="182"/>
      <c r="K44" s="182"/>
      <c r="L44" s="51" t="str">
        <f>IFERROR(INDEX('M03-S03'!$BD$18:$BD$199,2*(ROWS($L$35:L44)-1)+1),"")</f>
        <v/>
      </c>
      <c r="M44" s="51">
        <f>IFERROR(INDEX('M03-S03'!$AF$18:$AF$199,2*(ROWS($M$35:M44)-1)+1),"")</f>
        <v>0</v>
      </c>
      <c r="N44" s="171"/>
      <c r="O44">
        <f>IFERROR(INDEX('M03-S03'!$C$18:$C$199,2*(ROWS(O$35:O44)-1)+1),"")</f>
        <v>0</v>
      </c>
      <c r="P44" s="171"/>
      <c r="Q44">
        <f>IFERROR(INDEX('M03-S03'!$AB$18:$AB$199,2*(ROWS(Q$35:Q44)-1)+1),"")</f>
        <v>0</v>
      </c>
      <c r="S44" t="str">
        <f>IFERROR(INDEX('M03-S03'!$AX$18:$AX$199,2*(ROWS(S$35:S44)-1)+1),"")</f>
        <v/>
      </c>
      <c r="T44" s="545" t="str">
        <f>IFERROR(ROUND(INDEX('M03-S03'!$AY$18:$AY$199,2*(ROWS(T$35:T44)-1)+1),3),"")</f>
        <v/>
      </c>
      <c r="U44" s="545" t="str">
        <f>IFERROR(ROUND(INDEX('M03-S03'!$AZ$18:$AZ$199,2*(ROWS(U$35:U44)-1)+1),3),"")</f>
        <v/>
      </c>
      <c r="V44" s="26">
        <f>IFERROR(INDEX('M03-S03'!$T$18:$T$199,2*(ROWS($G$35:V44)-1)+1),"")</f>
        <v>0</v>
      </c>
      <c r="W44" s="184"/>
      <c r="X44" s="184"/>
      <c r="Y44" s="26">
        <f>IFERROR(INDEX('M03-S03'!$Q$18:$Q$199,2*(ROWS(Y$35:Y44)-1)+1),"")</f>
        <v>0</v>
      </c>
      <c r="Z44" s="26"/>
      <c r="AA44" s="9" t="str" cm="1">
        <f t="array" ref="AA44">IFERROR(ROUND(INDEX('M03-S03'!$AR$18:$AR$199,2*(ROWS(AA$35:AA44)-1)+1), 2),"")</f>
        <v/>
      </c>
      <c r="AB44" s="9" t="str" cm="1">
        <f t="array" ref="AB44">_xlfn.LET(_xlpm.ROWS, 2*(ROWS(AB$35:AB44)-1)+1,IFERROR(INDEX('M03-S03'!$AR$18:$AR$199, _xlpm.ROWS)-INDEX('M03-S03'!$BS$18:$BS$199, _xlpm.ROWS),""))</f>
        <v/>
      </c>
      <c r="AC44" s="9">
        <f>IFERROR(ROUND(INDEX('M03-S03'!$AI$18:$AI$199,2*(ROWS(AC$35:AC44)-1)+1),2),"")</f>
        <v>0</v>
      </c>
      <c r="AD44" s="9">
        <f>IFERROR(ROUND(INDEX('M03-S03'!$AK$18:$AK$199,2*(ROWS(AD$35:AD44)-1)+1),2),"")</f>
        <v>0</v>
      </c>
      <c r="AE44" s="9" t="str">
        <f>IFERROR(ROUND(INDEX('M03-S03'!$BL$18:$BL$199,2*(ROWS(AE$35:AE44)-1)+1),2),"")</f>
        <v/>
      </c>
      <c r="AF44" t="s">
        <v>84</v>
      </c>
      <c r="AG44" t="str">
        <f>IFERROR(INDEX(STDLIGHTCONT[Incremental Measure Cost ($/Unit)], MATCH(C44, STDLIGHTCONT[Measure Number], 0))*U44, "")</f>
        <v/>
      </c>
      <c r="AH44" s="184"/>
      <c r="AI44" s="32" t="str">
        <f>IFERROR(INDEX('M03-S03'!$BH$18:$BH$199,2*(ROWS(AI$35:AI44)-1)+1),"")</f>
        <v/>
      </c>
      <c r="AJ44" s="32" t="str">
        <f>IFERROR(INDEX('M03-S03'!$BE$18:$BE$199,2*(ROWS(AJ$35:AJ44)-1)+1),"")</f>
        <v/>
      </c>
      <c r="AK44" s="32" t="str">
        <f>IFERROR(INDEX('M03-S03'!$BI$18:$BI$199,2*(ROWS(AK$35:AK44)-1)+1),"")</f>
        <v/>
      </c>
      <c r="AL44" s="32" t="str">
        <f>IFERROR(INDEX('M03-S03'!$BF$18:$BF$199,2*(ROWS(AL$35:AL44)-1)+1),"")</f>
        <v/>
      </c>
      <c r="AM44" s="32">
        <f>IFERROR(INDEX('M03-S03'!$BA$18:$BA$199,2*(ROWS(AM$35:AM44)-1)+1),"")</f>
        <v>0</v>
      </c>
      <c r="AN44" s="32">
        <f>IFERROR(INDEX('M03-S03'!$BB$18:$BB$199,2*(ROWS(AN$35:AN44)-1)+1),"")</f>
        <v>0</v>
      </c>
      <c r="AO44" s="32"/>
      <c r="AP44" s="182"/>
      <c r="AQ44" s="182"/>
      <c r="AR44" s="182"/>
      <c r="AS44" s="171"/>
      <c r="AT44" s="171"/>
      <c r="AU44" s="171"/>
      <c r="AV44" s="190"/>
      <c r="AW44" s="190"/>
      <c r="AX44" s="184"/>
      <c r="AY44" s="184"/>
      <c r="AZ44" s="191"/>
      <c r="BA44" s="191"/>
      <c r="BB44" s="171"/>
    </row>
    <row r="45" spans="1:54">
      <c r="A45" s="10">
        <f t="shared" si="2"/>
        <v>0</v>
      </c>
      <c r="B45" t="str">
        <f t="shared" si="3"/>
        <v/>
      </c>
      <c r="C45" t="str" cm="1">
        <f t="array" ref="C45">IFERROR(_xlfn.VALUETOTEXT(INDEX('M03-S03'!$BW$18:$BW$199,2*(ROWS($C$35:C45)-1)+1)),"")</f>
        <v/>
      </c>
      <c r="D45">
        <f>IFERROR(INDEX('M03-S03'!$B$18:$B$199,2*(ROWS(D$35:D45)-1)+1),"")</f>
        <v>0</v>
      </c>
      <c r="E45" s="51" t="str" cm="1">
        <f t="array" ref="E45">IFERROR(_xlfn.VALUETOTEXT(INDEX('M03-S03'!$BX$18:$BX$199,2*(ROWS($E$35:E45)-1)+1)),"")</f>
        <v/>
      </c>
      <c r="F45" t="str" cm="1">
        <f t="array" ref="F45">IF(C45&lt;&gt;"", _xlfn.SWITCH(Program_Banner, "Small Business / Non-Profit", "Hard-To-Reach Business", "Business Energy Savings", "Whole Business Efficiency", ""), "")</f>
        <v/>
      </c>
      <c r="G45" t="s">
        <v>938</v>
      </c>
      <c r="H45">
        <f>IFERROR(INDEX('M03-S03'!$BC$18:$BC$199,2*(ROWS($H$35:H45)-1)+1),"")</f>
        <v>0</v>
      </c>
      <c r="I45" s="171"/>
      <c r="J45" s="182"/>
      <c r="K45" s="182"/>
      <c r="L45" s="51">
        <f>IFERROR(INDEX('M03-S03'!$BD$18:$BD$199,2*(ROWS($L$35:L45)-1)+1),"")</f>
        <v>0</v>
      </c>
      <c r="M45" s="51">
        <f>IFERROR(INDEX('M03-S03'!$AF$18:$AF$199,2*(ROWS($M$35:M45)-1)+1),"")</f>
        <v>0</v>
      </c>
      <c r="N45" s="171"/>
      <c r="O45">
        <f>IFERROR(INDEX('M03-S03'!$C$18:$C$199,2*(ROWS(O$35:O45)-1)+1),"")</f>
        <v>0</v>
      </c>
      <c r="P45" s="171"/>
      <c r="Q45">
        <f>IFERROR(INDEX('M03-S03'!$AB$18:$AB$199,2*(ROWS(Q$35:Q45)-1)+1),"")</f>
        <v>0</v>
      </c>
      <c r="S45">
        <f>IFERROR(INDEX('M03-S03'!$AX$18:$AX$199,2*(ROWS(S$35:S45)-1)+1),"")</f>
        <v>0</v>
      </c>
      <c r="T45" s="545">
        <f>IFERROR(ROUND(INDEX('M03-S03'!$AY$18:$AY$199,2*(ROWS(T$35:T45)-1)+1),3),"")</f>
        <v>0</v>
      </c>
      <c r="U45" s="545">
        <f>IFERROR(ROUND(INDEX('M03-S03'!$AZ$18:$AZ$199,2*(ROWS(U$35:U45)-1)+1),3),"")</f>
        <v>0</v>
      </c>
      <c r="V45" s="26">
        <f>IFERROR(INDEX('M03-S03'!$T$18:$T$199,2*(ROWS($G$35:V45)-1)+1),"")</f>
        <v>0</v>
      </c>
      <c r="W45" s="184"/>
      <c r="X45" s="184"/>
      <c r="Y45" s="26">
        <f>IFERROR(INDEX('M03-S03'!$Q$18:$Q$199,2*(ROWS(Y$35:Y45)-1)+1),"")</f>
        <v>0</v>
      </c>
      <c r="Z45" s="26"/>
      <c r="AA45" s="9" cm="1">
        <f t="array" ref="AA45">IFERROR(ROUND(INDEX('M03-S03'!$AR$18:$AR$199,2*(ROWS(AA$35:AA45)-1)+1), 2),"")</f>
        <v>0</v>
      </c>
      <c r="AB45" s="9" cm="1">
        <f t="array" ref="AB45">_xlfn.LET(_xlpm.ROWS, 2*(ROWS(AB$35:AB45)-1)+1,IFERROR(INDEX('M03-S03'!$AR$18:$AR$199, _xlpm.ROWS)-INDEX('M03-S03'!$BS$18:$BS$199, _xlpm.ROWS),""))</f>
        <v>0</v>
      </c>
      <c r="AC45" s="9">
        <f>IFERROR(ROUND(INDEX('M03-S03'!$AI$18:$AI$199,2*(ROWS(AC$35:AC45)-1)+1),2),"")</f>
        <v>0</v>
      </c>
      <c r="AD45" s="9">
        <f>IFERROR(ROUND(INDEX('M03-S03'!$AK$18:$AK$199,2*(ROWS(AD$35:AD45)-1)+1),2),"")</f>
        <v>0</v>
      </c>
      <c r="AE45" s="9">
        <f>IFERROR(ROUND(INDEX('M03-S03'!$BL$18:$BL$199,2*(ROWS(AE$35:AE45)-1)+1),2),"")</f>
        <v>0</v>
      </c>
      <c r="AF45" t="s">
        <v>84</v>
      </c>
      <c r="AG45" t="str">
        <f>IFERROR(INDEX(STDLIGHTCONT[Incremental Measure Cost ($/Unit)], MATCH(C45, STDLIGHTCONT[Measure Number], 0))*U45, "")</f>
        <v/>
      </c>
      <c r="AH45" s="184"/>
      <c r="AI45" s="32">
        <f>IFERROR(INDEX('M03-S03'!$BH$18:$BH$199,2*(ROWS(AI$35:AI45)-1)+1),"")</f>
        <v>0</v>
      </c>
      <c r="AJ45" s="32">
        <f>IFERROR(INDEX('M03-S03'!$BE$18:$BE$199,2*(ROWS(AJ$35:AJ45)-1)+1),"")</f>
        <v>0</v>
      </c>
      <c r="AK45" s="32">
        <f>IFERROR(INDEX('M03-S03'!$BI$18:$BI$199,2*(ROWS(AK$35:AK45)-1)+1),"")</f>
        <v>0</v>
      </c>
      <c r="AL45" s="32">
        <f>IFERROR(INDEX('M03-S03'!$BF$18:$BF$199,2*(ROWS(AL$35:AL45)-1)+1),"")</f>
        <v>0</v>
      </c>
      <c r="AM45" s="32">
        <f>IFERROR(INDEX('M03-S03'!$BA$18:$BA$199,2*(ROWS(AM$35:AM45)-1)+1),"")</f>
        <v>0</v>
      </c>
      <c r="AN45" s="32">
        <f>IFERROR(INDEX('M03-S03'!$BB$18:$BB$199,2*(ROWS(AN$35:AN45)-1)+1),"")</f>
        <v>0</v>
      </c>
      <c r="AO45" s="32"/>
      <c r="AP45" s="182"/>
      <c r="AQ45" s="182"/>
      <c r="AR45" s="182"/>
      <c r="AS45" s="171"/>
      <c r="AT45" s="171"/>
      <c r="AU45" s="171"/>
      <c r="AV45" s="190"/>
      <c r="AW45" s="190"/>
      <c r="AX45" s="184"/>
      <c r="AY45" s="184"/>
      <c r="AZ45" s="191"/>
      <c r="BA45" s="191"/>
      <c r="BB45" s="171"/>
    </row>
    <row r="46" spans="1:54">
      <c r="A46" s="10">
        <f t="shared" si="2"/>
        <v>0</v>
      </c>
      <c r="B46" t="str">
        <f t="shared" si="3"/>
        <v/>
      </c>
      <c r="C46" t="str" cm="1">
        <f t="array" ref="C46">IFERROR(_xlfn.VALUETOTEXT(INDEX('M03-S03'!$BW$18:$BW$199,2*(ROWS($C$35:C46)-1)+1)),"")</f>
        <v/>
      </c>
      <c r="D46">
        <f>IFERROR(INDEX('M03-S03'!$B$18:$B$199,2*(ROWS(D$35:D46)-1)+1),"")</f>
        <v>0</v>
      </c>
      <c r="E46" s="51" t="str" cm="1">
        <f t="array" ref="E46">IFERROR(_xlfn.VALUETOTEXT(INDEX('M03-S03'!$BX$18:$BX$199,2*(ROWS($E$35:E46)-1)+1)),"")</f>
        <v/>
      </c>
      <c r="F46" t="str" cm="1">
        <f t="array" ref="F46">IF(C46&lt;&gt;"", _xlfn.SWITCH(Program_Banner, "Small Business / Non-Profit", "Hard-To-Reach Business", "Business Energy Savings", "Whole Business Efficiency", ""), "")</f>
        <v/>
      </c>
      <c r="G46" t="s">
        <v>938</v>
      </c>
      <c r="H46">
        <f>IFERROR(INDEX('M03-S03'!$BC$18:$BC$199,2*(ROWS($H$35:H46)-1)+1),"")</f>
        <v>0</v>
      </c>
      <c r="I46" s="171"/>
      <c r="J46" s="182"/>
      <c r="K46" s="182"/>
      <c r="L46" s="51">
        <f>IFERROR(INDEX('M03-S03'!$BD$18:$BD$199,2*(ROWS($L$35:L46)-1)+1),"")</f>
        <v>0</v>
      </c>
      <c r="M46" s="51">
        <f>IFERROR(INDEX('M03-S03'!$AF$18:$AF$199,2*(ROWS($M$35:M46)-1)+1),"")</f>
        <v>0</v>
      </c>
      <c r="N46" s="171"/>
      <c r="O46">
        <f>IFERROR(INDEX('M03-S03'!$C$18:$C$199,2*(ROWS(O$35:O46)-1)+1),"")</f>
        <v>0</v>
      </c>
      <c r="P46" s="171"/>
      <c r="Q46">
        <f>IFERROR(INDEX('M03-S03'!$AB$18:$AB$199,2*(ROWS(Q$35:Q46)-1)+1),"")</f>
        <v>0</v>
      </c>
      <c r="S46">
        <f>IFERROR(INDEX('M03-S03'!$AX$18:$AX$199,2*(ROWS(S$35:S46)-1)+1),"")</f>
        <v>0</v>
      </c>
      <c r="T46" s="545">
        <f>IFERROR(ROUND(INDEX('M03-S03'!$AY$18:$AY$199,2*(ROWS(T$35:T46)-1)+1),3),"")</f>
        <v>0</v>
      </c>
      <c r="U46" s="545">
        <f>IFERROR(ROUND(INDEX('M03-S03'!$AZ$18:$AZ$199,2*(ROWS(U$35:U46)-1)+1),3),"")</f>
        <v>0</v>
      </c>
      <c r="V46" s="26">
        <f>IFERROR(INDEX('M03-S03'!$T$18:$T$199,2*(ROWS($G$35:V46)-1)+1),"")</f>
        <v>0</v>
      </c>
      <c r="W46" s="184"/>
      <c r="X46" s="184"/>
      <c r="Y46" s="26">
        <f>IFERROR(INDEX('M03-S03'!$Q$18:$Q$199,2*(ROWS(Y$35:Y46)-1)+1),"")</f>
        <v>0</v>
      </c>
      <c r="Z46" s="26"/>
      <c r="AA46" s="9" cm="1">
        <f t="array" ref="AA46">IFERROR(ROUND(INDEX('M03-S03'!$AR$18:$AR$199,2*(ROWS(AA$35:AA46)-1)+1), 2),"")</f>
        <v>0</v>
      </c>
      <c r="AB46" s="9" cm="1">
        <f t="array" ref="AB46">_xlfn.LET(_xlpm.ROWS, 2*(ROWS(AB$35:AB46)-1)+1,IFERROR(INDEX('M03-S03'!$AR$18:$AR$199, _xlpm.ROWS)-INDEX('M03-S03'!$BS$18:$BS$199, _xlpm.ROWS),""))</f>
        <v>0</v>
      </c>
      <c r="AC46" s="9">
        <f>IFERROR(ROUND(INDEX('M03-S03'!$AI$18:$AI$199,2*(ROWS(AC$35:AC46)-1)+1),2),"")</f>
        <v>0</v>
      </c>
      <c r="AD46" s="9">
        <f>IFERROR(ROUND(INDEX('M03-S03'!$AK$18:$AK$199,2*(ROWS(AD$35:AD46)-1)+1),2),"")</f>
        <v>0</v>
      </c>
      <c r="AE46" s="9">
        <f>IFERROR(ROUND(INDEX('M03-S03'!$BL$18:$BL$199,2*(ROWS(AE$35:AE46)-1)+1),2),"")</f>
        <v>0</v>
      </c>
      <c r="AF46" t="s">
        <v>84</v>
      </c>
      <c r="AG46" t="str">
        <f>IFERROR(INDEX(STDLIGHTCONT[Incremental Measure Cost ($/Unit)], MATCH(C46, STDLIGHTCONT[Measure Number], 0))*U46, "")</f>
        <v/>
      </c>
      <c r="AH46" s="184"/>
      <c r="AI46" s="32">
        <f>IFERROR(INDEX('M03-S03'!$BH$18:$BH$199,2*(ROWS(AI$35:AI46)-1)+1),"")</f>
        <v>0</v>
      </c>
      <c r="AJ46" s="32">
        <f>IFERROR(INDEX('M03-S03'!$BE$18:$BE$199,2*(ROWS(AJ$35:AJ46)-1)+1),"")</f>
        <v>0</v>
      </c>
      <c r="AK46" s="32">
        <f>IFERROR(INDEX('M03-S03'!$BI$18:$BI$199,2*(ROWS(AK$35:AK46)-1)+1),"")</f>
        <v>0</v>
      </c>
      <c r="AL46" s="32">
        <f>IFERROR(INDEX('M03-S03'!$BF$18:$BF$199,2*(ROWS(AL$35:AL46)-1)+1),"")</f>
        <v>0</v>
      </c>
      <c r="AM46" s="32">
        <f>IFERROR(INDEX('M03-S03'!$BA$18:$BA$199,2*(ROWS(AM$35:AM46)-1)+1),"")</f>
        <v>0</v>
      </c>
      <c r="AN46" s="32">
        <f>IFERROR(INDEX('M03-S03'!$BB$18:$BB$199,2*(ROWS(AN$35:AN46)-1)+1),"")</f>
        <v>0</v>
      </c>
      <c r="AO46" s="32"/>
      <c r="AP46" s="182"/>
      <c r="AQ46" s="182"/>
      <c r="AR46" s="182"/>
      <c r="AS46" s="171"/>
      <c r="AT46" s="171"/>
      <c r="AU46" s="171"/>
      <c r="AV46" s="190"/>
      <c r="AW46" s="190"/>
      <c r="AX46" s="184"/>
      <c r="AY46" s="184"/>
      <c r="AZ46" s="191"/>
      <c r="BA46" s="191"/>
      <c r="BB46" s="171"/>
    </row>
    <row r="47" spans="1:54">
      <c r="A47" s="10">
        <f t="shared" si="2"/>
        <v>0</v>
      </c>
      <c r="B47" t="str">
        <f t="shared" si="3"/>
        <v/>
      </c>
      <c r="C47" t="str" cm="1">
        <f t="array" ref="C47">IFERROR(_xlfn.VALUETOTEXT(INDEX('M03-S03'!$BW$18:$BW$199,2*(ROWS($C$35:C47)-1)+1)),"")</f>
        <v/>
      </c>
      <c r="D47">
        <f>IFERROR(INDEX('M03-S03'!$B$18:$B$199,2*(ROWS(D$35:D47)-1)+1),"")</f>
        <v>0</v>
      </c>
      <c r="E47" s="51" t="str" cm="1">
        <f t="array" ref="E47">IFERROR(_xlfn.VALUETOTEXT(INDEX('M03-S03'!$BX$18:$BX$199,2*(ROWS($E$35:E47)-1)+1)),"")</f>
        <v/>
      </c>
      <c r="F47" t="str" cm="1">
        <f t="array" ref="F47">IF(C47&lt;&gt;"", _xlfn.SWITCH(Program_Banner, "Small Business / Non-Profit", "Hard-To-Reach Business", "Business Energy Savings", "Whole Business Efficiency", ""), "")</f>
        <v/>
      </c>
      <c r="G47" t="s">
        <v>938</v>
      </c>
      <c r="H47">
        <f>IFERROR(INDEX('M03-S03'!$BC$18:$BC$199,2*(ROWS($H$35:H47)-1)+1),"")</f>
        <v>0</v>
      </c>
      <c r="I47" s="171"/>
      <c r="J47" s="182"/>
      <c r="K47" s="182"/>
      <c r="L47" s="51">
        <f>IFERROR(INDEX('M03-S03'!$BD$18:$BD$199,2*(ROWS($L$35:L47)-1)+1),"")</f>
        <v>0</v>
      </c>
      <c r="M47" s="51">
        <f>IFERROR(INDEX('M03-S03'!$AF$18:$AF$199,2*(ROWS($M$35:M47)-1)+1),"")</f>
        <v>0</v>
      </c>
      <c r="N47" s="171"/>
      <c r="O47">
        <f>IFERROR(INDEX('M03-S03'!$C$18:$C$199,2*(ROWS(O$35:O47)-1)+1),"")</f>
        <v>0</v>
      </c>
      <c r="P47" s="171"/>
      <c r="Q47">
        <f>IFERROR(INDEX('M03-S03'!$AB$18:$AB$199,2*(ROWS(Q$35:Q47)-1)+1),"")</f>
        <v>0</v>
      </c>
      <c r="S47">
        <f>IFERROR(INDEX('M03-S03'!$AX$18:$AX$199,2*(ROWS(S$35:S47)-1)+1),"")</f>
        <v>0</v>
      </c>
      <c r="T47" s="545">
        <f>IFERROR(ROUND(INDEX('M03-S03'!$AY$18:$AY$199,2*(ROWS(T$35:T47)-1)+1),3),"")</f>
        <v>0</v>
      </c>
      <c r="U47" s="545">
        <f>IFERROR(ROUND(INDEX('M03-S03'!$AZ$18:$AZ$199,2*(ROWS(U$35:U47)-1)+1),3),"")</f>
        <v>0</v>
      </c>
      <c r="V47" s="26">
        <f>IFERROR(INDEX('M03-S03'!$T$18:$T$199,2*(ROWS($G$35:V47)-1)+1),"")</f>
        <v>0</v>
      </c>
      <c r="W47" s="184"/>
      <c r="X47" s="184"/>
      <c r="Y47" s="26">
        <f>IFERROR(INDEX('M03-S03'!$Q$18:$Q$199,2*(ROWS(Y$35:Y47)-1)+1),"")</f>
        <v>0</v>
      </c>
      <c r="Z47" s="26"/>
      <c r="AA47" s="9" cm="1">
        <f t="array" ref="AA47">IFERROR(ROUND(INDEX('M03-S03'!$AR$18:$AR$199,2*(ROWS(AA$35:AA47)-1)+1), 2),"")</f>
        <v>0</v>
      </c>
      <c r="AB47" s="9" cm="1">
        <f t="array" ref="AB47">_xlfn.LET(_xlpm.ROWS, 2*(ROWS(AB$35:AB47)-1)+1,IFERROR(INDEX('M03-S03'!$AR$18:$AR$199, _xlpm.ROWS)-INDEX('M03-S03'!$BS$18:$BS$199, _xlpm.ROWS),""))</f>
        <v>0</v>
      </c>
      <c r="AC47" s="9">
        <f>IFERROR(ROUND(INDEX('M03-S03'!$AI$18:$AI$199,2*(ROWS(AC$35:AC47)-1)+1),2),"")</f>
        <v>0</v>
      </c>
      <c r="AD47" s="9">
        <f>IFERROR(ROUND(INDEX('M03-S03'!$AK$18:$AK$199,2*(ROWS(AD$35:AD47)-1)+1),2),"")</f>
        <v>0</v>
      </c>
      <c r="AE47" s="9">
        <f>IFERROR(ROUND(INDEX('M03-S03'!$BL$18:$BL$199,2*(ROWS(AE$35:AE47)-1)+1),2),"")</f>
        <v>0</v>
      </c>
      <c r="AF47" t="s">
        <v>84</v>
      </c>
      <c r="AG47" t="str">
        <f>IFERROR(INDEX(STDLIGHTCONT[Incremental Measure Cost ($/Unit)], MATCH(C47, STDLIGHTCONT[Measure Number], 0))*U47, "")</f>
        <v/>
      </c>
      <c r="AH47" s="184"/>
      <c r="AI47" s="32">
        <f>IFERROR(INDEX('M03-S03'!$BH$18:$BH$199,2*(ROWS(AI$35:AI47)-1)+1),"")</f>
        <v>0</v>
      </c>
      <c r="AJ47" s="32">
        <f>IFERROR(INDEX('M03-S03'!$BE$18:$BE$199,2*(ROWS(AJ$35:AJ47)-1)+1),"")</f>
        <v>0</v>
      </c>
      <c r="AK47" s="32">
        <f>IFERROR(INDEX('M03-S03'!$BI$18:$BI$199,2*(ROWS(AK$35:AK47)-1)+1),"")</f>
        <v>0</v>
      </c>
      <c r="AL47" s="32">
        <f>IFERROR(INDEX('M03-S03'!$BF$18:$BF$199,2*(ROWS(AL$35:AL47)-1)+1),"")</f>
        <v>0</v>
      </c>
      <c r="AM47" s="32">
        <f>IFERROR(INDEX('M03-S03'!$BA$18:$BA$199,2*(ROWS(AM$35:AM47)-1)+1),"")</f>
        <v>0</v>
      </c>
      <c r="AN47" s="32">
        <f>IFERROR(INDEX('M03-S03'!$BB$18:$BB$199,2*(ROWS(AN$35:AN47)-1)+1),"")</f>
        <v>0</v>
      </c>
      <c r="AO47" s="32"/>
      <c r="AP47" s="182"/>
      <c r="AQ47" s="182"/>
      <c r="AR47" s="182"/>
      <c r="AS47" s="171"/>
      <c r="AT47" s="171"/>
      <c r="AU47" s="171"/>
      <c r="AV47" s="190"/>
      <c r="AW47" s="190"/>
      <c r="AX47" s="184"/>
      <c r="AY47" s="184"/>
      <c r="AZ47" s="191"/>
      <c r="BA47" s="191"/>
      <c r="BB47" s="171"/>
    </row>
    <row r="48" spans="1:54">
      <c r="A48" s="10">
        <f t="shared" si="2"/>
        <v>0</v>
      </c>
      <c r="B48" t="str">
        <f t="shared" si="3"/>
        <v/>
      </c>
      <c r="C48" t="str" cm="1">
        <f t="array" ref="C48">IFERROR(_xlfn.VALUETOTEXT(INDEX('M03-S03'!$BW$18:$BW$199,2*(ROWS($C$35:C48)-1)+1)),"")</f>
        <v/>
      </c>
      <c r="D48">
        <f>IFERROR(INDEX('M03-S03'!$B$18:$B$199,2*(ROWS(D$35:D48)-1)+1),"")</f>
        <v>0</v>
      </c>
      <c r="E48" s="51" t="str" cm="1">
        <f t="array" ref="E48">IFERROR(_xlfn.VALUETOTEXT(INDEX('M03-S03'!$BX$18:$BX$199,2*(ROWS($E$35:E48)-1)+1)),"")</f>
        <v/>
      </c>
      <c r="F48" t="str" cm="1">
        <f t="array" ref="F48">IF(C48&lt;&gt;"", _xlfn.SWITCH(Program_Banner, "Small Business / Non-Profit", "Hard-To-Reach Business", "Business Energy Savings", "Whole Business Efficiency", ""), "")</f>
        <v/>
      </c>
      <c r="G48" t="s">
        <v>938</v>
      </c>
      <c r="H48">
        <f>IFERROR(INDEX('M03-S03'!$BC$18:$BC$199,2*(ROWS($H$35:H48)-1)+1),"")</f>
        <v>0</v>
      </c>
      <c r="I48" s="171"/>
      <c r="J48" s="182"/>
      <c r="K48" s="182"/>
      <c r="L48" s="51">
        <f>IFERROR(INDEX('M03-S03'!$BD$18:$BD$199,2*(ROWS($L$35:L48)-1)+1),"")</f>
        <v>0</v>
      </c>
      <c r="M48" s="51">
        <f>IFERROR(INDEX('M03-S03'!$AF$18:$AF$199,2*(ROWS($M$35:M48)-1)+1),"")</f>
        <v>0</v>
      </c>
      <c r="N48" s="171"/>
      <c r="O48">
        <f>IFERROR(INDEX('M03-S03'!$C$18:$C$199,2*(ROWS(O$35:O48)-1)+1),"")</f>
        <v>0</v>
      </c>
      <c r="P48" s="171"/>
      <c r="Q48">
        <f>IFERROR(INDEX('M03-S03'!$AB$18:$AB$199,2*(ROWS(Q$35:Q48)-1)+1),"")</f>
        <v>0</v>
      </c>
      <c r="S48">
        <f>IFERROR(INDEX('M03-S03'!$AX$18:$AX$199,2*(ROWS(S$35:S48)-1)+1),"")</f>
        <v>0</v>
      </c>
      <c r="T48" s="545">
        <f>IFERROR(ROUND(INDEX('M03-S03'!$AY$18:$AY$199,2*(ROWS(T$35:T48)-1)+1),3),"")</f>
        <v>0</v>
      </c>
      <c r="U48" s="545">
        <f>IFERROR(ROUND(INDEX('M03-S03'!$AZ$18:$AZ$199,2*(ROWS(U$35:U48)-1)+1),3),"")</f>
        <v>0</v>
      </c>
      <c r="V48" s="26">
        <f>IFERROR(INDEX('M03-S03'!$T$18:$T$199,2*(ROWS($G$35:V48)-1)+1),"")</f>
        <v>0</v>
      </c>
      <c r="W48" s="184"/>
      <c r="X48" s="184"/>
      <c r="Y48" s="26">
        <f>IFERROR(INDEX('M03-S03'!$Q$18:$Q$199,2*(ROWS(Y$35:Y48)-1)+1),"")</f>
        <v>0</v>
      </c>
      <c r="Z48" s="26"/>
      <c r="AA48" s="9" cm="1">
        <f t="array" ref="AA48">IFERROR(ROUND(INDEX('M03-S03'!$AR$18:$AR$199,2*(ROWS(AA$35:AA48)-1)+1), 2),"")</f>
        <v>0</v>
      </c>
      <c r="AB48" s="9" cm="1">
        <f t="array" ref="AB48">_xlfn.LET(_xlpm.ROWS, 2*(ROWS(AB$35:AB48)-1)+1,IFERROR(INDEX('M03-S03'!$AR$18:$AR$199, _xlpm.ROWS)-INDEX('M03-S03'!$BS$18:$BS$199, _xlpm.ROWS),""))</f>
        <v>0</v>
      </c>
      <c r="AC48" s="9">
        <f>IFERROR(ROUND(INDEX('M03-S03'!$AI$18:$AI$199,2*(ROWS(AC$35:AC48)-1)+1),2),"")</f>
        <v>0</v>
      </c>
      <c r="AD48" s="9">
        <f>IFERROR(ROUND(INDEX('M03-S03'!$AK$18:$AK$199,2*(ROWS(AD$35:AD48)-1)+1),2),"")</f>
        <v>0</v>
      </c>
      <c r="AE48" s="9">
        <f>IFERROR(ROUND(INDEX('M03-S03'!$BL$18:$BL$199,2*(ROWS(AE$35:AE48)-1)+1),2),"")</f>
        <v>0</v>
      </c>
      <c r="AF48" t="s">
        <v>84</v>
      </c>
      <c r="AG48" t="str">
        <f>IFERROR(INDEX(STDLIGHTCONT[Incremental Measure Cost ($/Unit)], MATCH(C48, STDLIGHTCONT[Measure Number], 0))*U48, "")</f>
        <v/>
      </c>
      <c r="AH48" s="184"/>
      <c r="AI48" s="32">
        <f>IFERROR(INDEX('M03-S03'!$BH$18:$BH$199,2*(ROWS(AI$35:AI48)-1)+1),"")</f>
        <v>0</v>
      </c>
      <c r="AJ48" s="32">
        <f>IFERROR(INDEX('M03-S03'!$BE$18:$BE$199,2*(ROWS(AJ$35:AJ48)-1)+1),"")</f>
        <v>0</v>
      </c>
      <c r="AK48" s="32">
        <f>IFERROR(INDEX('M03-S03'!$BI$18:$BI$199,2*(ROWS(AK$35:AK48)-1)+1),"")</f>
        <v>0</v>
      </c>
      <c r="AL48" s="32">
        <f>IFERROR(INDEX('M03-S03'!$BF$18:$BF$199,2*(ROWS(AL$35:AL48)-1)+1),"")</f>
        <v>0</v>
      </c>
      <c r="AM48" s="32">
        <f>IFERROR(INDEX('M03-S03'!$BA$18:$BA$199,2*(ROWS(AM$35:AM48)-1)+1),"")</f>
        <v>0</v>
      </c>
      <c r="AN48" s="32">
        <f>IFERROR(INDEX('M03-S03'!$BB$18:$BB$199,2*(ROWS(AN$35:AN48)-1)+1),"")</f>
        <v>0</v>
      </c>
      <c r="AO48" s="32"/>
      <c r="AP48" s="182"/>
      <c r="AQ48" s="182"/>
      <c r="AR48" s="182"/>
      <c r="AS48" s="171"/>
      <c r="AT48" s="171"/>
      <c r="AU48" s="171"/>
      <c r="AV48" s="190"/>
      <c r="AW48" s="190"/>
      <c r="AX48" s="184"/>
      <c r="AY48" s="184"/>
      <c r="AZ48" s="191"/>
      <c r="BA48" s="191"/>
      <c r="BB48" s="171"/>
    </row>
    <row r="49" spans="1:54">
      <c r="A49" s="10">
        <f t="shared" si="2"/>
        <v>0</v>
      </c>
      <c r="B49" t="str">
        <f t="shared" si="3"/>
        <v/>
      </c>
      <c r="C49" t="str" cm="1">
        <f t="array" ref="C49">IFERROR(_xlfn.VALUETOTEXT(INDEX('M03-S03'!$BW$18:$BW$199,2*(ROWS($C$35:C49)-1)+1)),"")</f>
        <v/>
      </c>
      <c r="D49">
        <f>IFERROR(INDEX('M03-S03'!$B$18:$B$199,2*(ROWS(D$35:D49)-1)+1),"")</f>
        <v>0</v>
      </c>
      <c r="E49" s="51" t="str" cm="1">
        <f t="array" ref="E49">IFERROR(_xlfn.VALUETOTEXT(INDEX('M03-S03'!$BX$18:$BX$199,2*(ROWS($E$35:E49)-1)+1)),"")</f>
        <v/>
      </c>
      <c r="F49" t="str" cm="1">
        <f t="array" ref="F49">IF(C49&lt;&gt;"", _xlfn.SWITCH(Program_Banner, "Small Business / Non-Profit", "Hard-To-Reach Business", "Business Energy Savings", "Whole Business Efficiency", ""), "")</f>
        <v/>
      </c>
      <c r="G49" t="s">
        <v>938</v>
      </c>
      <c r="H49">
        <f>IFERROR(INDEX('M03-S03'!$BC$18:$BC$199,2*(ROWS($H$35:H49)-1)+1),"")</f>
        <v>0</v>
      </c>
      <c r="I49" s="171"/>
      <c r="J49" s="182"/>
      <c r="K49" s="182"/>
      <c r="L49" s="51">
        <f>IFERROR(INDEX('M03-S03'!$BD$18:$BD$199,2*(ROWS($L$35:L49)-1)+1),"")</f>
        <v>0</v>
      </c>
      <c r="M49" s="51">
        <f>IFERROR(INDEX('M03-S03'!$AF$18:$AF$199,2*(ROWS($M$35:M49)-1)+1),"")</f>
        <v>0</v>
      </c>
      <c r="N49" s="171"/>
      <c r="O49">
        <f>IFERROR(INDEX('M03-S03'!$C$18:$C$199,2*(ROWS(O$35:O49)-1)+1),"")</f>
        <v>0</v>
      </c>
      <c r="P49" s="171"/>
      <c r="Q49">
        <f>IFERROR(INDEX('M03-S03'!$AB$18:$AB$199,2*(ROWS(Q$35:Q49)-1)+1),"")</f>
        <v>0</v>
      </c>
      <c r="S49">
        <f>IFERROR(INDEX('M03-S03'!$AX$18:$AX$199,2*(ROWS(S$35:S49)-1)+1),"")</f>
        <v>0</v>
      </c>
      <c r="T49" s="545">
        <f>IFERROR(ROUND(INDEX('M03-S03'!$AY$18:$AY$199,2*(ROWS(T$35:T49)-1)+1),3),"")</f>
        <v>0</v>
      </c>
      <c r="U49" s="545">
        <f>IFERROR(ROUND(INDEX('M03-S03'!$AZ$18:$AZ$199,2*(ROWS(U$35:U49)-1)+1),3),"")</f>
        <v>0</v>
      </c>
      <c r="V49" s="26">
        <f>IFERROR(INDEX('M03-S03'!$T$18:$T$199,2*(ROWS($G$35:V49)-1)+1),"")</f>
        <v>0</v>
      </c>
      <c r="W49" s="184"/>
      <c r="X49" s="184"/>
      <c r="Y49" s="26">
        <f>IFERROR(INDEX('M03-S03'!$Q$18:$Q$199,2*(ROWS(Y$35:Y49)-1)+1),"")</f>
        <v>0</v>
      </c>
      <c r="Z49" s="26"/>
      <c r="AA49" s="9" cm="1">
        <f t="array" ref="AA49">IFERROR(ROUND(INDEX('M03-S03'!$AR$18:$AR$199,2*(ROWS(AA$35:AA49)-1)+1), 2),"")</f>
        <v>0</v>
      </c>
      <c r="AB49" s="9" cm="1">
        <f t="array" ref="AB49">_xlfn.LET(_xlpm.ROWS, 2*(ROWS(AB$35:AB49)-1)+1,IFERROR(INDEX('M03-S03'!$AR$18:$AR$199, _xlpm.ROWS)-INDEX('M03-S03'!$BS$18:$BS$199, _xlpm.ROWS),""))</f>
        <v>0</v>
      </c>
      <c r="AC49" s="9">
        <f>IFERROR(ROUND(INDEX('M03-S03'!$AI$18:$AI$199,2*(ROWS(AC$35:AC49)-1)+1),2),"")</f>
        <v>0</v>
      </c>
      <c r="AD49" s="9">
        <f>IFERROR(ROUND(INDEX('M03-S03'!$AK$18:$AK$199,2*(ROWS(AD$35:AD49)-1)+1),2),"")</f>
        <v>0</v>
      </c>
      <c r="AE49" s="9">
        <f>IFERROR(ROUND(INDEX('M03-S03'!$BL$18:$BL$199,2*(ROWS(AE$35:AE49)-1)+1),2),"")</f>
        <v>0</v>
      </c>
      <c r="AF49" t="s">
        <v>84</v>
      </c>
      <c r="AG49" t="str">
        <f>IFERROR(INDEX(STDLIGHTCONT[Incremental Measure Cost ($/Unit)], MATCH(C49, STDLIGHTCONT[Measure Number], 0))*U49, "")</f>
        <v/>
      </c>
      <c r="AH49" s="184"/>
      <c r="AI49" s="32">
        <f>IFERROR(INDEX('M03-S03'!$BH$18:$BH$199,2*(ROWS(AI$35:AI49)-1)+1),"")</f>
        <v>0</v>
      </c>
      <c r="AJ49" s="32">
        <f>IFERROR(INDEX('M03-S03'!$BE$18:$BE$199,2*(ROWS(AJ$35:AJ49)-1)+1),"")</f>
        <v>0</v>
      </c>
      <c r="AK49" s="32">
        <f>IFERROR(INDEX('M03-S03'!$BI$18:$BI$199,2*(ROWS(AK$35:AK49)-1)+1),"")</f>
        <v>0</v>
      </c>
      <c r="AL49" s="32">
        <f>IFERROR(INDEX('M03-S03'!$BF$18:$BF$199,2*(ROWS(AL$35:AL49)-1)+1),"")</f>
        <v>0</v>
      </c>
      <c r="AM49" s="32">
        <f>IFERROR(INDEX('M03-S03'!$BA$18:$BA$199,2*(ROWS(AM$35:AM49)-1)+1),"")</f>
        <v>0</v>
      </c>
      <c r="AN49" s="32">
        <f>IFERROR(INDEX('M03-S03'!$BB$18:$BB$199,2*(ROWS(AN$35:AN49)-1)+1),"")</f>
        <v>0</v>
      </c>
      <c r="AO49" s="32"/>
      <c r="AP49" s="182"/>
      <c r="AQ49" s="182"/>
      <c r="AR49" s="182"/>
      <c r="AS49" s="171"/>
      <c r="AT49" s="171"/>
      <c r="AU49" s="171"/>
      <c r="AV49" s="190"/>
      <c r="AW49" s="190"/>
      <c r="AX49" s="184"/>
      <c r="AY49" s="184"/>
      <c r="AZ49" s="191"/>
      <c r="BA49" s="191"/>
      <c r="BB49" s="171"/>
    </row>
    <row r="50" spans="1:54">
      <c r="A50" s="478" t="str">
        <f>"Standard "&amp;M3S4</f>
        <v>Standard Refrigeration</v>
      </c>
      <c r="B50" s="172"/>
      <c r="C50" s="172"/>
      <c r="D50" s="172"/>
      <c r="E50" s="172"/>
      <c r="F50" s="172"/>
      <c r="G50" s="172"/>
      <c r="H50" s="172"/>
      <c r="I50" s="172"/>
      <c r="J50" s="180"/>
      <c r="K50" s="180"/>
      <c r="L50" s="172"/>
      <c r="M50" s="172"/>
      <c r="N50" s="172"/>
      <c r="O50" s="173"/>
      <c r="P50" s="172"/>
      <c r="Q50" s="172"/>
      <c r="R50" s="172"/>
      <c r="S50" s="172"/>
      <c r="T50" s="186"/>
      <c r="U50" s="186"/>
      <c r="V50" s="183"/>
      <c r="W50" s="183"/>
      <c r="X50" s="183"/>
      <c r="Y50" s="183"/>
      <c r="Z50" s="183"/>
      <c r="AA50" s="180"/>
      <c r="AB50" s="172"/>
      <c r="AC50" s="180"/>
      <c r="AD50" s="180"/>
      <c r="AE50" s="180"/>
      <c r="AF50" s="172"/>
      <c r="AG50" s="172"/>
      <c r="AH50" s="172"/>
      <c r="AI50" s="188"/>
      <c r="AJ50" s="188"/>
      <c r="AK50" s="188"/>
      <c r="AL50" s="188"/>
      <c r="AM50" s="188"/>
      <c r="AN50" s="188"/>
      <c r="AO50" s="188"/>
      <c r="AP50" s="180"/>
      <c r="AQ50" s="180"/>
      <c r="AR50" s="180"/>
      <c r="AS50" s="172"/>
      <c r="AT50" s="172"/>
      <c r="AU50" s="172"/>
      <c r="AV50" s="186"/>
      <c r="AW50" s="186"/>
      <c r="AX50" s="183"/>
      <c r="AY50" s="183"/>
      <c r="AZ50" s="188"/>
      <c r="BA50" s="188"/>
      <c r="BB50" s="172"/>
    </row>
    <row r="51" spans="1:54">
      <c r="A51" s="10">
        <f t="shared" ref="A51:A65" si="4">PROJID</f>
        <v>0</v>
      </c>
      <c r="B51" t="str">
        <f t="shared" ref="B51:B65" si="5">IF(C51="","",CONCATENATE(ROW(),"-",C51))</f>
        <v/>
      </c>
      <c r="C51" t="str" cm="1">
        <f t="array" ref="C51">IFERROR(_xlfn.VALUETOTEXT(INDEX('M03-S04'!$BW$18:$BW$199,2*(ROWS($C$51:C51)-1)+1)),"")</f>
        <v/>
      </c>
      <c r="D51">
        <f>IFERROR(INDEX('M03-S04'!$B$18:$B$199,2*(ROWS(D$51:D51)-1)+1),"")</f>
        <v>1</v>
      </c>
      <c r="E51" s="51" t="str" cm="1">
        <f t="array" ref="E51">IFERROR(_xlfn.VALUETOTEXT(INDEX('M03-S04'!$BX$18:$BX$199,2*(ROWS($E$51:E51)-1)+1)),"")</f>
        <v/>
      </c>
      <c r="F51" t="str" cm="1">
        <f t="array" ref="F51">IF(C51&lt;&gt;"", _xlfn.SWITCH(Program_Banner, "Small Business / Non-Profit", "Hard-To-Reach Business", "Business Energy Savings", "Whole Business Efficiency", ""), "")</f>
        <v/>
      </c>
      <c r="G51" t="s">
        <v>938</v>
      </c>
      <c r="H51" t="str">
        <f>IFERROR(INDEX('M03-S04'!$BC$18:$BC$199,2*(ROWS($H$51:H51)-1)+1),"")</f>
        <v/>
      </c>
      <c r="I51" s="171"/>
      <c r="J51" s="182"/>
      <c r="K51" s="182"/>
      <c r="L51" s="51" t="str">
        <f>IFERROR(INDEX('M03-S04'!$BD$18:$BD$199,2*(ROWS($L$51:L51)-1)+1),"")</f>
        <v/>
      </c>
      <c r="M51" s="51">
        <f>IFERROR(INDEX('M03-S04'!$AE$18:$AE$199,2*(ROWS($M$51:M51)-1)+1),"")</f>
        <v>0</v>
      </c>
      <c r="N51" s="171"/>
      <c r="O51">
        <f>IFERROR(INDEX('M03-S04'!$C$18:$C$199,2*(ROWS(O$51:O51)-1)+1),"")</f>
        <v>0</v>
      </c>
      <c r="P51" s="171"/>
      <c r="Q51">
        <f>IFERROR(INDEX('M03-S04'!$AA$18:$AA$199,2*(ROWS(Q$51:Q51)-1)+1),"")</f>
        <v>0</v>
      </c>
      <c r="S51" t="str">
        <f>IFERROR(INDEX('M03-S04'!$AX$18:$AX$199,2*(ROWS(S$51:S51)-1)+1),"")</f>
        <v/>
      </c>
      <c r="T51" s="545" t="str">
        <f>IFERROR(ROUND(INDEX('M03-S04'!$AY$18:$AY$199,2*(ROWS(T$51:T51)-1)+1),3),"")</f>
        <v/>
      </c>
      <c r="U51" s="545" t="str">
        <f>IFERROR(ROUND(INDEX('M03-S04'!$AZ$18:$AZ$199,2*(ROWS(U$51:U51)-1)+1),3),"")</f>
        <v/>
      </c>
      <c r="V51" s="184"/>
      <c r="W51" s="184"/>
      <c r="X51" s="184"/>
      <c r="Y51" s="184"/>
      <c r="Z51" s="184"/>
      <c r="AA51" s="9" t="str" cm="1">
        <f t="array" ref="AA51">IFERROR(ROUND(INDEX('M03-S04'!$AR$18:$AR$199,2*(ROWS(AA$51:AA51)-1)+1), 2),"")</f>
        <v/>
      </c>
      <c r="AB51" s="9" t="str" cm="1">
        <f t="array" ref="AB51">_xlfn.LET(_xlpm.ROWS, 2*(ROWS(AB$51:AB51)-1)+1,IFERROR(INDEX('M03-S04'!$AR$18:$AR$199, _xlpm.ROWS)-INDEX('M03-S04'!$BS$18:$BS$199, _xlpm.ROWS),""))</f>
        <v/>
      </c>
      <c r="AC51" s="9">
        <f>IFERROR(ROUND(INDEX('M03-S04'!$AI$18:$AI$199,2*(ROWS(AC$51:AC51)-1)+1),2),"")</f>
        <v>0</v>
      </c>
      <c r="AD51" s="9">
        <f>IFERROR(ROUND(INDEX('M03-S04'!$AK$18:$AK$199,2*(ROWS(AD$51:AD51)-1)+1),2),"")</f>
        <v>0</v>
      </c>
      <c r="AE51" s="9" t="str">
        <f>IFERROR(ROUND(INDEX('M03-S04'!$BL$18:$BL$199,2*(ROWS(AE$51:AE51)-1)+1),2),"")</f>
        <v/>
      </c>
      <c r="AF51" t="s">
        <v>84</v>
      </c>
      <c r="AG51" t="str">
        <f>IFERROR(INDEX(STDREFRIG[Incremental Measure Cost ($/Unit)], MATCH(C51, STDREFRIG[Measure Number], 0))*U51, "")</f>
        <v/>
      </c>
      <c r="AH51" s="184"/>
      <c r="AI51" s="32" t="str">
        <f>IFERROR(ROUND(INDEX('M03-S04'!$BH$18:$BH$199,2*(ROWS(AI$51:AI51)-1)+1),4),"")</f>
        <v/>
      </c>
      <c r="AJ51" s="32">
        <f>IFERROR(ROUND(INDEX('M03-S04'!$BE$18:$BE$199,2*(ROWS(AJ$51:AJ51)-1)+1),4),"")</f>
        <v>0</v>
      </c>
      <c r="AK51" s="32" t="str">
        <f>IFERROR(ROUND(INDEX('M03-S04'!$BI$18:$BI$199,2*(ROWS(AK$51:AK51)-1)+1),4),"")</f>
        <v/>
      </c>
      <c r="AL51" s="32">
        <f>IFERROR(ROUND(INDEX('M03-S04'!$BF$18:$BF$199,2*(ROWS(AL$51:AL51)-1)+1),4),"")</f>
        <v>0</v>
      </c>
      <c r="AM51" s="32">
        <f>IFERROR(ROUND(INDEX('M03-S04'!$BA$18:$BA$199,2*(ROWS(AM$51:AM51)-1)+1),4),"")</f>
        <v>0</v>
      </c>
      <c r="AN51" s="32">
        <f>IFERROR(ROUND(INDEX('M03-S04'!$BB$18:$BB$199,2*(ROWS(AN$51:AN51)-1)+1),4),"")</f>
        <v>0</v>
      </c>
      <c r="AO51" s="32"/>
      <c r="AP51" s="182"/>
      <c r="AQ51" s="182"/>
      <c r="AR51" s="182"/>
      <c r="AS51" s="171"/>
      <c r="AT51" s="171"/>
      <c r="AU51" s="171"/>
      <c r="AV51" s="190"/>
      <c r="AW51" s="190"/>
      <c r="AX51" s="184"/>
      <c r="AY51" s="184"/>
      <c r="AZ51" s="191"/>
      <c r="BA51" s="191"/>
      <c r="BB51" s="171"/>
    </row>
    <row r="52" spans="1:54">
      <c r="A52" s="10">
        <f t="shared" si="4"/>
        <v>0</v>
      </c>
      <c r="B52" t="str">
        <f t="shared" si="5"/>
        <v/>
      </c>
      <c r="C52" t="str" cm="1">
        <f t="array" ref="C52">IFERROR(_xlfn.VALUETOTEXT(INDEX('M03-S04'!$BW$18:$BW$199,2*(ROWS($C$51:C52)-1)+1)),"")</f>
        <v/>
      </c>
      <c r="D52">
        <f>IFERROR(INDEX('M03-S04'!$B$18:$B$199,2*(ROWS(D$51:D52)-1)+1),"")</f>
        <v>2</v>
      </c>
      <c r="E52" s="51" t="str" cm="1">
        <f t="array" ref="E52">IFERROR(_xlfn.VALUETOTEXT(INDEX('M03-S04'!$BX$18:$BX$199,2*(ROWS($E$51:E52)-1)+1)),"")</f>
        <v/>
      </c>
      <c r="F52" t="str" cm="1">
        <f t="array" ref="F52">IF(C52&lt;&gt;"", _xlfn.SWITCH(Program_Banner, "Small Business / Non-Profit", "Hard-To-Reach Business", "Business Energy Savings", "Whole Business Efficiency", ""), "")</f>
        <v/>
      </c>
      <c r="G52" t="s">
        <v>938</v>
      </c>
      <c r="H52" t="str">
        <f>IFERROR(INDEX('M03-S04'!$BC$18:$BC$199,2*(ROWS($H$51:H52)-1)+1),"")</f>
        <v/>
      </c>
      <c r="I52" s="171"/>
      <c r="J52" s="182"/>
      <c r="K52" s="182"/>
      <c r="L52" s="51" t="str">
        <f>IFERROR(INDEX('M03-S04'!$BD$18:$BD$199,2*(ROWS($L$51:L52)-1)+1),"")</f>
        <v/>
      </c>
      <c r="M52" s="51">
        <f>IFERROR(INDEX('M03-S04'!$AE$18:$AE$199,2*(ROWS($M$51:M52)-1)+1),"")</f>
        <v>0</v>
      </c>
      <c r="N52" s="171"/>
      <c r="O52">
        <f>IFERROR(INDEX('M03-S04'!$C$18:$C$199,2*(ROWS(O$51:O52)-1)+1),"")</f>
        <v>0</v>
      </c>
      <c r="P52" s="171"/>
      <c r="Q52">
        <f>IFERROR(INDEX('M03-S04'!$AA$18:$AA$199,2*(ROWS(Q$51:Q52)-1)+1),"")</f>
        <v>0</v>
      </c>
      <c r="S52" t="str">
        <f>IFERROR(INDEX('M03-S04'!$AX$18:$AX$199,2*(ROWS(S$51:S52)-1)+1),"")</f>
        <v/>
      </c>
      <c r="T52" s="545" t="str">
        <f>IFERROR(ROUND(INDEX('M03-S04'!$AY$18:$AY$199,2*(ROWS(T$51:T52)-1)+1),3),"")</f>
        <v/>
      </c>
      <c r="U52" s="545" t="str">
        <f>IFERROR(ROUND(INDEX('M03-S04'!$AZ$18:$AZ$199,2*(ROWS(U$51:U52)-1)+1),3),"")</f>
        <v/>
      </c>
      <c r="V52" s="184"/>
      <c r="W52" s="184"/>
      <c r="X52" s="184"/>
      <c r="Y52" s="184"/>
      <c r="Z52" s="184"/>
      <c r="AA52" s="9" t="str" cm="1">
        <f t="array" ref="AA52">IFERROR(ROUND(INDEX('M03-S04'!$AR$18:$AR$199,2*(ROWS(AA$51:AA52)-1)+1), 2),"")</f>
        <v/>
      </c>
      <c r="AB52" s="9" t="str" cm="1">
        <f t="array" ref="AB52">_xlfn.LET(_xlpm.ROWS, 2*(ROWS(AB$51:AB52)-1)+1,IFERROR(INDEX('M03-S04'!$AR$18:$AR$199, _xlpm.ROWS)-INDEX('M03-S04'!$BS$18:$BS$199, _xlpm.ROWS),""))</f>
        <v/>
      </c>
      <c r="AC52" s="9">
        <f>IFERROR(ROUND(INDEX('M03-S04'!$AI$18:$AI$199,2*(ROWS(AC$51:AC52)-1)+1),2),"")</f>
        <v>0</v>
      </c>
      <c r="AD52" s="9">
        <f>IFERROR(ROUND(INDEX('M03-S04'!$AK$18:$AK$199,2*(ROWS(AD$51:AD52)-1)+1),2),"")</f>
        <v>0</v>
      </c>
      <c r="AE52" s="9" t="str">
        <f>IFERROR(ROUND(INDEX('M03-S04'!$BL$18:$BL$199,2*(ROWS(AE$51:AE52)-1)+1),2),"")</f>
        <v/>
      </c>
      <c r="AF52" t="s">
        <v>84</v>
      </c>
      <c r="AG52" t="str">
        <f>IFERROR(INDEX(STDREFRIG[Incremental Measure Cost ($/Unit)], MATCH(C52, STDREFRIG[Measure Number], 0))*U52, "")</f>
        <v/>
      </c>
      <c r="AH52" s="184"/>
      <c r="AI52" s="32" t="str">
        <f>IFERROR(ROUND(INDEX('M03-S04'!$BH$18:$BH$199,2*(ROWS(AI$51:AI52)-1)+1),4),"")</f>
        <v/>
      </c>
      <c r="AJ52" s="32">
        <f>IFERROR(ROUND(INDEX('M03-S04'!$BE$18:$BE$199,2*(ROWS(AJ$51:AJ52)-1)+1),4),"")</f>
        <v>0</v>
      </c>
      <c r="AK52" s="32" t="str">
        <f>IFERROR(ROUND(INDEX('M03-S04'!$BI$18:$BI$199,2*(ROWS(AK$51:AK52)-1)+1),4),"")</f>
        <v/>
      </c>
      <c r="AL52" s="32">
        <f>IFERROR(ROUND(INDEX('M03-S04'!$BF$18:$BF$199,2*(ROWS(AL$51:AL52)-1)+1),4),"")</f>
        <v>0</v>
      </c>
      <c r="AM52" s="32">
        <f>IFERROR(ROUND(INDEX('M03-S04'!$BA$18:$BA$199,2*(ROWS(AM$51:AM52)-1)+1),4),"")</f>
        <v>0</v>
      </c>
      <c r="AN52" s="32">
        <f>IFERROR(ROUND(INDEX('M03-S04'!$BB$18:$BB$199,2*(ROWS(AN$51:AN52)-1)+1),4),"")</f>
        <v>0</v>
      </c>
      <c r="AO52" s="32"/>
      <c r="AP52" s="182"/>
      <c r="AQ52" s="182"/>
      <c r="AR52" s="182"/>
      <c r="AS52" s="171"/>
      <c r="AT52" s="171"/>
      <c r="AU52" s="171"/>
      <c r="AV52" s="190"/>
      <c r="AW52" s="190"/>
      <c r="AX52" s="184"/>
      <c r="AY52" s="184"/>
      <c r="AZ52" s="191"/>
      <c r="BA52" s="191"/>
      <c r="BB52" s="171"/>
    </row>
    <row r="53" spans="1:54">
      <c r="A53" s="10">
        <f t="shared" si="4"/>
        <v>0</v>
      </c>
      <c r="B53" t="str">
        <f t="shared" si="5"/>
        <v/>
      </c>
      <c r="C53" t="str" cm="1">
        <f t="array" ref="C53">IFERROR(_xlfn.VALUETOTEXT(INDEX('M03-S04'!$BW$18:$BW$199,2*(ROWS($C$51:C53)-1)+1)),"")</f>
        <v/>
      </c>
      <c r="D53">
        <f>IFERROR(INDEX('M03-S04'!$B$18:$B$199,2*(ROWS(D$51:D53)-1)+1),"")</f>
        <v>3</v>
      </c>
      <c r="E53" s="51" t="str" cm="1">
        <f t="array" ref="E53">IFERROR(_xlfn.VALUETOTEXT(INDEX('M03-S04'!$BX$18:$BX$199,2*(ROWS($E$51:E53)-1)+1)),"")</f>
        <v/>
      </c>
      <c r="F53" t="str" cm="1">
        <f t="array" ref="F53">IF(C53&lt;&gt;"", _xlfn.SWITCH(Program_Banner, "Small Business / Non-Profit", "Hard-To-Reach Business", "Business Energy Savings", "Whole Business Efficiency", ""), "")</f>
        <v/>
      </c>
      <c r="G53" t="s">
        <v>938</v>
      </c>
      <c r="H53" t="str">
        <f>IFERROR(INDEX('M03-S04'!$BC$18:$BC$199,2*(ROWS($H$51:H53)-1)+1),"")</f>
        <v/>
      </c>
      <c r="I53" s="171"/>
      <c r="J53" s="182"/>
      <c r="K53" s="182"/>
      <c r="L53" s="51" t="str">
        <f>IFERROR(INDEX('M03-S04'!$BD$18:$BD$199,2*(ROWS($L$51:L53)-1)+1),"")</f>
        <v/>
      </c>
      <c r="M53" s="51">
        <f>IFERROR(INDEX('M03-S04'!$AE$18:$AE$199,2*(ROWS($M$51:M53)-1)+1),"")</f>
        <v>0</v>
      </c>
      <c r="N53" s="171"/>
      <c r="O53">
        <f>IFERROR(INDEX('M03-S04'!$C$18:$C$199,2*(ROWS(O$51:O53)-1)+1),"")</f>
        <v>0</v>
      </c>
      <c r="P53" s="171"/>
      <c r="Q53">
        <f>IFERROR(INDEX('M03-S04'!$AA$18:$AA$199,2*(ROWS(Q$51:Q53)-1)+1),"")</f>
        <v>0</v>
      </c>
      <c r="S53" t="str">
        <f>IFERROR(INDEX('M03-S04'!$AX$18:$AX$199,2*(ROWS(S$51:S53)-1)+1),"")</f>
        <v/>
      </c>
      <c r="T53" s="545" t="str">
        <f>IFERROR(ROUND(INDEX('M03-S04'!$AY$18:$AY$199,2*(ROWS(T$51:T53)-1)+1),3),"")</f>
        <v/>
      </c>
      <c r="U53" s="545" t="str">
        <f>IFERROR(ROUND(INDEX('M03-S04'!$AZ$18:$AZ$199,2*(ROWS(U$51:U53)-1)+1),3),"")</f>
        <v/>
      </c>
      <c r="V53" s="184"/>
      <c r="W53" s="184"/>
      <c r="X53" s="184"/>
      <c r="Y53" s="184"/>
      <c r="Z53" s="184"/>
      <c r="AA53" s="9" t="str" cm="1">
        <f t="array" ref="AA53">IFERROR(ROUND(INDEX('M03-S04'!$AR$18:$AR$199,2*(ROWS(AA$51:AA53)-1)+1), 2),"")</f>
        <v/>
      </c>
      <c r="AB53" s="9" t="str" cm="1">
        <f t="array" ref="AB53">_xlfn.LET(_xlpm.ROWS, 2*(ROWS(AB$51:AB53)-1)+1,IFERROR(INDEX('M03-S04'!$AR$18:$AR$199, _xlpm.ROWS)-INDEX('M03-S04'!$BS$18:$BS$199, _xlpm.ROWS),""))</f>
        <v/>
      </c>
      <c r="AC53" s="9">
        <f>IFERROR(ROUND(INDEX('M03-S04'!$AI$18:$AI$199,2*(ROWS(AC$51:AC53)-1)+1),2),"")</f>
        <v>0</v>
      </c>
      <c r="AD53" s="9">
        <f>IFERROR(ROUND(INDEX('M03-S04'!$AK$18:$AK$199,2*(ROWS(AD$51:AD53)-1)+1),2),"")</f>
        <v>0</v>
      </c>
      <c r="AE53" s="9" t="str">
        <f>IFERROR(ROUND(INDEX('M03-S04'!$BL$18:$BL$199,2*(ROWS(AE$51:AE53)-1)+1),2),"")</f>
        <v/>
      </c>
      <c r="AF53" t="s">
        <v>84</v>
      </c>
      <c r="AG53" t="str">
        <f>IFERROR(INDEX(STDREFRIG[Incremental Measure Cost ($/Unit)], MATCH(C53, STDREFRIG[Measure Number], 0))*U53, "")</f>
        <v/>
      </c>
      <c r="AH53" s="184"/>
      <c r="AI53" s="32" t="str">
        <f>IFERROR(ROUND(INDEX('M03-S04'!$BH$18:$BH$199,2*(ROWS(AI$51:AI53)-1)+1),4),"")</f>
        <v/>
      </c>
      <c r="AJ53" s="32">
        <f>IFERROR(ROUND(INDEX('M03-S04'!$BE$18:$BE$199,2*(ROWS(AJ$51:AJ53)-1)+1),4),"")</f>
        <v>0</v>
      </c>
      <c r="AK53" s="32" t="str">
        <f>IFERROR(ROUND(INDEX('M03-S04'!$BI$18:$BI$199,2*(ROWS(AK$51:AK53)-1)+1),4),"")</f>
        <v/>
      </c>
      <c r="AL53" s="32">
        <f>IFERROR(ROUND(INDEX('M03-S04'!$BF$18:$BF$199,2*(ROWS(AL$51:AL53)-1)+1),4),"")</f>
        <v>0</v>
      </c>
      <c r="AM53" s="32">
        <f>IFERROR(ROUND(INDEX('M03-S04'!$BA$18:$BA$199,2*(ROWS(AM$51:AM53)-1)+1),4),"")</f>
        <v>0</v>
      </c>
      <c r="AN53" s="32">
        <f>IFERROR(ROUND(INDEX('M03-S04'!$BB$18:$BB$199,2*(ROWS(AN$51:AN53)-1)+1),4),"")</f>
        <v>0</v>
      </c>
      <c r="AO53" s="32"/>
      <c r="AP53" s="182"/>
      <c r="AQ53" s="182"/>
      <c r="AR53" s="182"/>
      <c r="AS53" s="171"/>
      <c r="AT53" s="171"/>
      <c r="AU53" s="171"/>
      <c r="AV53" s="190"/>
      <c r="AW53" s="190"/>
      <c r="AX53" s="184"/>
      <c r="AY53" s="184"/>
      <c r="AZ53" s="191"/>
      <c r="BA53" s="191"/>
      <c r="BB53" s="171"/>
    </row>
    <row r="54" spans="1:54">
      <c r="A54" s="10">
        <f t="shared" si="4"/>
        <v>0</v>
      </c>
      <c r="B54" t="str">
        <f t="shared" si="5"/>
        <v/>
      </c>
      <c r="C54" t="str" cm="1">
        <f t="array" ref="C54">IFERROR(_xlfn.VALUETOTEXT(INDEX('M03-S04'!$BW$18:$BW$199,2*(ROWS($C$51:C54)-1)+1)),"")</f>
        <v/>
      </c>
      <c r="D54">
        <f>IFERROR(INDEX('M03-S04'!$B$18:$B$199,2*(ROWS(D$51:D54)-1)+1),"")</f>
        <v>4</v>
      </c>
      <c r="E54" s="51" t="str" cm="1">
        <f t="array" ref="E54">IFERROR(_xlfn.VALUETOTEXT(INDEX('M03-S04'!$BX$18:$BX$199,2*(ROWS($E$51:E54)-1)+1)),"")</f>
        <v/>
      </c>
      <c r="F54" t="str" cm="1">
        <f t="array" ref="F54">IF(C54&lt;&gt;"", _xlfn.SWITCH(Program_Banner, "Small Business / Non-Profit", "Hard-To-Reach Business", "Business Energy Savings", "Whole Business Efficiency", ""), "")</f>
        <v/>
      </c>
      <c r="G54" t="s">
        <v>938</v>
      </c>
      <c r="H54" t="str">
        <f>IFERROR(INDEX('M03-S04'!$BC$18:$BC$199,2*(ROWS($H$51:H54)-1)+1),"")</f>
        <v/>
      </c>
      <c r="I54" s="171"/>
      <c r="J54" s="182"/>
      <c r="K54" s="182"/>
      <c r="L54" s="51" t="str">
        <f>IFERROR(INDEX('M03-S04'!$BD$18:$BD$199,2*(ROWS($L$51:L54)-1)+1),"")</f>
        <v/>
      </c>
      <c r="M54" s="51">
        <f>IFERROR(INDEX('M03-S04'!$AE$18:$AE$199,2*(ROWS($M$51:M54)-1)+1),"")</f>
        <v>0</v>
      </c>
      <c r="N54" s="171"/>
      <c r="O54">
        <f>IFERROR(INDEX('M03-S04'!$C$18:$C$199,2*(ROWS(O$51:O54)-1)+1),"")</f>
        <v>0</v>
      </c>
      <c r="P54" s="171"/>
      <c r="Q54">
        <f>IFERROR(INDEX('M03-S04'!$AA$18:$AA$199,2*(ROWS(Q$51:Q54)-1)+1),"")</f>
        <v>0</v>
      </c>
      <c r="S54" t="str">
        <f>IFERROR(INDEX('M03-S04'!$AX$18:$AX$199,2*(ROWS(S$51:S54)-1)+1),"")</f>
        <v/>
      </c>
      <c r="T54" s="545" t="str">
        <f>IFERROR(ROUND(INDEX('M03-S04'!$AY$18:$AY$199,2*(ROWS(T$51:T54)-1)+1),3),"")</f>
        <v/>
      </c>
      <c r="U54" s="545" t="str">
        <f>IFERROR(ROUND(INDEX('M03-S04'!$AZ$18:$AZ$199,2*(ROWS(U$51:U54)-1)+1),3),"")</f>
        <v/>
      </c>
      <c r="V54" s="184"/>
      <c r="W54" s="184"/>
      <c r="X54" s="184"/>
      <c r="Y54" s="184"/>
      <c r="Z54" s="184"/>
      <c r="AA54" s="9" t="str" cm="1">
        <f t="array" ref="AA54">IFERROR(ROUND(INDEX('M03-S04'!$AR$18:$AR$199,2*(ROWS(AA$51:AA54)-1)+1), 2),"")</f>
        <v/>
      </c>
      <c r="AB54" s="9" t="str" cm="1">
        <f t="array" ref="AB54">_xlfn.LET(_xlpm.ROWS, 2*(ROWS(AB$51:AB54)-1)+1,IFERROR(INDEX('M03-S04'!$AR$18:$AR$199, _xlpm.ROWS)-INDEX('M03-S04'!$BS$18:$BS$199, _xlpm.ROWS),""))</f>
        <v/>
      </c>
      <c r="AC54" s="9">
        <f>IFERROR(ROUND(INDEX('M03-S04'!$AI$18:$AI$199,2*(ROWS(AC$51:AC54)-1)+1),2),"")</f>
        <v>0</v>
      </c>
      <c r="AD54" s="9">
        <f>IFERROR(ROUND(INDEX('M03-S04'!$AK$18:$AK$199,2*(ROWS(AD$51:AD54)-1)+1),2),"")</f>
        <v>0</v>
      </c>
      <c r="AE54" s="9" t="str">
        <f>IFERROR(ROUND(INDEX('M03-S04'!$BL$18:$BL$199,2*(ROWS(AE$51:AE54)-1)+1),2),"")</f>
        <v/>
      </c>
      <c r="AF54" t="s">
        <v>84</v>
      </c>
      <c r="AG54" t="str">
        <f>IFERROR(INDEX(STDREFRIG[Incremental Measure Cost ($/Unit)], MATCH(C54, STDREFRIG[Measure Number], 0))*U54, "")</f>
        <v/>
      </c>
      <c r="AH54" s="184"/>
      <c r="AI54" s="32" t="str">
        <f>IFERROR(ROUND(INDEX('M03-S04'!$BH$18:$BH$199,2*(ROWS(AI$51:AI54)-1)+1),4),"")</f>
        <v/>
      </c>
      <c r="AJ54" s="32">
        <f>IFERROR(ROUND(INDEX('M03-S04'!$BE$18:$BE$199,2*(ROWS(AJ$51:AJ54)-1)+1),4),"")</f>
        <v>0</v>
      </c>
      <c r="AK54" s="32" t="str">
        <f>IFERROR(ROUND(INDEX('M03-S04'!$BI$18:$BI$199,2*(ROWS(AK$51:AK54)-1)+1),4),"")</f>
        <v/>
      </c>
      <c r="AL54" s="32">
        <f>IFERROR(ROUND(INDEX('M03-S04'!$BF$18:$BF$199,2*(ROWS(AL$51:AL54)-1)+1),4),"")</f>
        <v>0</v>
      </c>
      <c r="AM54" s="32">
        <f>IFERROR(ROUND(INDEX('M03-S04'!$BA$18:$BA$199,2*(ROWS(AM$51:AM54)-1)+1),4),"")</f>
        <v>0</v>
      </c>
      <c r="AN54" s="32">
        <f>IFERROR(ROUND(INDEX('M03-S04'!$BB$18:$BB$199,2*(ROWS(AN$51:AN54)-1)+1),4),"")</f>
        <v>0</v>
      </c>
      <c r="AO54" s="32"/>
      <c r="AP54" s="182"/>
      <c r="AQ54" s="182"/>
      <c r="AR54" s="182"/>
      <c r="AS54" s="171"/>
      <c r="AT54" s="171"/>
      <c r="AU54" s="171"/>
      <c r="AV54" s="190"/>
      <c r="AW54" s="190"/>
      <c r="AX54" s="184"/>
      <c r="AY54" s="184"/>
      <c r="AZ54" s="191"/>
      <c r="BA54" s="191"/>
      <c r="BB54" s="171"/>
    </row>
    <row r="55" spans="1:54">
      <c r="A55" s="10">
        <f t="shared" si="4"/>
        <v>0</v>
      </c>
      <c r="B55" t="str">
        <f t="shared" si="5"/>
        <v/>
      </c>
      <c r="C55" t="str" cm="1">
        <f t="array" ref="C55">IFERROR(_xlfn.VALUETOTEXT(INDEX('M03-S04'!$BW$18:$BW$199,2*(ROWS($C$51:C55)-1)+1)),"")</f>
        <v/>
      </c>
      <c r="D55">
        <f>IFERROR(INDEX('M03-S04'!$B$18:$B$199,2*(ROWS(D$51:D55)-1)+1),"")</f>
        <v>5</v>
      </c>
      <c r="E55" s="51" t="str" cm="1">
        <f t="array" ref="E55">IFERROR(_xlfn.VALUETOTEXT(INDEX('M03-S04'!$BX$18:$BX$199,2*(ROWS($E$51:E55)-1)+1)),"")</f>
        <v/>
      </c>
      <c r="F55" t="str" cm="1">
        <f t="array" ref="F55">IF(C55&lt;&gt;"", _xlfn.SWITCH(Program_Banner, "Small Business / Non-Profit", "Hard-To-Reach Business", "Business Energy Savings", "Whole Business Efficiency", ""), "")</f>
        <v/>
      </c>
      <c r="G55" t="s">
        <v>938</v>
      </c>
      <c r="H55" t="str">
        <f>IFERROR(INDEX('M03-S04'!$BC$18:$BC$199,2*(ROWS($H$51:H55)-1)+1),"")</f>
        <v/>
      </c>
      <c r="I55" s="171"/>
      <c r="J55" s="182"/>
      <c r="K55" s="182"/>
      <c r="L55" s="51" t="str">
        <f>IFERROR(INDEX('M03-S04'!$BD$18:$BD$199,2*(ROWS($L$51:L55)-1)+1),"")</f>
        <v/>
      </c>
      <c r="M55" s="51">
        <f>IFERROR(INDEX('M03-S04'!$AE$18:$AE$199,2*(ROWS($M$51:M55)-1)+1),"")</f>
        <v>0</v>
      </c>
      <c r="N55" s="171"/>
      <c r="O55">
        <f>IFERROR(INDEX('M03-S04'!$C$18:$C$199,2*(ROWS(O$51:O55)-1)+1),"")</f>
        <v>0</v>
      </c>
      <c r="P55" s="171"/>
      <c r="Q55">
        <f>IFERROR(INDEX('M03-S04'!$AA$18:$AA$199,2*(ROWS(Q$51:Q55)-1)+1),"")</f>
        <v>0</v>
      </c>
      <c r="S55" t="str">
        <f>IFERROR(INDEX('M03-S04'!$AX$18:$AX$199,2*(ROWS(S$51:S55)-1)+1),"")</f>
        <v/>
      </c>
      <c r="T55" s="545" t="str">
        <f>IFERROR(ROUND(INDEX('M03-S04'!$AY$18:$AY$199,2*(ROWS(T$51:T55)-1)+1),3),"")</f>
        <v/>
      </c>
      <c r="U55" s="545" t="str">
        <f>IFERROR(ROUND(INDEX('M03-S04'!$AZ$18:$AZ$199,2*(ROWS(U$51:U55)-1)+1),3),"")</f>
        <v/>
      </c>
      <c r="V55" s="184"/>
      <c r="W55" s="184"/>
      <c r="X55" s="184"/>
      <c r="Y55" s="184"/>
      <c r="Z55" s="184"/>
      <c r="AA55" s="9" t="str" cm="1">
        <f t="array" ref="AA55">IFERROR(ROUND(INDEX('M03-S04'!$AR$18:$AR$199,2*(ROWS(AA$51:AA55)-1)+1), 2),"")</f>
        <v/>
      </c>
      <c r="AB55" s="9" t="str" cm="1">
        <f t="array" ref="AB55">_xlfn.LET(_xlpm.ROWS, 2*(ROWS(AB$51:AB55)-1)+1,IFERROR(INDEX('M03-S04'!$AR$18:$AR$199, _xlpm.ROWS)-INDEX('M03-S04'!$BS$18:$BS$199, _xlpm.ROWS),""))</f>
        <v/>
      </c>
      <c r="AC55" s="9">
        <f>IFERROR(ROUND(INDEX('M03-S04'!$AI$18:$AI$199,2*(ROWS(AC$51:AC55)-1)+1),2),"")</f>
        <v>0</v>
      </c>
      <c r="AD55" s="9">
        <f>IFERROR(ROUND(INDEX('M03-S04'!$AK$18:$AK$199,2*(ROWS(AD$51:AD55)-1)+1),2),"")</f>
        <v>0</v>
      </c>
      <c r="AE55" s="9" t="str">
        <f>IFERROR(ROUND(INDEX('M03-S04'!$BL$18:$BL$199,2*(ROWS(AE$51:AE55)-1)+1),2),"")</f>
        <v/>
      </c>
      <c r="AF55" t="s">
        <v>84</v>
      </c>
      <c r="AG55" t="str">
        <f>IFERROR(INDEX(STDREFRIG[Incremental Measure Cost ($/Unit)], MATCH(C55, STDREFRIG[Measure Number], 0))*U55, "")</f>
        <v/>
      </c>
      <c r="AH55" s="184"/>
      <c r="AI55" s="32" t="str">
        <f>IFERROR(ROUND(INDEX('M03-S04'!$BH$18:$BH$199,2*(ROWS(AI$51:AI55)-1)+1),4),"")</f>
        <v/>
      </c>
      <c r="AJ55" s="32">
        <f>IFERROR(ROUND(INDEX('M03-S04'!$BE$18:$BE$199,2*(ROWS(AJ$51:AJ55)-1)+1),4),"")</f>
        <v>0</v>
      </c>
      <c r="AK55" s="32" t="str">
        <f>IFERROR(ROUND(INDEX('M03-S04'!$BI$18:$BI$199,2*(ROWS(AK$51:AK55)-1)+1),4),"")</f>
        <v/>
      </c>
      <c r="AL55" s="32">
        <f>IFERROR(ROUND(INDEX('M03-S04'!$BF$18:$BF$199,2*(ROWS(AL$51:AL55)-1)+1),4),"")</f>
        <v>0</v>
      </c>
      <c r="AM55" s="32">
        <f>IFERROR(ROUND(INDEX('M03-S04'!$BA$18:$BA$199,2*(ROWS(AM$51:AM55)-1)+1),4),"")</f>
        <v>0</v>
      </c>
      <c r="AN55" s="32">
        <f>IFERROR(ROUND(INDEX('M03-S04'!$BB$18:$BB$199,2*(ROWS(AN$51:AN55)-1)+1),4),"")</f>
        <v>0</v>
      </c>
      <c r="AO55" s="32"/>
      <c r="AP55" s="182"/>
      <c r="AQ55" s="182"/>
      <c r="AR55" s="182"/>
      <c r="AS55" s="171"/>
      <c r="AT55" s="171"/>
      <c r="AU55" s="171"/>
      <c r="AV55" s="190"/>
      <c r="AW55" s="190"/>
      <c r="AX55" s="184"/>
      <c r="AY55" s="184"/>
      <c r="AZ55" s="191"/>
      <c r="BA55" s="191"/>
      <c r="BB55" s="171"/>
    </row>
    <row r="56" spans="1:54">
      <c r="A56" s="10">
        <f t="shared" si="4"/>
        <v>0</v>
      </c>
      <c r="B56" t="str">
        <f t="shared" si="5"/>
        <v/>
      </c>
      <c r="C56" t="str" cm="1">
        <f t="array" ref="C56">IFERROR(_xlfn.VALUETOTEXT(INDEX('M03-S04'!$BW$18:$BW$199,2*(ROWS($C$51:C56)-1)+1)),"")</f>
        <v/>
      </c>
      <c r="D56">
        <f>IFERROR(INDEX('M03-S04'!$B$18:$B$199,2*(ROWS(D$51:D56)-1)+1),"")</f>
        <v>6</v>
      </c>
      <c r="E56" s="51" t="str" cm="1">
        <f t="array" ref="E56">IFERROR(_xlfn.VALUETOTEXT(INDEX('M03-S04'!$BX$18:$BX$199,2*(ROWS($E$51:E56)-1)+1)),"")</f>
        <v/>
      </c>
      <c r="F56" t="str" cm="1">
        <f t="array" ref="F56">IF(C56&lt;&gt;"", _xlfn.SWITCH(Program_Banner, "Small Business / Non-Profit", "Hard-To-Reach Business", "Business Energy Savings", "Whole Business Efficiency", ""), "")</f>
        <v/>
      </c>
      <c r="G56" t="s">
        <v>938</v>
      </c>
      <c r="H56" t="str">
        <f>IFERROR(INDEX('M03-S04'!$BC$18:$BC$199,2*(ROWS($H$51:H56)-1)+1),"")</f>
        <v/>
      </c>
      <c r="I56" s="171"/>
      <c r="J56" s="182"/>
      <c r="K56" s="182"/>
      <c r="L56" s="51" t="str">
        <f>IFERROR(INDEX('M03-S04'!$BD$18:$BD$199,2*(ROWS($L$51:L56)-1)+1),"")</f>
        <v/>
      </c>
      <c r="M56" s="51">
        <f>IFERROR(INDEX('M03-S04'!$AE$18:$AE$199,2*(ROWS($M$51:M56)-1)+1),"")</f>
        <v>0</v>
      </c>
      <c r="N56" s="171"/>
      <c r="O56">
        <f>IFERROR(INDEX('M03-S04'!$C$18:$C$199,2*(ROWS(O$51:O56)-1)+1),"")</f>
        <v>0</v>
      </c>
      <c r="P56" s="171"/>
      <c r="Q56">
        <f>IFERROR(INDEX('M03-S04'!$AA$18:$AA$199,2*(ROWS(Q$51:Q56)-1)+1),"")</f>
        <v>0</v>
      </c>
      <c r="S56" t="str">
        <f>IFERROR(INDEX('M03-S04'!$AX$18:$AX$199,2*(ROWS(S$51:S56)-1)+1),"")</f>
        <v/>
      </c>
      <c r="T56" s="545" t="str">
        <f>IFERROR(ROUND(INDEX('M03-S04'!$AY$18:$AY$199,2*(ROWS(T$51:T56)-1)+1),3),"")</f>
        <v/>
      </c>
      <c r="U56" s="545" t="str">
        <f>IFERROR(ROUND(INDEX('M03-S04'!$AZ$18:$AZ$199,2*(ROWS(U$51:U56)-1)+1),3),"")</f>
        <v/>
      </c>
      <c r="V56" s="184"/>
      <c r="W56" s="184"/>
      <c r="X56" s="184"/>
      <c r="Y56" s="184"/>
      <c r="Z56" s="184"/>
      <c r="AA56" s="9" t="str" cm="1">
        <f t="array" ref="AA56">IFERROR(ROUND(INDEX('M03-S04'!$AR$18:$AR$199,2*(ROWS(AA$51:AA56)-1)+1), 2),"")</f>
        <v/>
      </c>
      <c r="AB56" s="9" t="str" cm="1">
        <f t="array" ref="AB56">_xlfn.LET(_xlpm.ROWS, 2*(ROWS(AB$51:AB56)-1)+1,IFERROR(INDEX('M03-S04'!$AR$18:$AR$199, _xlpm.ROWS)-INDEX('M03-S04'!$BS$18:$BS$199, _xlpm.ROWS),""))</f>
        <v/>
      </c>
      <c r="AC56" s="9">
        <f>IFERROR(ROUND(INDEX('M03-S04'!$AI$18:$AI$199,2*(ROWS(AC$51:AC56)-1)+1),2),"")</f>
        <v>0</v>
      </c>
      <c r="AD56" s="9">
        <f>IFERROR(ROUND(INDEX('M03-S04'!$AK$18:$AK$199,2*(ROWS(AD$51:AD56)-1)+1),2),"")</f>
        <v>0</v>
      </c>
      <c r="AE56" s="9" t="str">
        <f>IFERROR(ROUND(INDEX('M03-S04'!$BL$18:$BL$199,2*(ROWS(AE$51:AE56)-1)+1),2),"")</f>
        <v/>
      </c>
      <c r="AF56" t="s">
        <v>84</v>
      </c>
      <c r="AG56" t="str">
        <f>IFERROR(INDEX(STDREFRIG[Incremental Measure Cost ($/Unit)], MATCH(C56, STDREFRIG[Measure Number], 0))*U56, "")</f>
        <v/>
      </c>
      <c r="AH56" s="184"/>
      <c r="AI56" s="32" t="str">
        <f>IFERROR(ROUND(INDEX('M03-S04'!$BH$18:$BH$199,2*(ROWS(AI$51:AI56)-1)+1),4),"")</f>
        <v/>
      </c>
      <c r="AJ56" s="32">
        <f>IFERROR(ROUND(INDEX('M03-S04'!$BE$18:$BE$199,2*(ROWS(AJ$51:AJ56)-1)+1),4),"")</f>
        <v>0</v>
      </c>
      <c r="AK56" s="32" t="str">
        <f>IFERROR(ROUND(INDEX('M03-S04'!$BI$18:$BI$199,2*(ROWS(AK$51:AK56)-1)+1),4),"")</f>
        <v/>
      </c>
      <c r="AL56" s="32">
        <f>IFERROR(ROUND(INDEX('M03-S04'!$BF$18:$BF$199,2*(ROWS(AL$51:AL56)-1)+1),4),"")</f>
        <v>0</v>
      </c>
      <c r="AM56" s="32">
        <f>IFERROR(ROUND(INDEX('M03-S04'!$BA$18:$BA$199,2*(ROWS(AM$51:AM56)-1)+1),4),"")</f>
        <v>0</v>
      </c>
      <c r="AN56" s="32">
        <f>IFERROR(ROUND(INDEX('M03-S04'!$BB$18:$BB$199,2*(ROWS(AN$51:AN56)-1)+1),4),"")</f>
        <v>0</v>
      </c>
      <c r="AO56" s="32"/>
      <c r="AP56" s="182"/>
      <c r="AQ56" s="182"/>
      <c r="AR56" s="182"/>
      <c r="AS56" s="171"/>
      <c r="AT56" s="171"/>
      <c r="AU56" s="171"/>
      <c r="AV56" s="190"/>
      <c r="AW56" s="190"/>
      <c r="AX56" s="184"/>
      <c r="AY56" s="184"/>
      <c r="AZ56" s="191"/>
      <c r="BA56" s="191"/>
      <c r="BB56" s="171"/>
    </row>
    <row r="57" spans="1:54">
      <c r="A57" s="10">
        <f t="shared" si="4"/>
        <v>0</v>
      </c>
      <c r="B57" t="str">
        <f t="shared" si="5"/>
        <v/>
      </c>
      <c r="C57" t="str" cm="1">
        <f t="array" ref="C57">IFERROR(_xlfn.VALUETOTEXT(INDEX('M03-S04'!$BW$18:$BW$199,2*(ROWS($C$51:C57)-1)+1)),"")</f>
        <v/>
      </c>
      <c r="D57">
        <f>IFERROR(INDEX('M03-S04'!$B$18:$B$199,2*(ROWS(D$51:D57)-1)+1),"")</f>
        <v>7</v>
      </c>
      <c r="E57" s="51" t="str" cm="1">
        <f t="array" ref="E57">IFERROR(_xlfn.VALUETOTEXT(INDEX('M03-S04'!$BX$18:$BX$199,2*(ROWS($E$51:E57)-1)+1)),"")</f>
        <v/>
      </c>
      <c r="F57" t="str" cm="1">
        <f t="array" ref="F57">IF(C57&lt;&gt;"", _xlfn.SWITCH(Program_Banner, "Small Business / Non-Profit", "Hard-To-Reach Business", "Business Energy Savings", "Whole Business Efficiency", ""), "")</f>
        <v/>
      </c>
      <c r="G57" t="s">
        <v>938</v>
      </c>
      <c r="H57" t="str">
        <f>IFERROR(INDEX('M03-S04'!$BC$18:$BC$199,2*(ROWS($H$51:H57)-1)+1),"")</f>
        <v/>
      </c>
      <c r="I57" s="171"/>
      <c r="J57" s="182"/>
      <c r="K57" s="182"/>
      <c r="L57" s="51" t="str">
        <f>IFERROR(INDEX('M03-S04'!$BD$18:$BD$199,2*(ROWS($L$51:L57)-1)+1),"")</f>
        <v/>
      </c>
      <c r="M57" s="51">
        <f>IFERROR(INDEX('M03-S04'!$AE$18:$AE$199,2*(ROWS($M$51:M57)-1)+1),"")</f>
        <v>0</v>
      </c>
      <c r="N57" s="171"/>
      <c r="O57">
        <f>IFERROR(INDEX('M03-S04'!$C$18:$C$199,2*(ROWS(O$51:O57)-1)+1),"")</f>
        <v>0</v>
      </c>
      <c r="P57" s="171"/>
      <c r="Q57">
        <f>IFERROR(INDEX('M03-S04'!$AA$18:$AA$199,2*(ROWS(Q$51:Q57)-1)+1),"")</f>
        <v>0</v>
      </c>
      <c r="S57" t="str">
        <f>IFERROR(INDEX('M03-S04'!$AX$18:$AX$199,2*(ROWS(S$51:S57)-1)+1),"")</f>
        <v/>
      </c>
      <c r="T57" s="545" t="str">
        <f>IFERROR(ROUND(INDEX('M03-S04'!$AY$18:$AY$199,2*(ROWS(T$51:T57)-1)+1),3),"")</f>
        <v/>
      </c>
      <c r="U57" s="545" t="str">
        <f>IFERROR(ROUND(INDEX('M03-S04'!$AZ$18:$AZ$199,2*(ROWS(U$51:U57)-1)+1),3),"")</f>
        <v/>
      </c>
      <c r="V57" s="184"/>
      <c r="W57" s="184"/>
      <c r="X57" s="184"/>
      <c r="Y57" s="184"/>
      <c r="Z57" s="184"/>
      <c r="AA57" s="9" t="str" cm="1">
        <f t="array" ref="AA57">IFERROR(ROUND(INDEX('M03-S04'!$AR$18:$AR$199,2*(ROWS(AA$51:AA57)-1)+1), 2),"")</f>
        <v/>
      </c>
      <c r="AB57" s="9" t="str" cm="1">
        <f t="array" ref="AB57">_xlfn.LET(_xlpm.ROWS, 2*(ROWS(AB$51:AB57)-1)+1,IFERROR(INDEX('M03-S04'!$AR$18:$AR$199, _xlpm.ROWS)-INDEX('M03-S04'!$BS$18:$BS$199, _xlpm.ROWS),""))</f>
        <v/>
      </c>
      <c r="AC57" s="9">
        <f>IFERROR(ROUND(INDEX('M03-S04'!$AI$18:$AI$199,2*(ROWS(AC$51:AC57)-1)+1),2),"")</f>
        <v>0</v>
      </c>
      <c r="AD57" s="9">
        <f>IFERROR(ROUND(INDEX('M03-S04'!$AK$18:$AK$199,2*(ROWS(AD$51:AD57)-1)+1),2),"")</f>
        <v>0</v>
      </c>
      <c r="AE57" s="9" t="str">
        <f>IFERROR(ROUND(INDEX('M03-S04'!$BL$18:$BL$199,2*(ROWS(AE$51:AE57)-1)+1),2),"")</f>
        <v/>
      </c>
      <c r="AF57" t="s">
        <v>84</v>
      </c>
      <c r="AG57" t="str">
        <f>IFERROR(INDEX(STDREFRIG[Incremental Measure Cost ($/Unit)], MATCH(C57, STDREFRIG[Measure Number], 0))*U57, "")</f>
        <v/>
      </c>
      <c r="AH57" s="184"/>
      <c r="AI57" s="32" t="str">
        <f>IFERROR(ROUND(INDEX('M03-S04'!$BH$18:$BH$199,2*(ROWS(AI$51:AI57)-1)+1),4),"")</f>
        <v/>
      </c>
      <c r="AJ57" s="32">
        <f>IFERROR(ROUND(INDEX('M03-S04'!$BE$18:$BE$199,2*(ROWS(AJ$51:AJ57)-1)+1),4),"")</f>
        <v>0</v>
      </c>
      <c r="AK57" s="32" t="str">
        <f>IFERROR(ROUND(INDEX('M03-S04'!$BI$18:$BI$199,2*(ROWS(AK$51:AK57)-1)+1),4),"")</f>
        <v/>
      </c>
      <c r="AL57" s="32">
        <f>IFERROR(ROUND(INDEX('M03-S04'!$BF$18:$BF$199,2*(ROWS(AL$51:AL57)-1)+1),4),"")</f>
        <v>0</v>
      </c>
      <c r="AM57" s="32">
        <f>IFERROR(ROUND(INDEX('M03-S04'!$BA$18:$BA$199,2*(ROWS(AM$51:AM57)-1)+1),4),"")</f>
        <v>0</v>
      </c>
      <c r="AN57" s="32">
        <f>IFERROR(ROUND(INDEX('M03-S04'!$BB$18:$BB$199,2*(ROWS(AN$51:AN57)-1)+1),4),"")</f>
        <v>0</v>
      </c>
      <c r="AO57" s="32"/>
      <c r="AP57" s="182"/>
      <c r="AQ57" s="182"/>
      <c r="AR57" s="182"/>
      <c r="AS57" s="171"/>
      <c r="AT57" s="171"/>
      <c r="AU57" s="171"/>
      <c r="AV57" s="190"/>
      <c r="AW57" s="190"/>
      <c r="AX57" s="184"/>
      <c r="AY57" s="184"/>
      <c r="AZ57" s="191"/>
      <c r="BA57" s="191"/>
      <c r="BB57" s="171"/>
    </row>
    <row r="58" spans="1:54">
      <c r="A58" s="10">
        <f t="shared" si="4"/>
        <v>0</v>
      </c>
      <c r="B58" t="str">
        <f t="shared" si="5"/>
        <v/>
      </c>
      <c r="C58" t="str" cm="1">
        <f t="array" ref="C58">IFERROR(_xlfn.VALUETOTEXT(INDEX('M03-S04'!$BW$18:$BW$199,2*(ROWS($C$51:C58)-1)+1)),"")</f>
        <v/>
      </c>
      <c r="D58">
        <f>IFERROR(INDEX('M03-S04'!$B$18:$B$199,2*(ROWS(D$51:D58)-1)+1),"")</f>
        <v>8</v>
      </c>
      <c r="E58" s="51" t="str" cm="1">
        <f t="array" ref="E58">IFERROR(_xlfn.VALUETOTEXT(INDEX('M03-S04'!$BX$18:$BX$199,2*(ROWS($E$51:E58)-1)+1)),"")</f>
        <v/>
      </c>
      <c r="F58" t="str" cm="1">
        <f t="array" ref="F58">IF(C58&lt;&gt;"", _xlfn.SWITCH(Program_Banner, "Small Business / Non-Profit", "Hard-To-Reach Business", "Business Energy Savings", "Whole Business Efficiency", ""), "")</f>
        <v/>
      </c>
      <c r="G58" t="s">
        <v>938</v>
      </c>
      <c r="H58" t="str">
        <f>IFERROR(INDEX('M03-S04'!$BC$18:$BC$199,2*(ROWS($H$51:H58)-1)+1),"")</f>
        <v/>
      </c>
      <c r="I58" s="171"/>
      <c r="J58" s="182"/>
      <c r="K58" s="182"/>
      <c r="L58" s="51" t="str">
        <f>IFERROR(INDEX('M03-S04'!$BD$18:$BD$199,2*(ROWS($L$51:L58)-1)+1),"")</f>
        <v/>
      </c>
      <c r="M58" s="51">
        <f>IFERROR(INDEX('M03-S04'!$AE$18:$AE$199,2*(ROWS($M$51:M58)-1)+1),"")</f>
        <v>0</v>
      </c>
      <c r="N58" s="171"/>
      <c r="O58">
        <f>IFERROR(INDEX('M03-S04'!$C$18:$C$199,2*(ROWS(O$51:O58)-1)+1),"")</f>
        <v>0</v>
      </c>
      <c r="P58" s="171"/>
      <c r="Q58">
        <f>IFERROR(INDEX('M03-S04'!$AA$18:$AA$199,2*(ROWS(Q$51:Q58)-1)+1),"")</f>
        <v>0</v>
      </c>
      <c r="S58" t="str">
        <f>IFERROR(INDEX('M03-S04'!$AX$18:$AX$199,2*(ROWS(S$51:S58)-1)+1),"")</f>
        <v/>
      </c>
      <c r="T58" s="545" t="str">
        <f>IFERROR(ROUND(INDEX('M03-S04'!$AY$18:$AY$199,2*(ROWS(T$51:T58)-1)+1),3),"")</f>
        <v/>
      </c>
      <c r="U58" s="545" t="str">
        <f>IFERROR(ROUND(INDEX('M03-S04'!$AZ$18:$AZ$199,2*(ROWS(U$51:U58)-1)+1),3),"")</f>
        <v/>
      </c>
      <c r="V58" s="184"/>
      <c r="W58" s="184"/>
      <c r="X58" s="184"/>
      <c r="Y58" s="184"/>
      <c r="Z58" s="184"/>
      <c r="AA58" s="9" t="str" cm="1">
        <f t="array" ref="AA58">IFERROR(ROUND(INDEX('M03-S04'!$AR$18:$AR$199,2*(ROWS(AA$51:AA58)-1)+1), 2),"")</f>
        <v/>
      </c>
      <c r="AB58" s="9" t="str" cm="1">
        <f t="array" ref="AB58">_xlfn.LET(_xlpm.ROWS, 2*(ROWS(AB$51:AB58)-1)+1,IFERROR(INDEX('M03-S04'!$AR$18:$AR$199, _xlpm.ROWS)-INDEX('M03-S04'!$BS$18:$BS$199, _xlpm.ROWS),""))</f>
        <v/>
      </c>
      <c r="AC58" s="9">
        <f>IFERROR(ROUND(INDEX('M03-S04'!$AI$18:$AI$199,2*(ROWS(AC$51:AC58)-1)+1),2),"")</f>
        <v>0</v>
      </c>
      <c r="AD58" s="9">
        <f>IFERROR(ROUND(INDEX('M03-S04'!$AK$18:$AK$199,2*(ROWS(AD$51:AD58)-1)+1),2),"")</f>
        <v>0</v>
      </c>
      <c r="AE58" s="9" t="str">
        <f>IFERROR(ROUND(INDEX('M03-S04'!$BL$18:$BL$199,2*(ROWS(AE$51:AE58)-1)+1),2),"")</f>
        <v/>
      </c>
      <c r="AF58" t="s">
        <v>84</v>
      </c>
      <c r="AG58" t="str">
        <f>IFERROR(INDEX(STDREFRIG[Incremental Measure Cost ($/Unit)], MATCH(C58, STDREFRIG[Measure Number], 0))*U58, "")</f>
        <v/>
      </c>
      <c r="AH58" s="184"/>
      <c r="AI58" s="32" t="str">
        <f>IFERROR(ROUND(INDEX('M03-S04'!$BH$18:$BH$199,2*(ROWS(AI$51:AI58)-1)+1),4),"")</f>
        <v/>
      </c>
      <c r="AJ58" s="32">
        <f>IFERROR(ROUND(INDEX('M03-S04'!$BE$18:$BE$199,2*(ROWS(AJ$51:AJ58)-1)+1),4),"")</f>
        <v>0</v>
      </c>
      <c r="AK58" s="32" t="str">
        <f>IFERROR(ROUND(INDEX('M03-S04'!$BI$18:$BI$199,2*(ROWS(AK$51:AK58)-1)+1),4),"")</f>
        <v/>
      </c>
      <c r="AL58" s="32">
        <f>IFERROR(ROUND(INDEX('M03-S04'!$BF$18:$BF$199,2*(ROWS(AL$51:AL58)-1)+1),4),"")</f>
        <v>0</v>
      </c>
      <c r="AM58" s="32">
        <f>IFERROR(ROUND(INDEX('M03-S04'!$BA$18:$BA$199,2*(ROWS(AM$51:AM58)-1)+1),4),"")</f>
        <v>0</v>
      </c>
      <c r="AN58" s="32">
        <f>IFERROR(ROUND(INDEX('M03-S04'!$BB$18:$BB$199,2*(ROWS(AN$51:AN58)-1)+1),4),"")</f>
        <v>0</v>
      </c>
      <c r="AO58" s="32"/>
      <c r="AP58" s="182"/>
      <c r="AQ58" s="182"/>
      <c r="AR58" s="182"/>
      <c r="AS58" s="171"/>
      <c r="AT58" s="171"/>
      <c r="AU58" s="171"/>
      <c r="AV58" s="190"/>
      <c r="AW58" s="190"/>
      <c r="AX58" s="184"/>
      <c r="AY58" s="184"/>
      <c r="AZ58" s="191"/>
      <c r="BA58" s="191"/>
      <c r="BB58" s="171"/>
    </row>
    <row r="59" spans="1:54">
      <c r="A59" s="10">
        <f t="shared" si="4"/>
        <v>0</v>
      </c>
      <c r="B59" t="str">
        <f t="shared" si="5"/>
        <v/>
      </c>
      <c r="C59" t="str" cm="1">
        <f t="array" ref="C59">IFERROR(_xlfn.VALUETOTEXT(INDEX('M03-S04'!$BW$18:$BW$199,2*(ROWS($C$51:C59)-1)+1)),"")</f>
        <v/>
      </c>
      <c r="D59">
        <f>IFERROR(INDEX('M03-S04'!$B$18:$B$199,2*(ROWS(D$51:D59)-1)+1),"")</f>
        <v>9</v>
      </c>
      <c r="E59" s="51" t="str" cm="1">
        <f t="array" ref="E59">IFERROR(_xlfn.VALUETOTEXT(INDEX('M03-S04'!$BX$18:$BX$199,2*(ROWS($E$51:E59)-1)+1)),"")</f>
        <v/>
      </c>
      <c r="F59" t="str" cm="1">
        <f t="array" ref="F59">IF(C59&lt;&gt;"", _xlfn.SWITCH(Program_Banner, "Small Business / Non-Profit", "Hard-To-Reach Business", "Business Energy Savings", "Whole Business Efficiency", ""), "")</f>
        <v/>
      </c>
      <c r="G59" t="s">
        <v>938</v>
      </c>
      <c r="H59" t="str">
        <f>IFERROR(INDEX('M03-S04'!$BC$18:$BC$199,2*(ROWS($H$51:H59)-1)+1),"")</f>
        <v/>
      </c>
      <c r="I59" s="171"/>
      <c r="J59" s="182"/>
      <c r="K59" s="182"/>
      <c r="L59" s="51" t="str">
        <f>IFERROR(INDEX('M03-S04'!$BD$18:$BD$199,2*(ROWS($L$51:L59)-1)+1),"")</f>
        <v/>
      </c>
      <c r="M59" s="51">
        <f>IFERROR(INDEX('M03-S04'!$AE$18:$AE$199,2*(ROWS($M$51:M59)-1)+1),"")</f>
        <v>0</v>
      </c>
      <c r="N59" s="171"/>
      <c r="O59">
        <f>IFERROR(INDEX('M03-S04'!$C$18:$C$199,2*(ROWS(O$51:O59)-1)+1),"")</f>
        <v>0</v>
      </c>
      <c r="P59" s="171"/>
      <c r="Q59">
        <f>IFERROR(INDEX('M03-S04'!$AA$18:$AA$199,2*(ROWS(Q$51:Q59)-1)+1),"")</f>
        <v>0</v>
      </c>
      <c r="S59" t="str">
        <f>IFERROR(INDEX('M03-S04'!$AX$18:$AX$199,2*(ROWS(S$51:S59)-1)+1),"")</f>
        <v/>
      </c>
      <c r="T59" s="545" t="str">
        <f>IFERROR(ROUND(INDEX('M03-S04'!$AY$18:$AY$199,2*(ROWS(T$51:T59)-1)+1),3),"")</f>
        <v/>
      </c>
      <c r="U59" s="545" t="str">
        <f>IFERROR(ROUND(INDEX('M03-S04'!$AZ$18:$AZ$199,2*(ROWS(U$51:U59)-1)+1),3),"")</f>
        <v/>
      </c>
      <c r="V59" s="184"/>
      <c r="W59" s="184"/>
      <c r="X59" s="184"/>
      <c r="Y59" s="184"/>
      <c r="Z59" s="184"/>
      <c r="AA59" s="9" t="str" cm="1">
        <f t="array" ref="AA59">IFERROR(ROUND(INDEX('M03-S04'!$AR$18:$AR$199,2*(ROWS(AA$51:AA59)-1)+1), 2),"")</f>
        <v/>
      </c>
      <c r="AB59" s="9" t="str" cm="1">
        <f t="array" ref="AB59">_xlfn.LET(_xlpm.ROWS, 2*(ROWS(AB$51:AB59)-1)+1,IFERROR(INDEX('M03-S04'!$AR$18:$AR$199, _xlpm.ROWS)-INDEX('M03-S04'!$BS$18:$BS$199, _xlpm.ROWS),""))</f>
        <v/>
      </c>
      <c r="AC59" s="9">
        <f>IFERROR(ROUND(INDEX('M03-S04'!$AI$18:$AI$199,2*(ROWS(AC$51:AC59)-1)+1),2),"")</f>
        <v>0</v>
      </c>
      <c r="AD59" s="9">
        <f>IFERROR(ROUND(INDEX('M03-S04'!$AK$18:$AK$199,2*(ROWS(AD$51:AD59)-1)+1),2),"")</f>
        <v>0</v>
      </c>
      <c r="AE59" s="9" t="str">
        <f>IFERROR(ROUND(INDEX('M03-S04'!$BL$18:$BL$199,2*(ROWS(AE$51:AE59)-1)+1),2),"")</f>
        <v/>
      </c>
      <c r="AF59" t="s">
        <v>84</v>
      </c>
      <c r="AG59" t="str">
        <f>IFERROR(INDEX(STDREFRIG[Incremental Measure Cost ($/Unit)], MATCH(C59, STDREFRIG[Measure Number], 0))*U59, "")</f>
        <v/>
      </c>
      <c r="AH59" s="184"/>
      <c r="AI59" s="32" t="str">
        <f>IFERROR(ROUND(INDEX('M03-S04'!$BH$18:$BH$199,2*(ROWS(AI$51:AI59)-1)+1),4),"")</f>
        <v/>
      </c>
      <c r="AJ59" s="32">
        <f>IFERROR(ROUND(INDEX('M03-S04'!$BE$18:$BE$199,2*(ROWS(AJ$51:AJ59)-1)+1),4),"")</f>
        <v>0</v>
      </c>
      <c r="AK59" s="32" t="str">
        <f>IFERROR(ROUND(INDEX('M03-S04'!$BI$18:$BI$199,2*(ROWS(AK$51:AK59)-1)+1),4),"")</f>
        <v/>
      </c>
      <c r="AL59" s="32">
        <f>IFERROR(ROUND(INDEX('M03-S04'!$BF$18:$BF$199,2*(ROWS(AL$51:AL59)-1)+1),4),"")</f>
        <v>0</v>
      </c>
      <c r="AM59" s="32">
        <f>IFERROR(ROUND(INDEX('M03-S04'!$BA$18:$BA$199,2*(ROWS(AM$51:AM59)-1)+1),4),"")</f>
        <v>0</v>
      </c>
      <c r="AN59" s="32">
        <f>IFERROR(ROUND(INDEX('M03-S04'!$BB$18:$BB$199,2*(ROWS(AN$51:AN59)-1)+1),4),"")</f>
        <v>0</v>
      </c>
      <c r="AO59" s="32"/>
      <c r="AP59" s="182"/>
      <c r="AQ59" s="182"/>
      <c r="AR59" s="182"/>
      <c r="AS59" s="171"/>
      <c r="AT59" s="171"/>
      <c r="AU59" s="171"/>
      <c r="AV59" s="190"/>
      <c r="AW59" s="190"/>
      <c r="AX59" s="184"/>
      <c r="AY59" s="184"/>
      <c r="AZ59" s="191"/>
      <c r="BA59" s="191"/>
      <c r="BB59" s="171"/>
    </row>
    <row r="60" spans="1:54">
      <c r="A60" s="10">
        <f t="shared" si="4"/>
        <v>0</v>
      </c>
      <c r="B60" t="str">
        <f t="shared" si="5"/>
        <v/>
      </c>
      <c r="C60" t="str" cm="1">
        <f t="array" ref="C60">IFERROR(_xlfn.VALUETOTEXT(INDEX('M03-S04'!$BW$18:$BW$199,2*(ROWS($C$51:C60)-1)+1)),"")</f>
        <v/>
      </c>
      <c r="D60">
        <f>IFERROR(INDEX('M03-S04'!$B$18:$B$199,2*(ROWS(D$51:D60)-1)+1),"")</f>
        <v>10</v>
      </c>
      <c r="E60" s="51" t="str" cm="1">
        <f t="array" ref="E60">IFERROR(_xlfn.VALUETOTEXT(INDEX('M03-S04'!$BX$18:$BX$199,2*(ROWS($E$51:E60)-1)+1)),"")</f>
        <v/>
      </c>
      <c r="F60" t="str" cm="1">
        <f t="array" ref="F60">IF(C60&lt;&gt;"", _xlfn.SWITCH(Program_Banner, "Small Business / Non-Profit", "Hard-To-Reach Business", "Business Energy Savings", "Whole Business Efficiency", ""), "")</f>
        <v/>
      </c>
      <c r="G60" t="s">
        <v>938</v>
      </c>
      <c r="H60" t="str">
        <f>IFERROR(INDEX('M03-S04'!$BC$18:$BC$199,2*(ROWS($H$51:H60)-1)+1),"")</f>
        <v/>
      </c>
      <c r="I60" s="171"/>
      <c r="J60" s="182"/>
      <c r="K60" s="182"/>
      <c r="L60" s="51" t="str">
        <f>IFERROR(INDEX('M03-S04'!$BD$18:$BD$199,2*(ROWS($L$51:L60)-1)+1),"")</f>
        <v/>
      </c>
      <c r="M60" s="51">
        <f>IFERROR(INDEX('M03-S04'!$AE$18:$AE$199,2*(ROWS($M$51:M60)-1)+1),"")</f>
        <v>0</v>
      </c>
      <c r="N60" s="171"/>
      <c r="O60">
        <f>IFERROR(INDEX('M03-S04'!$C$18:$C$199,2*(ROWS(O$51:O60)-1)+1),"")</f>
        <v>0</v>
      </c>
      <c r="P60" s="171"/>
      <c r="Q60">
        <f>IFERROR(INDEX('M03-S04'!$AA$18:$AA$199,2*(ROWS(Q$51:Q60)-1)+1),"")</f>
        <v>0</v>
      </c>
      <c r="S60" t="str">
        <f>IFERROR(INDEX('M03-S04'!$AX$18:$AX$199,2*(ROWS(S$51:S60)-1)+1),"")</f>
        <v/>
      </c>
      <c r="T60" s="545" t="str">
        <f>IFERROR(ROUND(INDEX('M03-S04'!$AY$18:$AY$199,2*(ROWS(T$51:T60)-1)+1),3),"")</f>
        <v/>
      </c>
      <c r="U60" s="545" t="str">
        <f>IFERROR(ROUND(INDEX('M03-S04'!$AZ$18:$AZ$199,2*(ROWS(U$51:U60)-1)+1),3),"")</f>
        <v/>
      </c>
      <c r="V60" s="184"/>
      <c r="W60" s="184"/>
      <c r="X60" s="184"/>
      <c r="Y60" s="184"/>
      <c r="Z60" s="184"/>
      <c r="AA60" s="9" t="str" cm="1">
        <f t="array" ref="AA60">IFERROR(ROUND(INDEX('M03-S04'!$AR$18:$AR$199,2*(ROWS(AA$51:AA60)-1)+1), 2),"")</f>
        <v/>
      </c>
      <c r="AB60" s="9" t="str" cm="1">
        <f t="array" ref="AB60">_xlfn.LET(_xlpm.ROWS, 2*(ROWS(AB$51:AB60)-1)+1,IFERROR(INDEX('M03-S04'!$AR$18:$AR$199, _xlpm.ROWS)-INDEX('M03-S04'!$BS$18:$BS$199, _xlpm.ROWS),""))</f>
        <v/>
      </c>
      <c r="AC60" s="9">
        <f>IFERROR(ROUND(INDEX('M03-S04'!$AI$18:$AI$199,2*(ROWS(AC$51:AC60)-1)+1),2),"")</f>
        <v>0</v>
      </c>
      <c r="AD60" s="9">
        <f>IFERROR(ROUND(INDEX('M03-S04'!$AK$18:$AK$199,2*(ROWS(AD$51:AD60)-1)+1),2),"")</f>
        <v>0</v>
      </c>
      <c r="AE60" s="9" t="str">
        <f>IFERROR(ROUND(INDEX('M03-S04'!$BL$18:$BL$199,2*(ROWS(AE$51:AE60)-1)+1),2),"")</f>
        <v/>
      </c>
      <c r="AF60" t="s">
        <v>84</v>
      </c>
      <c r="AG60" t="str">
        <f>IFERROR(INDEX(STDREFRIG[Incremental Measure Cost ($/Unit)], MATCH(C60, STDREFRIG[Measure Number], 0))*U60, "")</f>
        <v/>
      </c>
      <c r="AH60" s="184"/>
      <c r="AI60" s="32" t="str">
        <f>IFERROR(ROUND(INDEX('M03-S04'!$BH$18:$BH$199,2*(ROWS(AI$51:AI60)-1)+1),4),"")</f>
        <v/>
      </c>
      <c r="AJ60" s="32">
        <f>IFERROR(ROUND(INDEX('M03-S04'!$BE$18:$BE$199,2*(ROWS(AJ$51:AJ60)-1)+1),4),"")</f>
        <v>0</v>
      </c>
      <c r="AK60" s="32" t="str">
        <f>IFERROR(ROUND(INDEX('M03-S04'!$BI$18:$BI$199,2*(ROWS(AK$51:AK60)-1)+1),4),"")</f>
        <v/>
      </c>
      <c r="AL60" s="32">
        <f>IFERROR(ROUND(INDEX('M03-S04'!$BF$18:$BF$199,2*(ROWS(AL$51:AL60)-1)+1),4),"")</f>
        <v>0</v>
      </c>
      <c r="AM60" s="32">
        <f>IFERROR(ROUND(INDEX('M03-S04'!$BA$18:$BA$199,2*(ROWS(AM$51:AM60)-1)+1),4),"")</f>
        <v>0</v>
      </c>
      <c r="AN60" s="32">
        <f>IFERROR(ROUND(INDEX('M03-S04'!$BB$18:$BB$199,2*(ROWS(AN$51:AN60)-1)+1),4),"")</f>
        <v>0</v>
      </c>
      <c r="AO60" s="32"/>
      <c r="AP60" s="182"/>
      <c r="AQ60" s="182"/>
      <c r="AR60" s="182"/>
      <c r="AS60" s="171"/>
      <c r="AT60" s="171"/>
      <c r="AU60" s="171"/>
      <c r="AV60" s="190"/>
      <c r="AW60" s="190"/>
      <c r="AX60" s="184"/>
      <c r="AY60" s="184"/>
      <c r="AZ60" s="191"/>
      <c r="BA60" s="191"/>
      <c r="BB60" s="171"/>
    </row>
    <row r="61" spans="1:54">
      <c r="A61" s="10">
        <f t="shared" si="4"/>
        <v>0</v>
      </c>
      <c r="B61" t="str">
        <f t="shared" si="5"/>
        <v/>
      </c>
      <c r="C61" t="str" cm="1">
        <f t="array" ref="C61">IFERROR(_xlfn.VALUETOTEXT(INDEX('M03-S04'!$BW$18:$BW$199,2*(ROWS($C$51:C61)-1)+1)),"")</f>
        <v/>
      </c>
      <c r="D61">
        <f>IFERROR(INDEX('M03-S04'!$B$18:$B$199,2*(ROWS(D$51:D61)-1)+1),"")</f>
        <v>0</v>
      </c>
      <c r="E61" s="51" t="str" cm="1">
        <f t="array" ref="E61">IFERROR(_xlfn.VALUETOTEXT(INDEX('M03-S04'!$BX$18:$BX$199,2*(ROWS($E$51:E61)-1)+1)),"")</f>
        <v/>
      </c>
      <c r="F61" t="str" cm="1">
        <f t="array" ref="F61">IF(C61&lt;&gt;"", _xlfn.SWITCH(Program_Banner, "Small Business / Non-Profit", "Hard-To-Reach Business", "Business Energy Savings", "Whole Business Efficiency", ""), "")</f>
        <v/>
      </c>
      <c r="G61" t="s">
        <v>938</v>
      </c>
      <c r="H61">
        <f>IFERROR(INDEX('M03-S04'!$BC$18:$BC$199,2*(ROWS($H$51:H61)-1)+1),"")</f>
        <v>0</v>
      </c>
      <c r="I61" s="171"/>
      <c r="J61" s="182"/>
      <c r="K61" s="182"/>
      <c r="L61" s="51">
        <f>IFERROR(INDEX('M03-S04'!$BD$18:$BD$199,2*(ROWS($L$51:L61)-1)+1),"")</f>
        <v>0</v>
      </c>
      <c r="M61" s="51">
        <f>IFERROR(INDEX('M03-S04'!$AE$18:$AE$199,2*(ROWS($M$51:M61)-1)+1),"")</f>
        <v>0</v>
      </c>
      <c r="N61" s="171"/>
      <c r="O61">
        <f>IFERROR(INDEX('M03-S04'!$C$18:$C$199,2*(ROWS(O$51:O61)-1)+1),"")</f>
        <v>0</v>
      </c>
      <c r="P61" s="171"/>
      <c r="Q61">
        <f>IFERROR(INDEX('M03-S04'!$AA$18:$AA$199,2*(ROWS(Q$51:Q61)-1)+1),"")</f>
        <v>0</v>
      </c>
      <c r="S61">
        <f>IFERROR(INDEX('M03-S04'!$AX$18:$AX$199,2*(ROWS(S$51:S61)-1)+1),"")</f>
        <v>0</v>
      </c>
      <c r="T61" s="545">
        <f>IFERROR(ROUND(INDEX('M03-S04'!$AY$18:$AY$199,2*(ROWS(T$51:T61)-1)+1),3),"")</f>
        <v>0</v>
      </c>
      <c r="U61" s="545">
        <f>IFERROR(ROUND(INDEX('M03-S04'!$AZ$18:$AZ$199,2*(ROWS(U$51:U61)-1)+1),3),"")</f>
        <v>0</v>
      </c>
      <c r="V61" s="184"/>
      <c r="W61" s="184"/>
      <c r="X61" s="184"/>
      <c r="Y61" s="184"/>
      <c r="Z61" s="184"/>
      <c r="AA61" s="9" cm="1">
        <f t="array" ref="AA61">IFERROR(ROUND(INDEX('M03-S04'!$AR$18:$AR$199,2*(ROWS(AA$51:AA61)-1)+1), 2),"")</f>
        <v>0</v>
      </c>
      <c r="AB61" s="9" cm="1">
        <f t="array" ref="AB61">_xlfn.LET(_xlpm.ROWS, 2*(ROWS(AB$51:AB61)-1)+1,IFERROR(INDEX('M03-S04'!$AR$18:$AR$199, _xlpm.ROWS)-INDEX('M03-S04'!$BS$18:$BS$199, _xlpm.ROWS),""))</f>
        <v>0</v>
      </c>
      <c r="AC61" s="9">
        <f>IFERROR(ROUND(INDEX('M03-S04'!$AI$18:$AI$199,2*(ROWS(AC$51:AC61)-1)+1),2),"")</f>
        <v>0</v>
      </c>
      <c r="AD61" s="9">
        <f>IFERROR(ROUND(INDEX('M03-S04'!$AK$18:$AK$199,2*(ROWS(AD$51:AD61)-1)+1),2),"")</f>
        <v>0</v>
      </c>
      <c r="AE61" s="9">
        <f>IFERROR(ROUND(INDEX('M03-S04'!$BL$18:$BL$199,2*(ROWS(AE$51:AE61)-1)+1),2),"")</f>
        <v>0</v>
      </c>
      <c r="AF61" t="s">
        <v>84</v>
      </c>
      <c r="AG61" t="str">
        <f>IFERROR(INDEX(STDREFRIG[Incremental Measure Cost ($/Unit)], MATCH(C61, STDREFRIG[Measure Number], 0))*U61, "")</f>
        <v/>
      </c>
      <c r="AH61" s="184"/>
      <c r="AI61" s="32">
        <f>IFERROR(ROUND(INDEX('M03-S04'!$BH$18:$BH$199,2*(ROWS(AI$51:AI61)-1)+1),4),"")</f>
        <v>0</v>
      </c>
      <c r="AJ61" s="32">
        <f>IFERROR(ROUND(INDEX('M03-S04'!$BE$18:$BE$199,2*(ROWS(AJ$51:AJ61)-1)+1),4),"")</f>
        <v>0</v>
      </c>
      <c r="AK61" s="32">
        <f>IFERROR(ROUND(INDEX('M03-S04'!$BI$18:$BI$199,2*(ROWS(AK$51:AK61)-1)+1),4),"")</f>
        <v>0</v>
      </c>
      <c r="AL61" s="32">
        <f>IFERROR(ROUND(INDEX('M03-S04'!$BF$18:$BF$199,2*(ROWS(AL$51:AL61)-1)+1),4),"")</f>
        <v>0</v>
      </c>
      <c r="AM61" s="32">
        <f>IFERROR(ROUND(INDEX('M03-S04'!$BA$18:$BA$199,2*(ROWS(AM$51:AM61)-1)+1),4),"")</f>
        <v>0</v>
      </c>
      <c r="AN61" s="32">
        <f>IFERROR(ROUND(INDEX('M03-S04'!$BB$18:$BB$199,2*(ROWS(AN$51:AN61)-1)+1),4),"")</f>
        <v>0</v>
      </c>
      <c r="AO61" s="32"/>
      <c r="AP61" s="182"/>
      <c r="AQ61" s="182"/>
      <c r="AR61" s="182"/>
      <c r="AS61" s="171"/>
      <c r="AT61" s="171"/>
      <c r="AU61" s="171"/>
      <c r="AV61" s="190"/>
      <c r="AW61" s="190"/>
      <c r="AX61" s="184"/>
      <c r="AY61" s="184"/>
      <c r="AZ61" s="191"/>
      <c r="BA61" s="191"/>
      <c r="BB61" s="171"/>
    </row>
    <row r="62" spans="1:54">
      <c r="A62" s="10">
        <f t="shared" si="4"/>
        <v>0</v>
      </c>
      <c r="B62" t="str">
        <f t="shared" si="5"/>
        <v/>
      </c>
      <c r="C62" t="str" cm="1">
        <f t="array" ref="C62">IFERROR(_xlfn.VALUETOTEXT(INDEX('M03-S04'!$BW$18:$BW$199,2*(ROWS($C$51:C62)-1)+1)),"")</f>
        <v/>
      </c>
      <c r="D62">
        <f>IFERROR(INDEX('M03-S04'!$B$18:$B$199,2*(ROWS(D$51:D62)-1)+1),"")</f>
        <v>0</v>
      </c>
      <c r="E62" s="51" t="str" cm="1">
        <f t="array" ref="E62">IFERROR(_xlfn.VALUETOTEXT(INDEX('M03-S04'!$BX$18:$BX$199,2*(ROWS($E$51:E62)-1)+1)),"")</f>
        <v/>
      </c>
      <c r="F62" t="str" cm="1">
        <f t="array" ref="F62">IF(C62&lt;&gt;"", _xlfn.SWITCH(Program_Banner, "Small Business / Non-Profit", "Hard-To-Reach Business", "Business Energy Savings", "Whole Business Efficiency", ""), "")</f>
        <v/>
      </c>
      <c r="G62" t="s">
        <v>938</v>
      </c>
      <c r="H62">
        <f>IFERROR(INDEX('M03-S04'!$BC$18:$BC$199,2*(ROWS($H$51:H62)-1)+1),"")</f>
        <v>0</v>
      </c>
      <c r="I62" s="171"/>
      <c r="J62" s="182"/>
      <c r="K62" s="182"/>
      <c r="L62" s="51">
        <f>IFERROR(INDEX('M03-S04'!$BD$18:$BD$199,2*(ROWS($L$51:L62)-1)+1),"")</f>
        <v>0</v>
      </c>
      <c r="M62" s="51">
        <f>IFERROR(INDEX('M03-S04'!$AE$18:$AE$199,2*(ROWS($M$51:M62)-1)+1),"")</f>
        <v>0</v>
      </c>
      <c r="N62" s="171"/>
      <c r="O62">
        <f>IFERROR(INDEX('M03-S04'!$C$18:$C$199,2*(ROWS(O$51:O62)-1)+1),"")</f>
        <v>0</v>
      </c>
      <c r="P62" s="171"/>
      <c r="Q62">
        <f>IFERROR(INDEX('M03-S04'!$AA$18:$AA$199,2*(ROWS(Q$51:Q62)-1)+1),"")</f>
        <v>0</v>
      </c>
      <c r="S62">
        <f>IFERROR(INDEX('M03-S04'!$AX$18:$AX$199,2*(ROWS(S$51:S62)-1)+1),"")</f>
        <v>0</v>
      </c>
      <c r="T62" s="545">
        <f>IFERROR(ROUND(INDEX('M03-S04'!$AY$18:$AY$199,2*(ROWS(T$51:T62)-1)+1),3),"")</f>
        <v>0</v>
      </c>
      <c r="U62" s="545">
        <f>IFERROR(ROUND(INDEX('M03-S04'!$AZ$18:$AZ$199,2*(ROWS(U$51:U62)-1)+1),3),"")</f>
        <v>0</v>
      </c>
      <c r="V62" s="184"/>
      <c r="W62" s="184"/>
      <c r="X62" s="184"/>
      <c r="Y62" s="184"/>
      <c r="Z62" s="184"/>
      <c r="AA62" s="9" cm="1">
        <f t="array" ref="AA62">IFERROR(ROUND(INDEX('M03-S04'!$AR$18:$AR$199,2*(ROWS(AA$51:AA62)-1)+1), 2),"")</f>
        <v>0</v>
      </c>
      <c r="AB62" s="9" cm="1">
        <f t="array" ref="AB62">_xlfn.LET(_xlpm.ROWS, 2*(ROWS(AB$51:AB62)-1)+1,IFERROR(INDEX('M03-S04'!$AR$18:$AR$199, _xlpm.ROWS)-INDEX('M03-S04'!$BS$18:$BS$199, _xlpm.ROWS),""))</f>
        <v>0</v>
      </c>
      <c r="AC62" s="9">
        <f>IFERROR(ROUND(INDEX('M03-S04'!$AI$18:$AI$199,2*(ROWS(AC$51:AC62)-1)+1),2),"")</f>
        <v>0</v>
      </c>
      <c r="AD62" s="9">
        <f>IFERROR(ROUND(INDEX('M03-S04'!$AK$18:$AK$199,2*(ROWS(AD$51:AD62)-1)+1),2),"")</f>
        <v>0</v>
      </c>
      <c r="AE62" s="9">
        <f>IFERROR(ROUND(INDEX('M03-S04'!$BL$18:$BL$199,2*(ROWS(AE$51:AE62)-1)+1),2),"")</f>
        <v>0</v>
      </c>
      <c r="AF62" t="s">
        <v>84</v>
      </c>
      <c r="AG62" t="str">
        <f>IFERROR(INDEX(STDREFRIG[Incremental Measure Cost ($/Unit)], MATCH(C62, STDREFRIG[Measure Number], 0))*U62, "")</f>
        <v/>
      </c>
      <c r="AH62" s="184"/>
      <c r="AI62" s="32">
        <f>IFERROR(ROUND(INDEX('M03-S04'!$BH$18:$BH$199,2*(ROWS(AI$51:AI62)-1)+1),4),"")</f>
        <v>0</v>
      </c>
      <c r="AJ62" s="32">
        <f>IFERROR(ROUND(INDEX('M03-S04'!$BE$18:$BE$199,2*(ROWS(AJ$51:AJ62)-1)+1),4),"")</f>
        <v>0</v>
      </c>
      <c r="AK62" s="32">
        <f>IFERROR(ROUND(INDEX('M03-S04'!$BI$18:$BI$199,2*(ROWS(AK$51:AK62)-1)+1),4),"")</f>
        <v>0</v>
      </c>
      <c r="AL62" s="32">
        <f>IFERROR(ROUND(INDEX('M03-S04'!$BF$18:$BF$199,2*(ROWS(AL$51:AL62)-1)+1),4),"")</f>
        <v>0</v>
      </c>
      <c r="AM62" s="32">
        <f>IFERROR(ROUND(INDEX('M03-S04'!$BA$18:$BA$199,2*(ROWS(AM$51:AM62)-1)+1),4),"")</f>
        <v>0</v>
      </c>
      <c r="AN62" s="32">
        <f>IFERROR(ROUND(INDEX('M03-S04'!$BB$18:$BB$199,2*(ROWS(AN$51:AN62)-1)+1),4),"")</f>
        <v>0</v>
      </c>
      <c r="AO62" s="32"/>
      <c r="AP62" s="182"/>
      <c r="AQ62" s="182"/>
      <c r="AR62" s="182"/>
      <c r="AS62" s="171"/>
      <c r="AT62" s="171"/>
      <c r="AU62" s="171"/>
      <c r="AV62" s="190"/>
      <c r="AW62" s="190"/>
      <c r="AX62" s="184"/>
      <c r="AY62" s="184"/>
      <c r="AZ62" s="191"/>
      <c r="BA62" s="191"/>
      <c r="BB62" s="171"/>
    </row>
    <row r="63" spans="1:54">
      <c r="A63" s="10">
        <f t="shared" si="4"/>
        <v>0</v>
      </c>
      <c r="B63" t="str">
        <f t="shared" si="5"/>
        <v/>
      </c>
      <c r="C63" t="str" cm="1">
        <f t="array" ref="C63">IFERROR(_xlfn.VALUETOTEXT(INDEX('M03-S04'!$BW$18:$BW$199,2*(ROWS($C$51:C63)-1)+1)),"")</f>
        <v/>
      </c>
      <c r="D63">
        <f>IFERROR(INDEX('M03-S04'!$B$18:$B$199,2*(ROWS(D$51:D63)-1)+1),"")</f>
        <v>0</v>
      </c>
      <c r="E63" s="51" t="str" cm="1">
        <f t="array" ref="E63">IFERROR(_xlfn.VALUETOTEXT(INDEX('M03-S04'!$BX$18:$BX$199,2*(ROWS($E$51:E63)-1)+1)),"")</f>
        <v/>
      </c>
      <c r="F63" t="str" cm="1">
        <f t="array" ref="F63">IF(C63&lt;&gt;"", _xlfn.SWITCH(Program_Banner, "Small Business / Non-Profit", "Hard-To-Reach Business", "Business Energy Savings", "Whole Business Efficiency", ""), "")</f>
        <v/>
      </c>
      <c r="G63" t="s">
        <v>938</v>
      </c>
      <c r="H63">
        <f>IFERROR(INDEX('M03-S04'!$BC$18:$BC$199,2*(ROWS($H$51:H63)-1)+1),"")</f>
        <v>0</v>
      </c>
      <c r="I63" s="171"/>
      <c r="J63" s="182"/>
      <c r="K63" s="182"/>
      <c r="L63" s="51">
        <f>IFERROR(INDEX('M03-S04'!$BD$18:$BD$199,2*(ROWS($L$51:L63)-1)+1),"")</f>
        <v>0</v>
      </c>
      <c r="M63" s="51">
        <f>IFERROR(INDEX('M03-S04'!$AE$18:$AE$199,2*(ROWS($M$51:M63)-1)+1),"")</f>
        <v>0</v>
      </c>
      <c r="N63" s="171"/>
      <c r="O63">
        <f>IFERROR(INDEX('M03-S04'!$C$18:$C$199,2*(ROWS(O$51:O63)-1)+1),"")</f>
        <v>0</v>
      </c>
      <c r="P63" s="171"/>
      <c r="Q63">
        <f>IFERROR(INDEX('M03-S04'!$AA$18:$AA$199,2*(ROWS(Q$51:Q63)-1)+1),"")</f>
        <v>0</v>
      </c>
      <c r="S63">
        <f>IFERROR(INDEX('M03-S04'!$AX$18:$AX$199,2*(ROWS(S$51:S63)-1)+1),"")</f>
        <v>0</v>
      </c>
      <c r="T63" s="545">
        <f>IFERROR(ROUND(INDEX('M03-S04'!$AY$18:$AY$199,2*(ROWS(T$51:T63)-1)+1),3),"")</f>
        <v>0</v>
      </c>
      <c r="U63" s="545">
        <f>IFERROR(ROUND(INDEX('M03-S04'!$AZ$18:$AZ$199,2*(ROWS(U$51:U63)-1)+1),3),"")</f>
        <v>0</v>
      </c>
      <c r="V63" s="184"/>
      <c r="W63" s="184"/>
      <c r="X63" s="184"/>
      <c r="Y63" s="184"/>
      <c r="Z63" s="184"/>
      <c r="AA63" s="9" cm="1">
        <f t="array" ref="AA63">IFERROR(ROUND(INDEX('M03-S04'!$AR$18:$AR$199,2*(ROWS(AA$51:AA63)-1)+1), 2),"")</f>
        <v>0</v>
      </c>
      <c r="AB63" s="9" cm="1">
        <f t="array" ref="AB63">_xlfn.LET(_xlpm.ROWS, 2*(ROWS(AB$51:AB63)-1)+1,IFERROR(INDEX('M03-S04'!$AR$18:$AR$199, _xlpm.ROWS)-INDEX('M03-S04'!$BS$18:$BS$199, _xlpm.ROWS),""))</f>
        <v>0</v>
      </c>
      <c r="AC63" s="9">
        <f>IFERROR(ROUND(INDEX('M03-S04'!$AI$18:$AI$199,2*(ROWS(AC$51:AC63)-1)+1),2),"")</f>
        <v>0</v>
      </c>
      <c r="AD63" s="9">
        <f>IFERROR(ROUND(INDEX('M03-S04'!$AK$18:$AK$199,2*(ROWS(AD$51:AD63)-1)+1),2),"")</f>
        <v>0</v>
      </c>
      <c r="AE63" s="9">
        <f>IFERROR(ROUND(INDEX('M03-S04'!$BL$18:$BL$199,2*(ROWS(AE$51:AE63)-1)+1),2),"")</f>
        <v>0</v>
      </c>
      <c r="AF63" t="s">
        <v>84</v>
      </c>
      <c r="AG63" t="str">
        <f>IFERROR(INDEX(STDREFRIG[Incremental Measure Cost ($/Unit)], MATCH(C63, STDREFRIG[Measure Number], 0))*U63, "")</f>
        <v/>
      </c>
      <c r="AH63" s="184"/>
      <c r="AI63" s="32">
        <f>IFERROR(ROUND(INDEX('M03-S04'!$BH$18:$BH$199,2*(ROWS(AI$51:AI63)-1)+1),4),"")</f>
        <v>0</v>
      </c>
      <c r="AJ63" s="32">
        <f>IFERROR(ROUND(INDEX('M03-S04'!$BE$18:$BE$199,2*(ROWS(AJ$51:AJ63)-1)+1),4),"")</f>
        <v>0</v>
      </c>
      <c r="AK63" s="32">
        <f>IFERROR(ROUND(INDEX('M03-S04'!$BI$18:$BI$199,2*(ROWS(AK$51:AK63)-1)+1),4),"")</f>
        <v>0</v>
      </c>
      <c r="AL63" s="32">
        <f>IFERROR(ROUND(INDEX('M03-S04'!$BF$18:$BF$199,2*(ROWS(AL$51:AL63)-1)+1),4),"")</f>
        <v>0</v>
      </c>
      <c r="AM63" s="32">
        <f>IFERROR(ROUND(INDEX('M03-S04'!$BA$18:$BA$199,2*(ROWS(AM$51:AM63)-1)+1),4),"")</f>
        <v>0</v>
      </c>
      <c r="AN63" s="32">
        <f>IFERROR(ROUND(INDEX('M03-S04'!$BB$18:$BB$199,2*(ROWS(AN$51:AN63)-1)+1),4),"")</f>
        <v>0</v>
      </c>
      <c r="AO63" s="32"/>
      <c r="AP63" s="182"/>
      <c r="AQ63" s="182"/>
      <c r="AR63" s="182"/>
      <c r="AS63" s="171"/>
      <c r="AT63" s="171"/>
      <c r="AU63" s="171"/>
      <c r="AV63" s="190"/>
      <c r="AW63" s="190"/>
      <c r="AX63" s="184"/>
      <c r="AY63" s="184"/>
      <c r="AZ63" s="191"/>
      <c r="BA63" s="191"/>
      <c r="BB63" s="171"/>
    </row>
    <row r="64" spans="1:54">
      <c r="A64" s="10">
        <f t="shared" si="4"/>
        <v>0</v>
      </c>
      <c r="B64" t="str">
        <f t="shared" si="5"/>
        <v/>
      </c>
      <c r="C64" t="str" cm="1">
        <f t="array" ref="C64">IFERROR(_xlfn.VALUETOTEXT(INDEX('M03-S04'!$BW$18:$BW$199,2*(ROWS($C$51:C64)-1)+1)),"")</f>
        <v/>
      </c>
      <c r="D64">
        <f>IFERROR(INDEX('M03-S04'!$B$18:$B$199,2*(ROWS(D$51:D64)-1)+1),"")</f>
        <v>0</v>
      </c>
      <c r="E64" s="51" t="str" cm="1">
        <f t="array" ref="E64">IFERROR(_xlfn.VALUETOTEXT(INDEX('M03-S04'!$BX$18:$BX$199,2*(ROWS($E$51:E64)-1)+1)),"")</f>
        <v/>
      </c>
      <c r="F64" t="str" cm="1">
        <f t="array" ref="F64">IF(C64&lt;&gt;"", _xlfn.SWITCH(Program_Banner, "Small Business / Non-Profit", "Hard-To-Reach Business", "Business Energy Savings", "Whole Business Efficiency", ""), "")</f>
        <v/>
      </c>
      <c r="G64" t="s">
        <v>938</v>
      </c>
      <c r="H64">
        <f>IFERROR(INDEX('M03-S04'!$BC$18:$BC$199,2*(ROWS($H$51:H64)-1)+1),"")</f>
        <v>0</v>
      </c>
      <c r="I64" s="171"/>
      <c r="J64" s="182"/>
      <c r="K64" s="182"/>
      <c r="L64" s="51">
        <f>IFERROR(INDEX('M03-S04'!$BD$18:$BD$199,2*(ROWS($L$51:L64)-1)+1),"")</f>
        <v>0</v>
      </c>
      <c r="M64" s="51">
        <f>IFERROR(INDEX('M03-S04'!$AE$18:$AE$199,2*(ROWS($M$51:M64)-1)+1),"")</f>
        <v>0</v>
      </c>
      <c r="N64" s="171"/>
      <c r="O64">
        <f>IFERROR(INDEX('M03-S04'!$C$18:$C$199,2*(ROWS(O$51:O64)-1)+1),"")</f>
        <v>0</v>
      </c>
      <c r="P64" s="171"/>
      <c r="Q64">
        <f>IFERROR(INDEX('M03-S04'!$AA$18:$AA$199,2*(ROWS(Q$51:Q64)-1)+1),"")</f>
        <v>0</v>
      </c>
      <c r="S64">
        <f>IFERROR(INDEX('M03-S04'!$AX$18:$AX$199,2*(ROWS(S$51:S64)-1)+1),"")</f>
        <v>0</v>
      </c>
      <c r="T64" s="545">
        <f>IFERROR(ROUND(INDEX('M03-S04'!$AY$18:$AY$199,2*(ROWS(T$51:T64)-1)+1),3),"")</f>
        <v>0</v>
      </c>
      <c r="U64" s="545">
        <f>IFERROR(ROUND(INDEX('M03-S04'!$AZ$18:$AZ$199,2*(ROWS(U$51:U64)-1)+1),3),"")</f>
        <v>0</v>
      </c>
      <c r="V64" s="184"/>
      <c r="W64" s="184"/>
      <c r="X64" s="184"/>
      <c r="Y64" s="184"/>
      <c r="Z64" s="184"/>
      <c r="AA64" s="9" cm="1">
        <f t="array" ref="AA64">IFERROR(ROUND(INDEX('M03-S04'!$AR$18:$AR$199,2*(ROWS(AA$51:AA64)-1)+1), 2),"")</f>
        <v>0</v>
      </c>
      <c r="AB64" s="9" cm="1">
        <f t="array" ref="AB64">_xlfn.LET(_xlpm.ROWS, 2*(ROWS(AB$51:AB64)-1)+1,IFERROR(INDEX('M03-S04'!$AR$18:$AR$199, _xlpm.ROWS)-INDEX('M03-S04'!$BS$18:$BS$199, _xlpm.ROWS),""))</f>
        <v>0</v>
      </c>
      <c r="AC64" s="9">
        <f>IFERROR(ROUND(INDEX('M03-S04'!$AI$18:$AI$199,2*(ROWS(AC$51:AC64)-1)+1),2),"")</f>
        <v>0</v>
      </c>
      <c r="AD64" s="9">
        <f>IFERROR(ROUND(INDEX('M03-S04'!$AK$18:$AK$199,2*(ROWS(AD$51:AD64)-1)+1),2),"")</f>
        <v>0</v>
      </c>
      <c r="AE64" s="9">
        <f>IFERROR(ROUND(INDEX('M03-S04'!$BL$18:$BL$199,2*(ROWS(AE$51:AE64)-1)+1),2),"")</f>
        <v>0</v>
      </c>
      <c r="AF64" t="s">
        <v>84</v>
      </c>
      <c r="AG64" t="str">
        <f>IFERROR(INDEX(STDREFRIG[Incremental Measure Cost ($/Unit)], MATCH(C64, STDREFRIG[Measure Number], 0))*U64, "")</f>
        <v/>
      </c>
      <c r="AH64" s="184"/>
      <c r="AI64" s="32">
        <f>IFERROR(ROUND(INDEX('M03-S04'!$BH$18:$BH$199,2*(ROWS(AI$51:AI64)-1)+1),4),"")</f>
        <v>0</v>
      </c>
      <c r="AJ64" s="32">
        <f>IFERROR(ROUND(INDEX('M03-S04'!$BE$18:$BE$199,2*(ROWS(AJ$51:AJ64)-1)+1),4),"")</f>
        <v>0</v>
      </c>
      <c r="AK64" s="32">
        <f>IFERROR(ROUND(INDEX('M03-S04'!$BI$18:$BI$199,2*(ROWS(AK$51:AK64)-1)+1),4),"")</f>
        <v>0</v>
      </c>
      <c r="AL64" s="32">
        <f>IFERROR(ROUND(INDEX('M03-S04'!$BF$18:$BF$199,2*(ROWS(AL$51:AL64)-1)+1),4),"")</f>
        <v>0</v>
      </c>
      <c r="AM64" s="32">
        <f>IFERROR(ROUND(INDEX('M03-S04'!$BA$18:$BA$199,2*(ROWS(AM$51:AM64)-1)+1),4),"")</f>
        <v>0</v>
      </c>
      <c r="AN64" s="32">
        <f>IFERROR(ROUND(INDEX('M03-S04'!$BB$18:$BB$199,2*(ROWS(AN$51:AN64)-1)+1),4),"")</f>
        <v>0</v>
      </c>
      <c r="AO64" s="32"/>
      <c r="AP64" s="182"/>
      <c r="AQ64" s="182"/>
      <c r="AR64" s="182"/>
      <c r="AS64" s="171"/>
      <c r="AT64" s="171"/>
      <c r="AU64" s="171"/>
      <c r="AV64" s="190"/>
      <c r="AW64" s="190"/>
      <c r="AX64" s="184"/>
      <c r="AY64" s="184"/>
      <c r="AZ64" s="191"/>
      <c r="BA64" s="191"/>
      <c r="BB64" s="171"/>
    </row>
    <row r="65" spans="1:54">
      <c r="A65" s="10">
        <f t="shared" si="4"/>
        <v>0</v>
      </c>
      <c r="B65" t="str">
        <f t="shared" si="5"/>
        <v/>
      </c>
      <c r="C65" t="str" cm="1">
        <f t="array" ref="C65">IFERROR(_xlfn.VALUETOTEXT(INDEX('M03-S04'!$BW$18:$BW$199,2*(ROWS($C$51:C65)-1)+1)),"")</f>
        <v/>
      </c>
      <c r="D65">
        <f>IFERROR(INDEX('M03-S04'!$B$18:$B$199,2*(ROWS(D$51:D65)-1)+1),"")</f>
        <v>0</v>
      </c>
      <c r="E65" s="51" t="str" cm="1">
        <f t="array" ref="E65">IFERROR(_xlfn.VALUETOTEXT(INDEX('M03-S04'!$BX$18:$BX$199,2*(ROWS($E$51:E65)-1)+1)),"")</f>
        <v/>
      </c>
      <c r="F65" t="str" cm="1">
        <f t="array" ref="F65">IF(C65&lt;&gt;"", _xlfn.SWITCH(Program_Banner, "Small Business / Non-Profit", "Hard-To-Reach Business", "Business Energy Savings", "Whole Business Efficiency", ""), "")</f>
        <v/>
      </c>
      <c r="G65" t="s">
        <v>938</v>
      </c>
      <c r="H65">
        <f>IFERROR(INDEX('M03-S04'!$BC$18:$BC$199,2*(ROWS($H$51:H65)-1)+1),"")</f>
        <v>0</v>
      </c>
      <c r="I65" s="171"/>
      <c r="J65" s="182"/>
      <c r="K65" s="182"/>
      <c r="L65" s="51">
        <f>IFERROR(INDEX('M03-S04'!$BD$18:$BD$199,2*(ROWS($L$51:L65)-1)+1),"")</f>
        <v>0</v>
      </c>
      <c r="M65" s="51">
        <f>IFERROR(INDEX('M03-S04'!$AE$18:$AE$199,2*(ROWS($M$51:M65)-1)+1),"")</f>
        <v>0</v>
      </c>
      <c r="N65" s="171"/>
      <c r="O65">
        <f>IFERROR(INDEX('M03-S04'!$C$18:$C$199,2*(ROWS(O$51:O65)-1)+1),"")</f>
        <v>0</v>
      </c>
      <c r="P65" s="171"/>
      <c r="Q65">
        <f>IFERROR(INDEX('M03-S04'!$AA$18:$AA$199,2*(ROWS(Q$51:Q65)-1)+1),"")</f>
        <v>0</v>
      </c>
      <c r="S65">
        <f>IFERROR(INDEX('M03-S04'!$AX$18:$AX$199,2*(ROWS(S$51:S65)-1)+1),"")</f>
        <v>0</v>
      </c>
      <c r="T65" s="545">
        <f>IFERROR(ROUND(INDEX('M03-S04'!$AY$18:$AY$199,2*(ROWS(T$51:T65)-1)+1),3),"")</f>
        <v>0</v>
      </c>
      <c r="U65" s="545">
        <f>IFERROR(ROUND(INDEX('M03-S04'!$AZ$18:$AZ$199,2*(ROWS(U$51:U65)-1)+1),3),"")</f>
        <v>0</v>
      </c>
      <c r="V65" s="184"/>
      <c r="W65" s="184"/>
      <c r="X65" s="184"/>
      <c r="Y65" s="184"/>
      <c r="Z65" s="184"/>
      <c r="AA65" s="9" cm="1">
        <f t="array" ref="AA65">IFERROR(ROUND(INDEX('M03-S04'!$AR$18:$AR$199,2*(ROWS(AA$51:AA65)-1)+1), 2),"")</f>
        <v>0</v>
      </c>
      <c r="AB65" s="9" cm="1">
        <f t="array" ref="AB65">_xlfn.LET(_xlpm.ROWS, 2*(ROWS(AB$51:AB65)-1)+1,IFERROR(INDEX('M03-S04'!$AR$18:$AR$199, _xlpm.ROWS)-INDEX('M03-S04'!$BS$18:$BS$199, _xlpm.ROWS),""))</f>
        <v>0</v>
      </c>
      <c r="AC65" s="9">
        <f>IFERROR(ROUND(INDEX('M03-S04'!$AI$18:$AI$199,2*(ROWS(AC$51:AC65)-1)+1),2),"")</f>
        <v>0</v>
      </c>
      <c r="AD65" s="9">
        <f>IFERROR(ROUND(INDEX('M03-S04'!$AK$18:$AK$199,2*(ROWS(AD$51:AD65)-1)+1),2),"")</f>
        <v>0</v>
      </c>
      <c r="AE65" s="9">
        <f>IFERROR(ROUND(INDEX('M03-S04'!$BL$18:$BL$199,2*(ROWS(AE$51:AE65)-1)+1),2),"")</f>
        <v>0</v>
      </c>
      <c r="AF65" t="s">
        <v>84</v>
      </c>
      <c r="AG65" t="str">
        <f>IFERROR(INDEX(STDREFRIG[Incremental Measure Cost ($/Unit)], MATCH(C65, STDREFRIG[Measure Number], 0))*U65, "")</f>
        <v/>
      </c>
      <c r="AH65" s="184"/>
      <c r="AI65" s="32">
        <f>IFERROR(ROUND(INDEX('M03-S04'!$BH$18:$BH$199,2*(ROWS(AI$51:AI65)-1)+1),4),"")</f>
        <v>0</v>
      </c>
      <c r="AJ65" s="32">
        <f>IFERROR(ROUND(INDEX('M03-S04'!$BE$18:$BE$199,2*(ROWS(AJ$51:AJ65)-1)+1),4),"")</f>
        <v>0</v>
      </c>
      <c r="AK65" s="32">
        <f>IFERROR(ROUND(INDEX('M03-S04'!$BI$18:$BI$199,2*(ROWS(AK$51:AK65)-1)+1),4),"")</f>
        <v>0</v>
      </c>
      <c r="AL65" s="32">
        <f>IFERROR(ROUND(INDEX('M03-S04'!$BF$18:$BF$199,2*(ROWS(AL$51:AL65)-1)+1),4),"")</f>
        <v>0</v>
      </c>
      <c r="AM65" s="32">
        <f>IFERROR(ROUND(INDEX('M03-S04'!$BA$18:$BA$199,2*(ROWS(AM$51:AM65)-1)+1),4),"")</f>
        <v>0</v>
      </c>
      <c r="AN65" s="32">
        <f>IFERROR(ROUND(INDEX('M03-S04'!$BB$18:$BB$199,2*(ROWS(AN$51:AN65)-1)+1),4),"")</f>
        <v>0</v>
      </c>
      <c r="AO65" s="32"/>
      <c r="AP65" s="182"/>
      <c r="AQ65" s="182"/>
      <c r="AR65" s="182"/>
      <c r="AS65" s="171"/>
      <c r="AT65" s="171"/>
      <c r="AU65" s="171"/>
      <c r="AV65" s="190"/>
      <c r="AW65" s="190"/>
      <c r="AX65" s="184"/>
      <c r="AY65" s="184"/>
      <c r="AZ65" s="191"/>
      <c r="BA65" s="191"/>
      <c r="BB65" s="171"/>
    </row>
    <row r="66" spans="1:54">
      <c r="A66" s="478" t="str">
        <f>"Standard "&amp;M3S5</f>
        <v>Standard HVAC</v>
      </c>
      <c r="B66" s="172"/>
      <c r="C66" s="172"/>
      <c r="D66" s="172"/>
      <c r="E66" s="172"/>
      <c r="F66" s="172"/>
      <c r="G66" s="172"/>
      <c r="H66" s="172"/>
      <c r="I66" s="172"/>
      <c r="J66" s="180"/>
      <c r="K66" s="180"/>
      <c r="L66" s="172"/>
      <c r="M66" s="172"/>
      <c r="N66" s="172"/>
      <c r="O66" s="173"/>
      <c r="P66" s="172" t="s">
        <v>2257</v>
      </c>
      <c r="Q66" s="172" t="s">
        <v>2258</v>
      </c>
      <c r="R66" s="172"/>
      <c r="S66" s="172"/>
      <c r="T66" s="186"/>
      <c r="U66" s="186"/>
      <c r="V66" s="183"/>
      <c r="W66" s="183"/>
      <c r="X66" s="183"/>
      <c r="Y66" s="183"/>
      <c r="Z66" s="183"/>
      <c r="AA66" s="180"/>
      <c r="AB66" s="172"/>
      <c r="AC66" s="180"/>
      <c r="AD66" s="180"/>
      <c r="AE66" s="180"/>
      <c r="AF66" s="172"/>
      <c r="AG66" s="172"/>
      <c r="AH66" s="172"/>
      <c r="AI66" s="188"/>
      <c r="AJ66" s="188"/>
      <c r="AK66" s="188"/>
      <c r="AL66" s="188"/>
      <c r="AM66" s="188"/>
      <c r="AN66" s="188"/>
      <c r="AO66" s="188"/>
      <c r="AP66" s="180"/>
      <c r="AQ66" s="180"/>
      <c r="AR66" s="180"/>
      <c r="AS66" s="172"/>
      <c r="AT66" s="172"/>
      <c r="AU66" s="172"/>
      <c r="AV66" s="186"/>
      <c r="AW66" s="186"/>
      <c r="AX66" s="183"/>
      <c r="AY66" s="183"/>
      <c r="AZ66" s="188"/>
      <c r="BA66" s="188"/>
      <c r="BB66" s="172"/>
    </row>
    <row r="67" spans="1:54">
      <c r="A67" s="478" t="str">
        <f>"Standard "&amp;M3S6</f>
        <v>Standard Compressed Air / Process</v>
      </c>
      <c r="B67" s="172"/>
      <c r="C67" s="172"/>
      <c r="D67" s="172"/>
      <c r="E67" s="172"/>
      <c r="F67" s="172"/>
      <c r="G67" s="172"/>
      <c r="H67" s="172"/>
      <c r="I67" s="172"/>
      <c r="J67" s="180"/>
      <c r="K67" s="180"/>
      <c r="L67" s="172"/>
      <c r="M67" s="172"/>
      <c r="N67" s="172"/>
      <c r="O67" s="173"/>
      <c r="P67" s="172"/>
      <c r="Q67" s="172"/>
      <c r="R67" s="172"/>
      <c r="S67" s="172"/>
      <c r="T67" s="186"/>
      <c r="U67" s="186"/>
      <c r="V67" s="183"/>
      <c r="W67" s="183"/>
      <c r="X67" s="183"/>
      <c r="Y67" s="183"/>
      <c r="Z67" s="183"/>
      <c r="AA67" s="180"/>
      <c r="AB67" s="172"/>
      <c r="AC67" s="180"/>
      <c r="AD67" s="180"/>
      <c r="AE67" s="180"/>
      <c r="AF67" s="172"/>
      <c r="AG67" s="172"/>
      <c r="AH67" s="172"/>
      <c r="AI67" s="188"/>
      <c r="AJ67" s="188"/>
      <c r="AK67" s="188"/>
      <c r="AL67" s="188"/>
      <c r="AM67" s="188"/>
      <c r="AN67" s="188"/>
      <c r="AO67" s="188"/>
      <c r="AP67" s="180"/>
      <c r="AQ67" s="180"/>
      <c r="AR67" s="180"/>
      <c r="AS67" s="172"/>
      <c r="AT67" s="172"/>
      <c r="AU67" s="172"/>
      <c r="AV67" s="186"/>
      <c r="AW67" s="186"/>
      <c r="AX67" s="183"/>
      <c r="AY67" s="183"/>
      <c r="AZ67" s="188"/>
      <c r="BA67" s="188"/>
      <c r="BB67" s="172"/>
    </row>
    <row r="68" spans="1:54">
      <c r="A68" s="10">
        <f t="shared" ref="A68:A82" si="6">PROJID</f>
        <v>0</v>
      </c>
      <c r="B68" t="str">
        <f t="shared" ref="B68:B82" si="7">IF(C68="","",CONCATENATE(ROW(),"-",C68))</f>
        <v/>
      </c>
      <c r="C68" t="str" cm="1">
        <f t="array" ref="C68">IFERROR(_xlfn.VALUETOTEXT(INDEX('M03-S06'!$BW$18:$BW$199,2*(ROWS($C$68:C68)-1)+1)),"")</f>
        <v/>
      </c>
      <c r="D68">
        <f>IFERROR(INDEX('M03-S06'!$B$18:$B$199,2*(ROWS(D$68:D68)-1)+1),"")</f>
        <v>1</v>
      </c>
      <c r="E68" s="51" t="str" cm="1">
        <f t="array" ref="E68">IFERROR(_xlfn.VALUETOTEXT(INDEX('M03-S06'!$BX$18:$BX$199,2*(ROWS($E$68:E68)-1)+1)),"")</f>
        <v/>
      </c>
      <c r="F68" t="str" cm="1">
        <f t="array" ref="F68">IF(C68&lt;&gt;"", _xlfn.SWITCH(Program_Banner, "Small Business / Non-Profit", "Hard-To-Reach Business", "Business Energy Savings", "Whole Business Efficiency", ""), "")</f>
        <v/>
      </c>
      <c r="G68" t="s">
        <v>938</v>
      </c>
      <c r="H68" t="str">
        <f>IFERROR(INDEX('M03-S06'!$BC$18:$BC$199,2*(ROWS($H$68:H68)-1)+1),"")</f>
        <v/>
      </c>
      <c r="I68" s="171"/>
      <c r="J68" s="182"/>
      <c r="K68" s="182"/>
      <c r="L68" s="51" t="str">
        <f>IFERROR(INDEX('M03-S06'!$BD$18:$BD$199,2*(ROWS($L$68:L68)-1)+1),"")</f>
        <v/>
      </c>
      <c r="M68" s="51">
        <f>IFERROR(INDEX('M03-S06'!$AE$18:$AE$199,2*(ROWS($M$68:M68)-1)+1),"")</f>
        <v>0</v>
      </c>
      <c r="N68" s="171"/>
      <c r="O68">
        <f>IFERROR(INDEX('M03-S06'!$C$18:$C$199,2*(ROWS(O$68:O68)-1)+1),"")</f>
        <v>0</v>
      </c>
      <c r="P68" s="171"/>
      <c r="Q68">
        <f>IFERROR(INDEX('M03-S06'!$AA$18:$AA$199,2*(ROWS(Q$68:Q68)-1)+1),"")</f>
        <v>0</v>
      </c>
      <c r="S68" t="str">
        <f>IFERROR(INDEX('M03-S06'!$AX$18:$AX$199,2*(ROWS(S$68:S68)-1)+1),"")</f>
        <v/>
      </c>
      <c r="T68" s="545" t="str">
        <f>IFERROR(ROUND(INDEX('M03-S06'!$AY$18:$AY$199,2*(ROWS(T$68:T68)-1)+1),3),"")</f>
        <v/>
      </c>
      <c r="U68" s="545" t="str">
        <f>IFERROR(ROUND(INDEX('M03-S06'!$AZ$18:$AZ$199,2*(ROWS(U$68:U68)-1)+1),3),"")</f>
        <v/>
      </c>
      <c r="V68" s="184"/>
      <c r="W68" s="184"/>
      <c r="X68" s="184"/>
      <c r="Y68" s="184"/>
      <c r="Z68" s="184"/>
      <c r="AA68" s="9" t="str" cm="1">
        <f t="array" ref="AA68">IFERROR(ROUND(INDEX('M03-S06'!$AR$18:$AR$199,2*(ROWS(AA$68:AA68)-1)+1), 2),"")</f>
        <v/>
      </c>
      <c r="AB68" s="9" t="str" cm="1">
        <f t="array" ref="AB68">_xlfn.LET(_xlpm.ROWS, 2*(ROWS(AB$68:AB68)-1)+1,IFERROR(INDEX('M03-S06'!$AR$18:$AR$199, _xlpm.ROWS)-INDEX('M03-S06'!$BS$18:$BS$199, _xlpm.ROWS),""))</f>
        <v/>
      </c>
      <c r="AC68" s="9">
        <f>IFERROR(ROUND(INDEX('M03-S06'!$AI$18:$AI$199,2*(ROWS(AC$68:AC68)-1)+1),2),"")</f>
        <v>0</v>
      </c>
      <c r="AD68" s="9">
        <f>IFERROR(ROUND(INDEX('M03-S06'!$AK$18:$AK$199,2*(ROWS(AD$68:AD68)-1)+1),2),"")</f>
        <v>0</v>
      </c>
      <c r="AE68" s="9" t="str">
        <f>IFERROR(ROUND(INDEX('M03-S06'!$BL$18:$BL$199,2*(ROWS(AE$68:AE68)-1)+1),2),"")</f>
        <v/>
      </c>
      <c r="AF68" t="s">
        <v>84</v>
      </c>
      <c r="AG68" t="str">
        <f>IFERROR(INDEX(STDCOMPRESS[Incremental Measure Cost ($/Unit)], MATCH(C68, STDCOMPRESS[Measure Number], 0))*U68, "")</f>
        <v/>
      </c>
      <c r="AH68" s="184"/>
      <c r="AI68" s="32" t="str">
        <f>IFERROR(ROUND(INDEX('M03-S06'!$BH$18:$BH$199,2*(ROWS(AI$68:AI68)-1)+1),4),"")</f>
        <v/>
      </c>
      <c r="AJ68" s="32">
        <f>IFERROR(ROUND(INDEX('M03-S06'!$BE$18:$BE$199,2*(ROWS(AJ$68:AJ68)-1)+1),4),"")</f>
        <v>0</v>
      </c>
      <c r="AK68" s="32" t="str">
        <f>IFERROR(ROUND(INDEX('M03-S06'!$BI$18:$BI$199,2*(ROWS(AK$68:AK68)-1)+1),4),"")</f>
        <v/>
      </c>
      <c r="AL68" s="32">
        <f>IFERROR(ROUND(INDEX('M03-S06'!$BF$18:$BF$199,2*(ROWS(AL$68:AL68)-1)+1),4),"")</f>
        <v>0</v>
      </c>
      <c r="AM68" s="32">
        <f>IFERROR(ROUND(INDEX('M03-S06'!$BA$18:$BA$199,2*(ROWS(AM$68:AM68)-1)+1),4),"")</f>
        <v>0</v>
      </c>
      <c r="AN68" s="32">
        <f>IFERROR(ROUND(INDEX('M03-S06'!$BB$18:$BB$199,2*(ROWS(AN$68:AN68)-1)+1),4),"")</f>
        <v>0</v>
      </c>
      <c r="AO68" s="32"/>
      <c r="AP68" s="182"/>
      <c r="AQ68" s="182"/>
      <c r="AR68" s="182"/>
      <c r="AS68" s="171"/>
      <c r="AT68" s="171"/>
      <c r="AU68" s="171"/>
      <c r="AV68" s="190"/>
      <c r="AW68" s="190"/>
      <c r="AX68" s="184"/>
      <c r="AY68" s="184"/>
      <c r="AZ68" s="191"/>
      <c r="BA68" s="191"/>
      <c r="BB68" s="171"/>
    </row>
    <row r="69" spans="1:54">
      <c r="A69" s="10">
        <f t="shared" si="6"/>
        <v>0</v>
      </c>
      <c r="B69" t="str">
        <f t="shared" si="7"/>
        <v/>
      </c>
      <c r="C69" t="str" cm="1">
        <f t="array" ref="C69">IFERROR(_xlfn.VALUETOTEXT(INDEX('M03-S06'!$BW$18:$BW$199,2*(ROWS($C$68:C69)-1)+1)),"")</f>
        <v/>
      </c>
      <c r="D69">
        <f>IFERROR(INDEX('M03-S06'!$B$18:$B$199,2*(ROWS(D$68:D69)-1)+1),"")</f>
        <v>2</v>
      </c>
      <c r="E69" s="51" t="str" cm="1">
        <f t="array" ref="E69">IFERROR(_xlfn.VALUETOTEXT(INDEX('M03-S06'!$BX$18:$BX$199,2*(ROWS($E$68:E69)-1)+1)),"")</f>
        <v/>
      </c>
      <c r="F69" t="str" cm="1">
        <f t="array" ref="F69">IF(C69&lt;&gt;"", _xlfn.SWITCH(Program_Banner, "Small Business / Non-Profit", "Hard-To-Reach Business", "Business Energy Savings", "Whole Business Efficiency", ""), "")</f>
        <v/>
      </c>
      <c r="G69" t="s">
        <v>938</v>
      </c>
      <c r="H69" t="str">
        <f>IFERROR(INDEX('M03-S06'!$BC$18:$BC$199,2*(ROWS($H$68:H69)-1)+1),"")</f>
        <v/>
      </c>
      <c r="I69" s="171"/>
      <c r="J69" s="182"/>
      <c r="K69" s="182"/>
      <c r="L69" s="51" t="str">
        <f>IFERROR(INDEX('M03-S06'!$BD$18:$BD$199,2*(ROWS($L$68:L69)-1)+1),"")</f>
        <v/>
      </c>
      <c r="M69" s="51">
        <f>IFERROR(INDEX('M03-S06'!$AE$18:$AE$199,2*(ROWS($M$68:M69)-1)+1),"")</f>
        <v>0</v>
      </c>
      <c r="N69" s="171"/>
      <c r="O69">
        <f>IFERROR(INDEX('M03-S06'!$C$18:$C$199,2*(ROWS(O$68:O69)-1)+1),"")</f>
        <v>0</v>
      </c>
      <c r="P69" s="171"/>
      <c r="Q69">
        <f>IFERROR(INDEX('M03-S06'!$AA$18:$AA$199,2*(ROWS(Q$68:Q69)-1)+1),"")</f>
        <v>0</v>
      </c>
      <c r="S69" t="str">
        <f>IFERROR(INDEX('M03-S06'!$AX$18:$AX$199,2*(ROWS(S$68:S69)-1)+1),"")</f>
        <v/>
      </c>
      <c r="T69" s="545" t="str">
        <f>IFERROR(ROUND(INDEX('M03-S06'!$AY$18:$AY$199,2*(ROWS(T$68:T69)-1)+1),3),"")</f>
        <v/>
      </c>
      <c r="U69" s="545" t="str">
        <f>IFERROR(ROUND(INDEX('M03-S06'!$AZ$18:$AZ$199,2*(ROWS(U$68:U69)-1)+1),3),"")</f>
        <v/>
      </c>
      <c r="V69" s="184"/>
      <c r="W69" s="184"/>
      <c r="X69" s="184"/>
      <c r="Y69" s="184"/>
      <c r="Z69" s="184"/>
      <c r="AA69" s="9" t="str" cm="1">
        <f t="array" ref="AA69">IFERROR(ROUND(INDEX('M03-S06'!$AR$18:$AR$199,2*(ROWS(AA$68:AA69)-1)+1), 2),"")</f>
        <v/>
      </c>
      <c r="AB69" s="9" t="str" cm="1">
        <f t="array" ref="AB69">_xlfn.LET(_xlpm.ROWS, 2*(ROWS(AB$68:AB69)-1)+1,IFERROR(INDEX('M03-S06'!$AR$18:$AR$199, _xlpm.ROWS)-INDEX('M03-S06'!$BS$18:$BS$199, _xlpm.ROWS),""))</f>
        <v/>
      </c>
      <c r="AC69" s="9">
        <f>IFERROR(ROUND(INDEX('M03-S06'!$AI$18:$AI$199,2*(ROWS(AC$68:AC69)-1)+1),2),"")</f>
        <v>0</v>
      </c>
      <c r="AD69" s="9">
        <f>IFERROR(ROUND(INDEX('M03-S06'!$AK$18:$AK$199,2*(ROWS(AD$68:AD69)-1)+1),2),"")</f>
        <v>0</v>
      </c>
      <c r="AE69" s="9" t="str">
        <f>IFERROR(ROUND(INDEX('M03-S06'!$BL$18:$BL$199,2*(ROWS(AE$68:AE69)-1)+1),2),"")</f>
        <v/>
      </c>
      <c r="AF69" t="s">
        <v>84</v>
      </c>
      <c r="AG69" t="str">
        <f>IFERROR(INDEX(STDCOMPRESS[Incremental Measure Cost ($/Unit)], MATCH(C69, STDCOMPRESS[Measure Number], 0))*U69, "")</f>
        <v/>
      </c>
      <c r="AH69" s="184"/>
      <c r="AI69" s="32" t="str">
        <f>IFERROR(ROUND(INDEX('M03-S06'!$BH$18:$BH$199,2*(ROWS(AI$68:AI69)-1)+1),4),"")</f>
        <v/>
      </c>
      <c r="AJ69" s="32">
        <f>IFERROR(ROUND(INDEX('M03-S06'!$BE$18:$BE$199,2*(ROWS(AJ$68:AJ69)-1)+1),4),"")</f>
        <v>0</v>
      </c>
      <c r="AK69" s="32" t="str">
        <f>IFERROR(ROUND(INDEX('M03-S06'!$BI$18:$BI$199,2*(ROWS(AK$68:AK69)-1)+1),4),"")</f>
        <v/>
      </c>
      <c r="AL69" s="32">
        <f>IFERROR(ROUND(INDEX('M03-S06'!$BF$18:$BF$199,2*(ROWS(AL$68:AL69)-1)+1),4),"")</f>
        <v>0</v>
      </c>
      <c r="AM69" s="32">
        <f>IFERROR(ROUND(INDEX('M03-S06'!$BA$18:$BA$199,2*(ROWS(AM$68:AM69)-1)+1),4),"")</f>
        <v>0</v>
      </c>
      <c r="AN69" s="32">
        <f>IFERROR(ROUND(INDEX('M03-S06'!$BB$18:$BB$199,2*(ROWS(AN$68:AN69)-1)+1),4),"")</f>
        <v>0</v>
      </c>
      <c r="AO69" s="32"/>
      <c r="AP69" s="182"/>
      <c r="AQ69" s="182"/>
      <c r="AR69" s="182"/>
      <c r="AS69" s="171"/>
      <c r="AT69" s="171"/>
      <c r="AU69" s="171"/>
      <c r="AV69" s="190"/>
      <c r="AW69" s="190"/>
      <c r="AX69" s="184"/>
      <c r="AY69" s="184"/>
      <c r="AZ69" s="191"/>
      <c r="BA69" s="191"/>
      <c r="BB69" s="171"/>
    </row>
    <row r="70" spans="1:54">
      <c r="A70" s="10">
        <f t="shared" si="6"/>
        <v>0</v>
      </c>
      <c r="B70" t="str">
        <f t="shared" si="7"/>
        <v/>
      </c>
      <c r="C70" t="str" cm="1">
        <f t="array" ref="C70">IFERROR(_xlfn.VALUETOTEXT(INDEX('M03-S06'!$BW$18:$BW$199,2*(ROWS($C$68:C70)-1)+1)),"")</f>
        <v/>
      </c>
      <c r="D70">
        <f>IFERROR(INDEX('M03-S06'!$B$18:$B$199,2*(ROWS(D$68:D70)-1)+1),"")</f>
        <v>3</v>
      </c>
      <c r="E70" s="51" t="str" cm="1">
        <f t="array" ref="E70">IFERROR(_xlfn.VALUETOTEXT(INDEX('M03-S06'!$BX$18:$BX$199,2*(ROWS($E$68:E70)-1)+1)),"")</f>
        <v/>
      </c>
      <c r="F70" t="str" cm="1">
        <f t="array" ref="F70">IF(C70&lt;&gt;"", _xlfn.SWITCH(Program_Banner, "Small Business / Non-Profit", "Hard-To-Reach Business", "Business Energy Savings", "Whole Business Efficiency", ""), "")</f>
        <v/>
      </c>
      <c r="G70" t="s">
        <v>938</v>
      </c>
      <c r="H70" t="str">
        <f>IFERROR(INDEX('M03-S06'!$BC$18:$BC$199,2*(ROWS($H$68:H70)-1)+1),"")</f>
        <v/>
      </c>
      <c r="I70" s="171"/>
      <c r="J70" s="182"/>
      <c r="K70" s="182"/>
      <c r="L70" s="51" t="str">
        <f>IFERROR(INDEX('M03-S06'!$BD$18:$BD$199,2*(ROWS($L$68:L70)-1)+1),"")</f>
        <v/>
      </c>
      <c r="M70" s="51">
        <f>IFERROR(INDEX('M03-S06'!$AE$18:$AE$199,2*(ROWS($M$68:M70)-1)+1),"")</f>
        <v>0</v>
      </c>
      <c r="N70" s="171"/>
      <c r="O70">
        <f>IFERROR(INDEX('M03-S06'!$C$18:$C$199,2*(ROWS(O$68:O70)-1)+1),"")</f>
        <v>0</v>
      </c>
      <c r="P70" s="171"/>
      <c r="Q70">
        <f>IFERROR(INDEX('M03-S06'!$AA$18:$AA$199,2*(ROWS(Q$68:Q70)-1)+1),"")</f>
        <v>0</v>
      </c>
      <c r="S70" t="str">
        <f>IFERROR(INDEX('M03-S06'!$AX$18:$AX$199,2*(ROWS(S$68:S70)-1)+1),"")</f>
        <v/>
      </c>
      <c r="T70" s="545" t="str">
        <f>IFERROR(ROUND(INDEX('M03-S06'!$AY$18:$AY$199,2*(ROWS(T$68:T70)-1)+1),3),"")</f>
        <v/>
      </c>
      <c r="U70" s="545" t="str">
        <f>IFERROR(ROUND(INDEX('M03-S06'!$AZ$18:$AZ$199,2*(ROWS(U$68:U70)-1)+1),3),"")</f>
        <v/>
      </c>
      <c r="V70" s="184"/>
      <c r="W70" s="184"/>
      <c r="X70" s="184"/>
      <c r="Y70" s="184"/>
      <c r="Z70" s="184"/>
      <c r="AA70" s="9" t="str" cm="1">
        <f t="array" ref="AA70">IFERROR(ROUND(INDEX('M03-S06'!$AR$18:$AR$199,2*(ROWS(AA$68:AA70)-1)+1), 2),"")</f>
        <v/>
      </c>
      <c r="AB70" s="9" t="str" cm="1">
        <f t="array" ref="AB70">_xlfn.LET(_xlpm.ROWS, 2*(ROWS(AB$68:AB70)-1)+1,IFERROR(INDEX('M03-S06'!$AR$18:$AR$199, _xlpm.ROWS)-INDEX('M03-S06'!$BS$18:$BS$199, _xlpm.ROWS),""))</f>
        <v/>
      </c>
      <c r="AC70" s="9">
        <f>IFERROR(ROUND(INDEX('M03-S06'!$AI$18:$AI$199,2*(ROWS(AC$68:AC70)-1)+1),2),"")</f>
        <v>0</v>
      </c>
      <c r="AD70" s="9">
        <f>IFERROR(ROUND(INDEX('M03-S06'!$AK$18:$AK$199,2*(ROWS(AD$68:AD70)-1)+1),2),"")</f>
        <v>0</v>
      </c>
      <c r="AE70" s="9" t="str">
        <f>IFERROR(ROUND(INDEX('M03-S06'!$BL$18:$BL$199,2*(ROWS(AE$68:AE70)-1)+1),2),"")</f>
        <v/>
      </c>
      <c r="AF70" t="s">
        <v>84</v>
      </c>
      <c r="AG70" t="str">
        <f>IFERROR(INDEX(STDCOMPRESS[Incremental Measure Cost ($/Unit)], MATCH(C70, STDCOMPRESS[Measure Number], 0))*U70, "")</f>
        <v/>
      </c>
      <c r="AH70" s="184"/>
      <c r="AI70" s="32" t="str">
        <f>IFERROR(ROUND(INDEX('M03-S06'!$BH$18:$BH$199,2*(ROWS(AI$68:AI70)-1)+1),4),"")</f>
        <v/>
      </c>
      <c r="AJ70" s="32">
        <f>IFERROR(ROUND(INDEX('M03-S06'!$BE$18:$BE$199,2*(ROWS(AJ$68:AJ70)-1)+1),4),"")</f>
        <v>0</v>
      </c>
      <c r="AK70" s="32" t="str">
        <f>IFERROR(ROUND(INDEX('M03-S06'!$BI$18:$BI$199,2*(ROWS(AK$68:AK70)-1)+1),4),"")</f>
        <v/>
      </c>
      <c r="AL70" s="32">
        <f>IFERROR(ROUND(INDEX('M03-S06'!$BF$18:$BF$199,2*(ROWS(AL$68:AL70)-1)+1),4),"")</f>
        <v>0</v>
      </c>
      <c r="AM70" s="32">
        <f>IFERROR(ROUND(INDEX('M03-S06'!$BA$18:$BA$199,2*(ROWS(AM$68:AM70)-1)+1),4),"")</f>
        <v>0</v>
      </c>
      <c r="AN70" s="32">
        <f>IFERROR(ROUND(INDEX('M03-S06'!$BB$18:$BB$199,2*(ROWS(AN$68:AN70)-1)+1),4),"")</f>
        <v>0</v>
      </c>
      <c r="AO70" s="32"/>
      <c r="AP70" s="182"/>
      <c r="AQ70" s="182"/>
      <c r="AR70" s="182"/>
      <c r="AS70" s="171"/>
      <c r="AT70" s="171"/>
      <c r="AU70" s="171"/>
      <c r="AV70" s="190"/>
      <c r="AW70" s="190"/>
      <c r="AX70" s="184"/>
      <c r="AY70" s="184"/>
      <c r="AZ70" s="191"/>
      <c r="BA70" s="191"/>
      <c r="BB70" s="171"/>
    </row>
    <row r="71" spans="1:54">
      <c r="A71" s="10">
        <f t="shared" si="6"/>
        <v>0</v>
      </c>
      <c r="B71" t="str">
        <f t="shared" si="7"/>
        <v/>
      </c>
      <c r="C71" t="str" cm="1">
        <f t="array" ref="C71">IFERROR(_xlfn.VALUETOTEXT(INDEX('M03-S06'!$BW$18:$BW$199,2*(ROWS($C$68:C71)-1)+1)),"")</f>
        <v/>
      </c>
      <c r="D71">
        <f>IFERROR(INDEX('M03-S06'!$B$18:$B$199,2*(ROWS(D$68:D71)-1)+1),"")</f>
        <v>4</v>
      </c>
      <c r="E71" s="51" t="str" cm="1">
        <f t="array" ref="E71">IFERROR(_xlfn.VALUETOTEXT(INDEX('M03-S06'!$BX$18:$BX$199,2*(ROWS($E$68:E71)-1)+1)),"")</f>
        <v/>
      </c>
      <c r="F71" t="str" cm="1">
        <f t="array" ref="F71">IF(C71&lt;&gt;"", _xlfn.SWITCH(Program_Banner, "Small Business / Non-Profit", "Hard-To-Reach Business", "Business Energy Savings", "Whole Business Efficiency", ""), "")</f>
        <v/>
      </c>
      <c r="G71" t="s">
        <v>938</v>
      </c>
      <c r="H71" t="str">
        <f>IFERROR(INDEX('M03-S06'!$BC$18:$BC$199,2*(ROWS($H$68:H71)-1)+1),"")</f>
        <v/>
      </c>
      <c r="I71" s="171"/>
      <c r="J71" s="182"/>
      <c r="K71" s="182"/>
      <c r="L71" s="51" t="str">
        <f>IFERROR(INDEX('M03-S06'!$BD$18:$BD$199,2*(ROWS($L$68:L71)-1)+1),"")</f>
        <v/>
      </c>
      <c r="M71" s="51">
        <f>IFERROR(INDEX('M03-S06'!$AE$18:$AE$199,2*(ROWS($M$68:M71)-1)+1),"")</f>
        <v>0</v>
      </c>
      <c r="N71" s="171"/>
      <c r="O71">
        <f>IFERROR(INDEX('M03-S06'!$C$18:$C$199,2*(ROWS(O$68:O71)-1)+1),"")</f>
        <v>0</v>
      </c>
      <c r="P71" s="171"/>
      <c r="Q71">
        <f>IFERROR(INDEX('M03-S06'!$AA$18:$AA$199,2*(ROWS(Q$68:Q71)-1)+1),"")</f>
        <v>0</v>
      </c>
      <c r="S71" t="str">
        <f>IFERROR(INDEX('M03-S06'!$AX$18:$AX$199,2*(ROWS(S$68:S71)-1)+1),"")</f>
        <v/>
      </c>
      <c r="T71" s="545" t="str">
        <f>IFERROR(ROUND(INDEX('M03-S06'!$AY$18:$AY$199,2*(ROWS(T$68:T71)-1)+1),3),"")</f>
        <v/>
      </c>
      <c r="U71" s="545" t="str">
        <f>IFERROR(ROUND(INDEX('M03-S06'!$AZ$18:$AZ$199,2*(ROWS(U$68:U71)-1)+1),3),"")</f>
        <v/>
      </c>
      <c r="V71" s="184"/>
      <c r="W71" s="184"/>
      <c r="X71" s="184"/>
      <c r="Y71" s="184"/>
      <c r="Z71" s="184"/>
      <c r="AA71" s="9" t="str" cm="1">
        <f t="array" ref="AA71">IFERROR(ROUND(INDEX('M03-S06'!$AR$18:$AR$199,2*(ROWS(AA$68:AA71)-1)+1), 2),"")</f>
        <v/>
      </c>
      <c r="AB71" s="9" t="str" cm="1">
        <f t="array" ref="AB71">_xlfn.LET(_xlpm.ROWS, 2*(ROWS(AB$68:AB71)-1)+1,IFERROR(INDEX('M03-S06'!$AR$18:$AR$199, _xlpm.ROWS)-INDEX('M03-S06'!$BS$18:$BS$199, _xlpm.ROWS),""))</f>
        <v/>
      </c>
      <c r="AC71" s="9">
        <f>IFERROR(ROUND(INDEX('M03-S06'!$AI$18:$AI$199,2*(ROWS(AC$68:AC71)-1)+1),2),"")</f>
        <v>0</v>
      </c>
      <c r="AD71" s="9">
        <f>IFERROR(ROUND(INDEX('M03-S06'!$AK$18:$AK$199,2*(ROWS(AD$68:AD71)-1)+1),2),"")</f>
        <v>0</v>
      </c>
      <c r="AE71" s="9" t="str">
        <f>IFERROR(ROUND(INDEX('M03-S06'!$BL$18:$BL$199,2*(ROWS(AE$68:AE71)-1)+1),2),"")</f>
        <v/>
      </c>
      <c r="AF71" t="s">
        <v>84</v>
      </c>
      <c r="AG71" t="str">
        <f>IFERROR(INDEX(STDCOMPRESS[Incremental Measure Cost ($/Unit)], MATCH(C71, STDCOMPRESS[Measure Number], 0))*U71, "")</f>
        <v/>
      </c>
      <c r="AH71" s="184"/>
      <c r="AI71" s="32" t="str">
        <f>IFERROR(ROUND(INDEX('M03-S06'!$BH$18:$BH$199,2*(ROWS(AI$68:AI71)-1)+1),4),"")</f>
        <v/>
      </c>
      <c r="AJ71" s="32">
        <f>IFERROR(ROUND(INDEX('M03-S06'!$BE$18:$BE$199,2*(ROWS(AJ$68:AJ71)-1)+1),4),"")</f>
        <v>0</v>
      </c>
      <c r="AK71" s="32" t="str">
        <f>IFERROR(ROUND(INDEX('M03-S06'!$BI$18:$BI$199,2*(ROWS(AK$68:AK71)-1)+1),4),"")</f>
        <v/>
      </c>
      <c r="AL71" s="32">
        <f>IFERROR(ROUND(INDEX('M03-S06'!$BF$18:$BF$199,2*(ROWS(AL$68:AL71)-1)+1),4),"")</f>
        <v>0</v>
      </c>
      <c r="AM71" s="32">
        <f>IFERROR(ROUND(INDEX('M03-S06'!$BA$18:$BA$199,2*(ROWS(AM$68:AM71)-1)+1),4),"")</f>
        <v>0</v>
      </c>
      <c r="AN71" s="32">
        <f>IFERROR(ROUND(INDEX('M03-S06'!$BB$18:$BB$199,2*(ROWS(AN$68:AN71)-1)+1),4),"")</f>
        <v>0</v>
      </c>
      <c r="AO71" s="32"/>
      <c r="AP71" s="182"/>
      <c r="AQ71" s="182"/>
      <c r="AR71" s="182"/>
      <c r="AS71" s="171"/>
      <c r="AT71" s="171"/>
      <c r="AU71" s="171"/>
      <c r="AV71" s="190"/>
      <c r="AW71" s="190"/>
      <c r="AX71" s="184"/>
      <c r="AY71" s="184"/>
      <c r="AZ71" s="191"/>
      <c r="BA71" s="191"/>
      <c r="BB71" s="171"/>
    </row>
    <row r="72" spans="1:54">
      <c r="A72" s="10">
        <f t="shared" si="6"/>
        <v>0</v>
      </c>
      <c r="B72" t="str">
        <f t="shared" si="7"/>
        <v/>
      </c>
      <c r="C72" t="str" cm="1">
        <f t="array" ref="C72">IFERROR(_xlfn.VALUETOTEXT(INDEX('M03-S06'!$BW$18:$BW$199,2*(ROWS($C$68:C72)-1)+1)),"")</f>
        <v/>
      </c>
      <c r="D72">
        <f>IFERROR(INDEX('M03-S06'!$B$18:$B$199,2*(ROWS(D$68:D72)-1)+1),"")</f>
        <v>5</v>
      </c>
      <c r="E72" s="51" t="str" cm="1">
        <f t="array" ref="E72">IFERROR(_xlfn.VALUETOTEXT(INDEX('M03-S06'!$BX$18:$BX$199,2*(ROWS($E$68:E72)-1)+1)),"")</f>
        <v/>
      </c>
      <c r="F72" t="str" cm="1">
        <f t="array" ref="F72">IF(C72&lt;&gt;"", _xlfn.SWITCH(Program_Banner, "Small Business / Non-Profit", "Hard-To-Reach Business", "Business Energy Savings", "Whole Business Efficiency", ""), "")</f>
        <v/>
      </c>
      <c r="G72" t="s">
        <v>938</v>
      </c>
      <c r="H72" t="str">
        <f>IFERROR(INDEX('M03-S06'!$BC$18:$BC$199,2*(ROWS($H$68:H72)-1)+1),"")</f>
        <v/>
      </c>
      <c r="I72" s="171"/>
      <c r="J72" s="182"/>
      <c r="K72" s="182"/>
      <c r="L72" s="51" t="str">
        <f>IFERROR(INDEX('M03-S06'!$BD$18:$BD$199,2*(ROWS($L$68:L72)-1)+1),"")</f>
        <v/>
      </c>
      <c r="M72" s="51">
        <f>IFERROR(INDEX('M03-S06'!$AE$18:$AE$199,2*(ROWS($M$68:M72)-1)+1),"")</f>
        <v>0</v>
      </c>
      <c r="N72" s="171"/>
      <c r="O72">
        <f>IFERROR(INDEX('M03-S06'!$C$18:$C$199,2*(ROWS(O$68:O72)-1)+1),"")</f>
        <v>0</v>
      </c>
      <c r="P72" s="171"/>
      <c r="Q72">
        <f>IFERROR(INDEX('M03-S06'!$AA$18:$AA$199,2*(ROWS(Q$68:Q72)-1)+1),"")</f>
        <v>0</v>
      </c>
      <c r="S72" t="str">
        <f>IFERROR(INDEX('M03-S06'!$AX$18:$AX$199,2*(ROWS(S$68:S72)-1)+1),"")</f>
        <v/>
      </c>
      <c r="T72" s="545" t="str">
        <f>IFERROR(ROUND(INDEX('M03-S06'!$AY$18:$AY$199,2*(ROWS(T$68:T72)-1)+1),3),"")</f>
        <v/>
      </c>
      <c r="U72" s="545" t="str">
        <f>IFERROR(ROUND(INDEX('M03-S06'!$AZ$18:$AZ$199,2*(ROWS(U$68:U72)-1)+1),3),"")</f>
        <v/>
      </c>
      <c r="V72" s="184"/>
      <c r="W72" s="184"/>
      <c r="X72" s="184"/>
      <c r="Y72" s="184"/>
      <c r="Z72" s="184"/>
      <c r="AA72" s="9" t="str" cm="1">
        <f t="array" ref="AA72">IFERROR(ROUND(INDEX('M03-S06'!$AR$18:$AR$199,2*(ROWS(AA$68:AA72)-1)+1), 2),"")</f>
        <v/>
      </c>
      <c r="AB72" s="9" t="str" cm="1">
        <f t="array" ref="AB72">_xlfn.LET(_xlpm.ROWS, 2*(ROWS(AB$68:AB72)-1)+1,IFERROR(INDEX('M03-S06'!$AR$18:$AR$199, _xlpm.ROWS)-INDEX('M03-S06'!$BS$18:$BS$199, _xlpm.ROWS),""))</f>
        <v/>
      </c>
      <c r="AC72" s="9">
        <f>IFERROR(ROUND(INDEX('M03-S06'!$AI$18:$AI$199,2*(ROWS(AC$68:AC72)-1)+1),2),"")</f>
        <v>0</v>
      </c>
      <c r="AD72" s="9">
        <f>IFERROR(ROUND(INDEX('M03-S06'!$AK$18:$AK$199,2*(ROWS(AD$68:AD72)-1)+1),2),"")</f>
        <v>0</v>
      </c>
      <c r="AE72" s="9" t="str">
        <f>IFERROR(ROUND(INDEX('M03-S06'!$BL$18:$BL$199,2*(ROWS(AE$68:AE72)-1)+1),2),"")</f>
        <v/>
      </c>
      <c r="AF72" t="s">
        <v>84</v>
      </c>
      <c r="AG72" t="str">
        <f>IFERROR(INDEX(STDCOMPRESS[Incremental Measure Cost ($/Unit)], MATCH(C72, STDCOMPRESS[Measure Number], 0))*U72, "")</f>
        <v/>
      </c>
      <c r="AH72" s="184"/>
      <c r="AI72" s="32" t="str">
        <f>IFERROR(ROUND(INDEX('M03-S06'!$BH$18:$BH$199,2*(ROWS(AI$68:AI72)-1)+1),4),"")</f>
        <v/>
      </c>
      <c r="AJ72" s="32">
        <f>IFERROR(ROUND(INDEX('M03-S06'!$BE$18:$BE$199,2*(ROWS(AJ$68:AJ72)-1)+1),4),"")</f>
        <v>0</v>
      </c>
      <c r="AK72" s="32" t="str">
        <f>IFERROR(ROUND(INDEX('M03-S06'!$BI$18:$BI$199,2*(ROWS(AK$68:AK72)-1)+1),4),"")</f>
        <v/>
      </c>
      <c r="AL72" s="32">
        <f>IFERROR(ROUND(INDEX('M03-S06'!$BF$18:$BF$199,2*(ROWS(AL$68:AL72)-1)+1),4),"")</f>
        <v>0</v>
      </c>
      <c r="AM72" s="32">
        <f>IFERROR(ROUND(INDEX('M03-S06'!$BA$18:$BA$199,2*(ROWS(AM$68:AM72)-1)+1),4),"")</f>
        <v>0</v>
      </c>
      <c r="AN72" s="32">
        <f>IFERROR(ROUND(INDEX('M03-S06'!$BB$18:$BB$199,2*(ROWS(AN$68:AN72)-1)+1),4),"")</f>
        <v>0</v>
      </c>
      <c r="AO72" s="32"/>
      <c r="AP72" s="182"/>
      <c r="AQ72" s="182"/>
      <c r="AR72" s="182"/>
      <c r="AS72" s="171"/>
      <c r="AT72" s="171"/>
      <c r="AU72" s="171"/>
      <c r="AV72" s="190"/>
      <c r="AW72" s="190"/>
      <c r="AX72" s="184"/>
      <c r="AY72" s="184"/>
      <c r="AZ72" s="191"/>
      <c r="BA72" s="191"/>
      <c r="BB72" s="171"/>
    </row>
    <row r="73" spans="1:54">
      <c r="A73" s="10">
        <f t="shared" si="6"/>
        <v>0</v>
      </c>
      <c r="B73" t="str">
        <f t="shared" si="7"/>
        <v/>
      </c>
      <c r="C73" t="str" cm="1">
        <f t="array" ref="C73">IFERROR(_xlfn.VALUETOTEXT(INDEX('M03-S06'!$BW$18:$BW$199,2*(ROWS($C$68:C73)-1)+1)),"")</f>
        <v/>
      </c>
      <c r="D73">
        <f>IFERROR(INDEX('M03-S06'!$B$18:$B$199,2*(ROWS(D$68:D73)-1)+1),"")</f>
        <v>6</v>
      </c>
      <c r="E73" s="51" t="str" cm="1">
        <f t="array" ref="E73">IFERROR(_xlfn.VALUETOTEXT(INDEX('M03-S06'!$BX$18:$BX$199,2*(ROWS($E$68:E73)-1)+1)),"")</f>
        <v/>
      </c>
      <c r="F73" t="str" cm="1">
        <f t="array" ref="F73">IF(C73&lt;&gt;"", _xlfn.SWITCH(Program_Banner, "Small Business / Non-Profit", "Hard-To-Reach Business", "Business Energy Savings", "Whole Business Efficiency", ""), "")</f>
        <v/>
      </c>
      <c r="G73" t="s">
        <v>938</v>
      </c>
      <c r="H73" t="str">
        <f>IFERROR(INDEX('M03-S06'!$BC$18:$BC$199,2*(ROWS($H$68:H73)-1)+1),"")</f>
        <v/>
      </c>
      <c r="I73" s="171"/>
      <c r="J73" s="182"/>
      <c r="K73" s="182"/>
      <c r="L73" s="51" t="str">
        <f>IFERROR(INDEX('M03-S06'!$BD$18:$BD$199,2*(ROWS($L$68:L73)-1)+1),"")</f>
        <v/>
      </c>
      <c r="M73" s="51">
        <f>IFERROR(INDEX('M03-S06'!$AE$18:$AE$199,2*(ROWS($M$68:M73)-1)+1),"")</f>
        <v>0</v>
      </c>
      <c r="N73" s="171"/>
      <c r="O73">
        <f>IFERROR(INDEX('M03-S06'!$C$18:$C$199,2*(ROWS(O$68:O73)-1)+1),"")</f>
        <v>0</v>
      </c>
      <c r="P73" s="171"/>
      <c r="Q73">
        <f>IFERROR(INDEX('M03-S06'!$AA$18:$AA$199,2*(ROWS(Q$68:Q73)-1)+1),"")</f>
        <v>0</v>
      </c>
      <c r="S73" t="str">
        <f>IFERROR(INDEX('M03-S06'!$AX$18:$AX$199,2*(ROWS(S$68:S73)-1)+1),"")</f>
        <v/>
      </c>
      <c r="T73" s="545" t="str">
        <f>IFERROR(ROUND(INDEX('M03-S06'!$AY$18:$AY$199,2*(ROWS(T$68:T73)-1)+1),3),"")</f>
        <v/>
      </c>
      <c r="U73" s="545" t="str">
        <f>IFERROR(ROUND(INDEX('M03-S06'!$AZ$18:$AZ$199,2*(ROWS(U$68:U73)-1)+1),3),"")</f>
        <v/>
      </c>
      <c r="V73" s="184"/>
      <c r="W73" s="184"/>
      <c r="X73" s="184"/>
      <c r="Y73" s="184"/>
      <c r="Z73" s="184"/>
      <c r="AA73" s="9" t="str" cm="1">
        <f t="array" ref="AA73">IFERROR(ROUND(INDEX('M03-S06'!$AR$18:$AR$199,2*(ROWS(AA$68:AA73)-1)+1), 2),"")</f>
        <v/>
      </c>
      <c r="AB73" s="9" t="str" cm="1">
        <f t="array" ref="AB73">_xlfn.LET(_xlpm.ROWS, 2*(ROWS(AB$68:AB73)-1)+1,IFERROR(INDEX('M03-S06'!$AR$18:$AR$199, _xlpm.ROWS)-INDEX('M03-S06'!$BS$18:$BS$199, _xlpm.ROWS),""))</f>
        <v/>
      </c>
      <c r="AC73" s="9">
        <f>IFERROR(ROUND(INDEX('M03-S06'!$AI$18:$AI$199,2*(ROWS(AC$68:AC73)-1)+1),2),"")</f>
        <v>0</v>
      </c>
      <c r="AD73" s="9">
        <f>IFERROR(ROUND(INDEX('M03-S06'!$AK$18:$AK$199,2*(ROWS(AD$68:AD73)-1)+1),2),"")</f>
        <v>0</v>
      </c>
      <c r="AE73" s="9" t="str">
        <f>IFERROR(ROUND(INDEX('M03-S06'!$BL$18:$BL$199,2*(ROWS(AE$68:AE73)-1)+1),2),"")</f>
        <v/>
      </c>
      <c r="AF73" t="s">
        <v>84</v>
      </c>
      <c r="AG73" t="str">
        <f>IFERROR(INDEX(STDCOMPRESS[Incremental Measure Cost ($/Unit)], MATCH(C73, STDCOMPRESS[Measure Number], 0))*U73, "")</f>
        <v/>
      </c>
      <c r="AH73" s="184"/>
      <c r="AI73" s="32" t="str">
        <f>IFERROR(ROUND(INDEX('M03-S06'!$BH$18:$BH$199,2*(ROWS(AI$68:AI73)-1)+1),4),"")</f>
        <v/>
      </c>
      <c r="AJ73" s="32">
        <f>IFERROR(ROUND(INDEX('M03-S06'!$BE$18:$BE$199,2*(ROWS(AJ$68:AJ73)-1)+1),4),"")</f>
        <v>0</v>
      </c>
      <c r="AK73" s="32" t="str">
        <f>IFERROR(ROUND(INDEX('M03-S06'!$BI$18:$BI$199,2*(ROWS(AK$68:AK73)-1)+1),4),"")</f>
        <v/>
      </c>
      <c r="AL73" s="32">
        <f>IFERROR(ROUND(INDEX('M03-S06'!$BF$18:$BF$199,2*(ROWS(AL$68:AL73)-1)+1),4),"")</f>
        <v>0</v>
      </c>
      <c r="AM73" s="32">
        <f>IFERROR(ROUND(INDEX('M03-S06'!$BA$18:$BA$199,2*(ROWS(AM$68:AM73)-1)+1),4),"")</f>
        <v>0</v>
      </c>
      <c r="AN73" s="32">
        <f>IFERROR(ROUND(INDEX('M03-S06'!$BB$18:$BB$199,2*(ROWS(AN$68:AN73)-1)+1),4),"")</f>
        <v>0</v>
      </c>
      <c r="AO73" s="32"/>
      <c r="AP73" s="182"/>
      <c r="AQ73" s="182"/>
      <c r="AR73" s="182"/>
      <c r="AS73" s="171"/>
      <c r="AT73" s="171"/>
      <c r="AU73" s="171"/>
      <c r="AV73" s="190"/>
      <c r="AW73" s="190"/>
      <c r="AX73" s="184"/>
      <c r="AY73" s="184"/>
      <c r="AZ73" s="191"/>
      <c r="BA73" s="191"/>
      <c r="BB73" s="171"/>
    </row>
    <row r="74" spans="1:54">
      <c r="A74" s="10">
        <f t="shared" si="6"/>
        <v>0</v>
      </c>
      <c r="B74" t="str">
        <f t="shared" si="7"/>
        <v/>
      </c>
      <c r="C74" t="str" cm="1">
        <f t="array" ref="C74">IFERROR(_xlfn.VALUETOTEXT(INDEX('M03-S06'!$BW$18:$BW$199,2*(ROWS($C$68:C74)-1)+1)),"")</f>
        <v/>
      </c>
      <c r="D74">
        <f>IFERROR(INDEX('M03-S06'!$B$18:$B$199,2*(ROWS(D$68:D74)-1)+1),"")</f>
        <v>7</v>
      </c>
      <c r="E74" s="51" t="str" cm="1">
        <f t="array" ref="E74">IFERROR(_xlfn.VALUETOTEXT(INDEX('M03-S06'!$BX$18:$BX$199,2*(ROWS($E$68:E74)-1)+1)),"")</f>
        <v/>
      </c>
      <c r="F74" t="str" cm="1">
        <f t="array" ref="F74">IF(C74&lt;&gt;"", _xlfn.SWITCH(Program_Banner, "Small Business / Non-Profit", "Hard-To-Reach Business", "Business Energy Savings", "Whole Business Efficiency", ""), "")</f>
        <v/>
      </c>
      <c r="G74" t="s">
        <v>938</v>
      </c>
      <c r="H74" t="str">
        <f>IFERROR(INDEX('M03-S06'!$BC$18:$BC$199,2*(ROWS($H$68:H74)-1)+1),"")</f>
        <v/>
      </c>
      <c r="I74" s="171"/>
      <c r="J74" s="182"/>
      <c r="K74" s="182"/>
      <c r="L74" s="51" t="str">
        <f>IFERROR(INDEX('M03-S06'!$BD$18:$BD$199,2*(ROWS($L$68:L74)-1)+1),"")</f>
        <v/>
      </c>
      <c r="M74" s="51">
        <f>IFERROR(INDEX('M03-S06'!$AE$18:$AE$199,2*(ROWS($M$68:M74)-1)+1),"")</f>
        <v>0</v>
      </c>
      <c r="N74" s="171"/>
      <c r="O74">
        <f>IFERROR(INDEX('M03-S06'!$C$18:$C$199,2*(ROWS(O$68:O74)-1)+1),"")</f>
        <v>0</v>
      </c>
      <c r="P74" s="171"/>
      <c r="Q74">
        <f>IFERROR(INDEX('M03-S06'!$AA$18:$AA$199,2*(ROWS(Q$68:Q74)-1)+1),"")</f>
        <v>0</v>
      </c>
      <c r="S74" t="str">
        <f>IFERROR(INDEX('M03-S06'!$AX$18:$AX$199,2*(ROWS(S$68:S74)-1)+1),"")</f>
        <v/>
      </c>
      <c r="T74" s="545" t="str">
        <f>IFERROR(ROUND(INDEX('M03-S06'!$AY$18:$AY$199,2*(ROWS(T$68:T74)-1)+1),3),"")</f>
        <v/>
      </c>
      <c r="U74" s="545" t="str">
        <f>IFERROR(ROUND(INDEX('M03-S06'!$AZ$18:$AZ$199,2*(ROWS(U$68:U74)-1)+1),3),"")</f>
        <v/>
      </c>
      <c r="V74" s="184"/>
      <c r="W74" s="184"/>
      <c r="X74" s="184"/>
      <c r="Y74" s="184"/>
      <c r="Z74" s="184"/>
      <c r="AA74" s="9" t="str" cm="1">
        <f t="array" ref="AA74">IFERROR(ROUND(INDEX('M03-S06'!$AR$18:$AR$199,2*(ROWS(AA$68:AA74)-1)+1), 2),"")</f>
        <v/>
      </c>
      <c r="AB74" s="9" t="str" cm="1">
        <f t="array" ref="AB74">_xlfn.LET(_xlpm.ROWS, 2*(ROWS(AB$68:AB74)-1)+1,IFERROR(INDEX('M03-S06'!$AR$18:$AR$199, _xlpm.ROWS)-INDEX('M03-S06'!$BS$18:$BS$199, _xlpm.ROWS),""))</f>
        <v/>
      </c>
      <c r="AC74" s="9">
        <f>IFERROR(ROUND(INDEX('M03-S06'!$AI$18:$AI$199,2*(ROWS(AC$68:AC74)-1)+1),2),"")</f>
        <v>0</v>
      </c>
      <c r="AD74" s="9">
        <f>IFERROR(ROUND(INDEX('M03-S06'!$AK$18:$AK$199,2*(ROWS(AD$68:AD74)-1)+1),2),"")</f>
        <v>0</v>
      </c>
      <c r="AE74" s="9" t="str">
        <f>IFERROR(ROUND(INDEX('M03-S06'!$BL$18:$BL$199,2*(ROWS(AE$68:AE74)-1)+1),2),"")</f>
        <v/>
      </c>
      <c r="AF74" t="s">
        <v>84</v>
      </c>
      <c r="AG74" t="str">
        <f>IFERROR(INDEX(STDCOMPRESS[Incremental Measure Cost ($/Unit)], MATCH(C74, STDCOMPRESS[Measure Number], 0))*U74, "")</f>
        <v/>
      </c>
      <c r="AH74" s="184"/>
      <c r="AI74" s="32" t="str">
        <f>IFERROR(ROUND(INDEX('M03-S06'!$BH$18:$BH$199,2*(ROWS(AI$68:AI74)-1)+1),4),"")</f>
        <v/>
      </c>
      <c r="AJ74" s="32">
        <f>IFERROR(ROUND(INDEX('M03-S06'!$BE$18:$BE$199,2*(ROWS(AJ$68:AJ74)-1)+1),4),"")</f>
        <v>0</v>
      </c>
      <c r="AK74" s="32" t="str">
        <f>IFERROR(ROUND(INDEX('M03-S06'!$BI$18:$BI$199,2*(ROWS(AK$68:AK74)-1)+1),4),"")</f>
        <v/>
      </c>
      <c r="AL74" s="32">
        <f>IFERROR(ROUND(INDEX('M03-S06'!$BF$18:$BF$199,2*(ROWS(AL$68:AL74)-1)+1),4),"")</f>
        <v>0</v>
      </c>
      <c r="AM74" s="32">
        <f>IFERROR(ROUND(INDEX('M03-S06'!$BA$18:$BA$199,2*(ROWS(AM$68:AM74)-1)+1),4),"")</f>
        <v>0</v>
      </c>
      <c r="AN74" s="32">
        <f>IFERROR(ROUND(INDEX('M03-S06'!$BB$18:$BB$199,2*(ROWS(AN$68:AN74)-1)+1),4),"")</f>
        <v>0</v>
      </c>
      <c r="AO74" s="32"/>
      <c r="AP74" s="182"/>
      <c r="AQ74" s="182"/>
      <c r="AR74" s="182"/>
      <c r="AS74" s="171"/>
      <c r="AT74" s="171"/>
      <c r="AU74" s="171"/>
      <c r="AV74" s="190"/>
      <c r="AW74" s="190"/>
      <c r="AX74" s="184"/>
      <c r="AY74" s="184"/>
      <c r="AZ74" s="191"/>
      <c r="BA74" s="191"/>
      <c r="BB74" s="171"/>
    </row>
    <row r="75" spans="1:54">
      <c r="A75" s="10">
        <f t="shared" si="6"/>
        <v>0</v>
      </c>
      <c r="B75" t="str">
        <f t="shared" si="7"/>
        <v/>
      </c>
      <c r="C75" t="str" cm="1">
        <f t="array" ref="C75">IFERROR(_xlfn.VALUETOTEXT(INDEX('M03-S06'!$BW$18:$BW$199,2*(ROWS($C$68:C75)-1)+1)),"")</f>
        <v/>
      </c>
      <c r="D75">
        <f>IFERROR(INDEX('M03-S06'!$B$18:$B$199,2*(ROWS(D$68:D75)-1)+1),"")</f>
        <v>8</v>
      </c>
      <c r="E75" s="51" t="str" cm="1">
        <f t="array" ref="E75">IFERROR(_xlfn.VALUETOTEXT(INDEX('M03-S06'!$BX$18:$BX$199,2*(ROWS($E$68:E75)-1)+1)),"")</f>
        <v/>
      </c>
      <c r="F75" t="str" cm="1">
        <f t="array" ref="F75">IF(C75&lt;&gt;"", _xlfn.SWITCH(Program_Banner, "Small Business / Non-Profit", "Hard-To-Reach Business", "Business Energy Savings", "Whole Business Efficiency", ""), "")</f>
        <v/>
      </c>
      <c r="G75" t="s">
        <v>938</v>
      </c>
      <c r="H75" t="str">
        <f>IFERROR(INDEX('M03-S06'!$BC$18:$BC$199,2*(ROWS($H$68:H75)-1)+1),"")</f>
        <v/>
      </c>
      <c r="I75" s="171"/>
      <c r="J75" s="182"/>
      <c r="K75" s="182"/>
      <c r="L75" s="51" t="str">
        <f>IFERROR(INDEX('M03-S06'!$BD$18:$BD$199,2*(ROWS($L$68:L75)-1)+1),"")</f>
        <v/>
      </c>
      <c r="M75" s="51">
        <f>IFERROR(INDEX('M03-S06'!$AE$18:$AE$199,2*(ROWS($M$68:M75)-1)+1),"")</f>
        <v>0</v>
      </c>
      <c r="N75" s="171"/>
      <c r="O75">
        <f>IFERROR(INDEX('M03-S06'!$C$18:$C$199,2*(ROWS(O$68:O75)-1)+1),"")</f>
        <v>0</v>
      </c>
      <c r="P75" s="171"/>
      <c r="Q75">
        <f>IFERROR(INDEX('M03-S06'!$AA$18:$AA$199,2*(ROWS(Q$68:Q75)-1)+1),"")</f>
        <v>0</v>
      </c>
      <c r="S75" t="str">
        <f>IFERROR(INDEX('M03-S06'!$AX$18:$AX$199,2*(ROWS(S$68:S75)-1)+1),"")</f>
        <v/>
      </c>
      <c r="T75" s="545" t="str">
        <f>IFERROR(ROUND(INDEX('M03-S06'!$AY$18:$AY$199,2*(ROWS(T$68:T75)-1)+1),3),"")</f>
        <v/>
      </c>
      <c r="U75" s="545" t="str">
        <f>IFERROR(ROUND(INDEX('M03-S06'!$AZ$18:$AZ$199,2*(ROWS(U$68:U75)-1)+1),3),"")</f>
        <v/>
      </c>
      <c r="V75" s="184"/>
      <c r="W75" s="184"/>
      <c r="X75" s="184"/>
      <c r="Y75" s="184"/>
      <c r="Z75" s="184"/>
      <c r="AA75" s="9" t="str" cm="1">
        <f t="array" ref="AA75">IFERROR(ROUND(INDEX('M03-S06'!$AR$18:$AR$199,2*(ROWS(AA$68:AA75)-1)+1), 2),"")</f>
        <v/>
      </c>
      <c r="AB75" s="9" t="str" cm="1">
        <f t="array" ref="AB75">_xlfn.LET(_xlpm.ROWS, 2*(ROWS(AB$68:AB75)-1)+1,IFERROR(INDEX('M03-S06'!$AR$18:$AR$199, _xlpm.ROWS)-INDEX('M03-S06'!$BS$18:$BS$199, _xlpm.ROWS),""))</f>
        <v/>
      </c>
      <c r="AC75" s="9">
        <f>IFERROR(ROUND(INDEX('M03-S06'!$AI$18:$AI$199,2*(ROWS(AC$68:AC75)-1)+1),2),"")</f>
        <v>0</v>
      </c>
      <c r="AD75" s="9">
        <f>IFERROR(ROUND(INDEX('M03-S06'!$AK$18:$AK$199,2*(ROWS(AD$68:AD75)-1)+1),2),"")</f>
        <v>0</v>
      </c>
      <c r="AE75" s="9" t="str">
        <f>IFERROR(ROUND(INDEX('M03-S06'!$BL$18:$BL$199,2*(ROWS(AE$68:AE75)-1)+1),2),"")</f>
        <v/>
      </c>
      <c r="AF75" t="s">
        <v>84</v>
      </c>
      <c r="AG75" t="str">
        <f>IFERROR(INDEX(STDCOMPRESS[Incremental Measure Cost ($/Unit)], MATCH(C75, STDCOMPRESS[Measure Number], 0))*U75, "")</f>
        <v/>
      </c>
      <c r="AH75" s="184"/>
      <c r="AI75" s="32" t="str">
        <f>IFERROR(ROUND(INDEX('M03-S06'!$BH$18:$BH$199,2*(ROWS(AI$68:AI75)-1)+1),4),"")</f>
        <v/>
      </c>
      <c r="AJ75" s="32">
        <f>IFERROR(ROUND(INDEX('M03-S06'!$BE$18:$BE$199,2*(ROWS(AJ$68:AJ75)-1)+1),4),"")</f>
        <v>0</v>
      </c>
      <c r="AK75" s="32" t="str">
        <f>IFERROR(ROUND(INDEX('M03-S06'!$BI$18:$BI$199,2*(ROWS(AK$68:AK75)-1)+1),4),"")</f>
        <v/>
      </c>
      <c r="AL75" s="32">
        <f>IFERROR(ROUND(INDEX('M03-S06'!$BF$18:$BF$199,2*(ROWS(AL$68:AL75)-1)+1),4),"")</f>
        <v>0</v>
      </c>
      <c r="AM75" s="32">
        <f>IFERROR(ROUND(INDEX('M03-S06'!$BA$18:$BA$199,2*(ROWS(AM$68:AM75)-1)+1),4),"")</f>
        <v>0</v>
      </c>
      <c r="AN75" s="32">
        <f>IFERROR(ROUND(INDEX('M03-S06'!$BB$18:$BB$199,2*(ROWS(AN$68:AN75)-1)+1),4),"")</f>
        <v>0</v>
      </c>
      <c r="AO75" s="32"/>
      <c r="AP75" s="182"/>
      <c r="AQ75" s="182"/>
      <c r="AR75" s="182"/>
      <c r="AS75" s="171"/>
      <c r="AT75" s="171"/>
      <c r="AU75" s="171"/>
      <c r="AV75" s="190"/>
      <c r="AW75" s="190"/>
      <c r="AX75" s="184"/>
      <c r="AY75" s="184"/>
      <c r="AZ75" s="191"/>
      <c r="BA75" s="191"/>
      <c r="BB75" s="171"/>
    </row>
    <row r="76" spans="1:54">
      <c r="A76" s="10">
        <f t="shared" si="6"/>
        <v>0</v>
      </c>
      <c r="B76" t="str">
        <f t="shared" si="7"/>
        <v/>
      </c>
      <c r="C76" t="str" cm="1">
        <f t="array" ref="C76">IFERROR(_xlfn.VALUETOTEXT(INDEX('M03-S06'!$BW$18:$BW$199,2*(ROWS($C$68:C76)-1)+1)),"")</f>
        <v/>
      </c>
      <c r="D76">
        <f>IFERROR(INDEX('M03-S06'!$B$18:$B$199,2*(ROWS(D$68:D76)-1)+1),"")</f>
        <v>9</v>
      </c>
      <c r="E76" s="51" t="str" cm="1">
        <f t="array" ref="E76">IFERROR(_xlfn.VALUETOTEXT(INDEX('M03-S06'!$BX$18:$BX$199,2*(ROWS($E$68:E76)-1)+1)),"")</f>
        <v/>
      </c>
      <c r="F76" t="str" cm="1">
        <f t="array" ref="F76">IF(C76&lt;&gt;"", _xlfn.SWITCH(Program_Banner, "Small Business / Non-Profit", "Hard-To-Reach Business", "Business Energy Savings", "Whole Business Efficiency", ""), "")</f>
        <v/>
      </c>
      <c r="G76" t="s">
        <v>938</v>
      </c>
      <c r="H76" t="str">
        <f>IFERROR(INDEX('M03-S06'!$BC$18:$BC$199,2*(ROWS($H$68:H76)-1)+1),"")</f>
        <v/>
      </c>
      <c r="I76" s="171"/>
      <c r="J76" s="182"/>
      <c r="K76" s="182"/>
      <c r="L76" s="51" t="str">
        <f>IFERROR(INDEX('M03-S06'!$BD$18:$BD$199,2*(ROWS($L$68:L76)-1)+1),"")</f>
        <v/>
      </c>
      <c r="M76" s="51">
        <f>IFERROR(INDEX('M03-S06'!$AE$18:$AE$199,2*(ROWS($M$68:M76)-1)+1),"")</f>
        <v>0</v>
      </c>
      <c r="N76" s="171"/>
      <c r="O76">
        <f>IFERROR(INDEX('M03-S06'!$C$18:$C$199,2*(ROWS(O$68:O76)-1)+1),"")</f>
        <v>0</v>
      </c>
      <c r="P76" s="171"/>
      <c r="Q76">
        <f>IFERROR(INDEX('M03-S06'!$AA$18:$AA$199,2*(ROWS(Q$68:Q76)-1)+1),"")</f>
        <v>0</v>
      </c>
      <c r="S76" t="str">
        <f>IFERROR(INDEX('M03-S06'!$AX$18:$AX$199,2*(ROWS(S$68:S76)-1)+1),"")</f>
        <v/>
      </c>
      <c r="T76" s="545" t="str">
        <f>IFERROR(ROUND(INDEX('M03-S06'!$AY$18:$AY$199,2*(ROWS(T$68:T76)-1)+1),3),"")</f>
        <v/>
      </c>
      <c r="U76" s="545" t="str">
        <f>IFERROR(ROUND(INDEX('M03-S06'!$AZ$18:$AZ$199,2*(ROWS(U$68:U76)-1)+1),3),"")</f>
        <v/>
      </c>
      <c r="V76" s="184"/>
      <c r="W76" s="184"/>
      <c r="X76" s="184"/>
      <c r="Y76" s="184"/>
      <c r="Z76" s="184"/>
      <c r="AA76" s="9" t="str" cm="1">
        <f t="array" ref="AA76">IFERROR(ROUND(INDEX('M03-S06'!$AR$18:$AR$199,2*(ROWS(AA$68:AA76)-1)+1), 2),"")</f>
        <v/>
      </c>
      <c r="AB76" s="9" t="str" cm="1">
        <f t="array" ref="AB76">_xlfn.LET(_xlpm.ROWS, 2*(ROWS(AB$68:AB76)-1)+1,IFERROR(INDEX('M03-S06'!$AR$18:$AR$199, _xlpm.ROWS)-INDEX('M03-S06'!$BS$18:$BS$199, _xlpm.ROWS),""))</f>
        <v/>
      </c>
      <c r="AC76" s="9">
        <f>IFERROR(ROUND(INDEX('M03-S06'!$AI$18:$AI$199,2*(ROWS(AC$68:AC76)-1)+1),2),"")</f>
        <v>0</v>
      </c>
      <c r="AD76" s="9">
        <f>IFERROR(ROUND(INDEX('M03-S06'!$AK$18:$AK$199,2*(ROWS(AD$68:AD76)-1)+1),2),"")</f>
        <v>0</v>
      </c>
      <c r="AE76" s="9" t="str">
        <f>IFERROR(ROUND(INDEX('M03-S06'!$BL$18:$BL$199,2*(ROWS(AE$68:AE76)-1)+1),2),"")</f>
        <v/>
      </c>
      <c r="AF76" t="s">
        <v>84</v>
      </c>
      <c r="AG76" t="str">
        <f>IFERROR(INDEX(STDCOMPRESS[Incremental Measure Cost ($/Unit)], MATCH(C76, STDCOMPRESS[Measure Number], 0))*U76, "")</f>
        <v/>
      </c>
      <c r="AH76" s="184"/>
      <c r="AI76" s="32" t="str">
        <f>IFERROR(ROUND(INDEX('M03-S06'!$BH$18:$BH$199,2*(ROWS(AI$68:AI76)-1)+1),4),"")</f>
        <v/>
      </c>
      <c r="AJ76" s="32">
        <f>IFERROR(ROUND(INDEX('M03-S06'!$BE$18:$BE$199,2*(ROWS(AJ$68:AJ76)-1)+1),4),"")</f>
        <v>0</v>
      </c>
      <c r="AK76" s="32" t="str">
        <f>IFERROR(ROUND(INDEX('M03-S06'!$BI$18:$BI$199,2*(ROWS(AK$68:AK76)-1)+1),4),"")</f>
        <v/>
      </c>
      <c r="AL76" s="32">
        <f>IFERROR(ROUND(INDEX('M03-S06'!$BF$18:$BF$199,2*(ROWS(AL$68:AL76)-1)+1),4),"")</f>
        <v>0</v>
      </c>
      <c r="AM76" s="32">
        <f>IFERROR(ROUND(INDEX('M03-S06'!$BA$18:$BA$199,2*(ROWS(AM$68:AM76)-1)+1),4),"")</f>
        <v>0</v>
      </c>
      <c r="AN76" s="32">
        <f>IFERROR(ROUND(INDEX('M03-S06'!$BB$18:$BB$199,2*(ROWS(AN$68:AN76)-1)+1),4),"")</f>
        <v>0</v>
      </c>
      <c r="AO76" s="32"/>
      <c r="AP76" s="182"/>
      <c r="AQ76" s="182"/>
      <c r="AR76" s="182"/>
      <c r="AS76" s="171"/>
      <c r="AT76" s="171"/>
      <c r="AU76" s="171"/>
      <c r="AV76" s="190"/>
      <c r="AW76" s="190"/>
      <c r="AX76" s="184"/>
      <c r="AY76" s="184"/>
      <c r="AZ76" s="191"/>
      <c r="BA76" s="191"/>
      <c r="BB76" s="171"/>
    </row>
    <row r="77" spans="1:54">
      <c r="A77" s="10">
        <f t="shared" si="6"/>
        <v>0</v>
      </c>
      <c r="B77" t="str">
        <f t="shared" si="7"/>
        <v/>
      </c>
      <c r="C77" t="str" cm="1">
        <f t="array" ref="C77">IFERROR(_xlfn.VALUETOTEXT(INDEX('M03-S06'!$BW$18:$BW$199,2*(ROWS($C$68:C77)-1)+1)),"")</f>
        <v/>
      </c>
      <c r="D77">
        <f>IFERROR(INDEX('M03-S06'!$B$18:$B$199,2*(ROWS(D$68:D77)-1)+1),"")</f>
        <v>10</v>
      </c>
      <c r="E77" s="51" t="str" cm="1">
        <f t="array" ref="E77">IFERROR(_xlfn.VALUETOTEXT(INDEX('M03-S06'!$BX$18:$BX$199,2*(ROWS($E$68:E77)-1)+1)),"")</f>
        <v/>
      </c>
      <c r="F77" t="str" cm="1">
        <f t="array" ref="F77">IF(C77&lt;&gt;"", _xlfn.SWITCH(Program_Banner, "Small Business / Non-Profit", "Hard-To-Reach Business", "Business Energy Savings", "Whole Business Efficiency", ""), "")</f>
        <v/>
      </c>
      <c r="G77" t="s">
        <v>938</v>
      </c>
      <c r="H77" t="str">
        <f>IFERROR(INDEX('M03-S06'!$BC$18:$BC$199,2*(ROWS($H$68:H77)-1)+1),"")</f>
        <v/>
      </c>
      <c r="I77" s="171"/>
      <c r="J77" s="182"/>
      <c r="K77" s="182"/>
      <c r="L77" s="51" t="str">
        <f>IFERROR(INDEX('M03-S06'!$BD$18:$BD$199,2*(ROWS($L$68:L77)-1)+1),"")</f>
        <v/>
      </c>
      <c r="M77" s="51">
        <f>IFERROR(INDEX('M03-S06'!$AE$18:$AE$199,2*(ROWS($M$68:M77)-1)+1),"")</f>
        <v>0</v>
      </c>
      <c r="N77" s="171"/>
      <c r="O77">
        <f>IFERROR(INDEX('M03-S06'!$C$18:$C$199,2*(ROWS(O$68:O77)-1)+1),"")</f>
        <v>0</v>
      </c>
      <c r="P77" s="171"/>
      <c r="Q77">
        <f>IFERROR(INDEX('M03-S06'!$AA$18:$AA$199,2*(ROWS(Q$68:Q77)-1)+1),"")</f>
        <v>0</v>
      </c>
      <c r="S77" t="str">
        <f>IFERROR(INDEX('M03-S06'!$AX$18:$AX$199,2*(ROWS(S$68:S77)-1)+1),"")</f>
        <v/>
      </c>
      <c r="T77" s="545" t="str">
        <f>IFERROR(ROUND(INDEX('M03-S06'!$AY$18:$AY$199,2*(ROWS(T$68:T77)-1)+1),3),"")</f>
        <v/>
      </c>
      <c r="U77" s="545" t="str">
        <f>IFERROR(ROUND(INDEX('M03-S06'!$AZ$18:$AZ$199,2*(ROWS(U$68:U77)-1)+1),3),"")</f>
        <v/>
      </c>
      <c r="V77" s="184"/>
      <c r="W77" s="184"/>
      <c r="X77" s="184"/>
      <c r="Y77" s="184"/>
      <c r="Z77" s="184"/>
      <c r="AA77" s="9" t="str" cm="1">
        <f t="array" ref="AA77">IFERROR(ROUND(INDEX('M03-S06'!$AR$18:$AR$199,2*(ROWS(AA$68:AA77)-1)+1), 2),"")</f>
        <v/>
      </c>
      <c r="AB77" s="9" t="str" cm="1">
        <f t="array" ref="AB77">_xlfn.LET(_xlpm.ROWS, 2*(ROWS(AB$68:AB77)-1)+1,IFERROR(INDEX('M03-S06'!$AR$18:$AR$199, _xlpm.ROWS)-INDEX('M03-S06'!$BS$18:$BS$199, _xlpm.ROWS),""))</f>
        <v/>
      </c>
      <c r="AC77" s="9">
        <f>IFERROR(ROUND(INDEX('M03-S06'!$AI$18:$AI$199,2*(ROWS(AC$68:AC77)-1)+1),2),"")</f>
        <v>0</v>
      </c>
      <c r="AD77" s="9">
        <f>IFERROR(ROUND(INDEX('M03-S06'!$AK$18:$AK$199,2*(ROWS(AD$68:AD77)-1)+1),2),"")</f>
        <v>0</v>
      </c>
      <c r="AE77" s="9" t="str">
        <f>IFERROR(ROUND(INDEX('M03-S06'!$BL$18:$BL$199,2*(ROWS(AE$68:AE77)-1)+1),2),"")</f>
        <v/>
      </c>
      <c r="AF77" t="s">
        <v>84</v>
      </c>
      <c r="AG77" t="str">
        <f>IFERROR(INDEX(STDCOMPRESS[Incremental Measure Cost ($/Unit)], MATCH(C77, STDCOMPRESS[Measure Number], 0))*U77, "")</f>
        <v/>
      </c>
      <c r="AH77" s="184"/>
      <c r="AI77" s="32" t="str">
        <f>IFERROR(ROUND(INDEX('M03-S06'!$BH$18:$BH$199,2*(ROWS(AI$68:AI77)-1)+1),4),"")</f>
        <v/>
      </c>
      <c r="AJ77" s="32">
        <f>IFERROR(ROUND(INDEX('M03-S06'!$BE$18:$BE$199,2*(ROWS(AJ$68:AJ77)-1)+1),4),"")</f>
        <v>0</v>
      </c>
      <c r="AK77" s="32" t="str">
        <f>IFERROR(ROUND(INDEX('M03-S06'!$BI$18:$BI$199,2*(ROWS(AK$68:AK77)-1)+1),4),"")</f>
        <v/>
      </c>
      <c r="AL77" s="32">
        <f>IFERROR(ROUND(INDEX('M03-S06'!$BF$18:$BF$199,2*(ROWS(AL$68:AL77)-1)+1),4),"")</f>
        <v>0</v>
      </c>
      <c r="AM77" s="32">
        <f>IFERROR(ROUND(INDEX('M03-S06'!$BA$18:$BA$199,2*(ROWS(AM$68:AM77)-1)+1),4),"")</f>
        <v>0</v>
      </c>
      <c r="AN77" s="32">
        <f>IFERROR(ROUND(INDEX('M03-S06'!$BB$18:$BB$199,2*(ROWS(AN$68:AN77)-1)+1),4),"")</f>
        <v>0</v>
      </c>
      <c r="AO77" s="32"/>
      <c r="AP77" s="182"/>
      <c r="AQ77" s="182"/>
      <c r="AR77" s="182"/>
      <c r="AS77" s="171"/>
      <c r="AT77" s="171"/>
      <c r="AU77" s="171"/>
      <c r="AV77" s="190"/>
      <c r="AW77" s="190"/>
      <c r="AX77" s="184"/>
      <c r="AY77" s="184"/>
      <c r="AZ77" s="191"/>
      <c r="BA77" s="191"/>
      <c r="BB77" s="171"/>
    </row>
    <row r="78" spans="1:54">
      <c r="A78" s="10">
        <f t="shared" si="6"/>
        <v>0</v>
      </c>
      <c r="B78" t="str">
        <f t="shared" si="7"/>
        <v/>
      </c>
      <c r="C78" t="str" cm="1">
        <f t="array" ref="C78">IFERROR(_xlfn.VALUETOTEXT(INDEX('M03-S06'!$BW$18:$BW$199,2*(ROWS($C$68:C78)-1)+1)),"")</f>
        <v/>
      </c>
      <c r="D78">
        <f>IFERROR(INDEX('M03-S06'!$B$18:$B$199,2*(ROWS(D$68:D78)-1)+1),"")</f>
        <v>0</v>
      </c>
      <c r="E78" s="51" t="str" cm="1">
        <f t="array" ref="E78">IFERROR(_xlfn.VALUETOTEXT(INDEX('M03-S06'!$BX$18:$BX$199,2*(ROWS($E$68:E78)-1)+1)),"")</f>
        <v/>
      </c>
      <c r="F78" t="str" cm="1">
        <f t="array" ref="F78">IF(C78&lt;&gt;"", _xlfn.SWITCH(Program_Banner, "Small Business / Non-Profit", "Hard-To-Reach Business", "Business Energy Savings", "Whole Business Efficiency", ""), "")</f>
        <v/>
      </c>
      <c r="G78" t="s">
        <v>938</v>
      </c>
      <c r="H78">
        <f>IFERROR(INDEX('M03-S06'!$BC$18:$BC$199,2*(ROWS($H$68:H78)-1)+1),"")</f>
        <v>0</v>
      </c>
      <c r="I78" s="171"/>
      <c r="J78" s="182"/>
      <c r="K78" s="182"/>
      <c r="L78" s="51">
        <f>IFERROR(INDEX('M03-S06'!$BD$18:$BD$199,2*(ROWS($L$68:L78)-1)+1),"")</f>
        <v>0</v>
      </c>
      <c r="M78" s="51">
        <f>IFERROR(INDEX('M03-S06'!$AE$18:$AE$199,2*(ROWS($M$68:M78)-1)+1),"")</f>
        <v>0</v>
      </c>
      <c r="N78" s="171"/>
      <c r="O78">
        <f>IFERROR(INDEX('M03-S06'!$C$18:$C$199,2*(ROWS(O$68:O78)-1)+1),"")</f>
        <v>0</v>
      </c>
      <c r="P78" s="171"/>
      <c r="Q78">
        <f>IFERROR(INDEX('M03-S06'!$AA$18:$AA$199,2*(ROWS(Q$68:Q78)-1)+1),"")</f>
        <v>0</v>
      </c>
      <c r="S78">
        <f>IFERROR(INDEX('M03-S06'!$AX$18:$AX$199,2*(ROWS(S$68:S78)-1)+1),"")</f>
        <v>0</v>
      </c>
      <c r="T78" s="545">
        <f>IFERROR(ROUND(INDEX('M03-S06'!$AY$18:$AY$199,2*(ROWS(T$68:T78)-1)+1),3),"")</f>
        <v>0</v>
      </c>
      <c r="U78" s="545">
        <f>IFERROR(ROUND(INDEX('M03-S06'!$AZ$18:$AZ$199,2*(ROWS(U$68:U78)-1)+1),3),"")</f>
        <v>0</v>
      </c>
      <c r="V78" s="184"/>
      <c r="W78" s="184"/>
      <c r="X78" s="184"/>
      <c r="Y78" s="184"/>
      <c r="Z78" s="184"/>
      <c r="AA78" s="9" cm="1">
        <f t="array" ref="AA78">IFERROR(ROUND(INDEX('M03-S06'!$AR$18:$AR$199,2*(ROWS(AA$68:AA78)-1)+1), 2),"")</f>
        <v>0</v>
      </c>
      <c r="AB78" s="9" cm="1">
        <f t="array" ref="AB78">_xlfn.LET(_xlpm.ROWS, 2*(ROWS(AB$68:AB78)-1)+1,IFERROR(INDEX('M03-S06'!$AR$18:$AR$199, _xlpm.ROWS)-INDEX('M03-S06'!$BS$18:$BS$199, _xlpm.ROWS),""))</f>
        <v>0</v>
      </c>
      <c r="AC78" s="9">
        <f>IFERROR(ROUND(INDEX('M03-S06'!$AI$18:$AI$199,2*(ROWS(AC$68:AC78)-1)+1),2),"")</f>
        <v>0</v>
      </c>
      <c r="AD78" s="9">
        <f>IFERROR(ROUND(INDEX('M03-S06'!$AK$18:$AK$199,2*(ROWS(AD$68:AD78)-1)+1),2),"")</f>
        <v>0</v>
      </c>
      <c r="AE78" s="9">
        <f>IFERROR(ROUND(INDEX('M03-S06'!$BL$18:$BL$199,2*(ROWS(AE$68:AE78)-1)+1),2),"")</f>
        <v>0</v>
      </c>
      <c r="AF78" t="s">
        <v>84</v>
      </c>
      <c r="AG78" t="str">
        <f>IFERROR(INDEX(STDCOMPRESS[Incremental Measure Cost ($/Unit)], MATCH(C78, STDCOMPRESS[Measure Number], 0))*U78, "")</f>
        <v/>
      </c>
      <c r="AH78" s="184"/>
      <c r="AI78" s="32">
        <f>IFERROR(ROUND(INDEX('M03-S06'!$BH$18:$BH$199,2*(ROWS(AI$68:AI78)-1)+1),4),"")</f>
        <v>0</v>
      </c>
      <c r="AJ78" s="32">
        <f>IFERROR(ROUND(INDEX('M03-S06'!$BE$18:$BE$199,2*(ROWS(AJ$68:AJ78)-1)+1),4),"")</f>
        <v>0</v>
      </c>
      <c r="AK78" s="32">
        <f>IFERROR(ROUND(INDEX('M03-S06'!$BI$18:$BI$199,2*(ROWS(AK$68:AK78)-1)+1),4),"")</f>
        <v>0</v>
      </c>
      <c r="AL78" s="32">
        <f>IFERROR(ROUND(INDEX('M03-S06'!$BF$18:$BF$199,2*(ROWS(AL$68:AL78)-1)+1),4),"")</f>
        <v>0</v>
      </c>
      <c r="AM78" s="32">
        <f>IFERROR(ROUND(INDEX('M03-S06'!$BA$18:$BA$199,2*(ROWS(AM$68:AM78)-1)+1),4),"")</f>
        <v>0</v>
      </c>
      <c r="AN78" s="32">
        <f>IFERROR(ROUND(INDEX('M03-S06'!$BB$18:$BB$199,2*(ROWS(AN$68:AN78)-1)+1),4),"")</f>
        <v>0</v>
      </c>
      <c r="AO78" s="32"/>
      <c r="AP78" s="182"/>
      <c r="AQ78" s="182"/>
      <c r="AR78" s="182"/>
      <c r="AS78" s="171"/>
      <c r="AT78" s="171"/>
      <c r="AU78" s="171"/>
      <c r="AV78" s="190"/>
      <c r="AW78" s="190"/>
      <c r="AX78" s="184"/>
      <c r="AY78" s="184"/>
      <c r="AZ78" s="191"/>
      <c r="BA78" s="191"/>
      <c r="BB78" s="171"/>
    </row>
    <row r="79" spans="1:54">
      <c r="A79" s="10">
        <f t="shared" si="6"/>
        <v>0</v>
      </c>
      <c r="B79" t="str">
        <f t="shared" si="7"/>
        <v/>
      </c>
      <c r="C79" t="str" cm="1">
        <f t="array" ref="C79">IFERROR(_xlfn.VALUETOTEXT(INDEX('M03-S06'!$BW$18:$BW$199,2*(ROWS($C$68:C79)-1)+1)),"")</f>
        <v/>
      </c>
      <c r="D79">
        <f>IFERROR(INDEX('M03-S06'!$B$18:$B$199,2*(ROWS(D$68:D79)-1)+1),"")</f>
        <v>0</v>
      </c>
      <c r="E79" s="51" t="str" cm="1">
        <f t="array" ref="E79">IFERROR(_xlfn.VALUETOTEXT(INDEX('M03-S06'!$BX$18:$BX$199,2*(ROWS($E$68:E79)-1)+1)),"")</f>
        <v/>
      </c>
      <c r="F79" t="str" cm="1">
        <f t="array" ref="F79">IF(C79&lt;&gt;"", _xlfn.SWITCH(Program_Banner, "Small Business / Non-Profit", "Hard-To-Reach Business", "Business Energy Savings", "Whole Business Efficiency", ""), "")</f>
        <v/>
      </c>
      <c r="G79" t="s">
        <v>938</v>
      </c>
      <c r="H79">
        <f>IFERROR(INDEX('M03-S06'!$BC$18:$BC$199,2*(ROWS($H$68:H79)-1)+1),"")</f>
        <v>0</v>
      </c>
      <c r="I79" s="171"/>
      <c r="J79" s="182"/>
      <c r="K79" s="182"/>
      <c r="L79" s="51">
        <f>IFERROR(INDEX('M03-S06'!$BD$18:$BD$199,2*(ROWS($L$68:L79)-1)+1),"")</f>
        <v>0</v>
      </c>
      <c r="M79" s="51">
        <f>IFERROR(INDEX('M03-S06'!$AE$18:$AE$199,2*(ROWS($M$68:M79)-1)+1),"")</f>
        <v>0</v>
      </c>
      <c r="N79" s="171"/>
      <c r="O79">
        <f>IFERROR(INDEX('M03-S06'!$C$18:$C$199,2*(ROWS(O$68:O79)-1)+1),"")</f>
        <v>0</v>
      </c>
      <c r="P79" s="171"/>
      <c r="Q79">
        <f>IFERROR(INDEX('M03-S06'!$AA$18:$AA$199,2*(ROWS(Q$68:Q79)-1)+1),"")</f>
        <v>0</v>
      </c>
      <c r="S79">
        <f>IFERROR(INDEX('M03-S06'!$AX$18:$AX$199,2*(ROWS(S$68:S79)-1)+1),"")</f>
        <v>0</v>
      </c>
      <c r="T79" s="545">
        <f>IFERROR(ROUND(INDEX('M03-S06'!$AY$18:$AY$199,2*(ROWS(T$68:T79)-1)+1),3),"")</f>
        <v>0</v>
      </c>
      <c r="U79" s="545">
        <f>IFERROR(ROUND(INDEX('M03-S06'!$AZ$18:$AZ$199,2*(ROWS(U$68:U79)-1)+1),3),"")</f>
        <v>0</v>
      </c>
      <c r="V79" s="184"/>
      <c r="W79" s="184"/>
      <c r="X79" s="184"/>
      <c r="Y79" s="184"/>
      <c r="Z79" s="184"/>
      <c r="AA79" s="9" cm="1">
        <f t="array" ref="AA79">IFERROR(ROUND(INDEX('M03-S06'!$AR$18:$AR$199,2*(ROWS(AA$68:AA79)-1)+1), 2),"")</f>
        <v>0</v>
      </c>
      <c r="AB79" s="9" cm="1">
        <f t="array" ref="AB79">_xlfn.LET(_xlpm.ROWS, 2*(ROWS(AB$68:AB79)-1)+1,IFERROR(INDEX('M03-S06'!$AR$18:$AR$199, _xlpm.ROWS)-INDEX('M03-S06'!$BS$18:$BS$199, _xlpm.ROWS),""))</f>
        <v>0</v>
      </c>
      <c r="AC79" s="9">
        <f>IFERROR(ROUND(INDEX('M03-S06'!$AI$18:$AI$199,2*(ROWS(AC$68:AC79)-1)+1),2),"")</f>
        <v>0</v>
      </c>
      <c r="AD79" s="9">
        <f>IFERROR(ROUND(INDEX('M03-S06'!$AK$18:$AK$199,2*(ROWS(AD$68:AD79)-1)+1),2),"")</f>
        <v>0</v>
      </c>
      <c r="AE79" s="9">
        <f>IFERROR(ROUND(INDEX('M03-S06'!$BL$18:$BL$199,2*(ROWS(AE$68:AE79)-1)+1),2),"")</f>
        <v>0</v>
      </c>
      <c r="AF79" t="s">
        <v>84</v>
      </c>
      <c r="AG79" t="str">
        <f>IFERROR(INDEX(STDCOMPRESS[Incremental Measure Cost ($/Unit)], MATCH(C79, STDCOMPRESS[Measure Number], 0))*U79, "")</f>
        <v/>
      </c>
      <c r="AH79" s="184"/>
      <c r="AI79" s="32">
        <f>IFERROR(ROUND(INDEX('M03-S06'!$BH$18:$BH$199,2*(ROWS(AI$68:AI79)-1)+1),4),"")</f>
        <v>0</v>
      </c>
      <c r="AJ79" s="32">
        <f>IFERROR(ROUND(INDEX('M03-S06'!$BE$18:$BE$199,2*(ROWS(AJ$68:AJ79)-1)+1),4),"")</f>
        <v>0</v>
      </c>
      <c r="AK79" s="32">
        <f>IFERROR(ROUND(INDEX('M03-S06'!$BI$18:$BI$199,2*(ROWS(AK$68:AK79)-1)+1),4),"")</f>
        <v>0</v>
      </c>
      <c r="AL79" s="32">
        <f>IFERROR(ROUND(INDEX('M03-S06'!$BF$18:$BF$199,2*(ROWS(AL$68:AL79)-1)+1),4),"")</f>
        <v>0</v>
      </c>
      <c r="AM79" s="32">
        <f>IFERROR(ROUND(INDEX('M03-S06'!$BA$18:$BA$199,2*(ROWS(AM$68:AM79)-1)+1),4),"")</f>
        <v>0</v>
      </c>
      <c r="AN79" s="32">
        <f>IFERROR(ROUND(INDEX('M03-S06'!$BB$18:$BB$199,2*(ROWS(AN$68:AN79)-1)+1),4),"")</f>
        <v>0</v>
      </c>
      <c r="AO79" s="32"/>
      <c r="AP79" s="182"/>
      <c r="AQ79" s="182"/>
      <c r="AR79" s="182"/>
      <c r="AS79" s="171"/>
      <c r="AT79" s="171"/>
      <c r="AU79" s="171"/>
      <c r="AV79" s="190"/>
      <c r="AW79" s="190"/>
      <c r="AX79" s="184"/>
      <c r="AY79" s="184"/>
      <c r="AZ79" s="191"/>
      <c r="BA79" s="191"/>
      <c r="BB79" s="171"/>
    </row>
    <row r="80" spans="1:54">
      <c r="A80" s="10">
        <f t="shared" si="6"/>
        <v>0</v>
      </c>
      <c r="B80" t="str">
        <f t="shared" si="7"/>
        <v/>
      </c>
      <c r="C80" t="str" cm="1">
        <f t="array" ref="C80">IFERROR(_xlfn.VALUETOTEXT(INDEX('M03-S06'!$BW$18:$BW$199,2*(ROWS($C$68:C80)-1)+1)),"")</f>
        <v/>
      </c>
      <c r="D80">
        <f>IFERROR(INDEX('M03-S06'!$B$18:$B$199,2*(ROWS(D$68:D80)-1)+1),"")</f>
        <v>0</v>
      </c>
      <c r="E80" s="51" t="str" cm="1">
        <f t="array" ref="E80">IFERROR(_xlfn.VALUETOTEXT(INDEX('M03-S06'!$BX$18:$BX$199,2*(ROWS($E$68:E80)-1)+1)),"")</f>
        <v/>
      </c>
      <c r="F80" t="str" cm="1">
        <f t="array" ref="F80">IF(C80&lt;&gt;"", _xlfn.SWITCH(Program_Banner, "Small Business / Non-Profit", "Hard-To-Reach Business", "Business Energy Savings", "Whole Business Efficiency", ""), "")</f>
        <v/>
      </c>
      <c r="G80" t="s">
        <v>938</v>
      </c>
      <c r="H80">
        <f>IFERROR(INDEX('M03-S06'!$BC$18:$BC$199,2*(ROWS($H$68:H80)-1)+1),"")</f>
        <v>0</v>
      </c>
      <c r="I80" s="171"/>
      <c r="J80" s="182"/>
      <c r="K80" s="182"/>
      <c r="L80" s="51">
        <f>IFERROR(INDEX('M03-S06'!$BD$18:$BD$199,2*(ROWS($L$68:L80)-1)+1),"")</f>
        <v>0</v>
      </c>
      <c r="M80" s="51">
        <f>IFERROR(INDEX('M03-S06'!$AE$18:$AE$199,2*(ROWS($M$68:M80)-1)+1),"")</f>
        <v>0</v>
      </c>
      <c r="N80" s="171"/>
      <c r="O80">
        <f>IFERROR(INDEX('M03-S06'!$C$18:$C$199,2*(ROWS(O$68:O80)-1)+1),"")</f>
        <v>0</v>
      </c>
      <c r="P80" s="171"/>
      <c r="Q80">
        <f>IFERROR(INDEX('M03-S06'!$AA$18:$AA$199,2*(ROWS(Q$68:Q80)-1)+1),"")</f>
        <v>0</v>
      </c>
      <c r="S80">
        <f>IFERROR(INDEX('M03-S06'!$AX$18:$AX$199,2*(ROWS(S$68:S80)-1)+1),"")</f>
        <v>0</v>
      </c>
      <c r="T80" s="545">
        <f>IFERROR(ROUND(INDEX('M03-S06'!$AY$18:$AY$199,2*(ROWS(T$68:T80)-1)+1),3),"")</f>
        <v>0</v>
      </c>
      <c r="U80" s="545">
        <f>IFERROR(ROUND(INDEX('M03-S06'!$AZ$18:$AZ$199,2*(ROWS(U$68:U80)-1)+1),3),"")</f>
        <v>0</v>
      </c>
      <c r="V80" s="184"/>
      <c r="W80" s="184"/>
      <c r="X80" s="184"/>
      <c r="Y80" s="184"/>
      <c r="Z80" s="184"/>
      <c r="AA80" s="9" cm="1">
        <f t="array" ref="AA80">IFERROR(ROUND(INDEX('M03-S06'!$AR$18:$AR$199,2*(ROWS(AA$68:AA80)-1)+1), 2),"")</f>
        <v>0</v>
      </c>
      <c r="AB80" s="9" cm="1">
        <f t="array" ref="AB80">_xlfn.LET(_xlpm.ROWS, 2*(ROWS(AB$68:AB80)-1)+1,IFERROR(INDEX('M03-S06'!$AR$18:$AR$199, _xlpm.ROWS)-INDEX('M03-S06'!$BS$18:$BS$199, _xlpm.ROWS),""))</f>
        <v>0</v>
      </c>
      <c r="AC80" s="9">
        <f>IFERROR(ROUND(INDEX('M03-S06'!$AI$18:$AI$199,2*(ROWS(AC$68:AC80)-1)+1),2),"")</f>
        <v>0</v>
      </c>
      <c r="AD80" s="9">
        <f>IFERROR(ROUND(INDEX('M03-S06'!$AK$18:$AK$199,2*(ROWS(AD$68:AD80)-1)+1),2),"")</f>
        <v>0</v>
      </c>
      <c r="AE80" s="9">
        <f>IFERROR(ROUND(INDEX('M03-S06'!$BL$18:$BL$199,2*(ROWS(AE$68:AE80)-1)+1),2),"")</f>
        <v>0</v>
      </c>
      <c r="AF80" t="s">
        <v>84</v>
      </c>
      <c r="AG80" t="str">
        <f>IFERROR(INDEX(STDCOMPRESS[Incremental Measure Cost ($/Unit)], MATCH(C80, STDCOMPRESS[Measure Number], 0))*U80, "")</f>
        <v/>
      </c>
      <c r="AH80" s="184"/>
      <c r="AI80" s="32">
        <f>IFERROR(ROUND(INDEX('M03-S06'!$BH$18:$BH$199,2*(ROWS(AI$68:AI80)-1)+1),4),"")</f>
        <v>0</v>
      </c>
      <c r="AJ80" s="32">
        <f>IFERROR(ROUND(INDEX('M03-S06'!$BE$18:$BE$199,2*(ROWS(AJ$68:AJ80)-1)+1),4),"")</f>
        <v>0</v>
      </c>
      <c r="AK80" s="32">
        <f>IFERROR(ROUND(INDEX('M03-S06'!$BI$18:$BI$199,2*(ROWS(AK$68:AK80)-1)+1),4),"")</f>
        <v>0</v>
      </c>
      <c r="AL80" s="32">
        <f>IFERROR(ROUND(INDEX('M03-S06'!$BF$18:$BF$199,2*(ROWS(AL$68:AL80)-1)+1),4),"")</f>
        <v>0</v>
      </c>
      <c r="AM80" s="32">
        <f>IFERROR(ROUND(INDEX('M03-S06'!$BA$18:$BA$199,2*(ROWS(AM$68:AM80)-1)+1),4),"")</f>
        <v>0</v>
      </c>
      <c r="AN80" s="32">
        <f>IFERROR(ROUND(INDEX('M03-S06'!$BB$18:$BB$199,2*(ROWS(AN$68:AN80)-1)+1),4),"")</f>
        <v>0</v>
      </c>
      <c r="AO80" s="32"/>
      <c r="AP80" s="182"/>
      <c r="AQ80" s="182"/>
      <c r="AR80" s="182"/>
      <c r="AS80" s="171"/>
      <c r="AT80" s="171"/>
      <c r="AU80" s="171"/>
      <c r="AV80" s="190"/>
      <c r="AW80" s="190"/>
      <c r="AX80" s="184"/>
      <c r="AY80" s="184"/>
      <c r="AZ80" s="191"/>
      <c r="BA80" s="191"/>
      <c r="BB80" s="171"/>
    </row>
    <row r="81" spans="1:54">
      <c r="A81" s="10">
        <f t="shared" si="6"/>
        <v>0</v>
      </c>
      <c r="B81" t="str">
        <f t="shared" si="7"/>
        <v/>
      </c>
      <c r="C81" t="str" cm="1">
        <f t="array" ref="C81">IFERROR(_xlfn.VALUETOTEXT(INDEX('M03-S06'!$BW$18:$BW$199,2*(ROWS($C$68:C81)-1)+1)),"")</f>
        <v/>
      </c>
      <c r="D81">
        <f>IFERROR(INDEX('M03-S06'!$B$18:$B$199,2*(ROWS(D$68:D81)-1)+1),"")</f>
        <v>0</v>
      </c>
      <c r="E81" s="51" t="str" cm="1">
        <f t="array" ref="E81">IFERROR(_xlfn.VALUETOTEXT(INDEX('M03-S06'!$BX$18:$BX$199,2*(ROWS($E$68:E81)-1)+1)),"")</f>
        <v/>
      </c>
      <c r="F81" t="str" cm="1">
        <f t="array" ref="F81">IF(C81&lt;&gt;"", _xlfn.SWITCH(Program_Banner, "Small Business / Non-Profit", "Hard-To-Reach Business", "Business Energy Savings", "Whole Business Efficiency", ""), "")</f>
        <v/>
      </c>
      <c r="G81" t="s">
        <v>938</v>
      </c>
      <c r="H81">
        <f>IFERROR(INDEX('M03-S06'!$BC$18:$BC$199,2*(ROWS($H$68:H81)-1)+1),"")</f>
        <v>0</v>
      </c>
      <c r="I81" s="171"/>
      <c r="J81" s="182"/>
      <c r="K81" s="182"/>
      <c r="L81" s="51">
        <f>IFERROR(INDEX('M03-S06'!$BD$18:$BD$199,2*(ROWS($L$68:L81)-1)+1),"")</f>
        <v>0</v>
      </c>
      <c r="M81" s="51">
        <f>IFERROR(INDEX('M03-S06'!$AE$18:$AE$199,2*(ROWS($M$68:M81)-1)+1),"")</f>
        <v>0</v>
      </c>
      <c r="N81" s="171"/>
      <c r="O81">
        <f>IFERROR(INDEX('M03-S06'!$C$18:$C$199,2*(ROWS(O$68:O81)-1)+1),"")</f>
        <v>0</v>
      </c>
      <c r="P81" s="171"/>
      <c r="Q81">
        <f>IFERROR(INDEX('M03-S06'!$AA$18:$AA$199,2*(ROWS(Q$68:Q81)-1)+1),"")</f>
        <v>0</v>
      </c>
      <c r="S81">
        <f>IFERROR(INDEX('M03-S06'!$AX$18:$AX$199,2*(ROWS(S$68:S81)-1)+1),"")</f>
        <v>0</v>
      </c>
      <c r="T81" s="545">
        <f>IFERROR(ROUND(INDEX('M03-S06'!$AY$18:$AY$199,2*(ROWS(T$68:T81)-1)+1),3),"")</f>
        <v>0</v>
      </c>
      <c r="U81" s="545">
        <f>IFERROR(ROUND(INDEX('M03-S06'!$AZ$18:$AZ$199,2*(ROWS(U$68:U81)-1)+1),3),"")</f>
        <v>0</v>
      </c>
      <c r="V81" s="184"/>
      <c r="W81" s="184"/>
      <c r="X81" s="184"/>
      <c r="Y81" s="184"/>
      <c r="Z81" s="184"/>
      <c r="AA81" s="9" cm="1">
        <f t="array" ref="AA81">IFERROR(ROUND(INDEX('M03-S06'!$AR$18:$AR$199,2*(ROWS(AA$68:AA81)-1)+1), 2),"")</f>
        <v>0</v>
      </c>
      <c r="AB81" s="9" cm="1">
        <f t="array" ref="AB81">_xlfn.LET(_xlpm.ROWS, 2*(ROWS(AB$68:AB81)-1)+1,IFERROR(INDEX('M03-S06'!$AR$18:$AR$199, _xlpm.ROWS)-INDEX('M03-S06'!$BS$18:$BS$199, _xlpm.ROWS),""))</f>
        <v>0</v>
      </c>
      <c r="AC81" s="9">
        <f>IFERROR(ROUND(INDEX('M03-S06'!$AI$18:$AI$199,2*(ROWS(AC$68:AC81)-1)+1),2),"")</f>
        <v>0</v>
      </c>
      <c r="AD81" s="9">
        <f>IFERROR(ROUND(INDEX('M03-S06'!$AK$18:$AK$199,2*(ROWS(AD$68:AD81)-1)+1),2),"")</f>
        <v>0</v>
      </c>
      <c r="AE81" s="9">
        <f>IFERROR(ROUND(INDEX('M03-S06'!$BL$18:$BL$199,2*(ROWS(AE$68:AE81)-1)+1),2),"")</f>
        <v>0</v>
      </c>
      <c r="AF81" t="s">
        <v>84</v>
      </c>
      <c r="AG81" t="str">
        <f>IFERROR(INDEX(STDCOMPRESS[Incremental Measure Cost ($/Unit)], MATCH(C81, STDCOMPRESS[Measure Number], 0))*U81, "")</f>
        <v/>
      </c>
      <c r="AH81" s="184"/>
      <c r="AI81" s="32">
        <f>IFERROR(ROUND(INDEX('M03-S06'!$BH$18:$BH$199,2*(ROWS(AI$68:AI81)-1)+1),4),"")</f>
        <v>0</v>
      </c>
      <c r="AJ81" s="32">
        <f>IFERROR(ROUND(INDEX('M03-S06'!$BE$18:$BE$199,2*(ROWS(AJ$68:AJ81)-1)+1),4),"")</f>
        <v>0</v>
      </c>
      <c r="AK81" s="32">
        <f>IFERROR(ROUND(INDEX('M03-S06'!$BI$18:$BI$199,2*(ROWS(AK$68:AK81)-1)+1),4),"")</f>
        <v>0</v>
      </c>
      <c r="AL81" s="32">
        <f>IFERROR(ROUND(INDEX('M03-S06'!$BF$18:$BF$199,2*(ROWS(AL$68:AL81)-1)+1),4),"")</f>
        <v>0</v>
      </c>
      <c r="AM81" s="32">
        <f>IFERROR(ROUND(INDEX('M03-S06'!$BA$18:$BA$199,2*(ROWS(AM$68:AM81)-1)+1),4),"")</f>
        <v>0</v>
      </c>
      <c r="AN81" s="32">
        <f>IFERROR(ROUND(INDEX('M03-S06'!$BB$18:$BB$199,2*(ROWS(AN$68:AN81)-1)+1),4),"")</f>
        <v>0</v>
      </c>
      <c r="AO81" s="32"/>
      <c r="AP81" s="182"/>
      <c r="AQ81" s="182"/>
      <c r="AR81" s="182"/>
      <c r="AS81" s="171"/>
      <c r="AT81" s="171"/>
      <c r="AU81" s="171"/>
      <c r="AV81" s="190"/>
      <c r="AW81" s="190"/>
      <c r="AX81" s="184"/>
      <c r="AY81" s="184"/>
      <c r="AZ81" s="191"/>
      <c r="BA81" s="191"/>
      <c r="BB81" s="171"/>
    </row>
    <row r="82" spans="1:54">
      <c r="A82" s="10">
        <f t="shared" si="6"/>
        <v>0</v>
      </c>
      <c r="B82" t="str">
        <f t="shared" si="7"/>
        <v/>
      </c>
      <c r="C82" t="str" cm="1">
        <f t="array" ref="C82">IFERROR(_xlfn.VALUETOTEXT(INDEX('M03-S06'!$BW$18:$BW$199,2*(ROWS($C$68:C82)-1)+1)),"")</f>
        <v/>
      </c>
      <c r="D82">
        <f>IFERROR(INDEX('M03-S06'!$B$18:$B$199,2*(ROWS(D$68:D82)-1)+1),"")</f>
        <v>0</v>
      </c>
      <c r="E82" s="51" t="str" cm="1">
        <f t="array" ref="E82">IFERROR(_xlfn.VALUETOTEXT(INDEX('M03-S06'!$BX$18:$BX$199,2*(ROWS($E$68:E82)-1)+1)),"")</f>
        <v/>
      </c>
      <c r="F82" t="str" cm="1">
        <f t="array" ref="F82">IF(C82&lt;&gt;"", _xlfn.SWITCH(Program_Banner, "Small Business / Non-Profit", "Hard-To-Reach Business", "Business Energy Savings", "Whole Business Efficiency", ""), "")</f>
        <v/>
      </c>
      <c r="G82" t="s">
        <v>938</v>
      </c>
      <c r="H82">
        <f>IFERROR(INDEX('M03-S06'!$BC$18:$BC$199,2*(ROWS($H$68:H82)-1)+1),"")</f>
        <v>0</v>
      </c>
      <c r="I82" s="171"/>
      <c r="J82" s="182"/>
      <c r="K82" s="182"/>
      <c r="L82" s="51">
        <f>IFERROR(INDEX('M03-S06'!$BD$18:$BD$199,2*(ROWS($L$68:L82)-1)+1),"")</f>
        <v>0</v>
      </c>
      <c r="M82" s="51">
        <f>IFERROR(INDEX('M03-S06'!$AE$18:$AE$199,2*(ROWS($M$68:M82)-1)+1),"")</f>
        <v>0</v>
      </c>
      <c r="N82" s="171"/>
      <c r="O82">
        <f>IFERROR(INDEX('M03-S06'!$C$18:$C$199,2*(ROWS(O$68:O82)-1)+1),"")</f>
        <v>0</v>
      </c>
      <c r="P82" s="171"/>
      <c r="Q82">
        <f>IFERROR(INDEX('M03-S06'!$AA$18:$AA$199,2*(ROWS(Q$68:Q82)-1)+1),"")</f>
        <v>0</v>
      </c>
      <c r="S82">
        <f>IFERROR(INDEX('M03-S06'!$AX$18:$AX$199,2*(ROWS(S$68:S82)-1)+1),"")</f>
        <v>0</v>
      </c>
      <c r="T82" s="545">
        <f>IFERROR(ROUND(INDEX('M03-S06'!$AY$18:$AY$199,2*(ROWS(T$68:T82)-1)+1),3),"")</f>
        <v>0</v>
      </c>
      <c r="U82" s="545">
        <f>IFERROR(ROUND(INDEX('M03-S06'!$AZ$18:$AZ$199,2*(ROWS(U$68:U82)-1)+1),3),"")</f>
        <v>0</v>
      </c>
      <c r="V82" s="184"/>
      <c r="W82" s="184"/>
      <c r="X82" s="184"/>
      <c r="Y82" s="184"/>
      <c r="Z82" s="184"/>
      <c r="AA82" s="9" cm="1">
        <f t="array" ref="AA82">IFERROR(ROUND(INDEX('M03-S06'!$AR$18:$AR$199,2*(ROWS(AA$68:AA82)-1)+1), 2),"")</f>
        <v>0</v>
      </c>
      <c r="AB82" s="9" cm="1">
        <f t="array" ref="AB82">_xlfn.LET(_xlpm.ROWS, 2*(ROWS(AB$68:AB82)-1)+1,IFERROR(INDEX('M03-S06'!$AR$18:$AR$199, _xlpm.ROWS)-INDEX('M03-S06'!$BS$18:$BS$199, _xlpm.ROWS),""))</f>
        <v>0</v>
      </c>
      <c r="AC82" s="9">
        <f>IFERROR(ROUND(INDEX('M03-S06'!$AI$18:$AI$199,2*(ROWS(AC$68:AC82)-1)+1),2),"")</f>
        <v>0</v>
      </c>
      <c r="AD82" s="9">
        <f>IFERROR(ROUND(INDEX('M03-S06'!$AK$18:$AK$199,2*(ROWS(AD$68:AD82)-1)+1),2),"")</f>
        <v>0</v>
      </c>
      <c r="AE82" s="9">
        <f>IFERROR(ROUND(INDEX('M03-S06'!$BL$18:$BL$199,2*(ROWS(AE$68:AE82)-1)+1),2),"")</f>
        <v>0</v>
      </c>
      <c r="AF82" t="s">
        <v>84</v>
      </c>
      <c r="AG82" t="str">
        <f>IFERROR(INDEX(STDCOMPRESS[Incremental Measure Cost ($/Unit)], MATCH(C82, STDCOMPRESS[Measure Number], 0))*U82, "")</f>
        <v/>
      </c>
      <c r="AH82" s="184"/>
      <c r="AI82" s="32">
        <f>IFERROR(ROUND(INDEX('M03-S06'!$BH$18:$BH$199,2*(ROWS(AI$68:AI82)-1)+1),4),"")</f>
        <v>0</v>
      </c>
      <c r="AJ82" s="32">
        <f>IFERROR(ROUND(INDEX('M03-S06'!$BE$18:$BE$199,2*(ROWS(AJ$68:AJ82)-1)+1),4),"")</f>
        <v>0</v>
      </c>
      <c r="AK82" s="32">
        <f>IFERROR(ROUND(INDEX('M03-S06'!$BI$18:$BI$199,2*(ROWS(AK$68:AK82)-1)+1),4),"")</f>
        <v>0</v>
      </c>
      <c r="AL82" s="32">
        <f>IFERROR(ROUND(INDEX('M03-S06'!$BF$18:$BF$199,2*(ROWS(AL$68:AL82)-1)+1),4),"")</f>
        <v>0</v>
      </c>
      <c r="AM82" s="32">
        <f>IFERROR(ROUND(INDEX('M03-S06'!$BA$18:$BA$199,2*(ROWS(AM$68:AM82)-1)+1),4),"")</f>
        <v>0</v>
      </c>
      <c r="AN82" s="32">
        <f>IFERROR(ROUND(INDEX('M03-S06'!$BB$18:$BB$199,2*(ROWS(AN$68:AN82)-1)+1),4),"")</f>
        <v>0</v>
      </c>
      <c r="AO82" s="32"/>
      <c r="AP82" s="182"/>
      <c r="AQ82" s="182"/>
      <c r="AR82" s="182"/>
      <c r="AS82" s="171"/>
      <c r="AT82" s="171"/>
      <c r="AU82" s="171"/>
      <c r="AV82" s="190"/>
      <c r="AW82" s="190"/>
      <c r="AX82" s="184"/>
      <c r="AY82" s="184"/>
      <c r="AZ82" s="191"/>
      <c r="BA82" s="191"/>
      <c r="BB82" s="171"/>
    </row>
    <row r="83" spans="1:54">
      <c r="A83" s="478" t="str">
        <f>"Standard "&amp;M3S7</f>
        <v>Standard Water Heating / Food Services</v>
      </c>
      <c r="B83" s="172"/>
      <c r="C83" s="172"/>
      <c r="D83" s="172"/>
      <c r="E83" s="172"/>
      <c r="F83" s="172"/>
      <c r="G83" s="172"/>
      <c r="H83" s="172"/>
      <c r="I83" s="172"/>
      <c r="J83" s="180"/>
      <c r="K83" s="180"/>
      <c r="L83" s="172"/>
      <c r="M83" s="172"/>
      <c r="N83" s="172"/>
      <c r="O83" s="173"/>
      <c r="P83" s="172"/>
      <c r="Q83" s="172"/>
      <c r="R83" s="172"/>
      <c r="S83" s="172"/>
      <c r="T83" s="186"/>
      <c r="U83" s="186"/>
      <c r="V83" s="183"/>
      <c r="W83" s="183"/>
      <c r="X83" s="183"/>
      <c r="Y83" s="183"/>
      <c r="Z83" s="183"/>
      <c r="AA83" s="180"/>
      <c r="AB83" s="172"/>
      <c r="AC83" s="180"/>
      <c r="AD83" s="180"/>
      <c r="AE83" s="180"/>
      <c r="AF83" s="172"/>
      <c r="AG83" s="172"/>
      <c r="AH83" s="172"/>
      <c r="AI83" s="188"/>
      <c r="AJ83" s="188"/>
      <c r="AK83" s="188"/>
      <c r="AL83" s="188"/>
      <c r="AM83" s="188"/>
      <c r="AN83" s="188"/>
      <c r="AO83" s="188"/>
      <c r="AP83" s="180"/>
      <c r="AQ83" s="180"/>
      <c r="AR83" s="180"/>
      <c r="AS83" s="172"/>
      <c r="AT83" s="172"/>
      <c r="AU83" s="172"/>
      <c r="AV83" s="186"/>
      <c r="AW83" s="186"/>
      <c r="AX83" s="183"/>
      <c r="AY83" s="183"/>
      <c r="AZ83" s="188"/>
      <c r="BA83" s="188"/>
      <c r="BB83" s="172"/>
    </row>
    <row r="84" spans="1:54">
      <c r="A84" s="10">
        <f t="shared" ref="A84:A98" si="8">PROJID</f>
        <v>0</v>
      </c>
      <c r="B84" t="str">
        <f t="shared" ref="B84:B98" si="9">IF(C84="","",CONCATENATE(ROW(),"-",C84))</f>
        <v/>
      </c>
      <c r="C84" t="str" cm="1">
        <f t="array" ref="C84">IFERROR(_xlfn.VALUETOTEXT(INDEX('M03-S07'!$BW$18:$BW$199,2*(ROWS($C$84:C84)-1)+1)),"")</f>
        <v/>
      </c>
      <c r="D84">
        <f>IFERROR(INDEX('M03-S07'!$B$18:$B$199,2*(ROWS(D$84:D84)-1)+1),"")</f>
        <v>1</v>
      </c>
      <c r="E84" s="51" t="str" cm="1">
        <f t="array" ref="E84">IFERROR(_xlfn.VALUETOTEXT(INDEX('M03-S07'!$BX$18:$BX$199,2*(ROWS($E$84:E84)-1)+1)),"")</f>
        <v/>
      </c>
      <c r="F84" t="str" cm="1">
        <f t="array" ref="F84">IF(C84&lt;&gt;"", _xlfn.SWITCH(Program_Banner, "Small Business / Non-Profit", "Hard-To-Reach Business", "Business Energy Savings", "Whole Business Efficiency", ""), "")</f>
        <v/>
      </c>
      <c r="G84" t="s">
        <v>938</v>
      </c>
      <c r="H84" t="str">
        <f>IFERROR(INDEX('M03-S07'!$BC$18:$BC$199,2*(ROWS($H$84:H84)-1)+1),"")</f>
        <v/>
      </c>
      <c r="I84" s="171"/>
      <c r="J84" s="182"/>
      <c r="K84" s="182"/>
      <c r="L84" s="51" t="str">
        <f>IFERROR(INDEX('M03-S07'!$BD$18:$BD$199,2*(ROWS($L$84:L84)-1)+1),"")</f>
        <v/>
      </c>
      <c r="M84" s="51">
        <f>IFERROR(INDEX('M03-S07'!$AE$18:$AE$199,2*(ROWS($M$84:M84)-1)+1),"")</f>
        <v>0</v>
      </c>
      <c r="N84" s="171"/>
      <c r="O84">
        <f>IFERROR(INDEX('M03-S07'!$C$18:$C$199,2*(ROWS(O$84:O84)-1)+1),"")</f>
        <v>0</v>
      </c>
      <c r="P84" s="171"/>
      <c r="Q84">
        <f>IFERROR(INDEX('M03-S07'!$AA$18:$AA$199,2*(ROWS(Q$84:Q84)-1)+1),"")</f>
        <v>0</v>
      </c>
      <c r="S84" t="str">
        <f>IFERROR(INDEX('M03-S07'!$AX$18:$AX$199,2*(ROWS(S$84:S84)-1)+1),"")</f>
        <v/>
      </c>
      <c r="T84" s="545" t="str">
        <f>IFERROR(ROUND(INDEX('M03-S07'!$AY$18:$AY$199,2*(ROWS(T$84:T84)-1)+1),3),"")</f>
        <v/>
      </c>
      <c r="U84" s="545" t="str">
        <f>IFERROR(ROUND(INDEX('M03-S07'!$AZ$18:$AZ$199,2*(ROWS(U$84:U84)-1)+1),3),"")</f>
        <v/>
      </c>
      <c r="V84" s="184"/>
      <c r="W84" s="184"/>
      <c r="X84" s="184"/>
      <c r="Y84" s="184"/>
      <c r="Z84" s="184"/>
      <c r="AA84" s="9" t="str" cm="1">
        <f t="array" ref="AA84">IFERROR(ROUND(INDEX('M03-S07'!$AR$18:$AR$199,2*(ROWS(AA$84:AA84)-1)+1), 2),"")</f>
        <v/>
      </c>
      <c r="AB84" s="9" t="str" cm="1">
        <f t="array" ref="AB84">_xlfn.LET(_xlpm.ROWS, 2*(ROWS(AB$84:AB84)-1)+1,IFERROR(INDEX('M03-S07'!$AR$18:$AR$199, _xlpm.ROWS)-INDEX('M03-S07'!$BS$18:$BS$199, _xlpm.ROWS),""))</f>
        <v/>
      </c>
      <c r="AC84" s="9">
        <f>IFERROR(ROUND(INDEX('M03-S07'!$AI$18:$AI$199,2*(ROWS(AC$84:AC84)-1)+1),2),"")</f>
        <v>0</v>
      </c>
      <c r="AD84" s="9">
        <f>IFERROR(ROUND(INDEX('M03-S07'!$AK$18:$AK$199,2*(ROWS(AD$84:AD84)-1)+1),2),"")</f>
        <v>0</v>
      </c>
      <c r="AE84" s="9" t="str">
        <f>IFERROR(ROUND(INDEX('M03-S07'!$BL$18:$BL$199,2*(ROWS(AE$84:AE84)-1)+1),2),"")</f>
        <v/>
      </c>
      <c r="AF84" t="s">
        <v>84</v>
      </c>
      <c r="AG84" t="str">
        <f>IFERROR(INDEX(STDWATER[Incremental Measure Cost ($/Unit)], MATCH(C84, STDWATER[Measure Number], 0))*U84, "")</f>
        <v/>
      </c>
      <c r="AH84" s="184"/>
      <c r="AI84" s="32" t="str">
        <f>IFERROR(ROUND(INDEX('M03-S07'!$BH$18:$BH$199,2*(ROWS(AI$84:AI84)-1)+1),4),"")</f>
        <v/>
      </c>
      <c r="AJ84" s="32">
        <f>IFERROR(ROUND(INDEX('M03-S07'!$BE$18:$BE$199,2*(ROWS(AJ$84:AJ84)-1)+1),4),"")</f>
        <v>0</v>
      </c>
      <c r="AK84" s="32" t="str">
        <f>IFERROR(ROUND(INDEX('M03-S07'!$BI$18:$BI$199,2*(ROWS(AK$84:AK84)-1)+1),4),"")</f>
        <v/>
      </c>
      <c r="AL84" s="32">
        <f>IFERROR(ROUND(INDEX('M03-S07'!$BF$18:$BF$199,2*(ROWS(AL$84:AL84)-1)+1),4),"")</f>
        <v>0</v>
      </c>
      <c r="AM84" s="32">
        <f>IFERROR(ROUND(INDEX('M03-S07'!$BA$18:$BA$199,2*(ROWS(AM$84:AM84)-1)+1),4),"")</f>
        <v>0</v>
      </c>
      <c r="AN84" s="32">
        <f>IFERROR(ROUND(INDEX('M03-S07'!$BB$18:$BB$199,2*(ROWS(AN$84:AN84)-1)+1),4),"")</f>
        <v>0</v>
      </c>
      <c r="AO84" s="32"/>
      <c r="AP84" s="182"/>
      <c r="AQ84" s="182"/>
      <c r="AR84" s="182"/>
      <c r="AS84" s="171"/>
      <c r="AT84" s="171"/>
      <c r="AU84" s="171"/>
      <c r="AV84" s="190"/>
      <c r="AW84" s="190"/>
      <c r="AX84" s="184"/>
      <c r="AY84" s="184"/>
      <c r="AZ84" s="191"/>
      <c r="BA84" s="191"/>
      <c r="BB84" s="171"/>
    </row>
    <row r="85" spans="1:54">
      <c r="A85" s="10">
        <f t="shared" si="8"/>
        <v>0</v>
      </c>
      <c r="B85" t="str">
        <f t="shared" si="9"/>
        <v/>
      </c>
      <c r="C85" t="str" cm="1">
        <f t="array" ref="C85">IFERROR(_xlfn.VALUETOTEXT(INDEX('M03-S07'!$BW$18:$BW$199,2*(ROWS($C$84:C85)-1)+1)),"")</f>
        <v/>
      </c>
      <c r="D85">
        <f>IFERROR(INDEX('M03-S07'!$B$18:$B$199,2*(ROWS(D$84:D85)-1)+1),"")</f>
        <v>2</v>
      </c>
      <c r="E85" s="51" t="str" cm="1">
        <f t="array" ref="E85">IFERROR(_xlfn.VALUETOTEXT(INDEX('M03-S07'!$BX$18:$BX$199,2*(ROWS($E$84:E85)-1)+1)),"")</f>
        <v/>
      </c>
      <c r="F85" t="str" cm="1">
        <f t="array" ref="F85">IF(C85&lt;&gt;"", _xlfn.SWITCH(Program_Banner, "Small Business / Non-Profit", "Hard-To-Reach Business", "Business Energy Savings", "Whole Business Efficiency", ""), "")</f>
        <v/>
      </c>
      <c r="G85" t="s">
        <v>938</v>
      </c>
      <c r="H85" t="str">
        <f>IFERROR(INDEX('M03-S07'!$BC$18:$BC$199,2*(ROWS($H$84:H85)-1)+1),"")</f>
        <v/>
      </c>
      <c r="I85" s="171"/>
      <c r="J85" s="182"/>
      <c r="K85" s="182"/>
      <c r="L85" s="51" t="str">
        <f>IFERROR(INDEX('M03-S07'!$BD$18:$BD$199,2*(ROWS($L$84:L85)-1)+1),"")</f>
        <v/>
      </c>
      <c r="M85" s="51">
        <f>IFERROR(INDEX('M03-S07'!$AE$18:$AE$199,2*(ROWS($M$84:M85)-1)+1),"")</f>
        <v>0</v>
      </c>
      <c r="N85" s="171"/>
      <c r="O85">
        <f>IFERROR(INDEX('M03-S07'!$C$18:$C$199,2*(ROWS(O$84:O85)-1)+1),"")</f>
        <v>0</v>
      </c>
      <c r="P85" s="171"/>
      <c r="Q85">
        <f>IFERROR(INDEX('M03-S07'!$AA$18:$AA$199,2*(ROWS(Q$84:Q85)-1)+1),"")</f>
        <v>0</v>
      </c>
      <c r="S85" t="str">
        <f>IFERROR(INDEX('M03-S07'!$AX$18:$AX$199,2*(ROWS(S$84:S85)-1)+1),"")</f>
        <v/>
      </c>
      <c r="T85" s="545" t="str">
        <f>IFERROR(ROUND(INDEX('M03-S07'!$AY$18:$AY$199,2*(ROWS(T$84:T85)-1)+1),3),"")</f>
        <v/>
      </c>
      <c r="U85" s="545" t="str">
        <f>IFERROR(ROUND(INDEX('M03-S07'!$AZ$18:$AZ$199,2*(ROWS(U$84:U85)-1)+1),3),"")</f>
        <v/>
      </c>
      <c r="V85" s="184"/>
      <c r="W85" s="184"/>
      <c r="X85" s="184"/>
      <c r="Y85" s="184"/>
      <c r="Z85" s="184"/>
      <c r="AA85" s="9" t="str" cm="1">
        <f t="array" ref="AA85">IFERROR(ROUND(INDEX('M03-S07'!$AR$18:$AR$199,2*(ROWS(AA$84:AA85)-1)+1), 2),"")</f>
        <v/>
      </c>
      <c r="AB85" s="9" t="str" cm="1">
        <f t="array" ref="AB85">_xlfn.LET(_xlpm.ROWS, 2*(ROWS(AB$84:AB85)-1)+1,IFERROR(INDEX('M03-S07'!$AR$18:$AR$199, _xlpm.ROWS)-INDEX('M03-S07'!$BS$18:$BS$199, _xlpm.ROWS),""))</f>
        <v/>
      </c>
      <c r="AC85" s="9">
        <f>IFERROR(ROUND(INDEX('M03-S07'!$AI$18:$AI$199,2*(ROWS(AC$84:AC85)-1)+1),2),"")</f>
        <v>0</v>
      </c>
      <c r="AD85" s="9">
        <f>IFERROR(ROUND(INDEX('M03-S07'!$AK$18:$AK$199,2*(ROWS(AD$84:AD85)-1)+1),2),"")</f>
        <v>0</v>
      </c>
      <c r="AE85" s="9" t="str">
        <f>IFERROR(ROUND(INDEX('M03-S07'!$BL$18:$BL$199,2*(ROWS(AE$84:AE85)-1)+1),2),"")</f>
        <v/>
      </c>
      <c r="AF85" t="s">
        <v>84</v>
      </c>
      <c r="AG85" t="str">
        <f>IFERROR(INDEX(STDWATER[Incremental Measure Cost ($/Unit)], MATCH(C85, STDWATER[Measure Number], 0))*U85, "")</f>
        <v/>
      </c>
      <c r="AH85" s="184"/>
      <c r="AI85" s="32" t="str">
        <f>IFERROR(ROUND(INDEX('M03-S07'!$BH$18:$BH$199,2*(ROWS(AI$84:AI85)-1)+1),4),"")</f>
        <v/>
      </c>
      <c r="AJ85" s="32">
        <f>IFERROR(ROUND(INDEX('M03-S07'!$BE$18:$BE$199,2*(ROWS(AJ$84:AJ85)-1)+1),4),"")</f>
        <v>0</v>
      </c>
      <c r="AK85" s="32" t="str">
        <f>IFERROR(ROUND(INDEX('M03-S07'!$BI$18:$BI$199,2*(ROWS(AK$84:AK85)-1)+1),4),"")</f>
        <v/>
      </c>
      <c r="AL85" s="32">
        <f>IFERROR(ROUND(INDEX('M03-S07'!$BF$18:$BF$199,2*(ROWS(AL$84:AL85)-1)+1),4),"")</f>
        <v>0</v>
      </c>
      <c r="AM85" s="32">
        <f>IFERROR(ROUND(INDEX('M03-S07'!$BA$18:$BA$199,2*(ROWS(AM$84:AM85)-1)+1),4),"")</f>
        <v>0</v>
      </c>
      <c r="AN85" s="32">
        <f>IFERROR(ROUND(INDEX('M03-S07'!$BB$18:$BB$199,2*(ROWS(AN$84:AN85)-1)+1),4),"")</f>
        <v>0</v>
      </c>
      <c r="AO85" s="32"/>
      <c r="AP85" s="182"/>
      <c r="AQ85" s="182"/>
      <c r="AR85" s="182"/>
      <c r="AS85" s="171"/>
      <c r="AT85" s="171"/>
      <c r="AU85" s="171"/>
      <c r="AV85" s="190"/>
      <c r="AW85" s="190"/>
      <c r="AX85" s="184"/>
      <c r="AY85" s="184"/>
      <c r="AZ85" s="191"/>
      <c r="BA85" s="191"/>
      <c r="BB85" s="171"/>
    </row>
    <row r="86" spans="1:54">
      <c r="A86" s="10">
        <f t="shared" si="8"/>
        <v>0</v>
      </c>
      <c r="B86" t="str">
        <f t="shared" si="9"/>
        <v/>
      </c>
      <c r="C86" t="str" cm="1">
        <f t="array" ref="C86">IFERROR(_xlfn.VALUETOTEXT(INDEX('M03-S07'!$BW$18:$BW$199,2*(ROWS($C$84:C86)-1)+1)),"")</f>
        <v/>
      </c>
      <c r="D86">
        <f>IFERROR(INDEX('M03-S07'!$B$18:$B$199,2*(ROWS(D$84:D86)-1)+1),"")</f>
        <v>3</v>
      </c>
      <c r="E86" s="51" t="str" cm="1">
        <f t="array" ref="E86">IFERROR(_xlfn.VALUETOTEXT(INDEX('M03-S07'!$BX$18:$BX$199,2*(ROWS($E$84:E86)-1)+1)),"")</f>
        <v/>
      </c>
      <c r="F86" t="str" cm="1">
        <f t="array" ref="F86">IF(C86&lt;&gt;"", _xlfn.SWITCH(Program_Banner, "Small Business / Non-Profit", "Hard-To-Reach Business", "Business Energy Savings", "Whole Business Efficiency", ""), "")</f>
        <v/>
      </c>
      <c r="G86" t="s">
        <v>938</v>
      </c>
      <c r="H86" t="str">
        <f>IFERROR(INDEX('M03-S07'!$BC$18:$BC$199,2*(ROWS($H$84:H86)-1)+1),"")</f>
        <v/>
      </c>
      <c r="I86" s="171"/>
      <c r="J86" s="182"/>
      <c r="K86" s="182"/>
      <c r="L86" s="51" t="str">
        <f>IFERROR(INDEX('M03-S07'!$BD$18:$BD$199,2*(ROWS($L$84:L86)-1)+1),"")</f>
        <v/>
      </c>
      <c r="M86" s="51">
        <f>IFERROR(INDEX('M03-S07'!$AE$18:$AE$199,2*(ROWS($M$84:M86)-1)+1),"")</f>
        <v>0</v>
      </c>
      <c r="N86" s="171"/>
      <c r="O86">
        <f>IFERROR(INDEX('M03-S07'!$C$18:$C$199,2*(ROWS(O$84:O86)-1)+1),"")</f>
        <v>0</v>
      </c>
      <c r="P86" s="171"/>
      <c r="Q86">
        <f>IFERROR(INDEX('M03-S07'!$AA$18:$AA$199,2*(ROWS(Q$84:Q86)-1)+1),"")</f>
        <v>0</v>
      </c>
      <c r="S86" t="str">
        <f>IFERROR(INDEX('M03-S07'!$AX$18:$AX$199,2*(ROWS(S$84:S86)-1)+1),"")</f>
        <v/>
      </c>
      <c r="T86" s="545" t="str">
        <f>IFERROR(ROUND(INDEX('M03-S07'!$AY$18:$AY$199,2*(ROWS(T$84:T86)-1)+1),3),"")</f>
        <v/>
      </c>
      <c r="U86" s="545" t="str">
        <f>IFERROR(ROUND(INDEX('M03-S07'!$AZ$18:$AZ$199,2*(ROWS(U$84:U86)-1)+1),3),"")</f>
        <v/>
      </c>
      <c r="V86" s="184"/>
      <c r="W86" s="184"/>
      <c r="X86" s="184"/>
      <c r="Y86" s="184"/>
      <c r="Z86" s="184"/>
      <c r="AA86" s="9" t="str" cm="1">
        <f t="array" ref="AA86">IFERROR(ROUND(INDEX('M03-S07'!$AR$18:$AR$199,2*(ROWS(AA$84:AA86)-1)+1), 2),"")</f>
        <v/>
      </c>
      <c r="AB86" s="9" t="str" cm="1">
        <f t="array" ref="AB86">_xlfn.LET(_xlpm.ROWS, 2*(ROWS(AB$84:AB86)-1)+1,IFERROR(INDEX('M03-S07'!$AR$18:$AR$199, _xlpm.ROWS)-INDEX('M03-S07'!$BS$18:$BS$199, _xlpm.ROWS),""))</f>
        <v/>
      </c>
      <c r="AC86" s="9">
        <f>IFERROR(ROUND(INDEX('M03-S07'!$AI$18:$AI$199,2*(ROWS(AC$84:AC86)-1)+1),2),"")</f>
        <v>0</v>
      </c>
      <c r="AD86" s="9">
        <f>IFERROR(ROUND(INDEX('M03-S07'!$AK$18:$AK$199,2*(ROWS(AD$84:AD86)-1)+1),2),"")</f>
        <v>0</v>
      </c>
      <c r="AE86" s="9" t="str">
        <f>IFERROR(ROUND(INDEX('M03-S07'!$BL$18:$BL$199,2*(ROWS(AE$84:AE86)-1)+1),2),"")</f>
        <v/>
      </c>
      <c r="AF86" t="s">
        <v>84</v>
      </c>
      <c r="AG86" t="str">
        <f>IFERROR(INDEX(STDWATER[Incremental Measure Cost ($/Unit)], MATCH(C86, STDWATER[Measure Number], 0))*U86, "")</f>
        <v/>
      </c>
      <c r="AH86" s="184"/>
      <c r="AI86" s="32" t="str">
        <f>IFERROR(ROUND(INDEX('M03-S07'!$BH$18:$BH$199,2*(ROWS(AI$84:AI86)-1)+1),4),"")</f>
        <v/>
      </c>
      <c r="AJ86" s="32">
        <f>IFERROR(ROUND(INDEX('M03-S07'!$BE$18:$BE$199,2*(ROWS(AJ$84:AJ86)-1)+1),4),"")</f>
        <v>0</v>
      </c>
      <c r="AK86" s="32" t="str">
        <f>IFERROR(ROUND(INDEX('M03-S07'!$BI$18:$BI$199,2*(ROWS(AK$84:AK86)-1)+1),4),"")</f>
        <v/>
      </c>
      <c r="AL86" s="32">
        <f>IFERROR(ROUND(INDEX('M03-S07'!$BF$18:$BF$199,2*(ROWS(AL$84:AL86)-1)+1),4),"")</f>
        <v>0</v>
      </c>
      <c r="AM86" s="32">
        <f>IFERROR(ROUND(INDEX('M03-S07'!$BA$18:$BA$199,2*(ROWS(AM$84:AM86)-1)+1),4),"")</f>
        <v>0</v>
      </c>
      <c r="AN86" s="32">
        <f>IFERROR(ROUND(INDEX('M03-S07'!$BB$18:$BB$199,2*(ROWS(AN$84:AN86)-1)+1),4),"")</f>
        <v>0</v>
      </c>
      <c r="AO86" s="32"/>
      <c r="AP86" s="182"/>
      <c r="AQ86" s="182"/>
      <c r="AR86" s="182"/>
      <c r="AS86" s="171"/>
      <c r="AT86" s="171"/>
      <c r="AU86" s="171"/>
      <c r="AV86" s="190"/>
      <c r="AW86" s="190"/>
      <c r="AX86" s="184"/>
      <c r="AY86" s="184"/>
      <c r="AZ86" s="191"/>
      <c r="BA86" s="191"/>
      <c r="BB86" s="171"/>
    </row>
    <row r="87" spans="1:54">
      <c r="A87" s="10">
        <f t="shared" si="8"/>
        <v>0</v>
      </c>
      <c r="B87" t="str">
        <f t="shared" si="9"/>
        <v/>
      </c>
      <c r="C87" t="str" cm="1">
        <f t="array" ref="C87">IFERROR(_xlfn.VALUETOTEXT(INDEX('M03-S07'!$BW$18:$BW$199,2*(ROWS($C$84:C87)-1)+1)),"")</f>
        <v/>
      </c>
      <c r="D87">
        <f>IFERROR(INDEX('M03-S07'!$B$18:$B$199,2*(ROWS(D$84:D87)-1)+1),"")</f>
        <v>4</v>
      </c>
      <c r="E87" s="51" t="str" cm="1">
        <f t="array" ref="E87">IFERROR(_xlfn.VALUETOTEXT(INDEX('M03-S07'!$BX$18:$BX$199,2*(ROWS($E$84:E87)-1)+1)),"")</f>
        <v/>
      </c>
      <c r="F87" t="str" cm="1">
        <f t="array" ref="F87">IF(C87&lt;&gt;"", _xlfn.SWITCH(Program_Banner, "Small Business / Non-Profit", "Hard-To-Reach Business", "Business Energy Savings", "Whole Business Efficiency", ""), "")</f>
        <v/>
      </c>
      <c r="G87" t="s">
        <v>938</v>
      </c>
      <c r="H87" t="str">
        <f>IFERROR(INDEX('M03-S07'!$BC$18:$BC$199,2*(ROWS($H$84:H87)-1)+1),"")</f>
        <v/>
      </c>
      <c r="I87" s="171"/>
      <c r="J87" s="182"/>
      <c r="K87" s="182"/>
      <c r="L87" s="51" t="str">
        <f>IFERROR(INDEX('M03-S07'!$BD$18:$BD$199,2*(ROWS($L$84:L87)-1)+1),"")</f>
        <v/>
      </c>
      <c r="M87" s="51">
        <f>IFERROR(INDEX('M03-S07'!$AE$18:$AE$199,2*(ROWS($M$84:M87)-1)+1),"")</f>
        <v>0</v>
      </c>
      <c r="N87" s="171"/>
      <c r="O87">
        <f>IFERROR(INDEX('M03-S07'!$C$18:$C$199,2*(ROWS(O$84:O87)-1)+1),"")</f>
        <v>0</v>
      </c>
      <c r="P87" s="171"/>
      <c r="Q87">
        <f>IFERROR(INDEX('M03-S07'!$AA$18:$AA$199,2*(ROWS(Q$84:Q87)-1)+1),"")</f>
        <v>0</v>
      </c>
      <c r="S87" t="str">
        <f>IFERROR(INDEX('M03-S07'!$AX$18:$AX$199,2*(ROWS(S$84:S87)-1)+1),"")</f>
        <v/>
      </c>
      <c r="T87" s="545" t="str">
        <f>IFERROR(ROUND(INDEX('M03-S07'!$AY$18:$AY$199,2*(ROWS(T$84:T87)-1)+1),3),"")</f>
        <v/>
      </c>
      <c r="U87" s="545" t="str">
        <f>IFERROR(ROUND(INDEX('M03-S07'!$AZ$18:$AZ$199,2*(ROWS(U$84:U87)-1)+1),3),"")</f>
        <v/>
      </c>
      <c r="V87" s="184"/>
      <c r="W87" s="184"/>
      <c r="X87" s="184"/>
      <c r="Y87" s="184"/>
      <c r="Z87" s="184"/>
      <c r="AA87" s="9" t="str" cm="1">
        <f t="array" ref="AA87">IFERROR(ROUND(INDEX('M03-S07'!$AR$18:$AR$199,2*(ROWS(AA$84:AA87)-1)+1), 2),"")</f>
        <v/>
      </c>
      <c r="AB87" s="9" t="str" cm="1">
        <f t="array" ref="AB87">_xlfn.LET(_xlpm.ROWS, 2*(ROWS(AB$84:AB87)-1)+1,IFERROR(INDEX('M03-S07'!$AR$18:$AR$199, _xlpm.ROWS)-INDEX('M03-S07'!$BS$18:$BS$199, _xlpm.ROWS),""))</f>
        <v/>
      </c>
      <c r="AC87" s="9">
        <f>IFERROR(ROUND(INDEX('M03-S07'!$AI$18:$AI$199,2*(ROWS(AC$84:AC87)-1)+1),2),"")</f>
        <v>0</v>
      </c>
      <c r="AD87" s="9">
        <f>IFERROR(ROUND(INDEX('M03-S07'!$AK$18:$AK$199,2*(ROWS(AD$84:AD87)-1)+1),2),"")</f>
        <v>0</v>
      </c>
      <c r="AE87" s="9" t="str">
        <f>IFERROR(ROUND(INDEX('M03-S07'!$BL$18:$BL$199,2*(ROWS(AE$84:AE87)-1)+1),2),"")</f>
        <v/>
      </c>
      <c r="AF87" t="s">
        <v>84</v>
      </c>
      <c r="AG87" t="str">
        <f>IFERROR(INDEX(STDWATER[Incremental Measure Cost ($/Unit)], MATCH(C87, STDWATER[Measure Number], 0))*U87, "")</f>
        <v/>
      </c>
      <c r="AH87" s="184"/>
      <c r="AI87" s="32" t="str">
        <f>IFERROR(ROUND(INDEX('M03-S07'!$BH$18:$BH$199,2*(ROWS(AI$84:AI87)-1)+1),4),"")</f>
        <v/>
      </c>
      <c r="AJ87" s="32">
        <f>IFERROR(ROUND(INDEX('M03-S07'!$BE$18:$BE$199,2*(ROWS(AJ$84:AJ87)-1)+1),4),"")</f>
        <v>0</v>
      </c>
      <c r="AK87" s="32" t="str">
        <f>IFERROR(ROUND(INDEX('M03-S07'!$BI$18:$BI$199,2*(ROWS(AK$84:AK87)-1)+1),4),"")</f>
        <v/>
      </c>
      <c r="AL87" s="32">
        <f>IFERROR(ROUND(INDEX('M03-S07'!$BF$18:$BF$199,2*(ROWS(AL$84:AL87)-1)+1),4),"")</f>
        <v>0</v>
      </c>
      <c r="AM87" s="32">
        <f>IFERROR(ROUND(INDEX('M03-S07'!$BA$18:$BA$199,2*(ROWS(AM$84:AM87)-1)+1),4),"")</f>
        <v>0</v>
      </c>
      <c r="AN87" s="32">
        <f>IFERROR(ROUND(INDEX('M03-S07'!$BB$18:$BB$199,2*(ROWS(AN$84:AN87)-1)+1),4),"")</f>
        <v>0</v>
      </c>
      <c r="AO87" s="32"/>
      <c r="AP87" s="182"/>
      <c r="AQ87" s="182"/>
      <c r="AR87" s="182"/>
      <c r="AS87" s="171"/>
      <c r="AT87" s="171"/>
      <c r="AU87" s="171"/>
      <c r="AV87" s="190"/>
      <c r="AW87" s="190"/>
      <c r="AX87" s="184"/>
      <c r="AY87" s="184"/>
      <c r="AZ87" s="191"/>
      <c r="BA87" s="191"/>
      <c r="BB87" s="171"/>
    </row>
    <row r="88" spans="1:54">
      <c r="A88" s="10">
        <f t="shared" si="8"/>
        <v>0</v>
      </c>
      <c r="B88" t="str">
        <f t="shared" si="9"/>
        <v/>
      </c>
      <c r="C88" t="str" cm="1">
        <f t="array" ref="C88">IFERROR(_xlfn.VALUETOTEXT(INDEX('M03-S07'!$BW$18:$BW$199,2*(ROWS($C$84:C88)-1)+1)),"")</f>
        <v/>
      </c>
      <c r="D88">
        <f>IFERROR(INDEX('M03-S07'!$B$18:$B$199,2*(ROWS(D$84:D88)-1)+1),"")</f>
        <v>5</v>
      </c>
      <c r="E88" s="51" t="str" cm="1">
        <f t="array" ref="E88">IFERROR(_xlfn.VALUETOTEXT(INDEX('M03-S07'!$BX$18:$BX$199,2*(ROWS($E$84:E88)-1)+1)),"")</f>
        <v/>
      </c>
      <c r="F88" t="str" cm="1">
        <f t="array" ref="F88">IF(C88&lt;&gt;"", _xlfn.SWITCH(Program_Banner, "Small Business / Non-Profit", "Hard-To-Reach Business", "Business Energy Savings", "Whole Business Efficiency", ""), "")</f>
        <v/>
      </c>
      <c r="G88" t="s">
        <v>938</v>
      </c>
      <c r="H88" t="str">
        <f>IFERROR(INDEX('M03-S07'!$BC$18:$BC$199,2*(ROWS($H$84:H88)-1)+1),"")</f>
        <v/>
      </c>
      <c r="I88" s="171"/>
      <c r="J88" s="182"/>
      <c r="K88" s="182"/>
      <c r="L88" s="51" t="str">
        <f>IFERROR(INDEX('M03-S07'!$BD$18:$BD$199,2*(ROWS($L$84:L88)-1)+1),"")</f>
        <v/>
      </c>
      <c r="M88" s="51">
        <f>IFERROR(INDEX('M03-S07'!$AE$18:$AE$199,2*(ROWS($M$84:M88)-1)+1),"")</f>
        <v>0</v>
      </c>
      <c r="N88" s="171"/>
      <c r="O88">
        <f>IFERROR(INDEX('M03-S07'!$C$18:$C$199,2*(ROWS(O$84:O88)-1)+1),"")</f>
        <v>0</v>
      </c>
      <c r="P88" s="171"/>
      <c r="Q88">
        <f>IFERROR(INDEX('M03-S07'!$AA$18:$AA$199,2*(ROWS(Q$84:Q88)-1)+1),"")</f>
        <v>0</v>
      </c>
      <c r="S88" t="str">
        <f>IFERROR(INDEX('M03-S07'!$AX$18:$AX$199,2*(ROWS(S$84:S88)-1)+1),"")</f>
        <v/>
      </c>
      <c r="T88" s="545" t="str">
        <f>IFERROR(ROUND(INDEX('M03-S07'!$AY$18:$AY$199,2*(ROWS(T$84:T88)-1)+1),3),"")</f>
        <v/>
      </c>
      <c r="U88" s="545" t="str">
        <f>IFERROR(ROUND(INDEX('M03-S07'!$AZ$18:$AZ$199,2*(ROWS(U$84:U88)-1)+1),3),"")</f>
        <v/>
      </c>
      <c r="V88" s="184"/>
      <c r="W88" s="184"/>
      <c r="X88" s="184"/>
      <c r="Y88" s="184"/>
      <c r="Z88" s="184"/>
      <c r="AA88" s="9" t="str" cm="1">
        <f t="array" ref="AA88">IFERROR(ROUND(INDEX('M03-S07'!$AR$18:$AR$199,2*(ROWS(AA$84:AA88)-1)+1), 2),"")</f>
        <v/>
      </c>
      <c r="AB88" s="9" t="str" cm="1">
        <f t="array" ref="AB88">_xlfn.LET(_xlpm.ROWS, 2*(ROWS(AB$84:AB88)-1)+1,IFERROR(INDEX('M03-S07'!$AR$18:$AR$199, _xlpm.ROWS)-INDEX('M03-S07'!$BS$18:$BS$199, _xlpm.ROWS),""))</f>
        <v/>
      </c>
      <c r="AC88" s="9">
        <f>IFERROR(ROUND(INDEX('M03-S07'!$AI$18:$AI$199,2*(ROWS(AC$84:AC88)-1)+1),2),"")</f>
        <v>0</v>
      </c>
      <c r="AD88" s="9">
        <f>IFERROR(ROUND(INDEX('M03-S07'!$AK$18:$AK$199,2*(ROWS(AD$84:AD88)-1)+1),2),"")</f>
        <v>0</v>
      </c>
      <c r="AE88" s="9" t="str">
        <f>IFERROR(ROUND(INDEX('M03-S07'!$BL$18:$BL$199,2*(ROWS(AE$84:AE88)-1)+1),2),"")</f>
        <v/>
      </c>
      <c r="AF88" t="s">
        <v>84</v>
      </c>
      <c r="AG88" t="str">
        <f>IFERROR(INDEX(STDWATER[Incremental Measure Cost ($/Unit)], MATCH(C88, STDWATER[Measure Number], 0))*U88, "")</f>
        <v/>
      </c>
      <c r="AH88" s="184"/>
      <c r="AI88" s="32" t="str">
        <f>IFERROR(ROUND(INDEX('M03-S07'!$BH$18:$BH$199,2*(ROWS(AI$84:AI88)-1)+1),4),"")</f>
        <v/>
      </c>
      <c r="AJ88" s="32">
        <f>IFERROR(ROUND(INDEX('M03-S07'!$BE$18:$BE$199,2*(ROWS(AJ$84:AJ88)-1)+1),4),"")</f>
        <v>0</v>
      </c>
      <c r="AK88" s="32" t="str">
        <f>IFERROR(ROUND(INDEX('M03-S07'!$BI$18:$BI$199,2*(ROWS(AK$84:AK88)-1)+1),4),"")</f>
        <v/>
      </c>
      <c r="AL88" s="32">
        <f>IFERROR(ROUND(INDEX('M03-S07'!$BF$18:$BF$199,2*(ROWS(AL$84:AL88)-1)+1),4),"")</f>
        <v>0</v>
      </c>
      <c r="AM88" s="32">
        <f>IFERROR(ROUND(INDEX('M03-S07'!$BA$18:$BA$199,2*(ROWS(AM$84:AM88)-1)+1),4),"")</f>
        <v>0</v>
      </c>
      <c r="AN88" s="32">
        <f>IFERROR(ROUND(INDEX('M03-S07'!$BB$18:$BB$199,2*(ROWS(AN$84:AN88)-1)+1),4),"")</f>
        <v>0</v>
      </c>
      <c r="AO88" s="32"/>
      <c r="AP88" s="182"/>
      <c r="AQ88" s="182"/>
      <c r="AR88" s="182"/>
      <c r="AS88" s="171"/>
      <c r="AT88" s="171"/>
      <c r="AU88" s="171"/>
      <c r="AV88" s="190"/>
      <c r="AW88" s="190"/>
      <c r="AX88" s="184"/>
      <c r="AY88" s="184"/>
      <c r="AZ88" s="191"/>
      <c r="BA88" s="191"/>
      <c r="BB88" s="171"/>
    </row>
    <row r="89" spans="1:54">
      <c r="A89" s="10">
        <f t="shared" si="8"/>
        <v>0</v>
      </c>
      <c r="B89" t="str">
        <f t="shared" si="9"/>
        <v/>
      </c>
      <c r="C89" t="str" cm="1">
        <f t="array" ref="C89">IFERROR(_xlfn.VALUETOTEXT(INDEX('M03-S07'!$BW$18:$BW$199,2*(ROWS($C$84:C89)-1)+1)),"")</f>
        <v/>
      </c>
      <c r="D89">
        <f>IFERROR(INDEX('M03-S07'!$B$18:$B$199,2*(ROWS(D$84:D89)-1)+1),"")</f>
        <v>6</v>
      </c>
      <c r="E89" s="51" t="str" cm="1">
        <f t="array" ref="E89">IFERROR(_xlfn.VALUETOTEXT(INDEX('M03-S07'!$BX$18:$BX$199,2*(ROWS($E$84:E89)-1)+1)),"")</f>
        <v/>
      </c>
      <c r="F89" t="str" cm="1">
        <f t="array" ref="F89">IF(C89&lt;&gt;"", _xlfn.SWITCH(Program_Banner, "Small Business / Non-Profit", "Hard-To-Reach Business", "Business Energy Savings", "Whole Business Efficiency", ""), "")</f>
        <v/>
      </c>
      <c r="G89" t="s">
        <v>938</v>
      </c>
      <c r="H89" t="str">
        <f>IFERROR(INDEX('M03-S07'!$BC$18:$BC$199,2*(ROWS($H$84:H89)-1)+1),"")</f>
        <v/>
      </c>
      <c r="I89" s="171"/>
      <c r="J89" s="182"/>
      <c r="K89" s="182"/>
      <c r="L89" s="51" t="str">
        <f>IFERROR(INDEX('M03-S07'!$BD$18:$BD$199,2*(ROWS($L$84:L89)-1)+1),"")</f>
        <v/>
      </c>
      <c r="M89" s="51">
        <f>IFERROR(INDEX('M03-S07'!$AE$18:$AE$199,2*(ROWS($M$84:M89)-1)+1),"")</f>
        <v>0</v>
      </c>
      <c r="N89" s="171"/>
      <c r="O89">
        <f>IFERROR(INDEX('M03-S07'!$C$18:$C$199,2*(ROWS(O$84:O89)-1)+1),"")</f>
        <v>0</v>
      </c>
      <c r="P89" s="171"/>
      <c r="Q89">
        <f>IFERROR(INDEX('M03-S07'!$AA$18:$AA$199,2*(ROWS(Q$84:Q89)-1)+1),"")</f>
        <v>0</v>
      </c>
      <c r="S89" t="str">
        <f>IFERROR(INDEX('M03-S07'!$AX$18:$AX$199,2*(ROWS(S$84:S89)-1)+1),"")</f>
        <v/>
      </c>
      <c r="T89" s="545" t="str">
        <f>IFERROR(ROUND(INDEX('M03-S07'!$AY$18:$AY$199,2*(ROWS(T$84:T89)-1)+1),3),"")</f>
        <v/>
      </c>
      <c r="U89" s="545" t="str">
        <f>IFERROR(ROUND(INDEX('M03-S07'!$AZ$18:$AZ$199,2*(ROWS(U$84:U89)-1)+1),3),"")</f>
        <v/>
      </c>
      <c r="V89" s="184"/>
      <c r="W89" s="184"/>
      <c r="X89" s="184"/>
      <c r="Y89" s="184"/>
      <c r="Z89" s="184"/>
      <c r="AA89" s="9" t="str" cm="1">
        <f t="array" ref="AA89">IFERROR(ROUND(INDEX('M03-S07'!$AR$18:$AR$199,2*(ROWS(AA$84:AA89)-1)+1), 2),"")</f>
        <v/>
      </c>
      <c r="AB89" s="9" t="str" cm="1">
        <f t="array" ref="AB89">_xlfn.LET(_xlpm.ROWS, 2*(ROWS(AB$84:AB89)-1)+1,IFERROR(INDEX('M03-S07'!$AR$18:$AR$199, _xlpm.ROWS)-INDEX('M03-S07'!$BS$18:$BS$199, _xlpm.ROWS),""))</f>
        <v/>
      </c>
      <c r="AC89" s="9">
        <f>IFERROR(ROUND(INDEX('M03-S07'!$AI$18:$AI$199,2*(ROWS(AC$84:AC89)-1)+1),2),"")</f>
        <v>0</v>
      </c>
      <c r="AD89" s="9">
        <f>IFERROR(ROUND(INDEX('M03-S07'!$AK$18:$AK$199,2*(ROWS(AD$84:AD89)-1)+1),2),"")</f>
        <v>0</v>
      </c>
      <c r="AE89" s="9" t="str">
        <f>IFERROR(ROUND(INDEX('M03-S07'!$BL$18:$BL$199,2*(ROWS(AE$84:AE89)-1)+1),2),"")</f>
        <v/>
      </c>
      <c r="AF89" t="s">
        <v>84</v>
      </c>
      <c r="AG89" t="str">
        <f>IFERROR(INDEX(STDWATER[Incremental Measure Cost ($/Unit)], MATCH(C89, STDWATER[Measure Number], 0))*U89, "")</f>
        <v/>
      </c>
      <c r="AH89" s="184"/>
      <c r="AI89" s="32" t="str">
        <f>IFERROR(ROUND(INDEX('M03-S07'!$BH$18:$BH$199,2*(ROWS(AI$84:AI89)-1)+1),4),"")</f>
        <v/>
      </c>
      <c r="AJ89" s="32">
        <f>IFERROR(ROUND(INDEX('M03-S07'!$BE$18:$BE$199,2*(ROWS(AJ$84:AJ89)-1)+1),4),"")</f>
        <v>0</v>
      </c>
      <c r="AK89" s="32" t="str">
        <f>IFERROR(ROUND(INDEX('M03-S07'!$BI$18:$BI$199,2*(ROWS(AK$84:AK89)-1)+1),4),"")</f>
        <v/>
      </c>
      <c r="AL89" s="32">
        <f>IFERROR(ROUND(INDEX('M03-S07'!$BF$18:$BF$199,2*(ROWS(AL$84:AL89)-1)+1),4),"")</f>
        <v>0</v>
      </c>
      <c r="AM89" s="32">
        <f>IFERROR(ROUND(INDEX('M03-S07'!$BA$18:$BA$199,2*(ROWS(AM$84:AM89)-1)+1),4),"")</f>
        <v>0</v>
      </c>
      <c r="AN89" s="32">
        <f>IFERROR(ROUND(INDEX('M03-S07'!$BB$18:$BB$199,2*(ROWS(AN$84:AN89)-1)+1),4),"")</f>
        <v>0</v>
      </c>
      <c r="AO89" s="32"/>
      <c r="AP89" s="182"/>
      <c r="AQ89" s="182"/>
      <c r="AR89" s="182"/>
      <c r="AS89" s="171"/>
      <c r="AT89" s="171"/>
      <c r="AU89" s="171"/>
      <c r="AV89" s="190"/>
      <c r="AW89" s="190"/>
      <c r="AX89" s="184"/>
      <c r="AY89" s="184"/>
      <c r="AZ89" s="191"/>
      <c r="BA89" s="191"/>
      <c r="BB89" s="171"/>
    </row>
    <row r="90" spans="1:54">
      <c r="A90" s="10">
        <f t="shared" si="8"/>
        <v>0</v>
      </c>
      <c r="B90" t="str">
        <f t="shared" si="9"/>
        <v/>
      </c>
      <c r="C90" t="str" cm="1">
        <f t="array" ref="C90">IFERROR(_xlfn.VALUETOTEXT(INDEX('M03-S07'!$BW$18:$BW$199,2*(ROWS($C$84:C90)-1)+1)),"")</f>
        <v/>
      </c>
      <c r="D90">
        <f>IFERROR(INDEX('M03-S07'!$B$18:$B$199,2*(ROWS(D$84:D90)-1)+1),"")</f>
        <v>7</v>
      </c>
      <c r="E90" s="51" t="str" cm="1">
        <f t="array" ref="E90">IFERROR(_xlfn.VALUETOTEXT(INDEX('M03-S07'!$BX$18:$BX$199,2*(ROWS($E$84:E90)-1)+1)),"")</f>
        <v/>
      </c>
      <c r="F90" t="str" cm="1">
        <f t="array" ref="F90">IF(C90&lt;&gt;"", _xlfn.SWITCH(Program_Banner, "Small Business / Non-Profit", "Hard-To-Reach Business", "Business Energy Savings", "Whole Business Efficiency", ""), "")</f>
        <v/>
      </c>
      <c r="G90" t="s">
        <v>938</v>
      </c>
      <c r="H90" t="str">
        <f>IFERROR(INDEX('M03-S07'!$BC$18:$BC$199,2*(ROWS($H$84:H90)-1)+1),"")</f>
        <v/>
      </c>
      <c r="I90" s="171"/>
      <c r="J90" s="182"/>
      <c r="K90" s="182"/>
      <c r="L90" s="51" t="str">
        <f>IFERROR(INDEX('M03-S07'!$BD$18:$BD$199,2*(ROWS($L$84:L90)-1)+1),"")</f>
        <v/>
      </c>
      <c r="M90" s="51">
        <f>IFERROR(INDEX('M03-S07'!$AE$18:$AE$199,2*(ROWS($M$84:M90)-1)+1),"")</f>
        <v>0</v>
      </c>
      <c r="N90" s="171"/>
      <c r="O90">
        <f>IFERROR(INDEX('M03-S07'!$C$18:$C$199,2*(ROWS(O$84:O90)-1)+1),"")</f>
        <v>0</v>
      </c>
      <c r="P90" s="171"/>
      <c r="Q90">
        <f>IFERROR(INDEX('M03-S07'!$AA$18:$AA$199,2*(ROWS(Q$84:Q90)-1)+1),"")</f>
        <v>0</v>
      </c>
      <c r="S90" t="str">
        <f>IFERROR(INDEX('M03-S07'!$AX$18:$AX$199,2*(ROWS(S$84:S90)-1)+1),"")</f>
        <v/>
      </c>
      <c r="T90" s="545" t="str">
        <f>IFERROR(ROUND(INDEX('M03-S07'!$AY$18:$AY$199,2*(ROWS(T$84:T90)-1)+1),3),"")</f>
        <v/>
      </c>
      <c r="U90" s="545" t="str">
        <f>IFERROR(ROUND(INDEX('M03-S07'!$AZ$18:$AZ$199,2*(ROWS(U$84:U90)-1)+1),3),"")</f>
        <v/>
      </c>
      <c r="V90" s="184"/>
      <c r="W90" s="184"/>
      <c r="X90" s="184"/>
      <c r="Y90" s="184"/>
      <c r="Z90" s="184"/>
      <c r="AA90" s="9" t="str" cm="1">
        <f t="array" ref="AA90">IFERROR(ROUND(INDEX('M03-S07'!$AR$18:$AR$199,2*(ROWS(AA$84:AA90)-1)+1), 2),"")</f>
        <v/>
      </c>
      <c r="AB90" s="9" t="str" cm="1">
        <f t="array" ref="AB90">_xlfn.LET(_xlpm.ROWS, 2*(ROWS(AB$84:AB90)-1)+1,IFERROR(INDEX('M03-S07'!$AR$18:$AR$199, _xlpm.ROWS)-INDEX('M03-S07'!$BS$18:$BS$199, _xlpm.ROWS),""))</f>
        <v/>
      </c>
      <c r="AC90" s="9">
        <f>IFERROR(ROUND(INDEX('M03-S07'!$AI$18:$AI$199,2*(ROWS(AC$84:AC90)-1)+1),2),"")</f>
        <v>0</v>
      </c>
      <c r="AD90" s="9">
        <f>IFERROR(ROUND(INDEX('M03-S07'!$AK$18:$AK$199,2*(ROWS(AD$84:AD90)-1)+1),2),"")</f>
        <v>0</v>
      </c>
      <c r="AE90" s="9" t="str">
        <f>IFERROR(ROUND(INDEX('M03-S07'!$BL$18:$BL$199,2*(ROWS(AE$84:AE90)-1)+1),2),"")</f>
        <v/>
      </c>
      <c r="AF90" t="s">
        <v>84</v>
      </c>
      <c r="AG90" t="str">
        <f>IFERROR(INDEX(STDWATER[Incremental Measure Cost ($/Unit)], MATCH(C90, STDWATER[Measure Number], 0))*U90, "")</f>
        <v/>
      </c>
      <c r="AH90" s="184"/>
      <c r="AI90" s="32" t="str">
        <f>IFERROR(ROUND(INDEX('M03-S07'!$BH$18:$BH$199,2*(ROWS(AI$84:AI90)-1)+1),4),"")</f>
        <v/>
      </c>
      <c r="AJ90" s="32">
        <f>IFERROR(ROUND(INDEX('M03-S07'!$BE$18:$BE$199,2*(ROWS(AJ$84:AJ90)-1)+1),4),"")</f>
        <v>0</v>
      </c>
      <c r="AK90" s="32" t="str">
        <f>IFERROR(ROUND(INDEX('M03-S07'!$BI$18:$BI$199,2*(ROWS(AK$84:AK90)-1)+1),4),"")</f>
        <v/>
      </c>
      <c r="AL90" s="32">
        <f>IFERROR(ROUND(INDEX('M03-S07'!$BF$18:$BF$199,2*(ROWS(AL$84:AL90)-1)+1),4),"")</f>
        <v>0</v>
      </c>
      <c r="AM90" s="32">
        <f>IFERROR(ROUND(INDEX('M03-S07'!$BA$18:$BA$199,2*(ROWS(AM$84:AM90)-1)+1),4),"")</f>
        <v>0</v>
      </c>
      <c r="AN90" s="32">
        <f>IFERROR(ROUND(INDEX('M03-S07'!$BB$18:$BB$199,2*(ROWS(AN$84:AN90)-1)+1),4),"")</f>
        <v>0</v>
      </c>
      <c r="AO90" s="32"/>
      <c r="AP90" s="182"/>
      <c r="AQ90" s="182"/>
      <c r="AR90" s="182"/>
      <c r="AS90" s="171"/>
      <c r="AT90" s="171"/>
      <c r="AU90" s="171"/>
      <c r="AV90" s="190"/>
      <c r="AW90" s="190"/>
      <c r="AX90" s="184"/>
      <c r="AY90" s="184"/>
      <c r="AZ90" s="191"/>
      <c r="BA90" s="191"/>
      <c r="BB90" s="171"/>
    </row>
    <row r="91" spans="1:54">
      <c r="A91" s="10">
        <f t="shared" si="8"/>
        <v>0</v>
      </c>
      <c r="B91" t="str">
        <f t="shared" si="9"/>
        <v/>
      </c>
      <c r="C91" t="str" cm="1">
        <f t="array" ref="C91">IFERROR(_xlfn.VALUETOTEXT(INDEX('M03-S07'!$BW$18:$BW$199,2*(ROWS($C$84:C91)-1)+1)),"")</f>
        <v/>
      </c>
      <c r="D91">
        <f>IFERROR(INDEX('M03-S07'!$B$18:$B$199,2*(ROWS(D$84:D91)-1)+1),"")</f>
        <v>8</v>
      </c>
      <c r="E91" s="51" t="str" cm="1">
        <f t="array" ref="E91">IFERROR(_xlfn.VALUETOTEXT(INDEX('M03-S07'!$BX$18:$BX$199,2*(ROWS($E$84:E91)-1)+1)),"")</f>
        <v/>
      </c>
      <c r="F91" t="str" cm="1">
        <f t="array" ref="F91">IF(C91&lt;&gt;"", _xlfn.SWITCH(Program_Banner, "Small Business / Non-Profit", "Hard-To-Reach Business", "Business Energy Savings", "Whole Business Efficiency", ""), "")</f>
        <v/>
      </c>
      <c r="G91" t="s">
        <v>938</v>
      </c>
      <c r="H91" t="str">
        <f>IFERROR(INDEX('M03-S07'!$BC$18:$BC$199,2*(ROWS($H$84:H91)-1)+1),"")</f>
        <v/>
      </c>
      <c r="I91" s="171"/>
      <c r="J91" s="182"/>
      <c r="K91" s="182"/>
      <c r="L91" s="51" t="str">
        <f>IFERROR(INDEX('M03-S07'!$BD$18:$BD$199,2*(ROWS($L$84:L91)-1)+1),"")</f>
        <v/>
      </c>
      <c r="M91" s="51">
        <f>IFERROR(INDEX('M03-S07'!$AE$18:$AE$199,2*(ROWS($M$84:M91)-1)+1),"")</f>
        <v>0</v>
      </c>
      <c r="N91" s="171"/>
      <c r="O91">
        <f>IFERROR(INDEX('M03-S07'!$C$18:$C$199,2*(ROWS(O$84:O91)-1)+1),"")</f>
        <v>0</v>
      </c>
      <c r="P91" s="171"/>
      <c r="Q91">
        <f>IFERROR(INDEX('M03-S07'!$AA$18:$AA$199,2*(ROWS(Q$84:Q91)-1)+1),"")</f>
        <v>0</v>
      </c>
      <c r="S91" t="str">
        <f>IFERROR(INDEX('M03-S07'!$AX$18:$AX$199,2*(ROWS(S$84:S91)-1)+1),"")</f>
        <v/>
      </c>
      <c r="T91" s="545" t="str">
        <f>IFERROR(ROUND(INDEX('M03-S07'!$AY$18:$AY$199,2*(ROWS(T$84:T91)-1)+1),3),"")</f>
        <v/>
      </c>
      <c r="U91" s="545" t="str">
        <f>IFERROR(ROUND(INDEX('M03-S07'!$AZ$18:$AZ$199,2*(ROWS(U$84:U91)-1)+1),3),"")</f>
        <v/>
      </c>
      <c r="V91" s="184"/>
      <c r="W91" s="184"/>
      <c r="X91" s="184"/>
      <c r="Y91" s="184"/>
      <c r="Z91" s="184"/>
      <c r="AA91" s="9" t="str" cm="1">
        <f t="array" ref="AA91">IFERROR(ROUND(INDEX('M03-S07'!$AR$18:$AR$199,2*(ROWS(AA$84:AA91)-1)+1), 2),"")</f>
        <v/>
      </c>
      <c r="AB91" s="9" t="str" cm="1">
        <f t="array" ref="AB91">_xlfn.LET(_xlpm.ROWS, 2*(ROWS(AB$84:AB91)-1)+1,IFERROR(INDEX('M03-S07'!$AR$18:$AR$199, _xlpm.ROWS)-INDEX('M03-S07'!$BS$18:$BS$199, _xlpm.ROWS),""))</f>
        <v/>
      </c>
      <c r="AC91" s="9">
        <f>IFERROR(ROUND(INDEX('M03-S07'!$AI$18:$AI$199,2*(ROWS(AC$84:AC91)-1)+1),2),"")</f>
        <v>0</v>
      </c>
      <c r="AD91" s="9">
        <f>IFERROR(ROUND(INDEX('M03-S07'!$AK$18:$AK$199,2*(ROWS(AD$84:AD91)-1)+1),2),"")</f>
        <v>0</v>
      </c>
      <c r="AE91" s="9" t="str">
        <f>IFERROR(ROUND(INDEX('M03-S07'!$BL$18:$BL$199,2*(ROWS(AE$84:AE91)-1)+1),2),"")</f>
        <v/>
      </c>
      <c r="AF91" t="s">
        <v>84</v>
      </c>
      <c r="AG91" t="str">
        <f>IFERROR(INDEX(STDWATER[Incremental Measure Cost ($/Unit)], MATCH(C91, STDWATER[Measure Number], 0))*U91, "")</f>
        <v/>
      </c>
      <c r="AH91" s="184"/>
      <c r="AI91" s="32" t="str">
        <f>IFERROR(ROUND(INDEX('M03-S07'!$BH$18:$BH$199,2*(ROWS(AI$84:AI91)-1)+1),4),"")</f>
        <v/>
      </c>
      <c r="AJ91" s="32">
        <f>IFERROR(ROUND(INDEX('M03-S07'!$BE$18:$BE$199,2*(ROWS(AJ$84:AJ91)-1)+1),4),"")</f>
        <v>0</v>
      </c>
      <c r="AK91" s="32" t="str">
        <f>IFERROR(ROUND(INDEX('M03-S07'!$BI$18:$BI$199,2*(ROWS(AK$84:AK91)-1)+1),4),"")</f>
        <v/>
      </c>
      <c r="AL91" s="32">
        <f>IFERROR(ROUND(INDEX('M03-S07'!$BF$18:$BF$199,2*(ROWS(AL$84:AL91)-1)+1),4),"")</f>
        <v>0</v>
      </c>
      <c r="AM91" s="32">
        <f>IFERROR(ROUND(INDEX('M03-S07'!$BA$18:$BA$199,2*(ROWS(AM$84:AM91)-1)+1),4),"")</f>
        <v>0</v>
      </c>
      <c r="AN91" s="32">
        <f>IFERROR(ROUND(INDEX('M03-S07'!$BB$18:$BB$199,2*(ROWS(AN$84:AN91)-1)+1),4),"")</f>
        <v>0</v>
      </c>
      <c r="AO91" s="32"/>
      <c r="AP91" s="182"/>
      <c r="AQ91" s="182"/>
      <c r="AR91" s="182"/>
      <c r="AS91" s="171"/>
      <c r="AT91" s="171"/>
      <c r="AU91" s="171"/>
      <c r="AV91" s="190"/>
      <c r="AW91" s="190"/>
      <c r="AX91" s="184"/>
      <c r="AY91" s="184"/>
      <c r="AZ91" s="191"/>
      <c r="BA91" s="191"/>
      <c r="BB91" s="171"/>
    </row>
    <row r="92" spans="1:54">
      <c r="A92" s="10">
        <f t="shared" si="8"/>
        <v>0</v>
      </c>
      <c r="B92" t="str">
        <f t="shared" si="9"/>
        <v/>
      </c>
      <c r="C92" t="str" cm="1">
        <f t="array" ref="C92">IFERROR(_xlfn.VALUETOTEXT(INDEX('M03-S07'!$BW$18:$BW$199,2*(ROWS($C$84:C92)-1)+1)),"")</f>
        <v/>
      </c>
      <c r="D92">
        <f>IFERROR(INDEX('M03-S07'!$B$18:$B$199,2*(ROWS(D$84:D92)-1)+1),"")</f>
        <v>9</v>
      </c>
      <c r="E92" s="51" t="str" cm="1">
        <f t="array" ref="E92">IFERROR(_xlfn.VALUETOTEXT(INDEX('M03-S07'!$BX$18:$BX$199,2*(ROWS($E$84:E92)-1)+1)),"")</f>
        <v/>
      </c>
      <c r="F92" t="str" cm="1">
        <f t="array" ref="F92">IF(C92&lt;&gt;"", _xlfn.SWITCH(Program_Banner, "Small Business / Non-Profit", "Hard-To-Reach Business", "Business Energy Savings", "Whole Business Efficiency", ""), "")</f>
        <v/>
      </c>
      <c r="G92" t="s">
        <v>938</v>
      </c>
      <c r="H92" t="str">
        <f>IFERROR(INDEX('M03-S07'!$BC$18:$BC$199,2*(ROWS($H$84:H92)-1)+1),"")</f>
        <v/>
      </c>
      <c r="I92" s="171"/>
      <c r="J92" s="182"/>
      <c r="K92" s="182"/>
      <c r="L92" s="51" t="str">
        <f>IFERROR(INDEX('M03-S07'!$BD$18:$BD$199,2*(ROWS($L$84:L92)-1)+1),"")</f>
        <v/>
      </c>
      <c r="M92" s="51">
        <f>IFERROR(INDEX('M03-S07'!$AE$18:$AE$199,2*(ROWS($M$84:M92)-1)+1),"")</f>
        <v>0</v>
      </c>
      <c r="N92" s="171"/>
      <c r="O92">
        <f>IFERROR(INDEX('M03-S07'!$C$18:$C$199,2*(ROWS(O$84:O92)-1)+1),"")</f>
        <v>0</v>
      </c>
      <c r="P92" s="171"/>
      <c r="Q92">
        <f>IFERROR(INDEX('M03-S07'!$AA$18:$AA$199,2*(ROWS(Q$84:Q92)-1)+1),"")</f>
        <v>0</v>
      </c>
      <c r="S92" t="str">
        <f>IFERROR(INDEX('M03-S07'!$AX$18:$AX$199,2*(ROWS(S$84:S92)-1)+1),"")</f>
        <v/>
      </c>
      <c r="T92" s="545" t="str">
        <f>IFERROR(ROUND(INDEX('M03-S07'!$AY$18:$AY$199,2*(ROWS(T$84:T92)-1)+1),3),"")</f>
        <v/>
      </c>
      <c r="U92" s="545" t="str">
        <f>IFERROR(ROUND(INDEX('M03-S07'!$AZ$18:$AZ$199,2*(ROWS(U$84:U92)-1)+1),3),"")</f>
        <v/>
      </c>
      <c r="V92" s="184"/>
      <c r="W92" s="184"/>
      <c r="X92" s="184"/>
      <c r="Y92" s="184"/>
      <c r="Z92" s="184"/>
      <c r="AA92" s="9" t="str" cm="1">
        <f t="array" ref="AA92">IFERROR(ROUND(INDEX('M03-S07'!$AR$18:$AR$199,2*(ROWS(AA$84:AA92)-1)+1), 2),"")</f>
        <v/>
      </c>
      <c r="AB92" s="9" t="str" cm="1">
        <f t="array" ref="AB92">_xlfn.LET(_xlpm.ROWS, 2*(ROWS(AB$84:AB92)-1)+1,IFERROR(INDEX('M03-S07'!$AR$18:$AR$199, _xlpm.ROWS)-INDEX('M03-S07'!$BS$18:$BS$199, _xlpm.ROWS),""))</f>
        <v/>
      </c>
      <c r="AC92" s="9">
        <f>IFERROR(ROUND(INDEX('M03-S07'!$AI$18:$AI$199,2*(ROWS(AC$84:AC92)-1)+1),2),"")</f>
        <v>0</v>
      </c>
      <c r="AD92" s="9">
        <f>IFERROR(ROUND(INDEX('M03-S07'!$AK$18:$AK$199,2*(ROWS(AD$84:AD92)-1)+1),2),"")</f>
        <v>0</v>
      </c>
      <c r="AE92" s="9" t="str">
        <f>IFERROR(ROUND(INDEX('M03-S07'!$BL$18:$BL$199,2*(ROWS(AE$84:AE92)-1)+1),2),"")</f>
        <v/>
      </c>
      <c r="AF92" t="s">
        <v>84</v>
      </c>
      <c r="AG92" t="str">
        <f>IFERROR(INDEX(STDWATER[Incremental Measure Cost ($/Unit)], MATCH(C92, STDWATER[Measure Number], 0))*U92, "")</f>
        <v/>
      </c>
      <c r="AH92" s="184"/>
      <c r="AI92" s="32" t="str">
        <f>IFERROR(ROUND(INDEX('M03-S07'!$BH$18:$BH$199,2*(ROWS(AI$84:AI92)-1)+1),4),"")</f>
        <v/>
      </c>
      <c r="AJ92" s="32">
        <f>IFERROR(ROUND(INDEX('M03-S07'!$BE$18:$BE$199,2*(ROWS(AJ$84:AJ92)-1)+1),4),"")</f>
        <v>0</v>
      </c>
      <c r="AK92" s="32" t="str">
        <f>IFERROR(ROUND(INDEX('M03-S07'!$BI$18:$BI$199,2*(ROWS(AK$84:AK92)-1)+1),4),"")</f>
        <v/>
      </c>
      <c r="AL92" s="32">
        <f>IFERROR(ROUND(INDEX('M03-S07'!$BF$18:$BF$199,2*(ROWS(AL$84:AL92)-1)+1),4),"")</f>
        <v>0</v>
      </c>
      <c r="AM92" s="32">
        <f>IFERROR(ROUND(INDEX('M03-S07'!$BA$18:$BA$199,2*(ROWS(AM$84:AM92)-1)+1),4),"")</f>
        <v>0</v>
      </c>
      <c r="AN92" s="32">
        <f>IFERROR(ROUND(INDEX('M03-S07'!$BB$18:$BB$199,2*(ROWS(AN$84:AN92)-1)+1),4),"")</f>
        <v>0</v>
      </c>
      <c r="AO92" s="32"/>
      <c r="AP92" s="182"/>
      <c r="AQ92" s="182"/>
      <c r="AR92" s="182"/>
      <c r="AS92" s="171"/>
      <c r="AT92" s="171"/>
      <c r="AU92" s="171"/>
      <c r="AV92" s="190"/>
      <c r="AW92" s="190"/>
      <c r="AX92" s="184"/>
      <c r="AY92" s="184"/>
      <c r="AZ92" s="191"/>
      <c r="BA92" s="191"/>
      <c r="BB92" s="171"/>
    </row>
    <row r="93" spans="1:54">
      <c r="A93" s="10">
        <f t="shared" si="8"/>
        <v>0</v>
      </c>
      <c r="B93" t="str">
        <f t="shared" si="9"/>
        <v/>
      </c>
      <c r="C93" t="str" cm="1">
        <f t="array" ref="C93">IFERROR(_xlfn.VALUETOTEXT(INDEX('M03-S07'!$BW$18:$BW$199,2*(ROWS($C$84:C93)-1)+1)),"")</f>
        <v/>
      </c>
      <c r="D93">
        <f>IFERROR(INDEX('M03-S07'!$B$18:$B$199,2*(ROWS(D$84:D93)-1)+1),"")</f>
        <v>10</v>
      </c>
      <c r="E93" s="51" t="str" cm="1">
        <f t="array" ref="E93">IFERROR(_xlfn.VALUETOTEXT(INDEX('M03-S07'!$BX$18:$BX$199,2*(ROWS($E$84:E93)-1)+1)),"")</f>
        <v/>
      </c>
      <c r="F93" t="str" cm="1">
        <f t="array" ref="F93">IF(C93&lt;&gt;"", _xlfn.SWITCH(Program_Banner, "Small Business / Non-Profit", "Hard-To-Reach Business", "Business Energy Savings", "Whole Business Efficiency", ""), "")</f>
        <v/>
      </c>
      <c r="G93" t="s">
        <v>938</v>
      </c>
      <c r="H93" t="str">
        <f>IFERROR(INDEX('M03-S07'!$BC$18:$BC$199,2*(ROWS($H$84:H93)-1)+1),"")</f>
        <v/>
      </c>
      <c r="I93" s="171"/>
      <c r="J93" s="182"/>
      <c r="K93" s="182"/>
      <c r="L93" s="51" t="str">
        <f>IFERROR(INDEX('M03-S07'!$BD$18:$BD$199,2*(ROWS($L$84:L93)-1)+1),"")</f>
        <v/>
      </c>
      <c r="M93" s="51">
        <f>IFERROR(INDEX('M03-S07'!$AE$18:$AE$199,2*(ROWS($M$84:M93)-1)+1),"")</f>
        <v>0</v>
      </c>
      <c r="N93" s="171"/>
      <c r="O93">
        <f>IFERROR(INDEX('M03-S07'!$C$18:$C$199,2*(ROWS(O$84:O93)-1)+1),"")</f>
        <v>0</v>
      </c>
      <c r="P93" s="171"/>
      <c r="Q93">
        <f>IFERROR(INDEX('M03-S07'!$AA$18:$AA$199,2*(ROWS(Q$84:Q93)-1)+1),"")</f>
        <v>0</v>
      </c>
      <c r="S93" t="str">
        <f>IFERROR(INDEX('M03-S07'!$AX$18:$AX$199,2*(ROWS(S$84:S93)-1)+1),"")</f>
        <v/>
      </c>
      <c r="T93" s="545" t="str">
        <f>IFERROR(ROUND(INDEX('M03-S07'!$AY$18:$AY$199,2*(ROWS(T$84:T93)-1)+1),3),"")</f>
        <v/>
      </c>
      <c r="U93" s="545" t="str">
        <f>IFERROR(ROUND(INDEX('M03-S07'!$AZ$18:$AZ$199,2*(ROWS(U$84:U93)-1)+1),3),"")</f>
        <v/>
      </c>
      <c r="V93" s="184"/>
      <c r="W93" s="184"/>
      <c r="X93" s="184"/>
      <c r="Y93" s="184"/>
      <c r="Z93" s="184"/>
      <c r="AA93" s="9" t="str" cm="1">
        <f t="array" ref="AA93">IFERROR(ROUND(INDEX('M03-S07'!$AR$18:$AR$199,2*(ROWS(AA$84:AA93)-1)+1), 2),"")</f>
        <v/>
      </c>
      <c r="AB93" s="9" t="str" cm="1">
        <f t="array" ref="AB93">_xlfn.LET(_xlpm.ROWS, 2*(ROWS(AB$84:AB93)-1)+1,IFERROR(INDEX('M03-S07'!$AR$18:$AR$199, _xlpm.ROWS)-INDEX('M03-S07'!$BS$18:$BS$199, _xlpm.ROWS),""))</f>
        <v/>
      </c>
      <c r="AC93" s="9">
        <f>IFERROR(ROUND(INDEX('M03-S07'!$AI$18:$AI$199,2*(ROWS(AC$84:AC93)-1)+1),2),"")</f>
        <v>0</v>
      </c>
      <c r="AD93" s="9">
        <f>IFERROR(ROUND(INDEX('M03-S07'!$AK$18:$AK$199,2*(ROWS(AD$84:AD93)-1)+1),2),"")</f>
        <v>0</v>
      </c>
      <c r="AE93" s="9" t="str">
        <f>IFERROR(ROUND(INDEX('M03-S07'!$BL$18:$BL$199,2*(ROWS(AE$84:AE93)-1)+1),2),"")</f>
        <v/>
      </c>
      <c r="AF93" t="s">
        <v>84</v>
      </c>
      <c r="AG93" t="str">
        <f>IFERROR(INDEX(STDWATER[Incremental Measure Cost ($/Unit)], MATCH(C93, STDWATER[Measure Number], 0))*U93, "")</f>
        <v/>
      </c>
      <c r="AH93" s="184"/>
      <c r="AI93" s="32" t="str">
        <f>IFERROR(ROUND(INDEX('M03-S07'!$BH$18:$BH$199,2*(ROWS(AI$84:AI93)-1)+1),4),"")</f>
        <v/>
      </c>
      <c r="AJ93" s="32">
        <f>IFERROR(ROUND(INDEX('M03-S07'!$BE$18:$BE$199,2*(ROWS(AJ$84:AJ93)-1)+1),4),"")</f>
        <v>0</v>
      </c>
      <c r="AK93" s="32" t="str">
        <f>IFERROR(ROUND(INDEX('M03-S07'!$BI$18:$BI$199,2*(ROWS(AK$84:AK93)-1)+1),4),"")</f>
        <v/>
      </c>
      <c r="AL93" s="32">
        <f>IFERROR(ROUND(INDEX('M03-S07'!$BF$18:$BF$199,2*(ROWS(AL$84:AL93)-1)+1),4),"")</f>
        <v>0</v>
      </c>
      <c r="AM93" s="32">
        <f>IFERROR(ROUND(INDEX('M03-S07'!$BA$18:$BA$199,2*(ROWS(AM$84:AM93)-1)+1),4),"")</f>
        <v>0</v>
      </c>
      <c r="AN93" s="32">
        <f>IFERROR(ROUND(INDEX('M03-S07'!$BB$18:$BB$199,2*(ROWS(AN$84:AN93)-1)+1),4),"")</f>
        <v>0</v>
      </c>
      <c r="AO93" s="32"/>
      <c r="AP93" s="182"/>
      <c r="AQ93" s="182"/>
      <c r="AR93" s="182"/>
      <c r="AS93" s="171"/>
      <c r="AT93" s="171"/>
      <c r="AU93" s="171"/>
      <c r="AV93" s="190"/>
      <c r="AW93" s="190"/>
      <c r="AX93" s="184"/>
      <c r="AY93" s="184"/>
      <c r="AZ93" s="191"/>
      <c r="BA93" s="191"/>
      <c r="BB93" s="171"/>
    </row>
    <row r="94" spans="1:54">
      <c r="A94" s="10">
        <f t="shared" si="8"/>
        <v>0</v>
      </c>
      <c r="B94" t="str">
        <f t="shared" si="9"/>
        <v/>
      </c>
      <c r="C94" t="str" cm="1">
        <f t="array" ref="C94">IFERROR(_xlfn.VALUETOTEXT(INDEX('M03-S07'!$BW$18:$BW$199,2*(ROWS($C$84:C94)-1)+1)),"")</f>
        <v/>
      </c>
      <c r="D94">
        <f>IFERROR(INDEX('M03-S07'!$B$18:$B$199,2*(ROWS(D$84:D94)-1)+1),"")</f>
        <v>0</v>
      </c>
      <c r="E94" s="51" t="str" cm="1">
        <f t="array" ref="E94">IFERROR(_xlfn.VALUETOTEXT(INDEX('M03-S07'!$BX$18:$BX$199,2*(ROWS($E$84:E94)-1)+1)),"")</f>
        <v/>
      </c>
      <c r="F94" t="str" cm="1">
        <f t="array" ref="F94">IF(C94&lt;&gt;"", _xlfn.SWITCH(Program_Banner, "Small Business / Non-Profit", "Hard-To-Reach Business", "Business Energy Savings", "Whole Business Efficiency", ""), "")</f>
        <v/>
      </c>
      <c r="G94" t="s">
        <v>938</v>
      </c>
      <c r="H94">
        <f>IFERROR(INDEX('M03-S07'!$BC$18:$BC$199,2*(ROWS($H$84:H94)-1)+1),"")</f>
        <v>0</v>
      </c>
      <c r="I94" s="171"/>
      <c r="J94" s="182"/>
      <c r="K94" s="182"/>
      <c r="L94" s="51">
        <f>IFERROR(INDEX('M03-S07'!$BD$18:$BD$199,2*(ROWS($L$84:L94)-1)+1),"")</f>
        <v>0</v>
      </c>
      <c r="M94" s="51">
        <f>IFERROR(INDEX('M03-S07'!$AE$18:$AE$199,2*(ROWS($M$84:M94)-1)+1),"")</f>
        <v>0</v>
      </c>
      <c r="N94" s="171"/>
      <c r="O94">
        <f>IFERROR(INDEX('M03-S07'!$C$18:$C$199,2*(ROWS(O$84:O94)-1)+1),"")</f>
        <v>0</v>
      </c>
      <c r="P94" s="171"/>
      <c r="Q94">
        <f>IFERROR(INDEX('M03-S07'!$AA$18:$AA$199,2*(ROWS(Q$84:Q94)-1)+1),"")</f>
        <v>0</v>
      </c>
      <c r="S94">
        <f>IFERROR(INDEX('M03-S07'!$AX$18:$AX$199,2*(ROWS(S$84:S94)-1)+1),"")</f>
        <v>0</v>
      </c>
      <c r="T94" s="545">
        <f>IFERROR(ROUND(INDEX('M03-S07'!$AY$18:$AY$199,2*(ROWS(T$84:T94)-1)+1),3),"")</f>
        <v>0</v>
      </c>
      <c r="U94" s="545">
        <f>IFERROR(ROUND(INDEX('M03-S07'!$AZ$18:$AZ$199,2*(ROWS(U$84:U94)-1)+1),3),"")</f>
        <v>0</v>
      </c>
      <c r="V94" s="184"/>
      <c r="W94" s="184"/>
      <c r="X94" s="184"/>
      <c r="Y94" s="184"/>
      <c r="Z94" s="184"/>
      <c r="AA94" s="9" cm="1">
        <f t="array" ref="AA94">IFERROR(ROUND(INDEX('M03-S07'!$AR$18:$AR$199,2*(ROWS(AA$84:AA94)-1)+1), 2),"")</f>
        <v>0</v>
      </c>
      <c r="AB94" s="9" cm="1">
        <f t="array" ref="AB94">_xlfn.LET(_xlpm.ROWS, 2*(ROWS(AB$84:AB94)-1)+1,IFERROR(INDEX('M03-S07'!$AR$18:$AR$199, _xlpm.ROWS)-INDEX('M03-S07'!$BS$18:$BS$199, _xlpm.ROWS),""))</f>
        <v>0</v>
      </c>
      <c r="AC94" s="9">
        <f>IFERROR(ROUND(INDEX('M03-S07'!$AI$18:$AI$199,2*(ROWS(AC$84:AC94)-1)+1),2),"")</f>
        <v>0</v>
      </c>
      <c r="AD94" s="9">
        <f>IFERROR(ROUND(INDEX('M03-S07'!$AK$18:$AK$199,2*(ROWS(AD$84:AD94)-1)+1),2),"")</f>
        <v>0</v>
      </c>
      <c r="AE94" s="9">
        <f>IFERROR(ROUND(INDEX('M03-S07'!$BL$18:$BL$199,2*(ROWS(AE$84:AE94)-1)+1),2),"")</f>
        <v>0</v>
      </c>
      <c r="AF94" t="s">
        <v>84</v>
      </c>
      <c r="AG94" t="str">
        <f>IFERROR(INDEX(STDWATER[Incremental Measure Cost ($/Unit)], MATCH(C94, STDWATER[Measure Number], 0))*U94, "")</f>
        <v/>
      </c>
      <c r="AH94" s="184"/>
      <c r="AI94" s="32">
        <f>IFERROR(ROUND(INDEX('M03-S07'!$BH$18:$BH$199,2*(ROWS(AI$84:AI94)-1)+1),4),"")</f>
        <v>0</v>
      </c>
      <c r="AJ94" s="32">
        <f>IFERROR(ROUND(INDEX('M03-S07'!$BE$18:$BE$199,2*(ROWS(AJ$84:AJ94)-1)+1),4),"")</f>
        <v>0</v>
      </c>
      <c r="AK94" s="32">
        <f>IFERROR(ROUND(INDEX('M03-S07'!$BI$18:$BI$199,2*(ROWS(AK$84:AK94)-1)+1),4),"")</f>
        <v>0</v>
      </c>
      <c r="AL94" s="32">
        <f>IFERROR(ROUND(INDEX('M03-S07'!$BF$18:$BF$199,2*(ROWS(AL$84:AL94)-1)+1),4),"")</f>
        <v>0</v>
      </c>
      <c r="AM94" s="32">
        <f>IFERROR(ROUND(INDEX('M03-S07'!$BA$18:$BA$199,2*(ROWS(AM$84:AM94)-1)+1),4),"")</f>
        <v>0</v>
      </c>
      <c r="AN94" s="32">
        <f>IFERROR(ROUND(INDEX('M03-S07'!$BB$18:$BB$199,2*(ROWS(AN$84:AN94)-1)+1),4),"")</f>
        <v>0</v>
      </c>
      <c r="AO94" s="32"/>
      <c r="AP94" s="182"/>
      <c r="AQ94" s="182"/>
      <c r="AR94" s="182"/>
      <c r="AS94" s="171"/>
      <c r="AT94" s="171"/>
      <c r="AU94" s="171"/>
      <c r="AV94" s="190"/>
      <c r="AW94" s="190"/>
      <c r="AX94" s="184"/>
      <c r="AY94" s="184"/>
      <c r="AZ94" s="191"/>
      <c r="BA94" s="191"/>
      <c r="BB94" s="171"/>
    </row>
    <row r="95" spans="1:54">
      <c r="A95" s="10">
        <f t="shared" si="8"/>
        <v>0</v>
      </c>
      <c r="B95" t="str">
        <f t="shared" si="9"/>
        <v/>
      </c>
      <c r="C95" t="str" cm="1">
        <f t="array" ref="C95">IFERROR(_xlfn.VALUETOTEXT(INDEX('M03-S07'!$BW$18:$BW$199,2*(ROWS($C$84:C95)-1)+1)),"")</f>
        <v/>
      </c>
      <c r="D95">
        <f>IFERROR(INDEX('M03-S07'!$B$18:$B$199,2*(ROWS(D$84:D95)-1)+1),"")</f>
        <v>0</v>
      </c>
      <c r="E95" s="51" t="str" cm="1">
        <f t="array" ref="E95">IFERROR(_xlfn.VALUETOTEXT(INDEX('M03-S07'!$BX$18:$BX$199,2*(ROWS($E$84:E95)-1)+1)),"")</f>
        <v/>
      </c>
      <c r="F95" t="str" cm="1">
        <f t="array" ref="F95">IF(C95&lt;&gt;"", _xlfn.SWITCH(Program_Banner, "Small Business / Non-Profit", "Hard-To-Reach Business", "Business Energy Savings", "Whole Business Efficiency", ""), "")</f>
        <v/>
      </c>
      <c r="G95" t="s">
        <v>938</v>
      </c>
      <c r="H95">
        <f>IFERROR(INDEX('M03-S07'!$BC$18:$BC$199,2*(ROWS($H$84:H95)-1)+1),"")</f>
        <v>0</v>
      </c>
      <c r="I95" s="171"/>
      <c r="J95" s="182"/>
      <c r="K95" s="182"/>
      <c r="L95" s="51">
        <f>IFERROR(INDEX('M03-S07'!$BD$18:$BD$199,2*(ROWS($L$84:L95)-1)+1),"")</f>
        <v>0</v>
      </c>
      <c r="M95" s="51">
        <f>IFERROR(INDEX('M03-S07'!$AE$18:$AE$199,2*(ROWS($M$84:M95)-1)+1),"")</f>
        <v>0</v>
      </c>
      <c r="N95" s="171"/>
      <c r="O95">
        <f>IFERROR(INDEX('M03-S07'!$C$18:$C$199,2*(ROWS(O$84:O95)-1)+1),"")</f>
        <v>0</v>
      </c>
      <c r="P95" s="171"/>
      <c r="Q95">
        <f>IFERROR(INDEX('M03-S07'!$AA$18:$AA$199,2*(ROWS(Q$84:Q95)-1)+1),"")</f>
        <v>0</v>
      </c>
      <c r="S95">
        <f>IFERROR(INDEX('M03-S07'!$AX$18:$AX$199,2*(ROWS(S$84:S95)-1)+1),"")</f>
        <v>0</v>
      </c>
      <c r="T95" s="545">
        <f>IFERROR(ROUND(INDEX('M03-S07'!$AY$18:$AY$199,2*(ROWS(T$84:T95)-1)+1),3),"")</f>
        <v>0</v>
      </c>
      <c r="U95" s="545">
        <f>IFERROR(ROUND(INDEX('M03-S07'!$AZ$18:$AZ$199,2*(ROWS(U$84:U95)-1)+1),3),"")</f>
        <v>0</v>
      </c>
      <c r="V95" s="184"/>
      <c r="W95" s="184"/>
      <c r="X95" s="184"/>
      <c r="Y95" s="184"/>
      <c r="Z95" s="184"/>
      <c r="AA95" s="9" cm="1">
        <f t="array" ref="AA95">IFERROR(ROUND(INDEX('M03-S07'!$AR$18:$AR$199,2*(ROWS(AA$84:AA95)-1)+1), 2),"")</f>
        <v>0</v>
      </c>
      <c r="AB95" s="9" cm="1">
        <f t="array" ref="AB95">_xlfn.LET(_xlpm.ROWS, 2*(ROWS(AB$84:AB95)-1)+1,IFERROR(INDEX('M03-S07'!$AR$18:$AR$199, _xlpm.ROWS)-INDEX('M03-S07'!$BS$18:$BS$199, _xlpm.ROWS),""))</f>
        <v>0</v>
      </c>
      <c r="AC95" s="9">
        <f>IFERROR(ROUND(INDEX('M03-S07'!$AI$18:$AI$199,2*(ROWS(AC$84:AC95)-1)+1),2),"")</f>
        <v>0</v>
      </c>
      <c r="AD95" s="9">
        <f>IFERROR(ROUND(INDEX('M03-S07'!$AK$18:$AK$199,2*(ROWS(AD$84:AD95)-1)+1),2),"")</f>
        <v>0</v>
      </c>
      <c r="AE95" s="9">
        <f>IFERROR(ROUND(INDEX('M03-S07'!$BL$18:$BL$199,2*(ROWS(AE$84:AE95)-1)+1),2),"")</f>
        <v>0</v>
      </c>
      <c r="AF95" t="s">
        <v>84</v>
      </c>
      <c r="AG95" t="str">
        <f>IFERROR(INDEX(STDWATER[Incremental Measure Cost ($/Unit)], MATCH(C95, STDWATER[Measure Number], 0))*U95, "")</f>
        <v/>
      </c>
      <c r="AH95" s="184"/>
      <c r="AI95" s="32">
        <f>IFERROR(ROUND(INDEX('M03-S07'!$BH$18:$BH$199,2*(ROWS(AI$84:AI95)-1)+1),4),"")</f>
        <v>0</v>
      </c>
      <c r="AJ95" s="32">
        <f>IFERROR(ROUND(INDEX('M03-S07'!$BE$18:$BE$199,2*(ROWS(AJ$84:AJ95)-1)+1),4),"")</f>
        <v>0</v>
      </c>
      <c r="AK95" s="32">
        <f>IFERROR(ROUND(INDEX('M03-S07'!$BI$18:$BI$199,2*(ROWS(AK$84:AK95)-1)+1),4),"")</f>
        <v>0</v>
      </c>
      <c r="AL95" s="32">
        <f>IFERROR(ROUND(INDEX('M03-S07'!$BF$18:$BF$199,2*(ROWS(AL$84:AL95)-1)+1),4),"")</f>
        <v>0</v>
      </c>
      <c r="AM95" s="32">
        <f>IFERROR(ROUND(INDEX('M03-S07'!$BA$18:$BA$199,2*(ROWS(AM$84:AM95)-1)+1),4),"")</f>
        <v>0</v>
      </c>
      <c r="AN95" s="32">
        <f>IFERROR(ROUND(INDEX('M03-S07'!$BB$18:$BB$199,2*(ROWS(AN$84:AN95)-1)+1),4),"")</f>
        <v>0</v>
      </c>
      <c r="AO95" s="32"/>
      <c r="AP95" s="182"/>
      <c r="AQ95" s="182"/>
      <c r="AR95" s="182"/>
      <c r="AS95" s="171"/>
      <c r="AT95" s="171"/>
      <c r="AU95" s="171"/>
      <c r="AV95" s="190"/>
      <c r="AW95" s="190"/>
      <c r="AX95" s="184"/>
      <c r="AY95" s="184"/>
      <c r="AZ95" s="191"/>
      <c r="BA95" s="191"/>
      <c r="BB95" s="171"/>
    </row>
    <row r="96" spans="1:54">
      <c r="A96" s="10">
        <f t="shared" si="8"/>
        <v>0</v>
      </c>
      <c r="B96" t="str">
        <f t="shared" si="9"/>
        <v/>
      </c>
      <c r="C96" t="str" cm="1">
        <f t="array" ref="C96">IFERROR(_xlfn.VALUETOTEXT(INDEX('M03-S07'!$BW$18:$BW$199,2*(ROWS($C$84:C96)-1)+1)),"")</f>
        <v/>
      </c>
      <c r="D96">
        <f>IFERROR(INDEX('M03-S07'!$B$18:$B$199,2*(ROWS(D$84:D96)-1)+1),"")</f>
        <v>0</v>
      </c>
      <c r="E96" s="51" t="str" cm="1">
        <f t="array" ref="E96">IFERROR(_xlfn.VALUETOTEXT(INDEX('M03-S07'!$BX$18:$BX$199,2*(ROWS($E$84:E96)-1)+1)),"")</f>
        <v/>
      </c>
      <c r="F96" t="str" cm="1">
        <f t="array" ref="F96">IF(C96&lt;&gt;"", _xlfn.SWITCH(Program_Banner, "Small Business / Non-Profit", "Hard-To-Reach Business", "Business Energy Savings", "Whole Business Efficiency", ""), "")</f>
        <v/>
      </c>
      <c r="G96" t="s">
        <v>938</v>
      </c>
      <c r="H96">
        <f>IFERROR(INDEX('M03-S07'!$BC$18:$BC$199,2*(ROWS($H$84:H96)-1)+1),"")</f>
        <v>0</v>
      </c>
      <c r="I96" s="171"/>
      <c r="J96" s="182"/>
      <c r="K96" s="182"/>
      <c r="L96" s="51">
        <f>IFERROR(INDEX('M03-S07'!$BD$18:$BD$199,2*(ROWS($L$84:L96)-1)+1),"")</f>
        <v>0</v>
      </c>
      <c r="M96" s="51">
        <f>IFERROR(INDEX('M03-S07'!$AE$18:$AE$199,2*(ROWS($M$84:M96)-1)+1),"")</f>
        <v>0</v>
      </c>
      <c r="N96" s="171"/>
      <c r="O96">
        <f>IFERROR(INDEX('M03-S07'!$C$18:$C$199,2*(ROWS(O$84:O96)-1)+1),"")</f>
        <v>0</v>
      </c>
      <c r="P96" s="171"/>
      <c r="Q96">
        <f>IFERROR(INDEX('M03-S07'!$AA$18:$AA$199,2*(ROWS(Q$84:Q96)-1)+1),"")</f>
        <v>0</v>
      </c>
      <c r="S96">
        <f>IFERROR(INDEX('M03-S07'!$AX$18:$AX$199,2*(ROWS(S$84:S96)-1)+1),"")</f>
        <v>0</v>
      </c>
      <c r="T96" s="545">
        <f>IFERROR(ROUND(INDEX('M03-S07'!$AY$18:$AY$199,2*(ROWS(T$84:T96)-1)+1),3),"")</f>
        <v>0</v>
      </c>
      <c r="U96" s="545">
        <f>IFERROR(ROUND(INDEX('M03-S07'!$AZ$18:$AZ$199,2*(ROWS(U$84:U96)-1)+1),3),"")</f>
        <v>0</v>
      </c>
      <c r="V96" s="184"/>
      <c r="W96" s="184"/>
      <c r="X96" s="184"/>
      <c r="Y96" s="184"/>
      <c r="Z96" s="184"/>
      <c r="AA96" s="9" cm="1">
        <f t="array" ref="AA96">IFERROR(ROUND(INDEX('M03-S07'!$AR$18:$AR$199,2*(ROWS(AA$84:AA96)-1)+1), 2),"")</f>
        <v>0</v>
      </c>
      <c r="AB96" s="9" cm="1">
        <f t="array" ref="AB96">_xlfn.LET(_xlpm.ROWS, 2*(ROWS(AB$84:AB96)-1)+1,IFERROR(INDEX('M03-S07'!$AR$18:$AR$199, _xlpm.ROWS)-INDEX('M03-S07'!$BS$18:$BS$199, _xlpm.ROWS),""))</f>
        <v>0</v>
      </c>
      <c r="AC96" s="9">
        <f>IFERROR(ROUND(INDEX('M03-S07'!$AI$18:$AI$199,2*(ROWS(AC$84:AC96)-1)+1),2),"")</f>
        <v>0</v>
      </c>
      <c r="AD96" s="9">
        <f>IFERROR(ROUND(INDEX('M03-S07'!$AK$18:$AK$199,2*(ROWS(AD$84:AD96)-1)+1),2),"")</f>
        <v>0</v>
      </c>
      <c r="AE96" s="9">
        <f>IFERROR(ROUND(INDEX('M03-S07'!$BL$18:$BL$199,2*(ROWS(AE$84:AE96)-1)+1),2),"")</f>
        <v>0</v>
      </c>
      <c r="AF96" t="s">
        <v>84</v>
      </c>
      <c r="AG96" t="str">
        <f>IFERROR(INDEX(STDWATER[Incremental Measure Cost ($/Unit)], MATCH(C96, STDWATER[Measure Number], 0))*U96, "")</f>
        <v/>
      </c>
      <c r="AH96" s="184"/>
      <c r="AI96" s="32">
        <f>IFERROR(ROUND(INDEX('M03-S07'!$BH$18:$BH$199,2*(ROWS(AI$84:AI96)-1)+1),4),"")</f>
        <v>0</v>
      </c>
      <c r="AJ96" s="32">
        <f>IFERROR(ROUND(INDEX('M03-S07'!$BE$18:$BE$199,2*(ROWS(AJ$84:AJ96)-1)+1),4),"")</f>
        <v>0</v>
      </c>
      <c r="AK96" s="32">
        <f>IFERROR(ROUND(INDEX('M03-S07'!$BI$18:$BI$199,2*(ROWS(AK$84:AK96)-1)+1),4),"")</f>
        <v>0</v>
      </c>
      <c r="AL96" s="32">
        <f>IFERROR(ROUND(INDEX('M03-S07'!$BF$18:$BF$199,2*(ROWS(AL$84:AL96)-1)+1),4),"")</f>
        <v>0</v>
      </c>
      <c r="AM96" s="32">
        <f>IFERROR(ROUND(INDEX('M03-S07'!$BA$18:$BA$199,2*(ROWS(AM$84:AM96)-1)+1),4),"")</f>
        <v>0</v>
      </c>
      <c r="AN96" s="32">
        <f>IFERROR(ROUND(INDEX('M03-S07'!$BB$18:$BB$199,2*(ROWS(AN$84:AN96)-1)+1),4),"")</f>
        <v>0</v>
      </c>
      <c r="AO96" s="32"/>
      <c r="AP96" s="182"/>
      <c r="AQ96" s="182"/>
      <c r="AR96" s="182"/>
      <c r="AS96" s="171"/>
      <c r="AT96" s="171"/>
      <c r="AU96" s="171"/>
      <c r="AV96" s="190"/>
      <c r="AW96" s="190"/>
      <c r="AX96" s="184"/>
      <c r="AY96" s="184"/>
      <c r="AZ96" s="191"/>
      <c r="BA96" s="191"/>
      <c r="BB96" s="171"/>
    </row>
    <row r="97" spans="1:54">
      <c r="A97" s="10">
        <f t="shared" si="8"/>
        <v>0</v>
      </c>
      <c r="B97" t="str">
        <f t="shared" si="9"/>
        <v/>
      </c>
      <c r="C97" t="str" cm="1">
        <f t="array" ref="C97">IFERROR(_xlfn.VALUETOTEXT(INDEX('M03-S07'!$BW$18:$BW$199,2*(ROWS($C$84:C97)-1)+1)),"")</f>
        <v/>
      </c>
      <c r="D97">
        <f>IFERROR(INDEX('M03-S07'!$B$18:$B$199,2*(ROWS(D$84:D97)-1)+1),"")</f>
        <v>0</v>
      </c>
      <c r="E97" s="51" t="str" cm="1">
        <f t="array" ref="E97">IFERROR(_xlfn.VALUETOTEXT(INDEX('M03-S07'!$BX$18:$BX$199,2*(ROWS($E$84:E97)-1)+1)),"")</f>
        <v/>
      </c>
      <c r="F97" t="str" cm="1">
        <f t="array" ref="F97">IF(C97&lt;&gt;"", _xlfn.SWITCH(Program_Banner, "Small Business / Non-Profit", "Hard-To-Reach Business", "Business Energy Savings", "Whole Business Efficiency", ""), "")</f>
        <v/>
      </c>
      <c r="G97" t="s">
        <v>938</v>
      </c>
      <c r="H97">
        <f>IFERROR(INDEX('M03-S07'!$BC$18:$BC$199,2*(ROWS($H$84:H97)-1)+1),"")</f>
        <v>0</v>
      </c>
      <c r="I97" s="171"/>
      <c r="J97" s="182"/>
      <c r="K97" s="182"/>
      <c r="L97" s="51">
        <f>IFERROR(INDEX('M03-S07'!$BD$18:$BD$199,2*(ROWS($L$84:L97)-1)+1),"")</f>
        <v>0</v>
      </c>
      <c r="M97" s="51">
        <f>IFERROR(INDEX('M03-S07'!$AE$18:$AE$199,2*(ROWS($M$84:M97)-1)+1),"")</f>
        <v>0</v>
      </c>
      <c r="N97" s="171"/>
      <c r="O97">
        <f>IFERROR(INDEX('M03-S07'!$C$18:$C$199,2*(ROWS(O$84:O97)-1)+1),"")</f>
        <v>0</v>
      </c>
      <c r="P97" s="171"/>
      <c r="Q97">
        <f>IFERROR(INDEX('M03-S07'!$AA$18:$AA$199,2*(ROWS(Q$84:Q97)-1)+1),"")</f>
        <v>0</v>
      </c>
      <c r="S97">
        <f>IFERROR(INDEX('M03-S07'!$AX$18:$AX$199,2*(ROWS(S$84:S97)-1)+1),"")</f>
        <v>0</v>
      </c>
      <c r="T97" s="545">
        <f>IFERROR(ROUND(INDEX('M03-S07'!$AY$18:$AY$199,2*(ROWS(T$84:T97)-1)+1),3),"")</f>
        <v>0</v>
      </c>
      <c r="U97" s="545">
        <f>IFERROR(ROUND(INDEX('M03-S07'!$AZ$18:$AZ$199,2*(ROWS(U$84:U97)-1)+1),3),"")</f>
        <v>0</v>
      </c>
      <c r="V97" s="184"/>
      <c r="W97" s="184"/>
      <c r="X97" s="184"/>
      <c r="Y97" s="184"/>
      <c r="Z97" s="184"/>
      <c r="AA97" s="9" cm="1">
        <f t="array" ref="AA97">IFERROR(ROUND(INDEX('M03-S07'!$AR$18:$AR$199,2*(ROWS(AA$84:AA97)-1)+1), 2),"")</f>
        <v>0</v>
      </c>
      <c r="AB97" s="9" cm="1">
        <f t="array" ref="AB97">_xlfn.LET(_xlpm.ROWS, 2*(ROWS(AB$84:AB97)-1)+1,IFERROR(INDEX('M03-S07'!$AR$18:$AR$199, _xlpm.ROWS)-INDEX('M03-S07'!$BS$18:$BS$199, _xlpm.ROWS),""))</f>
        <v>0</v>
      </c>
      <c r="AC97" s="9">
        <f>IFERROR(ROUND(INDEX('M03-S07'!$AI$18:$AI$199,2*(ROWS(AC$84:AC97)-1)+1),2),"")</f>
        <v>0</v>
      </c>
      <c r="AD97" s="9">
        <f>IFERROR(ROUND(INDEX('M03-S07'!$AK$18:$AK$199,2*(ROWS(AD$84:AD97)-1)+1),2),"")</f>
        <v>0</v>
      </c>
      <c r="AE97" s="9">
        <f>IFERROR(ROUND(INDEX('M03-S07'!$BL$18:$BL$199,2*(ROWS(AE$84:AE97)-1)+1),2),"")</f>
        <v>0</v>
      </c>
      <c r="AF97" t="s">
        <v>84</v>
      </c>
      <c r="AG97" t="str">
        <f>IFERROR(INDEX(STDWATER[Incremental Measure Cost ($/Unit)], MATCH(C97, STDWATER[Measure Number], 0))*U97, "")</f>
        <v/>
      </c>
      <c r="AH97" s="184"/>
      <c r="AI97" s="32">
        <f>IFERROR(ROUND(INDEX('M03-S07'!$BH$18:$BH$199,2*(ROWS(AI$84:AI97)-1)+1),4),"")</f>
        <v>0</v>
      </c>
      <c r="AJ97" s="32">
        <f>IFERROR(ROUND(INDEX('M03-S07'!$BE$18:$BE$199,2*(ROWS(AJ$84:AJ97)-1)+1),4),"")</f>
        <v>0</v>
      </c>
      <c r="AK97" s="32">
        <f>IFERROR(ROUND(INDEX('M03-S07'!$BI$18:$BI$199,2*(ROWS(AK$84:AK97)-1)+1),4),"")</f>
        <v>0</v>
      </c>
      <c r="AL97" s="32">
        <f>IFERROR(ROUND(INDEX('M03-S07'!$BF$18:$BF$199,2*(ROWS(AL$84:AL97)-1)+1),4),"")</f>
        <v>0</v>
      </c>
      <c r="AM97" s="32">
        <f>IFERROR(ROUND(INDEX('M03-S07'!$BA$18:$BA$199,2*(ROWS(AM$84:AM97)-1)+1),4),"")</f>
        <v>0</v>
      </c>
      <c r="AN97" s="32">
        <f>IFERROR(ROUND(INDEX('M03-S07'!$BB$18:$BB$199,2*(ROWS(AN$84:AN97)-1)+1),4),"")</f>
        <v>0</v>
      </c>
      <c r="AO97" s="32"/>
      <c r="AP97" s="182"/>
      <c r="AQ97" s="182"/>
      <c r="AR97" s="182"/>
      <c r="AS97" s="171"/>
      <c r="AT97" s="171"/>
      <c r="AU97" s="171"/>
      <c r="AV97" s="190"/>
      <c r="AW97" s="190"/>
      <c r="AX97" s="184"/>
      <c r="AY97" s="184"/>
      <c r="AZ97" s="191"/>
      <c r="BA97" s="191"/>
      <c r="BB97" s="171"/>
    </row>
    <row r="98" spans="1:54">
      <c r="A98" s="10">
        <f t="shared" si="8"/>
        <v>0</v>
      </c>
      <c r="B98" t="str">
        <f t="shared" si="9"/>
        <v/>
      </c>
      <c r="C98" t="str" cm="1">
        <f t="array" ref="C98">IFERROR(_xlfn.VALUETOTEXT(INDEX('M03-S07'!$BW$18:$BW$199,2*(ROWS($C$84:C98)-1)+1)),"")</f>
        <v/>
      </c>
      <c r="D98">
        <f>IFERROR(INDEX('M03-S07'!$B$18:$B$199,2*(ROWS(D$84:D98)-1)+1),"")</f>
        <v>0</v>
      </c>
      <c r="E98" s="51" t="str" cm="1">
        <f t="array" ref="E98">IFERROR(_xlfn.VALUETOTEXT(INDEX('M03-S07'!$BX$18:$BX$199,2*(ROWS($E$84:E98)-1)+1)),"")</f>
        <v/>
      </c>
      <c r="F98" t="str" cm="1">
        <f t="array" ref="F98">IF(C98&lt;&gt;"", _xlfn.SWITCH(Program_Banner, "Small Business / Non-Profit", "Hard-To-Reach Business", "Business Energy Savings", "Whole Business Efficiency", ""), "")</f>
        <v/>
      </c>
      <c r="G98" t="s">
        <v>938</v>
      </c>
      <c r="H98">
        <f>IFERROR(INDEX('M03-S07'!$BC$18:$BC$199,2*(ROWS($H$84:H98)-1)+1),"")</f>
        <v>0</v>
      </c>
      <c r="I98" s="171"/>
      <c r="J98" s="182"/>
      <c r="K98" s="182"/>
      <c r="L98" s="51">
        <f>IFERROR(INDEX('M03-S07'!$BD$18:$BD$199,2*(ROWS($L$84:L98)-1)+1),"")</f>
        <v>0</v>
      </c>
      <c r="M98" s="51">
        <f>IFERROR(INDEX('M03-S07'!$AE$18:$AE$199,2*(ROWS($M$84:M98)-1)+1),"")</f>
        <v>0</v>
      </c>
      <c r="N98" s="171"/>
      <c r="O98">
        <f>IFERROR(INDEX('M03-S07'!$C$18:$C$199,2*(ROWS(O$84:O98)-1)+1),"")</f>
        <v>0</v>
      </c>
      <c r="P98" s="171"/>
      <c r="Q98">
        <f>IFERROR(INDEX('M03-S07'!$AA$18:$AA$199,2*(ROWS(Q$84:Q98)-1)+1),"")</f>
        <v>0</v>
      </c>
      <c r="S98">
        <f>IFERROR(INDEX('M03-S07'!$AX$18:$AX$199,2*(ROWS(S$84:S98)-1)+1),"")</f>
        <v>0</v>
      </c>
      <c r="T98" s="545">
        <f>IFERROR(ROUND(INDEX('M03-S07'!$AY$18:$AY$199,2*(ROWS(T$84:T98)-1)+1),3),"")</f>
        <v>0</v>
      </c>
      <c r="U98" s="545">
        <f>IFERROR(ROUND(INDEX('M03-S07'!$AZ$18:$AZ$199,2*(ROWS(U$84:U98)-1)+1),3),"")</f>
        <v>0</v>
      </c>
      <c r="V98" s="184"/>
      <c r="W98" s="184"/>
      <c r="X98" s="184"/>
      <c r="Y98" s="184"/>
      <c r="Z98" s="184"/>
      <c r="AA98" s="9" cm="1">
        <f t="array" ref="AA98">IFERROR(ROUND(INDEX('M03-S07'!$AR$18:$AR$199,2*(ROWS(AA$84:AA98)-1)+1), 2),"")</f>
        <v>0</v>
      </c>
      <c r="AB98" s="9" cm="1">
        <f t="array" ref="AB98">_xlfn.LET(_xlpm.ROWS, 2*(ROWS(AB$84:AB98)-1)+1,IFERROR(INDEX('M03-S07'!$AR$18:$AR$199, _xlpm.ROWS)-INDEX('M03-S07'!$BS$18:$BS$199, _xlpm.ROWS),""))</f>
        <v>0</v>
      </c>
      <c r="AC98" s="9">
        <f>IFERROR(ROUND(INDEX('M03-S07'!$AI$18:$AI$199,2*(ROWS(AC$84:AC98)-1)+1),2),"")</f>
        <v>0</v>
      </c>
      <c r="AD98" s="9">
        <f>IFERROR(ROUND(INDEX('M03-S07'!$AK$18:$AK$199,2*(ROWS(AD$84:AD98)-1)+1),2),"")</f>
        <v>0</v>
      </c>
      <c r="AE98" s="9">
        <f>IFERROR(ROUND(INDEX('M03-S07'!$BL$18:$BL$199,2*(ROWS(AE$84:AE98)-1)+1),2),"")</f>
        <v>0</v>
      </c>
      <c r="AF98" t="s">
        <v>84</v>
      </c>
      <c r="AG98" t="str">
        <f>IFERROR(INDEX(STDWATER[Incremental Measure Cost ($/Unit)], MATCH(C98, STDWATER[Measure Number], 0))*U98, "")</f>
        <v/>
      </c>
      <c r="AH98" s="184"/>
      <c r="AI98" s="32">
        <f>IFERROR(ROUND(INDEX('M03-S07'!$BH$18:$BH$199,2*(ROWS(AI$84:AI98)-1)+1),4),"")</f>
        <v>0</v>
      </c>
      <c r="AJ98" s="32">
        <f>IFERROR(ROUND(INDEX('M03-S07'!$BE$18:$BE$199,2*(ROWS(AJ$84:AJ98)-1)+1),4),"")</f>
        <v>0</v>
      </c>
      <c r="AK98" s="32">
        <f>IFERROR(ROUND(INDEX('M03-S07'!$BI$18:$BI$199,2*(ROWS(AK$84:AK98)-1)+1),4),"")</f>
        <v>0</v>
      </c>
      <c r="AL98" s="32">
        <f>IFERROR(ROUND(INDEX('M03-S07'!$BF$18:$BF$199,2*(ROWS(AL$84:AL98)-1)+1),4),"")</f>
        <v>0</v>
      </c>
      <c r="AM98" s="32">
        <f>IFERROR(ROUND(INDEX('M03-S07'!$BA$18:$BA$199,2*(ROWS(AM$84:AM98)-1)+1),4),"")</f>
        <v>0</v>
      </c>
      <c r="AN98" s="32">
        <f>IFERROR(ROUND(INDEX('M03-S07'!$BB$18:$BB$199,2*(ROWS(AN$84:AN98)-1)+1),4),"")</f>
        <v>0</v>
      </c>
      <c r="AO98" s="32"/>
      <c r="AP98" s="182"/>
      <c r="AQ98" s="182"/>
      <c r="AR98" s="182"/>
      <c r="AS98" s="171"/>
      <c r="AT98" s="171"/>
      <c r="AU98" s="171"/>
      <c r="AV98" s="190"/>
      <c r="AW98" s="190"/>
      <c r="AX98" s="184"/>
      <c r="AY98" s="184"/>
      <c r="AZ98" s="191"/>
      <c r="BA98" s="191"/>
      <c r="BB98" s="171"/>
    </row>
    <row r="99" spans="1:54">
      <c r="A99" s="478" t="str">
        <f>"Standard "&amp;M3S8</f>
        <v>Standard Motors and Drives</v>
      </c>
      <c r="B99" s="172"/>
      <c r="C99" s="172"/>
      <c r="D99" s="172"/>
      <c r="E99" s="172"/>
      <c r="F99" s="172"/>
      <c r="G99" s="172"/>
      <c r="H99" s="172"/>
      <c r="I99" s="172"/>
      <c r="J99" s="180"/>
      <c r="K99" s="180"/>
      <c r="L99" s="172"/>
      <c r="M99" s="172"/>
      <c r="N99" s="172"/>
      <c r="O99" s="173"/>
      <c r="P99" s="172"/>
      <c r="Q99" s="172"/>
      <c r="R99" s="172"/>
      <c r="S99" s="172"/>
      <c r="T99" s="186"/>
      <c r="U99" s="186"/>
      <c r="V99" s="183"/>
      <c r="W99" s="183"/>
      <c r="X99" s="183"/>
      <c r="Y99" s="183"/>
      <c r="Z99" s="183"/>
      <c r="AA99" s="180"/>
      <c r="AB99" s="172"/>
      <c r="AC99" s="180"/>
      <c r="AD99" s="180"/>
      <c r="AE99" s="180"/>
      <c r="AF99" s="172"/>
      <c r="AG99" s="172"/>
      <c r="AH99" s="172"/>
      <c r="AI99" s="188"/>
      <c r="AJ99" s="188"/>
      <c r="AK99" s="188"/>
      <c r="AL99" s="188"/>
      <c r="AM99" s="188"/>
      <c r="AN99" s="188"/>
      <c r="AO99" s="188"/>
      <c r="AP99" s="180"/>
      <c r="AQ99" s="180"/>
      <c r="AR99" s="180"/>
      <c r="AS99" s="172"/>
      <c r="AT99" s="172"/>
      <c r="AU99" s="172"/>
      <c r="AV99" s="186"/>
      <c r="AW99" s="186"/>
      <c r="AX99" s="183"/>
      <c r="AY99" s="183"/>
      <c r="AZ99" s="188"/>
      <c r="BA99" s="188"/>
      <c r="BB99" s="172"/>
    </row>
    <row r="100" spans="1:54">
      <c r="A100" s="10">
        <f t="shared" ref="A100:A114" si="10">PROJID</f>
        <v>0</v>
      </c>
      <c r="B100" t="str">
        <f t="shared" ref="B100:B114" si="11">IF(C100="","",CONCATENATE(ROW(),"-",C100))</f>
        <v/>
      </c>
      <c r="C100" t="str" cm="1">
        <f t="array" ref="C100">IFERROR(_xlfn.VALUETOTEXT(INDEX('M03-S08'!$BW$18:$BW$199,2*(ROWS($C$100:C100)-1)+1)),"")</f>
        <v/>
      </c>
      <c r="D100">
        <f>IFERROR(INDEX('M03-S08'!$B$18:$B$199,2*(ROWS(D$100:D100)-1)+1),"")</f>
        <v>1</v>
      </c>
      <c r="E100" s="51" t="str" cm="1">
        <f t="array" ref="E100">IFERROR(_xlfn.VALUETOTEXT(INDEX('M03-S08'!$BX$18:$BX$199,2*(ROWS($E$100:E100)-1)+1)),"")</f>
        <v/>
      </c>
      <c r="F100" t="str" cm="1">
        <f t="array" ref="F100">IF(C100&lt;&gt;"", _xlfn.SWITCH(Program_Banner, "Small Business / Non-Profit", "Hard-To-Reach Business", "Business Energy Savings", "Whole Business Efficiency", ""), "")</f>
        <v/>
      </c>
      <c r="G100" t="s">
        <v>938</v>
      </c>
      <c r="H100" t="str">
        <f>IFERROR(INDEX('M03-S08'!$BC$18:$BC$199,2*(ROWS($H$100:H100)-1)+1),"")</f>
        <v/>
      </c>
      <c r="I100" s="171"/>
      <c r="J100" s="182"/>
      <c r="K100" s="182"/>
      <c r="L100" s="51" t="str">
        <f>IFERROR(INDEX('M03-S08'!$BD$18:$BD$199,2*(ROWS($L$100:L100)-1)+1),"")</f>
        <v/>
      </c>
      <c r="M100" s="51">
        <f>IFERROR(INDEX('M03-S08'!$AE$18:$AE$199,2*(ROWS($M$100:M100)-1)+1),"")</f>
        <v>0</v>
      </c>
      <c r="N100" s="171"/>
      <c r="O100">
        <f>IFERROR(INDEX('M03-S08'!$C$18:$C$199,2*(ROWS(O$100:O100)-1)+1),"")</f>
        <v>0</v>
      </c>
      <c r="P100" s="171"/>
      <c r="Q100">
        <f>IFERROR(INDEX('M03-S08'!$X$18:$X$199,2*(ROWS(Q$100:Q100)-1)+1),"")</f>
        <v>0</v>
      </c>
      <c r="S100" t="str">
        <f>IFERROR(INDEX('M03-S08'!$AX$18:$AX$199,2*(ROWS(S$100:S100)-1)+1),"")</f>
        <v/>
      </c>
      <c r="T100" s="545" t="str">
        <f>IFERROR(
ROUND(INDEX('M03-S08'!$AY$18:$AY$199,2*(ROWS(T$100:T100)-1)+1),3),"")</f>
        <v/>
      </c>
      <c r="U100" s="545" t="str">
        <f>IFERROR(
ROUND(INDEX('M03-S08'!$AZ$18:$AZ$199,2*(ROWS(U$100:U100)-1)+1),3),
"")</f>
        <v/>
      </c>
      <c r="V100" s="184"/>
      <c r="W100" s="184"/>
      <c r="X100" s="184"/>
      <c r="Y100" s="184"/>
      <c r="Z100" s="184"/>
      <c r="AA100" s="9" t="str" cm="1">
        <f t="array" ref="AA100">IFERROR(ROUND(INDEX('M03-S08'!$AR$18:$AR$199,2*(ROWS(AA$100:AA100)-1)+1), 2),"")</f>
        <v/>
      </c>
      <c r="AB100" s="9" t="str" cm="1">
        <f t="array" ref="AB100">_xlfn.LET(_xlpm.ROWS, 2*(ROWS(AB$100:AB100)-1)+1,IFERROR(INDEX('M03-S08'!$AR$18:$AR$199, _xlpm.ROWS)-INDEX('M03-S08'!$BS$18:$BS$199, _xlpm.ROWS),""))</f>
        <v/>
      </c>
      <c r="AC100" s="9">
        <f>IFERROR(ROUND(INDEX('M03-S08'!$AI$18:$AI$199,2*(ROWS(AC$100:AC100)-1)+1),2),"")</f>
        <v>0</v>
      </c>
      <c r="AD100" s="9">
        <f>IFERROR(ROUND(INDEX('M03-S08'!$AK$18:$AK$199,2*(ROWS(AD$100:AD100)-1)+1),2),"")</f>
        <v>0</v>
      </c>
      <c r="AE100" s="9" t="str">
        <f>IFERROR(ROUND(INDEX('M03-S08'!$BL$18:$BL$199,2*(ROWS(AE$100:AE100)-1)+1),2),"")</f>
        <v/>
      </c>
      <c r="AF100" t="s">
        <v>84</v>
      </c>
      <c r="AG100" t="str">
        <f>IFERROR(INDEX(STDMOTORS[Incremental Measure Cost ($/Unit)], MATCH(C100, STDMOTORS[Measure Number], 0))*U100, "")</f>
        <v/>
      </c>
      <c r="AH100" s="184"/>
      <c r="AI100" s="32" t="str">
        <f>IFERROR(ROUND(INDEX('M03-S08'!$BH$18:$BH$199,2*(ROWS(AI$100:AI100)-1)+1),4),"")</f>
        <v/>
      </c>
      <c r="AJ100" s="32">
        <f>IFERROR(ROUND(INDEX('M03-S08'!$BE$18:$BE$199,2*(ROWS(AJ$100:AJ100)-1)+1),4),"")</f>
        <v>0</v>
      </c>
      <c r="AK100" s="32" t="str">
        <f>IFERROR(ROUND(INDEX('M03-S08'!$BI$18:$BI$199,2*(ROWS(AK$100:AK100)-1)+1),4),"")</f>
        <v/>
      </c>
      <c r="AL100" s="32">
        <f>IFERROR(ROUND(INDEX('M03-S08'!$BF$18:$BF$199,2*(ROWS(AL$100:AL100)-1)+1),4),"")</f>
        <v>0</v>
      </c>
      <c r="AM100" s="32">
        <f>IFERROR(ROUND(INDEX('M03-S08'!$BA$18:$BA$199,2*(ROWS(AM$100:AM100)-1)+1),4),"")</f>
        <v>0</v>
      </c>
      <c r="AN100" s="32">
        <f>IFERROR(ROUND(INDEX('M03-S08'!$BB$18:$BB$199,2*(ROWS(AN$100:AN100)-1)+1),4),"")</f>
        <v>0</v>
      </c>
      <c r="AO100" s="32"/>
      <c r="AP100" s="182"/>
      <c r="AQ100" s="182"/>
      <c r="AR100" s="182"/>
      <c r="AS100" s="171"/>
      <c r="AT100" s="171"/>
      <c r="AU100" s="171"/>
      <c r="AV100" s="190"/>
      <c r="AW100" s="190"/>
      <c r="AX100" s="184"/>
      <c r="AY100" s="184"/>
      <c r="AZ100" s="191"/>
      <c r="BA100" s="191"/>
      <c r="BB100" s="171"/>
    </row>
    <row r="101" spans="1:54">
      <c r="A101" s="10">
        <f t="shared" si="10"/>
        <v>0</v>
      </c>
      <c r="B101" t="str">
        <f t="shared" si="11"/>
        <v/>
      </c>
      <c r="C101" t="str" cm="1">
        <f t="array" ref="C101">IFERROR(_xlfn.VALUETOTEXT(INDEX('M03-S08'!$BW$18:$BW$199,2*(ROWS($C$100:C101)-1)+1)),"")</f>
        <v/>
      </c>
      <c r="D101">
        <f>IFERROR(INDEX('M03-S08'!$B$18:$B$199,2*(ROWS(D$100:D101)-1)+1),"")</f>
        <v>2</v>
      </c>
      <c r="E101" s="51" t="str" cm="1">
        <f t="array" ref="E101">IFERROR(_xlfn.VALUETOTEXT(INDEX('M03-S08'!$BX$18:$BX$199,2*(ROWS($E$100:E101)-1)+1)),"")</f>
        <v/>
      </c>
      <c r="F101" t="str" cm="1">
        <f t="array" ref="F101">IF(C101&lt;&gt;"", _xlfn.SWITCH(Program_Banner, "Small Business / Non-Profit", "Hard-To-Reach Business", "Business Energy Savings", "Whole Business Efficiency", ""), "")</f>
        <v/>
      </c>
      <c r="G101" t="s">
        <v>938</v>
      </c>
      <c r="H101" t="str">
        <f>IFERROR(INDEX('M03-S08'!$BC$18:$BC$199,2*(ROWS($H$100:H101)-1)+1),"")</f>
        <v/>
      </c>
      <c r="I101" s="171"/>
      <c r="J101" s="182"/>
      <c r="K101" s="182"/>
      <c r="L101" s="51" t="str">
        <f>IFERROR(INDEX('M03-S08'!$BD$18:$BD$199,2*(ROWS($L$100:L101)-1)+1),"")</f>
        <v/>
      </c>
      <c r="M101" s="51">
        <f>IFERROR(INDEX('M03-S08'!$AE$18:$AE$199,2*(ROWS($M$100:M101)-1)+1),"")</f>
        <v>0</v>
      </c>
      <c r="N101" s="171"/>
      <c r="O101">
        <f>IFERROR(INDEX('M03-S08'!$C$18:$C$199,2*(ROWS(O$100:O101)-1)+1),"")</f>
        <v>0</v>
      </c>
      <c r="P101" s="171"/>
      <c r="Q101">
        <f>IFERROR(INDEX('M03-S08'!$X$18:$X$199,2*(ROWS(Q$100:Q101)-1)+1),"")</f>
        <v>0</v>
      </c>
      <c r="S101" t="str">
        <f>IFERROR(INDEX('M03-S08'!$AX$18:$AX$199,2*(ROWS(S$100:S101)-1)+1),"")</f>
        <v/>
      </c>
      <c r="T101" s="545" t="str">
        <f>IFERROR(
ROUND(INDEX('M03-S08'!$AY$18:$AY$199,2*(ROWS(T$100:T101)-1)+1),3),"")</f>
        <v/>
      </c>
      <c r="U101" s="545" t="str">
        <f>IFERROR(
ROUND(INDEX('M03-S08'!$AZ$18:$AZ$199,2*(ROWS(U$100:U101)-1)+1),3),
"")</f>
        <v/>
      </c>
      <c r="V101" s="184"/>
      <c r="W101" s="184"/>
      <c r="X101" s="184"/>
      <c r="Y101" s="184"/>
      <c r="Z101" s="184"/>
      <c r="AA101" s="9" t="str" cm="1">
        <f t="array" ref="AA101">IFERROR(ROUND(INDEX('M03-S08'!$AR$18:$AR$199,2*(ROWS(AA$100:AA101)-1)+1), 2),"")</f>
        <v/>
      </c>
      <c r="AB101" s="9" t="str" cm="1">
        <f t="array" ref="AB101">_xlfn.LET(_xlpm.ROWS, 2*(ROWS(AB$100:AB101)-1)+1,IFERROR(INDEX('M03-S08'!$AR$18:$AR$199, _xlpm.ROWS)-INDEX('M03-S08'!$BS$18:$BS$199, _xlpm.ROWS),""))</f>
        <v/>
      </c>
      <c r="AC101" s="9">
        <f>IFERROR(ROUND(INDEX('M03-S08'!$AI$18:$AI$199,2*(ROWS(AC$100:AC101)-1)+1),2),"")</f>
        <v>0</v>
      </c>
      <c r="AD101" s="9">
        <f>IFERROR(ROUND(INDEX('M03-S08'!$AK$18:$AK$199,2*(ROWS(AD$100:AD101)-1)+1),2),"")</f>
        <v>0</v>
      </c>
      <c r="AE101" s="9" t="str">
        <f>IFERROR(ROUND(INDEX('M03-S08'!$BL$18:$BL$199,2*(ROWS(AE$100:AE101)-1)+1),2),"")</f>
        <v/>
      </c>
      <c r="AF101" t="s">
        <v>84</v>
      </c>
      <c r="AG101" t="str">
        <f>IFERROR(INDEX(STDMOTORS[Incremental Measure Cost ($/Unit)], MATCH(C101, STDMOTORS[Measure Number], 0))*U101, "")</f>
        <v/>
      </c>
      <c r="AH101" s="184"/>
      <c r="AI101" s="32" t="str">
        <f>IFERROR(ROUND(INDEX('M03-S08'!$BH$18:$BH$199,2*(ROWS(AI$100:AI101)-1)+1),4),"")</f>
        <v/>
      </c>
      <c r="AJ101" s="32">
        <f>IFERROR(ROUND(INDEX('M03-S08'!$BE$18:$BE$199,2*(ROWS(AJ$100:AJ101)-1)+1),4),"")</f>
        <v>0</v>
      </c>
      <c r="AK101" s="32" t="str">
        <f>IFERROR(ROUND(INDEX('M03-S08'!$BI$18:$BI$199,2*(ROWS(AK$100:AK101)-1)+1),4),"")</f>
        <v/>
      </c>
      <c r="AL101" s="32">
        <f>IFERROR(ROUND(INDEX('M03-S08'!$BF$18:$BF$199,2*(ROWS(AL$100:AL101)-1)+1),4),"")</f>
        <v>0</v>
      </c>
      <c r="AM101" s="32">
        <f>IFERROR(ROUND(INDEX('M03-S08'!$BA$18:$BA$199,2*(ROWS(AM$100:AM101)-1)+1),4),"")</f>
        <v>0</v>
      </c>
      <c r="AN101" s="32">
        <f>IFERROR(ROUND(INDEX('M03-S08'!$BB$18:$BB$199,2*(ROWS(AN$100:AN101)-1)+1),4),"")</f>
        <v>0</v>
      </c>
      <c r="AO101" s="32"/>
      <c r="AP101" s="182"/>
      <c r="AQ101" s="182"/>
      <c r="AR101" s="182"/>
      <c r="AS101" s="171"/>
      <c r="AT101" s="171"/>
      <c r="AU101" s="171"/>
      <c r="AV101" s="190"/>
      <c r="AW101" s="190"/>
      <c r="AX101" s="184"/>
      <c r="AY101" s="184"/>
      <c r="AZ101" s="191"/>
      <c r="BA101" s="191"/>
      <c r="BB101" s="171"/>
    </row>
    <row r="102" spans="1:54">
      <c r="A102" s="10">
        <f t="shared" si="10"/>
        <v>0</v>
      </c>
      <c r="B102" t="str">
        <f t="shared" si="11"/>
        <v/>
      </c>
      <c r="C102" t="str" cm="1">
        <f t="array" ref="C102">IFERROR(_xlfn.VALUETOTEXT(INDEX('M03-S08'!$BW$18:$BW$199,2*(ROWS($C$100:C102)-1)+1)),"")</f>
        <v/>
      </c>
      <c r="D102">
        <f>IFERROR(INDEX('M03-S08'!$B$18:$B$199,2*(ROWS(D$100:D102)-1)+1),"")</f>
        <v>3</v>
      </c>
      <c r="E102" s="51" t="str" cm="1">
        <f t="array" ref="E102">IFERROR(_xlfn.VALUETOTEXT(INDEX('M03-S08'!$BX$18:$BX$199,2*(ROWS($E$100:E102)-1)+1)),"")</f>
        <v/>
      </c>
      <c r="F102" t="str" cm="1">
        <f t="array" ref="F102">IF(C102&lt;&gt;"", _xlfn.SWITCH(Program_Banner, "Small Business / Non-Profit", "Hard-To-Reach Business", "Business Energy Savings", "Whole Business Efficiency", ""), "")</f>
        <v/>
      </c>
      <c r="G102" t="s">
        <v>938</v>
      </c>
      <c r="H102" t="str">
        <f>IFERROR(INDEX('M03-S08'!$BC$18:$BC$199,2*(ROWS($H$100:H102)-1)+1),"")</f>
        <v/>
      </c>
      <c r="I102" s="171"/>
      <c r="J102" s="182"/>
      <c r="K102" s="182"/>
      <c r="L102" s="51" t="str">
        <f>IFERROR(INDEX('M03-S08'!$BD$18:$BD$199,2*(ROWS($L$100:L102)-1)+1),"")</f>
        <v/>
      </c>
      <c r="M102" s="51">
        <f>IFERROR(INDEX('M03-S08'!$AE$18:$AE$199,2*(ROWS($M$100:M102)-1)+1),"")</f>
        <v>0</v>
      </c>
      <c r="N102" s="171"/>
      <c r="O102">
        <f>IFERROR(INDEX('M03-S08'!$C$18:$C$199,2*(ROWS(O$100:O102)-1)+1),"")</f>
        <v>0</v>
      </c>
      <c r="P102" s="171"/>
      <c r="Q102">
        <f>IFERROR(INDEX('M03-S08'!$X$18:$X$199,2*(ROWS(Q$100:Q102)-1)+1),"")</f>
        <v>0</v>
      </c>
      <c r="S102" t="str">
        <f>IFERROR(INDEX('M03-S08'!$AX$18:$AX$199,2*(ROWS(S$100:S102)-1)+1),"")</f>
        <v/>
      </c>
      <c r="T102" s="545" t="str">
        <f>IFERROR(
ROUND(INDEX('M03-S08'!$AY$18:$AY$199,2*(ROWS(T$100:T102)-1)+1),3),"")</f>
        <v/>
      </c>
      <c r="U102" s="545" t="str">
        <f>IFERROR(
ROUND(INDEX('M03-S08'!$AZ$18:$AZ$199,2*(ROWS(U$100:U102)-1)+1),3),
"")</f>
        <v/>
      </c>
      <c r="V102" s="184"/>
      <c r="W102" s="184"/>
      <c r="X102" s="184"/>
      <c r="Y102" s="184"/>
      <c r="Z102" s="184"/>
      <c r="AA102" s="9" t="str" cm="1">
        <f t="array" ref="AA102">IFERROR(ROUND(INDEX('M03-S08'!$AR$18:$AR$199,2*(ROWS(AA$100:AA102)-1)+1), 2),"")</f>
        <v/>
      </c>
      <c r="AB102" s="9" t="str" cm="1">
        <f t="array" ref="AB102">_xlfn.LET(_xlpm.ROWS, 2*(ROWS(AB$100:AB102)-1)+1,IFERROR(INDEX('M03-S08'!$AR$18:$AR$199, _xlpm.ROWS)-INDEX('M03-S08'!$BS$18:$BS$199, _xlpm.ROWS),""))</f>
        <v/>
      </c>
      <c r="AC102" s="9">
        <f>IFERROR(ROUND(INDEX('M03-S08'!$AI$18:$AI$199,2*(ROWS(AC$100:AC102)-1)+1),2),"")</f>
        <v>0</v>
      </c>
      <c r="AD102" s="9">
        <f>IFERROR(ROUND(INDEX('M03-S08'!$AK$18:$AK$199,2*(ROWS(AD$100:AD102)-1)+1),2),"")</f>
        <v>0</v>
      </c>
      <c r="AE102" s="9" t="str">
        <f>IFERROR(ROUND(INDEX('M03-S08'!$BL$18:$BL$199,2*(ROWS(AE$100:AE102)-1)+1),2),"")</f>
        <v/>
      </c>
      <c r="AF102" t="s">
        <v>84</v>
      </c>
      <c r="AG102" t="str">
        <f>IFERROR(INDEX(STDMOTORS[Incremental Measure Cost ($/Unit)], MATCH(C102, STDMOTORS[Measure Number], 0))*U102, "")</f>
        <v/>
      </c>
      <c r="AH102" s="184"/>
      <c r="AI102" s="32" t="str">
        <f>IFERROR(ROUND(INDEX('M03-S08'!$BH$18:$BH$199,2*(ROWS(AI$100:AI102)-1)+1),4),"")</f>
        <v/>
      </c>
      <c r="AJ102" s="32">
        <f>IFERROR(ROUND(INDEX('M03-S08'!$BE$18:$BE$199,2*(ROWS(AJ$100:AJ102)-1)+1),4),"")</f>
        <v>0</v>
      </c>
      <c r="AK102" s="32" t="str">
        <f>IFERROR(ROUND(INDEX('M03-S08'!$BI$18:$BI$199,2*(ROWS(AK$100:AK102)-1)+1),4),"")</f>
        <v/>
      </c>
      <c r="AL102" s="32">
        <f>IFERROR(ROUND(INDEX('M03-S08'!$BF$18:$BF$199,2*(ROWS(AL$100:AL102)-1)+1),4),"")</f>
        <v>0</v>
      </c>
      <c r="AM102" s="32">
        <f>IFERROR(ROUND(INDEX('M03-S08'!$BA$18:$BA$199,2*(ROWS(AM$100:AM102)-1)+1),4),"")</f>
        <v>0</v>
      </c>
      <c r="AN102" s="32">
        <f>IFERROR(ROUND(INDEX('M03-S08'!$BB$18:$BB$199,2*(ROWS(AN$100:AN102)-1)+1),4),"")</f>
        <v>0</v>
      </c>
      <c r="AO102" s="32"/>
      <c r="AP102" s="182"/>
      <c r="AQ102" s="182"/>
      <c r="AR102" s="182"/>
      <c r="AS102" s="171"/>
      <c r="AT102" s="171"/>
      <c r="AU102" s="171"/>
      <c r="AV102" s="190"/>
      <c r="AW102" s="190"/>
      <c r="AX102" s="184"/>
      <c r="AY102" s="184"/>
      <c r="AZ102" s="191"/>
      <c r="BA102" s="191"/>
      <c r="BB102" s="171"/>
    </row>
    <row r="103" spans="1:54">
      <c r="A103" s="10">
        <f t="shared" si="10"/>
        <v>0</v>
      </c>
      <c r="B103" t="str">
        <f t="shared" si="11"/>
        <v/>
      </c>
      <c r="C103" t="str" cm="1">
        <f t="array" ref="C103">IFERROR(_xlfn.VALUETOTEXT(INDEX('M03-S08'!$BW$18:$BW$199,2*(ROWS($C$100:C103)-1)+1)),"")</f>
        <v/>
      </c>
      <c r="D103">
        <f>IFERROR(INDEX('M03-S08'!$B$18:$B$199,2*(ROWS(D$100:D103)-1)+1),"")</f>
        <v>4</v>
      </c>
      <c r="E103" s="51" t="str" cm="1">
        <f t="array" ref="E103">IFERROR(_xlfn.VALUETOTEXT(INDEX('M03-S08'!$BX$18:$BX$199,2*(ROWS($E$100:E103)-1)+1)),"")</f>
        <v/>
      </c>
      <c r="F103" t="str" cm="1">
        <f t="array" ref="F103">IF(C103&lt;&gt;"", _xlfn.SWITCH(Program_Banner, "Small Business / Non-Profit", "Hard-To-Reach Business", "Business Energy Savings", "Whole Business Efficiency", ""), "")</f>
        <v/>
      </c>
      <c r="G103" t="s">
        <v>938</v>
      </c>
      <c r="H103" t="str">
        <f>IFERROR(INDEX('M03-S08'!$BC$18:$BC$199,2*(ROWS($H$100:H103)-1)+1),"")</f>
        <v/>
      </c>
      <c r="I103" s="171"/>
      <c r="J103" s="182"/>
      <c r="K103" s="182"/>
      <c r="L103" s="51" t="str">
        <f>IFERROR(INDEX('M03-S08'!$BD$18:$BD$199,2*(ROWS($L$100:L103)-1)+1),"")</f>
        <v/>
      </c>
      <c r="M103" s="51">
        <f>IFERROR(INDEX('M03-S08'!$AE$18:$AE$199,2*(ROWS($M$100:M103)-1)+1),"")</f>
        <v>0</v>
      </c>
      <c r="N103" s="171"/>
      <c r="O103">
        <f>IFERROR(INDEX('M03-S08'!$C$18:$C$199,2*(ROWS(O$100:O103)-1)+1),"")</f>
        <v>0</v>
      </c>
      <c r="P103" s="171"/>
      <c r="Q103">
        <f>IFERROR(INDEX('M03-S08'!$X$18:$X$199,2*(ROWS(Q$100:Q103)-1)+1),"")</f>
        <v>0</v>
      </c>
      <c r="S103" t="str">
        <f>IFERROR(INDEX('M03-S08'!$AX$18:$AX$199,2*(ROWS(S$100:S103)-1)+1),"")</f>
        <v/>
      </c>
      <c r="T103" s="545" t="str">
        <f>IFERROR(
ROUND(INDEX('M03-S08'!$AY$18:$AY$199,2*(ROWS(T$100:T103)-1)+1),3),"")</f>
        <v/>
      </c>
      <c r="U103" s="545" t="str">
        <f>IFERROR(
ROUND(INDEX('M03-S08'!$AZ$18:$AZ$199,2*(ROWS(U$100:U103)-1)+1),3),
"")</f>
        <v/>
      </c>
      <c r="V103" s="184"/>
      <c r="W103" s="184"/>
      <c r="X103" s="184"/>
      <c r="Y103" s="184"/>
      <c r="Z103" s="184"/>
      <c r="AA103" s="9" t="str" cm="1">
        <f t="array" ref="AA103">IFERROR(ROUND(INDEX('M03-S08'!$AR$18:$AR$199,2*(ROWS(AA$100:AA103)-1)+1), 2),"")</f>
        <v/>
      </c>
      <c r="AB103" s="9" t="str" cm="1">
        <f t="array" ref="AB103">_xlfn.LET(_xlpm.ROWS, 2*(ROWS(AB$100:AB103)-1)+1,IFERROR(INDEX('M03-S08'!$AR$18:$AR$199, _xlpm.ROWS)-INDEX('M03-S08'!$BS$18:$BS$199, _xlpm.ROWS),""))</f>
        <v/>
      </c>
      <c r="AC103" s="9">
        <f>IFERROR(ROUND(INDEX('M03-S08'!$AI$18:$AI$199,2*(ROWS(AC$100:AC103)-1)+1),2),"")</f>
        <v>0</v>
      </c>
      <c r="AD103" s="9">
        <f>IFERROR(ROUND(INDEX('M03-S08'!$AK$18:$AK$199,2*(ROWS(AD$100:AD103)-1)+1),2),"")</f>
        <v>0</v>
      </c>
      <c r="AE103" s="9" t="str">
        <f>IFERROR(ROUND(INDEX('M03-S08'!$BL$18:$BL$199,2*(ROWS(AE$100:AE103)-1)+1),2),"")</f>
        <v/>
      </c>
      <c r="AF103" t="s">
        <v>84</v>
      </c>
      <c r="AG103" t="str">
        <f>IFERROR(INDEX(STDMOTORS[Incremental Measure Cost ($/Unit)], MATCH(C103, STDMOTORS[Measure Number], 0))*U103, "")</f>
        <v/>
      </c>
      <c r="AH103" s="184"/>
      <c r="AI103" s="32" t="str">
        <f>IFERROR(ROUND(INDEX('M03-S08'!$BH$18:$BH$199,2*(ROWS(AI$100:AI103)-1)+1),4),"")</f>
        <v/>
      </c>
      <c r="AJ103" s="32">
        <f>IFERROR(ROUND(INDEX('M03-S08'!$BE$18:$BE$199,2*(ROWS(AJ$100:AJ103)-1)+1),4),"")</f>
        <v>0</v>
      </c>
      <c r="AK103" s="32" t="str">
        <f>IFERROR(ROUND(INDEX('M03-S08'!$BI$18:$BI$199,2*(ROWS(AK$100:AK103)-1)+1),4),"")</f>
        <v/>
      </c>
      <c r="AL103" s="32">
        <f>IFERROR(ROUND(INDEX('M03-S08'!$BF$18:$BF$199,2*(ROWS(AL$100:AL103)-1)+1),4),"")</f>
        <v>0</v>
      </c>
      <c r="AM103" s="32">
        <f>IFERROR(ROUND(INDEX('M03-S08'!$BA$18:$BA$199,2*(ROWS(AM$100:AM103)-1)+1),4),"")</f>
        <v>0</v>
      </c>
      <c r="AN103" s="32">
        <f>IFERROR(ROUND(INDEX('M03-S08'!$BB$18:$BB$199,2*(ROWS(AN$100:AN103)-1)+1),4),"")</f>
        <v>0</v>
      </c>
      <c r="AO103" s="32"/>
      <c r="AP103" s="182"/>
      <c r="AQ103" s="182"/>
      <c r="AR103" s="182"/>
      <c r="AS103" s="171"/>
      <c r="AT103" s="171"/>
      <c r="AU103" s="171"/>
      <c r="AV103" s="190"/>
      <c r="AW103" s="190"/>
      <c r="AX103" s="184"/>
      <c r="AY103" s="184"/>
      <c r="AZ103" s="191"/>
      <c r="BA103" s="191"/>
      <c r="BB103" s="171"/>
    </row>
    <row r="104" spans="1:54">
      <c r="A104" s="10">
        <f t="shared" si="10"/>
        <v>0</v>
      </c>
      <c r="B104" t="str">
        <f t="shared" si="11"/>
        <v/>
      </c>
      <c r="C104" t="str" cm="1">
        <f t="array" ref="C104">IFERROR(_xlfn.VALUETOTEXT(INDEX('M03-S08'!$BW$18:$BW$199,2*(ROWS($C$100:C104)-1)+1)),"")</f>
        <v/>
      </c>
      <c r="D104">
        <f>IFERROR(INDEX('M03-S08'!$B$18:$B$199,2*(ROWS(D$100:D104)-1)+1),"")</f>
        <v>5</v>
      </c>
      <c r="E104" s="51" t="str" cm="1">
        <f t="array" ref="E104">IFERROR(_xlfn.VALUETOTEXT(INDEX('M03-S08'!$BX$18:$BX$199,2*(ROWS($E$100:E104)-1)+1)),"")</f>
        <v/>
      </c>
      <c r="F104" t="str" cm="1">
        <f t="array" ref="F104">IF(C104&lt;&gt;"", _xlfn.SWITCH(Program_Banner, "Small Business / Non-Profit", "Hard-To-Reach Business", "Business Energy Savings", "Whole Business Efficiency", ""), "")</f>
        <v/>
      </c>
      <c r="G104" t="s">
        <v>938</v>
      </c>
      <c r="H104" t="str">
        <f>IFERROR(INDEX('M03-S08'!$BC$18:$BC$199,2*(ROWS($H$100:H104)-1)+1),"")</f>
        <v/>
      </c>
      <c r="I104" s="171"/>
      <c r="J104" s="182"/>
      <c r="K104" s="182"/>
      <c r="L104" s="51" t="str">
        <f>IFERROR(INDEX('M03-S08'!$BD$18:$BD$199,2*(ROWS($L$100:L104)-1)+1),"")</f>
        <v/>
      </c>
      <c r="M104" s="51">
        <f>IFERROR(INDEX('M03-S08'!$AE$18:$AE$199,2*(ROWS($M$100:M104)-1)+1),"")</f>
        <v>0</v>
      </c>
      <c r="N104" s="171"/>
      <c r="O104">
        <f>IFERROR(INDEX('M03-S08'!$C$18:$C$199,2*(ROWS(O$100:O104)-1)+1),"")</f>
        <v>0</v>
      </c>
      <c r="P104" s="171"/>
      <c r="Q104">
        <f>IFERROR(INDEX('M03-S08'!$X$18:$X$199,2*(ROWS(Q$100:Q104)-1)+1),"")</f>
        <v>0</v>
      </c>
      <c r="S104" t="str">
        <f>IFERROR(INDEX('M03-S08'!$AX$18:$AX$199,2*(ROWS(S$100:S104)-1)+1),"")</f>
        <v/>
      </c>
      <c r="T104" s="545" t="str">
        <f>IFERROR(
ROUND(INDEX('M03-S08'!$AY$18:$AY$199,2*(ROWS(T$100:T104)-1)+1),3),"")</f>
        <v/>
      </c>
      <c r="U104" s="545" t="str">
        <f>IFERROR(
ROUND(INDEX('M03-S08'!$AZ$18:$AZ$199,2*(ROWS(U$100:U104)-1)+1),3),
"")</f>
        <v/>
      </c>
      <c r="V104" s="184"/>
      <c r="W104" s="184"/>
      <c r="X104" s="184"/>
      <c r="Y104" s="184"/>
      <c r="Z104" s="184"/>
      <c r="AA104" s="9" t="str" cm="1">
        <f t="array" ref="AA104">IFERROR(ROUND(INDEX('M03-S08'!$AR$18:$AR$199,2*(ROWS(AA$100:AA104)-1)+1), 2),"")</f>
        <v/>
      </c>
      <c r="AB104" s="9" t="str" cm="1">
        <f t="array" ref="AB104">_xlfn.LET(_xlpm.ROWS, 2*(ROWS(AB$100:AB104)-1)+1,IFERROR(INDEX('M03-S08'!$AR$18:$AR$199, _xlpm.ROWS)-INDEX('M03-S08'!$BS$18:$BS$199, _xlpm.ROWS),""))</f>
        <v/>
      </c>
      <c r="AC104" s="9">
        <f>IFERROR(ROUND(INDEX('M03-S08'!$AI$18:$AI$199,2*(ROWS(AC$100:AC104)-1)+1),2),"")</f>
        <v>0</v>
      </c>
      <c r="AD104" s="9">
        <f>IFERROR(ROUND(INDEX('M03-S08'!$AK$18:$AK$199,2*(ROWS(AD$100:AD104)-1)+1),2),"")</f>
        <v>0</v>
      </c>
      <c r="AE104" s="9" t="str">
        <f>IFERROR(ROUND(INDEX('M03-S08'!$BL$18:$BL$199,2*(ROWS(AE$100:AE104)-1)+1),2),"")</f>
        <v/>
      </c>
      <c r="AF104" t="s">
        <v>84</v>
      </c>
      <c r="AG104" t="str">
        <f>IFERROR(INDEX(STDMOTORS[Incremental Measure Cost ($/Unit)], MATCH(C104, STDMOTORS[Measure Number], 0))*U104, "")</f>
        <v/>
      </c>
      <c r="AH104" s="184"/>
      <c r="AI104" s="32" t="str">
        <f>IFERROR(ROUND(INDEX('M03-S08'!$BH$18:$BH$199,2*(ROWS(AI$100:AI104)-1)+1),4),"")</f>
        <v/>
      </c>
      <c r="AJ104" s="32">
        <f>IFERROR(ROUND(INDEX('M03-S08'!$BE$18:$BE$199,2*(ROWS(AJ$100:AJ104)-1)+1),4),"")</f>
        <v>0</v>
      </c>
      <c r="AK104" s="32" t="str">
        <f>IFERROR(ROUND(INDEX('M03-S08'!$BI$18:$BI$199,2*(ROWS(AK$100:AK104)-1)+1),4),"")</f>
        <v/>
      </c>
      <c r="AL104" s="32">
        <f>IFERROR(ROUND(INDEX('M03-S08'!$BF$18:$BF$199,2*(ROWS(AL$100:AL104)-1)+1),4),"")</f>
        <v>0</v>
      </c>
      <c r="AM104" s="32">
        <f>IFERROR(ROUND(INDEX('M03-S08'!$BA$18:$BA$199,2*(ROWS(AM$100:AM104)-1)+1),4),"")</f>
        <v>0</v>
      </c>
      <c r="AN104" s="32">
        <f>IFERROR(ROUND(INDEX('M03-S08'!$BB$18:$BB$199,2*(ROWS(AN$100:AN104)-1)+1),4),"")</f>
        <v>0</v>
      </c>
      <c r="AO104" s="32"/>
      <c r="AP104" s="182"/>
      <c r="AQ104" s="182"/>
      <c r="AR104" s="182"/>
      <c r="AS104" s="171"/>
      <c r="AT104" s="171"/>
      <c r="AU104" s="171"/>
      <c r="AV104" s="190"/>
      <c r="AW104" s="190"/>
      <c r="AX104" s="184"/>
      <c r="AY104" s="184"/>
      <c r="AZ104" s="191"/>
      <c r="BA104" s="191"/>
      <c r="BB104" s="171"/>
    </row>
    <row r="105" spans="1:54">
      <c r="A105" s="10">
        <f t="shared" si="10"/>
        <v>0</v>
      </c>
      <c r="B105" t="str">
        <f t="shared" si="11"/>
        <v/>
      </c>
      <c r="C105" t="str" cm="1">
        <f t="array" ref="C105">IFERROR(_xlfn.VALUETOTEXT(INDEX('M03-S08'!$BW$18:$BW$199,2*(ROWS($C$100:C105)-1)+1)),"")</f>
        <v/>
      </c>
      <c r="D105">
        <f>IFERROR(INDEX('M03-S08'!$B$18:$B$199,2*(ROWS(D$100:D105)-1)+1),"")</f>
        <v>6</v>
      </c>
      <c r="E105" s="51" t="str" cm="1">
        <f t="array" ref="E105">IFERROR(_xlfn.VALUETOTEXT(INDEX('M03-S08'!$BX$18:$BX$199,2*(ROWS($E$100:E105)-1)+1)),"")</f>
        <v/>
      </c>
      <c r="F105" t="str" cm="1">
        <f t="array" ref="F105">IF(C105&lt;&gt;"", _xlfn.SWITCH(Program_Banner, "Small Business / Non-Profit", "Hard-To-Reach Business", "Business Energy Savings", "Whole Business Efficiency", ""), "")</f>
        <v/>
      </c>
      <c r="G105" t="s">
        <v>938</v>
      </c>
      <c r="H105" t="str">
        <f>IFERROR(INDEX('M03-S08'!$BC$18:$BC$199,2*(ROWS($H$100:H105)-1)+1),"")</f>
        <v/>
      </c>
      <c r="I105" s="171"/>
      <c r="J105" s="182"/>
      <c r="K105" s="182"/>
      <c r="L105" s="51" t="str">
        <f>IFERROR(INDEX('M03-S08'!$BD$18:$BD$199,2*(ROWS($L$100:L105)-1)+1),"")</f>
        <v/>
      </c>
      <c r="M105" s="51">
        <f>IFERROR(INDEX('M03-S08'!$AE$18:$AE$199,2*(ROWS($M$100:M105)-1)+1),"")</f>
        <v>0</v>
      </c>
      <c r="N105" s="171"/>
      <c r="O105">
        <f>IFERROR(INDEX('M03-S08'!$C$18:$C$199,2*(ROWS(O$100:O105)-1)+1),"")</f>
        <v>0</v>
      </c>
      <c r="P105" s="171"/>
      <c r="Q105">
        <f>IFERROR(INDEX('M03-S08'!$X$18:$X$199,2*(ROWS(Q$100:Q105)-1)+1),"")</f>
        <v>0</v>
      </c>
      <c r="S105" t="str">
        <f>IFERROR(INDEX('M03-S08'!$AX$18:$AX$199,2*(ROWS(S$100:S105)-1)+1),"")</f>
        <v/>
      </c>
      <c r="T105" s="545" t="str">
        <f>IFERROR(
ROUND(INDEX('M03-S08'!$AY$18:$AY$199,2*(ROWS(T$100:T105)-1)+1),3),"")</f>
        <v/>
      </c>
      <c r="U105" s="545" t="str">
        <f>IFERROR(
ROUND(INDEX('M03-S08'!$AZ$18:$AZ$199,2*(ROWS(U$100:U105)-1)+1),3),
"")</f>
        <v/>
      </c>
      <c r="V105" s="184"/>
      <c r="W105" s="184"/>
      <c r="X105" s="184"/>
      <c r="Y105" s="184"/>
      <c r="Z105" s="184"/>
      <c r="AA105" s="9" t="str" cm="1">
        <f t="array" ref="AA105">IFERROR(ROUND(INDEX('M03-S08'!$AR$18:$AR$199,2*(ROWS(AA$100:AA105)-1)+1), 2),"")</f>
        <v/>
      </c>
      <c r="AB105" s="9" t="str" cm="1">
        <f t="array" ref="AB105">_xlfn.LET(_xlpm.ROWS, 2*(ROWS(AB$100:AB105)-1)+1,IFERROR(INDEX('M03-S08'!$AR$18:$AR$199, _xlpm.ROWS)-INDEX('M03-S08'!$BS$18:$BS$199, _xlpm.ROWS),""))</f>
        <v/>
      </c>
      <c r="AC105" s="9">
        <f>IFERROR(ROUND(INDEX('M03-S08'!$AI$18:$AI$199,2*(ROWS(AC$100:AC105)-1)+1),2),"")</f>
        <v>0</v>
      </c>
      <c r="AD105" s="9">
        <f>IFERROR(ROUND(INDEX('M03-S08'!$AK$18:$AK$199,2*(ROWS(AD$100:AD105)-1)+1),2),"")</f>
        <v>0</v>
      </c>
      <c r="AE105" s="9" t="str">
        <f>IFERROR(ROUND(INDEX('M03-S08'!$BL$18:$BL$199,2*(ROWS(AE$100:AE105)-1)+1),2),"")</f>
        <v/>
      </c>
      <c r="AF105" t="s">
        <v>84</v>
      </c>
      <c r="AG105" t="str">
        <f>IFERROR(INDEX(STDMOTORS[Incremental Measure Cost ($/Unit)], MATCH(C105, STDMOTORS[Measure Number], 0))*U105, "")</f>
        <v/>
      </c>
      <c r="AH105" s="184"/>
      <c r="AI105" s="32" t="str">
        <f>IFERROR(ROUND(INDEX('M03-S08'!$BH$18:$BH$199,2*(ROWS(AI$100:AI105)-1)+1),4),"")</f>
        <v/>
      </c>
      <c r="AJ105" s="32">
        <f>IFERROR(ROUND(INDEX('M03-S08'!$BE$18:$BE$199,2*(ROWS(AJ$100:AJ105)-1)+1),4),"")</f>
        <v>0</v>
      </c>
      <c r="AK105" s="32" t="str">
        <f>IFERROR(ROUND(INDEX('M03-S08'!$BI$18:$BI$199,2*(ROWS(AK$100:AK105)-1)+1),4),"")</f>
        <v/>
      </c>
      <c r="AL105" s="32">
        <f>IFERROR(ROUND(INDEX('M03-S08'!$BF$18:$BF$199,2*(ROWS(AL$100:AL105)-1)+1),4),"")</f>
        <v>0</v>
      </c>
      <c r="AM105" s="32">
        <f>IFERROR(ROUND(INDEX('M03-S08'!$BA$18:$BA$199,2*(ROWS(AM$100:AM105)-1)+1),4),"")</f>
        <v>0</v>
      </c>
      <c r="AN105" s="32">
        <f>IFERROR(ROUND(INDEX('M03-S08'!$BB$18:$BB$199,2*(ROWS(AN$100:AN105)-1)+1),4),"")</f>
        <v>0</v>
      </c>
      <c r="AO105" s="32"/>
      <c r="AP105" s="182"/>
      <c r="AQ105" s="182"/>
      <c r="AR105" s="182"/>
      <c r="AS105" s="171"/>
      <c r="AT105" s="171"/>
      <c r="AU105" s="171"/>
      <c r="AV105" s="190"/>
      <c r="AW105" s="190"/>
      <c r="AX105" s="184"/>
      <c r="AY105" s="184"/>
      <c r="AZ105" s="191"/>
      <c r="BA105" s="191"/>
      <c r="BB105" s="171"/>
    </row>
    <row r="106" spans="1:54">
      <c r="A106" s="10">
        <f t="shared" si="10"/>
        <v>0</v>
      </c>
      <c r="B106" t="str">
        <f t="shared" si="11"/>
        <v/>
      </c>
      <c r="C106" t="str" cm="1">
        <f t="array" ref="C106">IFERROR(_xlfn.VALUETOTEXT(INDEX('M03-S08'!$BW$18:$BW$199,2*(ROWS($C$100:C106)-1)+1)),"")</f>
        <v/>
      </c>
      <c r="D106">
        <f>IFERROR(INDEX('M03-S08'!$B$18:$B$199,2*(ROWS(D$100:D106)-1)+1),"")</f>
        <v>7</v>
      </c>
      <c r="E106" s="51" t="str" cm="1">
        <f t="array" ref="E106">IFERROR(_xlfn.VALUETOTEXT(INDEX('M03-S08'!$BX$18:$BX$199,2*(ROWS($E$100:E106)-1)+1)),"")</f>
        <v/>
      </c>
      <c r="F106" t="str" cm="1">
        <f t="array" ref="F106">IF(C106&lt;&gt;"", _xlfn.SWITCH(Program_Banner, "Small Business / Non-Profit", "Hard-To-Reach Business", "Business Energy Savings", "Whole Business Efficiency", ""), "")</f>
        <v/>
      </c>
      <c r="G106" t="s">
        <v>938</v>
      </c>
      <c r="H106" t="str">
        <f>IFERROR(INDEX('M03-S08'!$BC$18:$BC$199,2*(ROWS($H$100:H106)-1)+1),"")</f>
        <v/>
      </c>
      <c r="I106" s="171"/>
      <c r="J106" s="182"/>
      <c r="K106" s="182"/>
      <c r="L106" s="51" t="str">
        <f>IFERROR(INDEX('M03-S08'!$BD$18:$BD$199,2*(ROWS($L$100:L106)-1)+1),"")</f>
        <v/>
      </c>
      <c r="M106" s="51">
        <f>IFERROR(INDEX('M03-S08'!$AE$18:$AE$199,2*(ROWS($M$100:M106)-1)+1),"")</f>
        <v>0</v>
      </c>
      <c r="N106" s="171"/>
      <c r="O106">
        <f>IFERROR(INDEX('M03-S08'!$C$18:$C$199,2*(ROWS(O$100:O106)-1)+1),"")</f>
        <v>0</v>
      </c>
      <c r="P106" s="171"/>
      <c r="Q106">
        <f>IFERROR(INDEX('M03-S08'!$X$18:$X$199,2*(ROWS(Q$100:Q106)-1)+1),"")</f>
        <v>0</v>
      </c>
      <c r="S106" t="str">
        <f>IFERROR(INDEX('M03-S08'!$AX$18:$AX$199,2*(ROWS(S$100:S106)-1)+1),"")</f>
        <v/>
      </c>
      <c r="T106" s="545" t="str">
        <f>IFERROR(
ROUND(INDEX('M03-S08'!$AY$18:$AY$199,2*(ROWS(T$100:T106)-1)+1),3),"")</f>
        <v/>
      </c>
      <c r="U106" s="545" t="str">
        <f>IFERROR(
ROUND(INDEX('M03-S08'!$AZ$18:$AZ$199,2*(ROWS(U$100:U106)-1)+1),3),
"")</f>
        <v/>
      </c>
      <c r="V106" s="184"/>
      <c r="W106" s="184"/>
      <c r="X106" s="184"/>
      <c r="Y106" s="184"/>
      <c r="Z106" s="184"/>
      <c r="AA106" s="9" t="str" cm="1">
        <f t="array" ref="AA106">IFERROR(ROUND(INDEX('M03-S08'!$AR$18:$AR$199,2*(ROWS(AA$100:AA106)-1)+1), 2),"")</f>
        <v/>
      </c>
      <c r="AB106" s="9" t="str" cm="1">
        <f t="array" ref="AB106">_xlfn.LET(_xlpm.ROWS, 2*(ROWS(AB$100:AB106)-1)+1,IFERROR(INDEX('M03-S08'!$AR$18:$AR$199, _xlpm.ROWS)-INDEX('M03-S08'!$BS$18:$BS$199, _xlpm.ROWS),""))</f>
        <v/>
      </c>
      <c r="AC106" s="9">
        <f>IFERROR(ROUND(INDEX('M03-S08'!$AI$18:$AI$199,2*(ROWS(AC$100:AC106)-1)+1),2),"")</f>
        <v>0</v>
      </c>
      <c r="AD106" s="9">
        <f>IFERROR(ROUND(INDEX('M03-S08'!$AK$18:$AK$199,2*(ROWS(AD$100:AD106)-1)+1),2),"")</f>
        <v>0</v>
      </c>
      <c r="AE106" s="9" t="str">
        <f>IFERROR(ROUND(INDEX('M03-S08'!$BL$18:$BL$199,2*(ROWS(AE$100:AE106)-1)+1),2),"")</f>
        <v/>
      </c>
      <c r="AF106" t="s">
        <v>84</v>
      </c>
      <c r="AG106" t="str">
        <f>IFERROR(INDEX(STDMOTORS[Incremental Measure Cost ($/Unit)], MATCH(C106, STDMOTORS[Measure Number], 0))*U106, "")</f>
        <v/>
      </c>
      <c r="AH106" s="184"/>
      <c r="AI106" s="32" t="str">
        <f>IFERROR(ROUND(INDEX('M03-S08'!$BH$18:$BH$199,2*(ROWS(AI$100:AI106)-1)+1),4),"")</f>
        <v/>
      </c>
      <c r="AJ106" s="32">
        <f>IFERROR(ROUND(INDEX('M03-S08'!$BE$18:$BE$199,2*(ROWS(AJ$100:AJ106)-1)+1),4),"")</f>
        <v>0</v>
      </c>
      <c r="AK106" s="32" t="str">
        <f>IFERROR(ROUND(INDEX('M03-S08'!$BI$18:$BI$199,2*(ROWS(AK$100:AK106)-1)+1),4),"")</f>
        <v/>
      </c>
      <c r="AL106" s="32">
        <f>IFERROR(ROUND(INDEX('M03-S08'!$BF$18:$BF$199,2*(ROWS(AL$100:AL106)-1)+1),4),"")</f>
        <v>0</v>
      </c>
      <c r="AM106" s="32">
        <f>IFERROR(ROUND(INDEX('M03-S08'!$BA$18:$BA$199,2*(ROWS(AM$100:AM106)-1)+1),4),"")</f>
        <v>0</v>
      </c>
      <c r="AN106" s="32">
        <f>IFERROR(ROUND(INDEX('M03-S08'!$BB$18:$BB$199,2*(ROWS(AN$100:AN106)-1)+1),4),"")</f>
        <v>0</v>
      </c>
      <c r="AO106" s="32"/>
      <c r="AP106" s="182"/>
      <c r="AQ106" s="182"/>
      <c r="AR106" s="182"/>
      <c r="AS106" s="171"/>
      <c r="AT106" s="171"/>
      <c r="AU106" s="171"/>
      <c r="AV106" s="190"/>
      <c r="AW106" s="190"/>
      <c r="AX106" s="184"/>
      <c r="AY106" s="184"/>
      <c r="AZ106" s="191"/>
      <c r="BA106" s="191"/>
      <c r="BB106" s="171"/>
    </row>
    <row r="107" spans="1:54">
      <c r="A107" s="10">
        <f t="shared" si="10"/>
        <v>0</v>
      </c>
      <c r="B107" t="str">
        <f t="shared" si="11"/>
        <v/>
      </c>
      <c r="C107" t="str" cm="1">
        <f t="array" ref="C107">IFERROR(_xlfn.VALUETOTEXT(INDEX('M03-S08'!$BW$18:$BW$199,2*(ROWS($C$100:C107)-1)+1)),"")</f>
        <v/>
      </c>
      <c r="D107">
        <f>IFERROR(INDEX('M03-S08'!$B$18:$B$199,2*(ROWS(D$100:D107)-1)+1),"")</f>
        <v>8</v>
      </c>
      <c r="E107" s="51" t="str" cm="1">
        <f t="array" ref="E107">IFERROR(_xlfn.VALUETOTEXT(INDEX('M03-S08'!$BX$18:$BX$199,2*(ROWS($E$100:E107)-1)+1)),"")</f>
        <v/>
      </c>
      <c r="F107" t="str" cm="1">
        <f t="array" ref="F107">IF(C107&lt;&gt;"", _xlfn.SWITCH(Program_Banner, "Small Business / Non-Profit", "Hard-To-Reach Business", "Business Energy Savings", "Whole Business Efficiency", ""), "")</f>
        <v/>
      </c>
      <c r="G107" t="s">
        <v>938</v>
      </c>
      <c r="H107" t="str">
        <f>IFERROR(INDEX('M03-S08'!$BC$18:$BC$199,2*(ROWS($H$100:H107)-1)+1),"")</f>
        <v/>
      </c>
      <c r="I107" s="171"/>
      <c r="J107" s="182"/>
      <c r="K107" s="182"/>
      <c r="L107" s="51" t="str">
        <f>IFERROR(INDEX('M03-S08'!$BD$18:$BD$199,2*(ROWS($L$100:L107)-1)+1),"")</f>
        <v/>
      </c>
      <c r="M107" s="51">
        <f>IFERROR(INDEX('M03-S08'!$AE$18:$AE$199,2*(ROWS($M$100:M107)-1)+1),"")</f>
        <v>0</v>
      </c>
      <c r="N107" s="171"/>
      <c r="O107">
        <f>IFERROR(INDEX('M03-S08'!$C$18:$C$199,2*(ROWS(O$100:O107)-1)+1),"")</f>
        <v>0</v>
      </c>
      <c r="P107" s="171"/>
      <c r="Q107">
        <f>IFERROR(INDEX('M03-S08'!$X$18:$X$199,2*(ROWS(Q$100:Q107)-1)+1),"")</f>
        <v>0</v>
      </c>
      <c r="S107" t="str">
        <f>IFERROR(INDEX('M03-S08'!$AX$18:$AX$199,2*(ROWS(S$100:S107)-1)+1),"")</f>
        <v/>
      </c>
      <c r="T107" s="545" t="str">
        <f>IFERROR(
ROUND(INDEX('M03-S08'!$AY$18:$AY$199,2*(ROWS(T$100:T107)-1)+1),3),"")</f>
        <v/>
      </c>
      <c r="U107" s="545" t="str">
        <f>IFERROR(
ROUND(INDEX('M03-S08'!$AZ$18:$AZ$199,2*(ROWS(U$100:U107)-1)+1),3),
"")</f>
        <v/>
      </c>
      <c r="V107" s="184"/>
      <c r="W107" s="184"/>
      <c r="X107" s="184"/>
      <c r="Y107" s="184"/>
      <c r="Z107" s="184"/>
      <c r="AA107" s="9" t="str" cm="1">
        <f t="array" ref="AA107">IFERROR(ROUND(INDEX('M03-S08'!$AR$18:$AR$199,2*(ROWS(AA$100:AA107)-1)+1), 2),"")</f>
        <v/>
      </c>
      <c r="AB107" s="9" t="str" cm="1">
        <f t="array" ref="AB107">_xlfn.LET(_xlpm.ROWS, 2*(ROWS(AB$100:AB107)-1)+1,IFERROR(INDEX('M03-S08'!$AR$18:$AR$199, _xlpm.ROWS)-INDEX('M03-S08'!$BS$18:$BS$199, _xlpm.ROWS),""))</f>
        <v/>
      </c>
      <c r="AC107" s="9">
        <f>IFERROR(ROUND(INDEX('M03-S08'!$AI$18:$AI$199,2*(ROWS(AC$100:AC107)-1)+1),2),"")</f>
        <v>0</v>
      </c>
      <c r="AD107" s="9">
        <f>IFERROR(ROUND(INDEX('M03-S08'!$AK$18:$AK$199,2*(ROWS(AD$100:AD107)-1)+1),2),"")</f>
        <v>0</v>
      </c>
      <c r="AE107" s="9" t="str">
        <f>IFERROR(ROUND(INDEX('M03-S08'!$BL$18:$BL$199,2*(ROWS(AE$100:AE107)-1)+1),2),"")</f>
        <v/>
      </c>
      <c r="AF107" t="s">
        <v>84</v>
      </c>
      <c r="AG107" t="str">
        <f>IFERROR(INDEX(STDMOTORS[Incremental Measure Cost ($/Unit)], MATCH(C107, STDMOTORS[Measure Number], 0))*U107, "")</f>
        <v/>
      </c>
      <c r="AH107" s="184"/>
      <c r="AI107" s="32" t="str">
        <f>IFERROR(ROUND(INDEX('M03-S08'!$BH$18:$BH$199,2*(ROWS(AI$100:AI107)-1)+1),4),"")</f>
        <v/>
      </c>
      <c r="AJ107" s="32">
        <f>IFERROR(ROUND(INDEX('M03-S08'!$BE$18:$BE$199,2*(ROWS(AJ$100:AJ107)-1)+1),4),"")</f>
        <v>0</v>
      </c>
      <c r="AK107" s="32" t="str">
        <f>IFERROR(ROUND(INDEX('M03-S08'!$BI$18:$BI$199,2*(ROWS(AK$100:AK107)-1)+1),4),"")</f>
        <v/>
      </c>
      <c r="AL107" s="32">
        <f>IFERROR(ROUND(INDEX('M03-S08'!$BF$18:$BF$199,2*(ROWS(AL$100:AL107)-1)+1),4),"")</f>
        <v>0</v>
      </c>
      <c r="AM107" s="32">
        <f>IFERROR(ROUND(INDEX('M03-S08'!$BA$18:$BA$199,2*(ROWS(AM$100:AM107)-1)+1),4),"")</f>
        <v>0</v>
      </c>
      <c r="AN107" s="32">
        <f>IFERROR(ROUND(INDEX('M03-S08'!$BB$18:$BB$199,2*(ROWS(AN$100:AN107)-1)+1),4),"")</f>
        <v>0</v>
      </c>
      <c r="AO107" s="32"/>
      <c r="AP107" s="182"/>
      <c r="AQ107" s="182"/>
      <c r="AR107" s="182"/>
      <c r="AS107" s="171"/>
      <c r="AT107" s="171"/>
      <c r="AU107" s="171"/>
      <c r="AV107" s="190"/>
      <c r="AW107" s="190"/>
      <c r="AX107" s="184"/>
      <c r="AY107" s="184"/>
      <c r="AZ107" s="191"/>
      <c r="BA107" s="191"/>
      <c r="BB107" s="171"/>
    </row>
    <row r="108" spans="1:54">
      <c r="A108" s="10">
        <f t="shared" si="10"/>
        <v>0</v>
      </c>
      <c r="B108" t="str">
        <f t="shared" si="11"/>
        <v/>
      </c>
      <c r="C108" t="str" cm="1">
        <f t="array" ref="C108">IFERROR(_xlfn.VALUETOTEXT(INDEX('M03-S08'!$BW$18:$BW$199,2*(ROWS($C$100:C108)-1)+1)),"")</f>
        <v/>
      </c>
      <c r="D108">
        <f>IFERROR(INDEX('M03-S08'!$B$18:$B$199,2*(ROWS(D$100:D108)-1)+1),"")</f>
        <v>9</v>
      </c>
      <c r="E108" s="51" t="str" cm="1">
        <f t="array" ref="E108">IFERROR(_xlfn.VALUETOTEXT(INDEX('M03-S08'!$BX$18:$BX$199,2*(ROWS($E$100:E108)-1)+1)),"")</f>
        <v/>
      </c>
      <c r="F108" t="str" cm="1">
        <f t="array" ref="F108">IF(C108&lt;&gt;"", _xlfn.SWITCH(Program_Banner, "Small Business / Non-Profit", "Hard-To-Reach Business", "Business Energy Savings", "Whole Business Efficiency", ""), "")</f>
        <v/>
      </c>
      <c r="G108" t="s">
        <v>938</v>
      </c>
      <c r="H108" t="str">
        <f>IFERROR(INDEX('M03-S08'!$BC$18:$BC$199,2*(ROWS($H$100:H108)-1)+1),"")</f>
        <v/>
      </c>
      <c r="I108" s="171"/>
      <c r="J108" s="182"/>
      <c r="K108" s="182"/>
      <c r="L108" s="51" t="str">
        <f>IFERROR(INDEX('M03-S08'!$BD$18:$BD$199,2*(ROWS($L$100:L108)-1)+1),"")</f>
        <v/>
      </c>
      <c r="M108" s="51">
        <f>IFERROR(INDEX('M03-S08'!$AE$18:$AE$199,2*(ROWS($M$100:M108)-1)+1),"")</f>
        <v>0</v>
      </c>
      <c r="N108" s="171"/>
      <c r="O108">
        <f>IFERROR(INDEX('M03-S08'!$C$18:$C$199,2*(ROWS(O$100:O108)-1)+1),"")</f>
        <v>0</v>
      </c>
      <c r="P108" s="171"/>
      <c r="Q108">
        <f>IFERROR(INDEX('M03-S08'!$X$18:$X$199,2*(ROWS(Q$100:Q108)-1)+1),"")</f>
        <v>0</v>
      </c>
      <c r="S108" t="str">
        <f>IFERROR(INDEX('M03-S08'!$AX$18:$AX$199,2*(ROWS(S$100:S108)-1)+1),"")</f>
        <v/>
      </c>
      <c r="T108" s="545" t="str">
        <f>IFERROR(
ROUND(INDEX('M03-S08'!$AY$18:$AY$199,2*(ROWS(T$100:T108)-1)+1),3),"")</f>
        <v/>
      </c>
      <c r="U108" s="545" t="str">
        <f>IFERROR(
ROUND(INDEX('M03-S08'!$AZ$18:$AZ$199,2*(ROWS(U$100:U108)-1)+1),3),
"")</f>
        <v/>
      </c>
      <c r="V108" s="184"/>
      <c r="W108" s="184"/>
      <c r="X108" s="184"/>
      <c r="Y108" s="184"/>
      <c r="Z108" s="184"/>
      <c r="AA108" s="9" t="str" cm="1">
        <f t="array" ref="AA108">IFERROR(ROUND(INDEX('M03-S08'!$AR$18:$AR$199,2*(ROWS(AA$100:AA108)-1)+1), 2),"")</f>
        <v/>
      </c>
      <c r="AB108" s="9" t="str" cm="1">
        <f t="array" ref="AB108">_xlfn.LET(_xlpm.ROWS, 2*(ROWS(AB$100:AB108)-1)+1,IFERROR(INDEX('M03-S08'!$AR$18:$AR$199, _xlpm.ROWS)-INDEX('M03-S08'!$BS$18:$BS$199, _xlpm.ROWS),""))</f>
        <v/>
      </c>
      <c r="AC108" s="9">
        <f>IFERROR(ROUND(INDEX('M03-S08'!$AI$18:$AI$199,2*(ROWS(AC$100:AC108)-1)+1),2),"")</f>
        <v>0</v>
      </c>
      <c r="AD108" s="9">
        <f>IFERROR(ROUND(INDEX('M03-S08'!$AK$18:$AK$199,2*(ROWS(AD$100:AD108)-1)+1),2),"")</f>
        <v>0</v>
      </c>
      <c r="AE108" s="9" t="str">
        <f>IFERROR(ROUND(INDEX('M03-S08'!$BL$18:$BL$199,2*(ROWS(AE$100:AE108)-1)+1),2),"")</f>
        <v/>
      </c>
      <c r="AF108" t="s">
        <v>84</v>
      </c>
      <c r="AG108" t="str">
        <f>IFERROR(INDEX(STDMOTORS[Incremental Measure Cost ($/Unit)], MATCH(C108, STDMOTORS[Measure Number], 0))*U108, "")</f>
        <v/>
      </c>
      <c r="AH108" s="184"/>
      <c r="AI108" s="32" t="str">
        <f>IFERROR(ROUND(INDEX('M03-S08'!$BH$18:$BH$199,2*(ROWS(AI$100:AI108)-1)+1),4),"")</f>
        <v/>
      </c>
      <c r="AJ108" s="32">
        <f>IFERROR(ROUND(INDEX('M03-S08'!$BE$18:$BE$199,2*(ROWS(AJ$100:AJ108)-1)+1),4),"")</f>
        <v>0</v>
      </c>
      <c r="AK108" s="32" t="str">
        <f>IFERROR(ROUND(INDEX('M03-S08'!$BI$18:$BI$199,2*(ROWS(AK$100:AK108)-1)+1),4),"")</f>
        <v/>
      </c>
      <c r="AL108" s="32">
        <f>IFERROR(ROUND(INDEX('M03-S08'!$BF$18:$BF$199,2*(ROWS(AL$100:AL108)-1)+1),4),"")</f>
        <v>0</v>
      </c>
      <c r="AM108" s="32">
        <f>IFERROR(ROUND(INDEX('M03-S08'!$BA$18:$BA$199,2*(ROWS(AM$100:AM108)-1)+1),4),"")</f>
        <v>0</v>
      </c>
      <c r="AN108" s="32">
        <f>IFERROR(ROUND(INDEX('M03-S08'!$BB$18:$BB$199,2*(ROWS(AN$100:AN108)-1)+1),4),"")</f>
        <v>0</v>
      </c>
      <c r="AO108" s="32"/>
      <c r="AP108" s="182"/>
      <c r="AQ108" s="182"/>
      <c r="AR108" s="182"/>
      <c r="AS108" s="171"/>
      <c r="AT108" s="171"/>
      <c r="AU108" s="171"/>
      <c r="AV108" s="190"/>
      <c r="AW108" s="190"/>
      <c r="AX108" s="184"/>
      <c r="AY108" s="184"/>
      <c r="AZ108" s="191"/>
      <c r="BA108" s="191"/>
      <c r="BB108" s="171"/>
    </row>
    <row r="109" spans="1:54">
      <c r="A109" s="10">
        <f t="shared" si="10"/>
        <v>0</v>
      </c>
      <c r="B109" t="str">
        <f t="shared" si="11"/>
        <v/>
      </c>
      <c r="C109" t="str" cm="1">
        <f t="array" ref="C109">IFERROR(_xlfn.VALUETOTEXT(INDEX('M03-S08'!$BW$18:$BW$199,2*(ROWS($C$100:C109)-1)+1)),"")</f>
        <v/>
      </c>
      <c r="D109">
        <f>IFERROR(INDEX('M03-S08'!$B$18:$B$199,2*(ROWS(D$100:D109)-1)+1),"")</f>
        <v>10</v>
      </c>
      <c r="E109" s="51" t="str" cm="1">
        <f t="array" ref="E109">IFERROR(_xlfn.VALUETOTEXT(INDEX('M03-S08'!$BX$18:$BX$199,2*(ROWS($E$100:E109)-1)+1)),"")</f>
        <v/>
      </c>
      <c r="F109" t="str" cm="1">
        <f t="array" ref="F109">IF(C109&lt;&gt;"", _xlfn.SWITCH(Program_Banner, "Small Business / Non-Profit", "Hard-To-Reach Business", "Business Energy Savings", "Whole Business Efficiency", ""), "")</f>
        <v/>
      </c>
      <c r="G109" t="s">
        <v>938</v>
      </c>
      <c r="H109" t="str">
        <f>IFERROR(INDEX('M03-S08'!$BC$18:$BC$199,2*(ROWS($H$100:H109)-1)+1),"")</f>
        <v/>
      </c>
      <c r="I109" s="171"/>
      <c r="J109" s="182"/>
      <c r="K109" s="182"/>
      <c r="L109" s="51" t="str">
        <f>IFERROR(INDEX('M03-S08'!$BD$18:$BD$199,2*(ROWS($L$100:L109)-1)+1),"")</f>
        <v/>
      </c>
      <c r="M109" s="51">
        <f>IFERROR(INDEX('M03-S08'!$AE$18:$AE$199,2*(ROWS($M$100:M109)-1)+1),"")</f>
        <v>0</v>
      </c>
      <c r="N109" s="171"/>
      <c r="O109">
        <f>IFERROR(INDEX('M03-S08'!$C$18:$C$199,2*(ROWS(O$100:O109)-1)+1),"")</f>
        <v>0</v>
      </c>
      <c r="P109" s="171"/>
      <c r="Q109">
        <f>IFERROR(INDEX('M03-S08'!$X$18:$X$199,2*(ROWS(Q$100:Q109)-1)+1),"")</f>
        <v>0</v>
      </c>
      <c r="S109" t="str">
        <f>IFERROR(INDEX('M03-S08'!$AX$18:$AX$199,2*(ROWS(S$100:S109)-1)+1),"")</f>
        <v/>
      </c>
      <c r="T109" s="545" t="str">
        <f>IFERROR(
ROUND(INDEX('M03-S08'!$AY$18:$AY$199,2*(ROWS(T$100:T109)-1)+1),3),"")</f>
        <v/>
      </c>
      <c r="U109" s="545" t="str">
        <f>IFERROR(
ROUND(INDEX('M03-S08'!$AZ$18:$AZ$199,2*(ROWS(U$100:U109)-1)+1),3),
"")</f>
        <v/>
      </c>
      <c r="V109" s="184"/>
      <c r="W109" s="184"/>
      <c r="X109" s="184"/>
      <c r="Y109" s="184"/>
      <c r="Z109" s="184"/>
      <c r="AA109" s="9" t="str" cm="1">
        <f t="array" ref="AA109">IFERROR(ROUND(INDEX('M03-S08'!$AR$18:$AR$199,2*(ROWS(AA$100:AA109)-1)+1), 2),"")</f>
        <v/>
      </c>
      <c r="AB109" s="9" t="str" cm="1">
        <f t="array" ref="AB109">_xlfn.LET(_xlpm.ROWS, 2*(ROWS(AB$100:AB109)-1)+1,IFERROR(INDEX('M03-S08'!$AR$18:$AR$199, _xlpm.ROWS)-INDEX('M03-S08'!$BS$18:$BS$199, _xlpm.ROWS),""))</f>
        <v/>
      </c>
      <c r="AC109" s="9">
        <f>IFERROR(ROUND(INDEX('M03-S08'!$AI$18:$AI$199,2*(ROWS(AC$100:AC109)-1)+1),2),"")</f>
        <v>0</v>
      </c>
      <c r="AD109" s="9">
        <f>IFERROR(ROUND(INDEX('M03-S08'!$AK$18:$AK$199,2*(ROWS(AD$100:AD109)-1)+1),2),"")</f>
        <v>0</v>
      </c>
      <c r="AE109" s="9" t="str">
        <f>IFERROR(ROUND(INDEX('M03-S08'!$BL$18:$BL$199,2*(ROWS(AE$100:AE109)-1)+1),2),"")</f>
        <v/>
      </c>
      <c r="AF109" t="s">
        <v>84</v>
      </c>
      <c r="AG109" t="str">
        <f>IFERROR(INDEX(STDMOTORS[Incremental Measure Cost ($/Unit)], MATCH(C109, STDMOTORS[Measure Number], 0))*U109, "")</f>
        <v/>
      </c>
      <c r="AH109" s="184"/>
      <c r="AI109" s="32" t="str">
        <f>IFERROR(ROUND(INDEX('M03-S08'!$BH$18:$BH$199,2*(ROWS(AI$100:AI109)-1)+1),4),"")</f>
        <v/>
      </c>
      <c r="AJ109" s="32">
        <f>IFERROR(ROUND(INDEX('M03-S08'!$BE$18:$BE$199,2*(ROWS(AJ$100:AJ109)-1)+1),4),"")</f>
        <v>0</v>
      </c>
      <c r="AK109" s="32" t="str">
        <f>IFERROR(ROUND(INDEX('M03-S08'!$BI$18:$BI$199,2*(ROWS(AK$100:AK109)-1)+1),4),"")</f>
        <v/>
      </c>
      <c r="AL109" s="32">
        <f>IFERROR(ROUND(INDEX('M03-S08'!$BF$18:$BF$199,2*(ROWS(AL$100:AL109)-1)+1),4),"")</f>
        <v>0</v>
      </c>
      <c r="AM109" s="32">
        <f>IFERROR(ROUND(INDEX('M03-S08'!$BA$18:$BA$199,2*(ROWS(AM$100:AM109)-1)+1),4),"")</f>
        <v>0</v>
      </c>
      <c r="AN109" s="32">
        <f>IFERROR(ROUND(INDEX('M03-S08'!$BB$18:$BB$199,2*(ROWS(AN$100:AN109)-1)+1),4),"")</f>
        <v>0</v>
      </c>
      <c r="AO109" s="32"/>
      <c r="AP109" s="182"/>
      <c r="AQ109" s="182"/>
      <c r="AR109" s="182"/>
      <c r="AS109" s="171"/>
      <c r="AT109" s="171"/>
      <c r="AU109" s="171"/>
      <c r="AV109" s="190"/>
      <c r="AW109" s="190"/>
      <c r="AX109" s="184"/>
      <c r="AY109" s="184"/>
      <c r="AZ109" s="191"/>
      <c r="BA109" s="191"/>
      <c r="BB109" s="171"/>
    </row>
    <row r="110" spans="1:54">
      <c r="A110" s="10">
        <f t="shared" si="10"/>
        <v>0</v>
      </c>
      <c r="B110" t="str">
        <f t="shared" si="11"/>
        <v/>
      </c>
      <c r="C110" t="str" cm="1">
        <f t="array" ref="C110">IFERROR(_xlfn.VALUETOTEXT(INDEX('M03-S08'!$BW$18:$BW$199,2*(ROWS($C$100:C110)-1)+1)),"")</f>
        <v/>
      </c>
      <c r="D110">
        <f>IFERROR(INDEX('M03-S08'!$B$18:$B$199,2*(ROWS(D$100:D110)-1)+1),"")</f>
        <v>0</v>
      </c>
      <c r="E110" s="51" t="str" cm="1">
        <f t="array" ref="E110">IFERROR(_xlfn.VALUETOTEXT(INDEX('M03-S08'!$BX$18:$BX$199,2*(ROWS($E$100:E110)-1)+1)),"")</f>
        <v/>
      </c>
      <c r="F110" t="str" cm="1">
        <f t="array" ref="F110">IF(C110&lt;&gt;"", _xlfn.SWITCH(Program_Banner, "Small Business / Non-Profit", "Hard-To-Reach Business", "Business Energy Savings", "Whole Business Efficiency", ""), "")</f>
        <v/>
      </c>
      <c r="G110" t="s">
        <v>938</v>
      </c>
      <c r="H110">
        <f>IFERROR(INDEX('M03-S08'!$BC$18:$BC$199,2*(ROWS($H$100:H110)-1)+1),"")</f>
        <v>0</v>
      </c>
      <c r="I110" s="171"/>
      <c r="J110" s="182"/>
      <c r="K110" s="182"/>
      <c r="L110" s="51">
        <f>IFERROR(INDEX('M03-S08'!$BD$18:$BD$199,2*(ROWS($L$100:L110)-1)+1),"")</f>
        <v>0</v>
      </c>
      <c r="M110" s="51">
        <f>IFERROR(INDEX('M03-S08'!$AE$18:$AE$199,2*(ROWS($M$100:M110)-1)+1),"")</f>
        <v>0</v>
      </c>
      <c r="N110" s="171"/>
      <c r="O110">
        <f>IFERROR(INDEX('M03-S08'!$C$18:$C$199,2*(ROWS(O$100:O110)-1)+1),"")</f>
        <v>0</v>
      </c>
      <c r="P110" s="171"/>
      <c r="Q110">
        <f>IFERROR(INDEX('M03-S08'!$X$18:$X$199,2*(ROWS(Q$100:Q110)-1)+1),"")</f>
        <v>0</v>
      </c>
      <c r="S110">
        <f>IFERROR(INDEX('M03-S08'!$AX$18:$AX$199,2*(ROWS(S$100:S110)-1)+1),"")</f>
        <v>0</v>
      </c>
      <c r="T110" s="545">
        <f>IFERROR(
ROUND(INDEX('M03-S08'!$AY$18:$AY$199,2*(ROWS(T$100:T110)-1)+1),3),"")</f>
        <v>0</v>
      </c>
      <c r="U110" s="545">
        <f>IFERROR(
ROUND(INDEX('M03-S08'!$AZ$18:$AZ$199,2*(ROWS(U$100:U110)-1)+1),3),
"")</f>
        <v>0</v>
      </c>
      <c r="V110" s="184"/>
      <c r="W110" s="184"/>
      <c r="X110" s="184"/>
      <c r="Y110" s="184"/>
      <c r="Z110" s="184"/>
      <c r="AA110" s="9" cm="1">
        <f t="array" ref="AA110">IFERROR(ROUND(INDEX('M03-S08'!$AR$18:$AR$199,2*(ROWS(AA$100:AA110)-1)+1), 2),"")</f>
        <v>0</v>
      </c>
      <c r="AB110" s="9" cm="1">
        <f t="array" ref="AB110">_xlfn.LET(_xlpm.ROWS, 2*(ROWS(AB$100:AB110)-1)+1,IFERROR(INDEX('M03-S08'!$AR$18:$AR$199, _xlpm.ROWS)-INDEX('M03-S08'!$BS$18:$BS$199, _xlpm.ROWS),""))</f>
        <v>0</v>
      </c>
      <c r="AC110" s="9">
        <f>IFERROR(ROUND(INDEX('M03-S08'!$AI$18:$AI$199,2*(ROWS(AC$100:AC110)-1)+1),2),"")</f>
        <v>0</v>
      </c>
      <c r="AD110" s="9">
        <f>IFERROR(ROUND(INDEX('M03-S08'!$AK$18:$AK$199,2*(ROWS(AD$100:AD110)-1)+1),2),"")</f>
        <v>0</v>
      </c>
      <c r="AE110" s="9">
        <f>IFERROR(ROUND(INDEX('M03-S08'!$BL$18:$BL$199,2*(ROWS(AE$100:AE110)-1)+1),2),"")</f>
        <v>0</v>
      </c>
      <c r="AF110" t="s">
        <v>84</v>
      </c>
      <c r="AG110" t="str">
        <f>IFERROR(INDEX(STDMOTORS[Incremental Measure Cost ($/Unit)], MATCH(C110, STDMOTORS[Measure Number], 0))*U110, "")</f>
        <v/>
      </c>
      <c r="AH110" s="184"/>
      <c r="AI110" s="32">
        <f>IFERROR(ROUND(INDEX('M03-S08'!$BH$18:$BH$199,2*(ROWS(AI$100:AI110)-1)+1),4),"")</f>
        <v>0</v>
      </c>
      <c r="AJ110" s="32">
        <f>IFERROR(ROUND(INDEX('M03-S08'!$BE$18:$BE$199,2*(ROWS(AJ$100:AJ110)-1)+1),4),"")</f>
        <v>0</v>
      </c>
      <c r="AK110" s="32">
        <f>IFERROR(ROUND(INDEX('M03-S08'!$BI$18:$BI$199,2*(ROWS(AK$100:AK110)-1)+1),4),"")</f>
        <v>0</v>
      </c>
      <c r="AL110" s="32">
        <f>IFERROR(ROUND(INDEX('M03-S08'!$BF$18:$BF$199,2*(ROWS(AL$100:AL110)-1)+1),4),"")</f>
        <v>0</v>
      </c>
      <c r="AM110" s="32">
        <f>IFERROR(ROUND(INDEX('M03-S08'!$BA$18:$BA$199,2*(ROWS(AM$100:AM110)-1)+1),4),"")</f>
        <v>0</v>
      </c>
      <c r="AN110" s="32">
        <f>IFERROR(ROUND(INDEX('M03-S08'!$BB$18:$BB$199,2*(ROWS(AN$100:AN110)-1)+1),4),"")</f>
        <v>0</v>
      </c>
      <c r="AO110" s="32"/>
      <c r="AP110" s="182"/>
      <c r="AQ110" s="182"/>
      <c r="AR110" s="182"/>
      <c r="AS110" s="171"/>
      <c r="AT110" s="171"/>
      <c r="AU110" s="171"/>
      <c r="AV110" s="190"/>
      <c r="AW110" s="190"/>
      <c r="AX110" s="184"/>
      <c r="AY110" s="184"/>
      <c r="AZ110" s="191"/>
      <c r="BA110" s="191"/>
      <c r="BB110" s="171"/>
    </row>
    <row r="111" spans="1:54">
      <c r="A111" s="10">
        <f t="shared" si="10"/>
        <v>0</v>
      </c>
      <c r="B111" t="str">
        <f t="shared" si="11"/>
        <v/>
      </c>
      <c r="C111" t="str" cm="1">
        <f t="array" ref="C111">IFERROR(_xlfn.VALUETOTEXT(INDEX('M03-S08'!$BW$18:$BW$199,2*(ROWS($C$100:C111)-1)+1)),"")</f>
        <v/>
      </c>
      <c r="D111">
        <f>IFERROR(INDEX('M03-S08'!$B$18:$B$199,2*(ROWS(D$100:D111)-1)+1),"")</f>
        <v>0</v>
      </c>
      <c r="E111" s="51" t="str" cm="1">
        <f t="array" ref="E111">IFERROR(_xlfn.VALUETOTEXT(INDEX('M03-S08'!$BX$18:$BX$199,2*(ROWS($E$100:E111)-1)+1)),"")</f>
        <v/>
      </c>
      <c r="F111" t="str" cm="1">
        <f t="array" ref="F111">IF(C111&lt;&gt;"", _xlfn.SWITCH(Program_Banner, "Small Business / Non-Profit", "Hard-To-Reach Business", "Business Energy Savings", "Whole Business Efficiency", ""), "")</f>
        <v/>
      </c>
      <c r="G111" t="s">
        <v>938</v>
      </c>
      <c r="H111">
        <f>IFERROR(INDEX('M03-S08'!$BC$18:$BC$199,2*(ROWS($H$100:H111)-1)+1),"")</f>
        <v>0</v>
      </c>
      <c r="I111" s="171"/>
      <c r="J111" s="182"/>
      <c r="K111" s="182"/>
      <c r="L111" s="51">
        <f>IFERROR(INDEX('M03-S08'!$BD$18:$BD$199,2*(ROWS($L$100:L111)-1)+1),"")</f>
        <v>0</v>
      </c>
      <c r="M111" s="51">
        <f>IFERROR(INDEX('M03-S08'!$AE$18:$AE$199,2*(ROWS($M$100:M111)-1)+1),"")</f>
        <v>0</v>
      </c>
      <c r="N111" s="171"/>
      <c r="O111">
        <f>IFERROR(INDEX('M03-S08'!$C$18:$C$199,2*(ROWS(O$100:O111)-1)+1),"")</f>
        <v>0</v>
      </c>
      <c r="P111" s="171"/>
      <c r="Q111">
        <f>IFERROR(INDEX('M03-S08'!$X$18:$X$199,2*(ROWS(Q$100:Q111)-1)+1),"")</f>
        <v>0</v>
      </c>
      <c r="S111">
        <f>IFERROR(INDEX('M03-S08'!$AX$18:$AX$199,2*(ROWS(S$100:S111)-1)+1),"")</f>
        <v>0</v>
      </c>
      <c r="T111" s="545">
        <f>IFERROR(
ROUND(INDEX('M03-S08'!$AY$18:$AY$199,2*(ROWS(T$100:T111)-1)+1),3),"")</f>
        <v>0</v>
      </c>
      <c r="U111" s="545">
        <f>IFERROR(
ROUND(INDEX('M03-S08'!$AZ$18:$AZ$199,2*(ROWS(U$100:U111)-1)+1),3),
"")</f>
        <v>0</v>
      </c>
      <c r="V111" s="184"/>
      <c r="W111" s="184"/>
      <c r="X111" s="184"/>
      <c r="Y111" s="184"/>
      <c r="Z111" s="184"/>
      <c r="AA111" s="9" cm="1">
        <f t="array" ref="AA111">IFERROR(ROUND(INDEX('M03-S08'!$AR$18:$AR$199,2*(ROWS(AA$100:AA111)-1)+1), 2),"")</f>
        <v>0</v>
      </c>
      <c r="AB111" s="9" cm="1">
        <f t="array" ref="AB111">_xlfn.LET(_xlpm.ROWS, 2*(ROWS(AB$100:AB111)-1)+1,IFERROR(INDEX('M03-S08'!$AR$18:$AR$199, _xlpm.ROWS)-INDEX('M03-S08'!$BS$18:$BS$199, _xlpm.ROWS),""))</f>
        <v>0</v>
      </c>
      <c r="AC111" s="9">
        <f>IFERROR(ROUND(INDEX('M03-S08'!$AI$18:$AI$199,2*(ROWS(AC$100:AC111)-1)+1),2),"")</f>
        <v>0</v>
      </c>
      <c r="AD111" s="9">
        <f>IFERROR(ROUND(INDEX('M03-S08'!$AK$18:$AK$199,2*(ROWS(AD$100:AD111)-1)+1),2),"")</f>
        <v>0</v>
      </c>
      <c r="AE111" s="9">
        <f>IFERROR(ROUND(INDEX('M03-S08'!$BL$18:$BL$199,2*(ROWS(AE$100:AE111)-1)+1),2),"")</f>
        <v>0</v>
      </c>
      <c r="AF111" t="s">
        <v>84</v>
      </c>
      <c r="AG111" t="str">
        <f>IFERROR(INDEX(STDMOTORS[Incremental Measure Cost ($/Unit)], MATCH(C111, STDMOTORS[Measure Number], 0))*U111, "")</f>
        <v/>
      </c>
      <c r="AH111" s="184"/>
      <c r="AI111" s="32">
        <f>IFERROR(ROUND(INDEX('M03-S08'!$BH$18:$BH$199,2*(ROWS(AI$100:AI111)-1)+1),4),"")</f>
        <v>0</v>
      </c>
      <c r="AJ111" s="32">
        <f>IFERROR(ROUND(INDEX('M03-S08'!$BE$18:$BE$199,2*(ROWS(AJ$100:AJ111)-1)+1),4),"")</f>
        <v>0</v>
      </c>
      <c r="AK111" s="32">
        <f>IFERROR(ROUND(INDEX('M03-S08'!$BI$18:$BI$199,2*(ROWS(AK$100:AK111)-1)+1),4),"")</f>
        <v>0</v>
      </c>
      <c r="AL111" s="32">
        <f>IFERROR(ROUND(INDEX('M03-S08'!$BF$18:$BF$199,2*(ROWS(AL$100:AL111)-1)+1),4),"")</f>
        <v>0</v>
      </c>
      <c r="AM111" s="32">
        <f>IFERROR(ROUND(INDEX('M03-S08'!$BA$18:$BA$199,2*(ROWS(AM$100:AM111)-1)+1),4),"")</f>
        <v>0</v>
      </c>
      <c r="AN111" s="32">
        <f>IFERROR(ROUND(INDEX('M03-S08'!$BB$18:$BB$199,2*(ROWS(AN$100:AN111)-1)+1),4),"")</f>
        <v>0</v>
      </c>
      <c r="AO111" s="32"/>
      <c r="AP111" s="182"/>
      <c r="AQ111" s="182"/>
      <c r="AR111" s="182"/>
      <c r="AS111" s="171"/>
      <c r="AT111" s="171"/>
      <c r="AU111" s="171"/>
      <c r="AV111" s="190"/>
      <c r="AW111" s="190"/>
      <c r="AX111" s="184"/>
      <c r="AY111" s="184"/>
      <c r="AZ111" s="191"/>
      <c r="BA111" s="191"/>
      <c r="BB111" s="171"/>
    </row>
    <row r="112" spans="1:54">
      <c r="A112" s="10">
        <f t="shared" si="10"/>
        <v>0</v>
      </c>
      <c r="B112" t="str">
        <f t="shared" si="11"/>
        <v/>
      </c>
      <c r="C112" t="str" cm="1">
        <f t="array" ref="C112">IFERROR(_xlfn.VALUETOTEXT(INDEX('M03-S08'!$BW$18:$BW$199,2*(ROWS($C$100:C112)-1)+1)),"")</f>
        <v/>
      </c>
      <c r="D112">
        <f>IFERROR(INDEX('M03-S08'!$B$18:$B$199,2*(ROWS(D$100:D112)-1)+1),"")</f>
        <v>0</v>
      </c>
      <c r="E112" s="51" t="str" cm="1">
        <f t="array" ref="E112">IFERROR(_xlfn.VALUETOTEXT(INDEX('M03-S08'!$BX$18:$BX$199,2*(ROWS($E$100:E112)-1)+1)),"")</f>
        <v/>
      </c>
      <c r="F112" t="str" cm="1">
        <f t="array" ref="F112">IF(C112&lt;&gt;"", _xlfn.SWITCH(Program_Banner, "Small Business / Non-Profit", "Hard-To-Reach Business", "Business Energy Savings", "Whole Business Efficiency", ""), "")</f>
        <v/>
      </c>
      <c r="G112" t="s">
        <v>938</v>
      </c>
      <c r="H112">
        <f>IFERROR(INDEX('M03-S08'!$BC$18:$BC$199,2*(ROWS($H$100:H112)-1)+1),"")</f>
        <v>0</v>
      </c>
      <c r="I112" s="171"/>
      <c r="J112" s="182"/>
      <c r="K112" s="182"/>
      <c r="L112" s="51">
        <f>IFERROR(INDEX('M03-S08'!$BD$18:$BD$199,2*(ROWS($L$100:L112)-1)+1),"")</f>
        <v>0</v>
      </c>
      <c r="M112" s="51">
        <f>IFERROR(INDEX('M03-S08'!$AE$18:$AE$199,2*(ROWS($M$100:M112)-1)+1),"")</f>
        <v>0</v>
      </c>
      <c r="N112" s="171"/>
      <c r="O112">
        <f>IFERROR(INDEX('M03-S08'!$C$18:$C$199,2*(ROWS(O$100:O112)-1)+1),"")</f>
        <v>0</v>
      </c>
      <c r="P112" s="171"/>
      <c r="Q112">
        <f>IFERROR(INDEX('M03-S08'!$X$18:$X$199,2*(ROWS(Q$100:Q112)-1)+1),"")</f>
        <v>0</v>
      </c>
      <c r="S112">
        <f>IFERROR(INDEX('M03-S08'!$AX$18:$AX$199,2*(ROWS(S$100:S112)-1)+1),"")</f>
        <v>0</v>
      </c>
      <c r="T112" s="545">
        <f>IFERROR(
ROUND(INDEX('M03-S08'!$AY$18:$AY$199,2*(ROWS(T$100:T112)-1)+1),3),"")</f>
        <v>0</v>
      </c>
      <c r="U112" s="545">
        <f>IFERROR(
ROUND(INDEX('M03-S08'!$AZ$18:$AZ$199,2*(ROWS(U$100:U112)-1)+1),3),
"")</f>
        <v>0</v>
      </c>
      <c r="V112" s="184"/>
      <c r="W112" s="184"/>
      <c r="X112" s="184"/>
      <c r="Y112" s="184"/>
      <c r="Z112" s="184"/>
      <c r="AA112" s="9" cm="1">
        <f t="array" ref="AA112">IFERROR(ROUND(INDEX('M03-S08'!$AR$18:$AR$199,2*(ROWS(AA$100:AA112)-1)+1), 2),"")</f>
        <v>0</v>
      </c>
      <c r="AB112" s="9" cm="1">
        <f t="array" ref="AB112">_xlfn.LET(_xlpm.ROWS, 2*(ROWS(AB$100:AB112)-1)+1,IFERROR(INDEX('M03-S08'!$AR$18:$AR$199, _xlpm.ROWS)-INDEX('M03-S08'!$BS$18:$BS$199, _xlpm.ROWS),""))</f>
        <v>0</v>
      </c>
      <c r="AC112" s="9">
        <f>IFERROR(ROUND(INDEX('M03-S08'!$AI$18:$AI$199,2*(ROWS(AC$100:AC112)-1)+1),2),"")</f>
        <v>0</v>
      </c>
      <c r="AD112" s="9">
        <f>IFERROR(ROUND(INDEX('M03-S08'!$AK$18:$AK$199,2*(ROWS(AD$100:AD112)-1)+1),2),"")</f>
        <v>0</v>
      </c>
      <c r="AE112" s="9">
        <f>IFERROR(ROUND(INDEX('M03-S08'!$BL$18:$BL$199,2*(ROWS(AE$100:AE112)-1)+1),2),"")</f>
        <v>0</v>
      </c>
      <c r="AF112" t="s">
        <v>84</v>
      </c>
      <c r="AG112" t="str">
        <f>IFERROR(INDEX(STDMOTORS[Incremental Measure Cost ($/Unit)], MATCH(C112, STDMOTORS[Measure Number], 0))*U112, "")</f>
        <v/>
      </c>
      <c r="AH112" s="184"/>
      <c r="AI112" s="32">
        <f>IFERROR(ROUND(INDEX('M03-S08'!$BH$18:$BH$199,2*(ROWS(AI$100:AI112)-1)+1),4),"")</f>
        <v>0</v>
      </c>
      <c r="AJ112" s="32">
        <f>IFERROR(ROUND(INDEX('M03-S08'!$BE$18:$BE$199,2*(ROWS(AJ$100:AJ112)-1)+1),4),"")</f>
        <v>0</v>
      </c>
      <c r="AK112" s="32">
        <f>IFERROR(ROUND(INDEX('M03-S08'!$BI$18:$BI$199,2*(ROWS(AK$100:AK112)-1)+1),4),"")</f>
        <v>0</v>
      </c>
      <c r="AL112" s="32">
        <f>IFERROR(ROUND(INDEX('M03-S08'!$BF$18:$BF$199,2*(ROWS(AL$100:AL112)-1)+1),4),"")</f>
        <v>0</v>
      </c>
      <c r="AM112" s="32">
        <f>IFERROR(ROUND(INDEX('M03-S08'!$BA$18:$BA$199,2*(ROWS(AM$100:AM112)-1)+1),4),"")</f>
        <v>0</v>
      </c>
      <c r="AN112" s="32">
        <f>IFERROR(ROUND(INDEX('M03-S08'!$BB$18:$BB$199,2*(ROWS(AN$100:AN112)-1)+1),4),"")</f>
        <v>0</v>
      </c>
      <c r="AO112" s="32"/>
      <c r="AP112" s="182"/>
      <c r="AQ112" s="182"/>
      <c r="AR112" s="182"/>
      <c r="AS112" s="171"/>
      <c r="AT112" s="171"/>
      <c r="AU112" s="171"/>
      <c r="AV112" s="190"/>
      <c r="AW112" s="190"/>
      <c r="AX112" s="184"/>
      <c r="AY112" s="184"/>
      <c r="AZ112" s="191"/>
      <c r="BA112" s="191"/>
      <c r="BB112" s="171"/>
    </row>
    <row r="113" spans="1:54">
      <c r="A113" s="10">
        <f t="shared" si="10"/>
        <v>0</v>
      </c>
      <c r="B113" t="str">
        <f t="shared" si="11"/>
        <v/>
      </c>
      <c r="C113" t="str" cm="1">
        <f t="array" ref="C113">IFERROR(_xlfn.VALUETOTEXT(INDEX('M03-S08'!$BW$18:$BW$199,2*(ROWS($C$100:C113)-1)+1)),"")</f>
        <v/>
      </c>
      <c r="D113">
        <f>IFERROR(INDEX('M03-S08'!$B$18:$B$199,2*(ROWS(D$100:D113)-1)+1),"")</f>
        <v>0</v>
      </c>
      <c r="E113" s="51" t="str" cm="1">
        <f t="array" ref="E113">IFERROR(_xlfn.VALUETOTEXT(INDEX('M03-S08'!$BX$18:$BX$199,2*(ROWS($E$100:E113)-1)+1)),"")</f>
        <v/>
      </c>
      <c r="F113" t="str" cm="1">
        <f t="array" ref="F113">IF(C113&lt;&gt;"", _xlfn.SWITCH(Program_Banner, "Small Business / Non-Profit", "Hard-To-Reach Business", "Business Energy Savings", "Whole Business Efficiency", ""), "")</f>
        <v/>
      </c>
      <c r="G113" t="s">
        <v>938</v>
      </c>
      <c r="H113">
        <f>IFERROR(INDEX('M03-S08'!$BC$18:$BC$199,2*(ROWS($H$100:H113)-1)+1),"")</f>
        <v>0</v>
      </c>
      <c r="I113" s="171"/>
      <c r="J113" s="182"/>
      <c r="K113" s="182"/>
      <c r="L113" s="51">
        <f>IFERROR(INDEX('M03-S08'!$BD$18:$BD$199,2*(ROWS($L$100:L113)-1)+1),"")</f>
        <v>0</v>
      </c>
      <c r="M113" s="51">
        <f>IFERROR(INDEX('M03-S08'!$AE$18:$AE$199,2*(ROWS($M$100:M113)-1)+1),"")</f>
        <v>0</v>
      </c>
      <c r="N113" s="171"/>
      <c r="O113">
        <f>IFERROR(INDEX('M03-S08'!$C$18:$C$199,2*(ROWS(O$100:O113)-1)+1),"")</f>
        <v>0</v>
      </c>
      <c r="P113" s="171"/>
      <c r="Q113">
        <f>IFERROR(INDEX('M03-S08'!$X$18:$X$199,2*(ROWS(Q$100:Q113)-1)+1),"")</f>
        <v>0</v>
      </c>
      <c r="S113">
        <f>IFERROR(INDEX('M03-S08'!$AX$18:$AX$199,2*(ROWS(S$100:S113)-1)+1),"")</f>
        <v>0</v>
      </c>
      <c r="T113" s="545">
        <f>IFERROR(
ROUND(INDEX('M03-S08'!$AY$18:$AY$199,2*(ROWS(T$100:T113)-1)+1),3),"")</f>
        <v>0</v>
      </c>
      <c r="U113" s="545">
        <f>IFERROR(
ROUND(INDEX('M03-S08'!$AZ$18:$AZ$199,2*(ROWS(U$100:U113)-1)+1),3),
"")</f>
        <v>0</v>
      </c>
      <c r="V113" s="184"/>
      <c r="W113" s="184"/>
      <c r="X113" s="184"/>
      <c r="Y113" s="184"/>
      <c r="Z113" s="184"/>
      <c r="AA113" s="9" cm="1">
        <f t="array" ref="AA113">IFERROR(ROUND(INDEX('M03-S08'!$AR$18:$AR$199,2*(ROWS(AA$100:AA113)-1)+1), 2),"")</f>
        <v>0</v>
      </c>
      <c r="AB113" s="9" cm="1">
        <f t="array" ref="AB113">_xlfn.LET(_xlpm.ROWS, 2*(ROWS(AB$100:AB113)-1)+1,IFERROR(INDEX('M03-S08'!$AR$18:$AR$199, _xlpm.ROWS)-INDEX('M03-S08'!$BS$18:$BS$199, _xlpm.ROWS),""))</f>
        <v>0</v>
      </c>
      <c r="AC113" s="9">
        <f>IFERROR(ROUND(INDEX('M03-S08'!$AI$18:$AI$199,2*(ROWS(AC$100:AC113)-1)+1),2),"")</f>
        <v>0</v>
      </c>
      <c r="AD113" s="9">
        <f>IFERROR(ROUND(INDEX('M03-S08'!$AK$18:$AK$199,2*(ROWS(AD$100:AD113)-1)+1),2),"")</f>
        <v>0</v>
      </c>
      <c r="AE113" s="9">
        <f>IFERROR(ROUND(INDEX('M03-S08'!$BL$18:$BL$199,2*(ROWS(AE$100:AE113)-1)+1),2),"")</f>
        <v>0</v>
      </c>
      <c r="AF113" t="s">
        <v>84</v>
      </c>
      <c r="AG113" t="str">
        <f>IFERROR(INDEX(STDMOTORS[Incremental Measure Cost ($/Unit)], MATCH(C113, STDMOTORS[Measure Number], 0))*U113, "")</f>
        <v/>
      </c>
      <c r="AH113" s="184"/>
      <c r="AI113" s="32">
        <f>IFERROR(ROUND(INDEX('M03-S08'!$BH$18:$BH$199,2*(ROWS(AI$100:AI113)-1)+1),4),"")</f>
        <v>0</v>
      </c>
      <c r="AJ113" s="32">
        <f>IFERROR(ROUND(INDEX('M03-S08'!$BE$18:$BE$199,2*(ROWS(AJ$100:AJ113)-1)+1),4),"")</f>
        <v>0</v>
      </c>
      <c r="AK113" s="32">
        <f>IFERROR(ROUND(INDEX('M03-S08'!$BI$18:$BI$199,2*(ROWS(AK$100:AK113)-1)+1),4),"")</f>
        <v>0</v>
      </c>
      <c r="AL113" s="32">
        <f>IFERROR(ROUND(INDEX('M03-S08'!$BF$18:$BF$199,2*(ROWS(AL$100:AL113)-1)+1),4),"")</f>
        <v>0</v>
      </c>
      <c r="AM113" s="32">
        <f>IFERROR(ROUND(INDEX('M03-S08'!$BA$18:$BA$199,2*(ROWS(AM$100:AM113)-1)+1),4),"")</f>
        <v>0</v>
      </c>
      <c r="AN113" s="32">
        <f>IFERROR(ROUND(INDEX('M03-S08'!$BB$18:$BB$199,2*(ROWS(AN$100:AN113)-1)+1),4),"")</f>
        <v>0</v>
      </c>
      <c r="AO113" s="32"/>
      <c r="AP113" s="182"/>
      <c r="AQ113" s="182"/>
      <c r="AR113" s="182"/>
      <c r="AS113" s="171"/>
      <c r="AT113" s="171"/>
      <c r="AU113" s="171"/>
      <c r="AV113" s="190"/>
      <c r="AW113" s="190"/>
      <c r="AX113" s="184"/>
      <c r="AY113" s="184"/>
      <c r="AZ113" s="191"/>
      <c r="BA113" s="191"/>
      <c r="BB113" s="171"/>
    </row>
    <row r="114" spans="1:54">
      <c r="A114" s="10">
        <f t="shared" si="10"/>
        <v>0</v>
      </c>
      <c r="B114" t="str">
        <f t="shared" si="11"/>
        <v/>
      </c>
      <c r="C114" t="str" cm="1">
        <f t="array" ref="C114">IFERROR(_xlfn.VALUETOTEXT(INDEX('M03-S08'!$BW$18:$BW$199,2*(ROWS($C$100:C114)-1)+1)),"")</f>
        <v/>
      </c>
      <c r="D114">
        <f>IFERROR(INDEX('M03-S08'!$B$18:$B$199,2*(ROWS(D$100:D114)-1)+1),"")</f>
        <v>0</v>
      </c>
      <c r="E114" s="51" t="str" cm="1">
        <f t="array" ref="E114">IFERROR(_xlfn.VALUETOTEXT(INDEX('M03-S08'!$BX$18:$BX$199,2*(ROWS($E$100:E114)-1)+1)),"")</f>
        <v/>
      </c>
      <c r="F114" t="str" cm="1">
        <f t="array" ref="F114">IF(C114&lt;&gt;"", _xlfn.SWITCH(Program_Banner, "Small Business / Non-Profit", "Hard-To-Reach Business", "Business Energy Savings", "Whole Business Efficiency", ""), "")</f>
        <v/>
      </c>
      <c r="G114" t="s">
        <v>938</v>
      </c>
      <c r="H114">
        <f>IFERROR(INDEX('M03-S08'!$BC$18:$BC$199,2*(ROWS($H$100:H114)-1)+1),"")</f>
        <v>0</v>
      </c>
      <c r="I114" s="171"/>
      <c r="J114" s="182"/>
      <c r="K114" s="182"/>
      <c r="L114" s="51">
        <f>IFERROR(INDEX('M03-S08'!$BD$18:$BD$199,2*(ROWS($L$100:L114)-1)+1),"")</f>
        <v>0</v>
      </c>
      <c r="M114" s="51">
        <f>IFERROR(INDEX('M03-S08'!$AE$18:$AE$199,2*(ROWS($M$100:M114)-1)+1),"")</f>
        <v>0</v>
      </c>
      <c r="N114" s="171"/>
      <c r="O114">
        <f>IFERROR(INDEX('M03-S08'!$C$18:$C$199,2*(ROWS(O$100:O114)-1)+1),"")</f>
        <v>0</v>
      </c>
      <c r="P114" s="171"/>
      <c r="Q114">
        <f>IFERROR(INDEX('M03-S08'!$X$18:$X$199,2*(ROWS(Q$100:Q114)-1)+1),"")</f>
        <v>0</v>
      </c>
      <c r="S114">
        <f>IFERROR(INDEX('M03-S08'!$AX$18:$AX$199,2*(ROWS(S$100:S114)-1)+1),"")</f>
        <v>0</v>
      </c>
      <c r="T114" s="545">
        <f>IFERROR(
ROUND(INDEX('M03-S08'!$AY$18:$AY$199,2*(ROWS(T$100:T114)-1)+1),3),"")</f>
        <v>0</v>
      </c>
      <c r="U114" s="545">
        <f>IFERROR(
ROUND(INDEX('M03-S08'!$AZ$18:$AZ$199,2*(ROWS(U$100:U114)-1)+1),3),
"")</f>
        <v>0</v>
      </c>
      <c r="V114" s="184"/>
      <c r="W114" s="184"/>
      <c r="X114" s="184"/>
      <c r="Y114" s="184"/>
      <c r="Z114" s="184"/>
      <c r="AA114" s="9" cm="1">
        <f t="array" ref="AA114">IFERROR(ROUND(INDEX('M03-S08'!$AR$18:$AR$199,2*(ROWS(AA$100:AA114)-1)+1), 2),"")</f>
        <v>0</v>
      </c>
      <c r="AB114" s="9" cm="1">
        <f t="array" ref="AB114">_xlfn.LET(_xlpm.ROWS, 2*(ROWS(AB$100:AB114)-1)+1,IFERROR(INDEX('M03-S08'!$AR$18:$AR$199, _xlpm.ROWS)-INDEX('M03-S08'!$BS$18:$BS$199, _xlpm.ROWS),""))</f>
        <v>0</v>
      </c>
      <c r="AC114" s="9">
        <f>IFERROR(ROUND(INDEX('M03-S08'!$AI$18:$AI$199,2*(ROWS(AC$100:AC114)-1)+1),2),"")</f>
        <v>0</v>
      </c>
      <c r="AD114" s="9">
        <f>IFERROR(ROUND(INDEX('M03-S08'!$AK$18:$AK$199,2*(ROWS(AD$100:AD114)-1)+1),2),"")</f>
        <v>0</v>
      </c>
      <c r="AE114" s="9">
        <f>IFERROR(ROUND(INDEX('M03-S08'!$BL$18:$BL$199,2*(ROWS(AE$100:AE114)-1)+1),2),"")</f>
        <v>0</v>
      </c>
      <c r="AF114" t="s">
        <v>84</v>
      </c>
      <c r="AG114" t="str">
        <f>IFERROR(INDEX(STDMOTORS[Incremental Measure Cost ($/Unit)], MATCH(C114, STDMOTORS[Measure Number], 0))*U114, "")</f>
        <v/>
      </c>
      <c r="AH114" s="184"/>
      <c r="AI114" s="32">
        <f>IFERROR(ROUND(INDEX('M03-S08'!$BH$18:$BH$199,2*(ROWS(AI$100:AI114)-1)+1),4),"")</f>
        <v>0</v>
      </c>
      <c r="AJ114" s="32">
        <f>IFERROR(ROUND(INDEX('M03-S08'!$BE$18:$BE$199,2*(ROWS(AJ$100:AJ114)-1)+1),4),"")</f>
        <v>0</v>
      </c>
      <c r="AK114" s="32">
        <f>IFERROR(ROUND(INDEX('M03-S08'!$BI$18:$BI$199,2*(ROWS(AK$100:AK114)-1)+1),4),"")</f>
        <v>0</v>
      </c>
      <c r="AL114" s="32">
        <f>IFERROR(ROUND(INDEX('M03-S08'!$BF$18:$BF$199,2*(ROWS(AL$100:AL114)-1)+1),4),"")</f>
        <v>0</v>
      </c>
      <c r="AM114" s="32">
        <f>IFERROR(ROUND(INDEX('M03-S08'!$BA$18:$BA$199,2*(ROWS(AM$100:AM114)-1)+1),4),"")</f>
        <v>0</v>
      </c>
      <c r="AN114" s="32">
        <f>IFERROR(ROUND(INDEX('M03-S08'!$BB$18:$BB$199,2*(ROWS(AN$100:AN114)-1)+1),4),"")</f>
        <v>0</v>
      </c>
      <c r="AO114" s="32"/>
      <c r="AP114" s="182"/>
      <c r="AQ114" s="182"/>
      <c r="AR114" s="182"/>
      <c r="AS114" s="171"/>
      <c r="AT114" s="171"/>
      <c r="AU114" s="171"/>
      <c r="AV114" s="190"/>
      <c r="AW114" s="190"/>
      <c r="AX114" s="184"/>
      <c r="AY114" s="184"/>
      <c r="AZ114" s="191"/>
      <c r="BA114" s="191"/>
      <c r="BB114" s="171"/>
    </row>
    <row r="115" spans="1:54">
      <c r="A115" s="477" t="str">
        <f>"Custom "&amp;M4S2</f>
        <v>Custom Lighting</v>
      </c>
      <c r="B115" s="31"/>
      <c r="C115" s="31"/>
      <c r="D115" s="31"/>
      <c r="E115" s="31"/>
      <c r="F115" s="31"/>
      <c r="G115" s="31"/>
      <c r="H115" s="31"/>
      <c r="I115" s="31"/>
      <c r="J115" s="181"/>
      <c r="K115" s="181"/>
      <c r="L115" s="31"/>
      <c r="M115" s="31"/>
      <c r="N115" s="31"/>
      <c r="O115" s="98"/>
      <c r="P115" s="31"/>
      <c r="Q115" s="31"/>
      <c r="R115" s="31"/>
      <c r="S115" s="31"/>
      <c r="T115" s="187"/>
      <c r="U115" s="187"/>
      <c r="V115" s="185"/>
      <c r="W115" s="185"/>
      <c r="X115" s="185"/>
      <c r="Y115" s="185"/>
      <c r="Z115" s="185"/>
      <c r="AA115" s="181"/>
      <c r="AB115" s="31"/>
      <c r="AC115" s="181"/>
      <c r="AD115" s="181"/>
      <c r="AE115" s="181"/>
      <c r="AF115" s="31"/>
      <c r="AG115" s="31"/>
      <c r="AH115" s="31"/>
      <c r="AI115" s="189"/>
      <c r="AJ115" s="189"/>
      <c r="AK115" s="189"/>
      <c r="AL115" s="189"/>
      <c r="AM115" s="189"/>
      <c r="AN115" s="189"/>
      <c r="AO115" s="189"/>
      <c r="AP115" s="181"/>
      <c r="AQ115" s="181"/>
      <c r="AR115" s="181"/>
      <c r="AS115" s="31"/>
      <c r="AT115" s="31"/>
      <c r="AU115" s="31"/>
      <c r="AV115" s="187"/>
      <c r="AW115" s="187"/>
      <c r="AX115" s="185"/>
      <c r="AY115" s="185"/>
      <c r="AZ115" s="189"/>
      <c r="BA115" s="189"/>
      <c r="BB115" s="31"/>
    </row>
    <row r="116" spans="1:54">
      <c r="A116" s="10">
        <f t="shared" ref="A116:A145" si="12">PROJID</f>
        <v>0</v>
      </c>
      <c r="B116" t="str">
        <f t="shared" ref="B116:B145" si="13">IF(C116="","",CONCATENATE(ROW(),"-",C116))</f>
        <v/>
      </c>
      <c r="C116" t="str" cm="1">
        <f t="array" ref="C116">IFERROR(_xlfn.VALUETOTEXT(INDEX('M04-S02'!$BW$18:$BW$199,2*(ROWS($C$116:C116)-1)+1)),"")</f>
        <v/>
      </c>
      <c r="D116">
        <f>IFERROR(INDEX('M04-S02'!$B$18:$B$199,2*(ROWS(D$116:D116)-1)+1),"")</f>
        <v>1</v>
      </c>
      <c r="E116" s="51" t="str" cm="1">
        <f t="array" ref="E116">IFERROR(_xlfn.VALUETOTEXT(INDEX('M04-S02'!$BX$18:$BX$199,2*(ROWS($E$116:E116)-1)+1)),"")</f>
        <v/>
      </c>
      <c r="F116" t="str" cm="1">
        <f t="array" ref="F116">IF(C116&lt;&gt;"", _xlfn.SWITCH(Program_Banner, "Small Business / Non-Profit", "Hard-To-Reach Business", "Business Energy Savings", "Whole Business Efficiency", ""), "")</f>
        <v/>
      </c>
      <c r="G116" t="s">
        <v>135</v>
      </c>
      <c r="H116" t="str">
        <f>IFERROR(INDEX('M04-S02'!$BC$18:$BC$199,2*(ROWS(H$116:H116)-1)+1),"")</f>
        <v/>
      </c>
      <c r="I116" t="str">
        <f>IFERROR(INDEX('M04-S02'!$BJ$18:$BJ$199,2*(ROWS(I$116:I116)-1)+1),"")</f>
        <v/>
      </c>
      <c r="J116" s="9" t="str">
        <f>IFERROR(INDEX('M04-S02'!$BN$18:$BN$199,2*(ROWS(J$116:J116)-1)+1),"")</f>
        <v/>
      </c>
      <c r="K116" s="9" t="str">
        <f>IFERROR(INDEX('M04-S02'!$BO$18:$BO$199,2*(ROWS(K$116:K116)-1)+1),"")</f>
        <v/>
      </c>
      <c r="L116" s="51" t="str">
        <f>IFERROR(INDEX('M04-S02'!$BD$18:$BD$199,2*(ROWS($L$116:L116)-1)+1), "")</f>
        <v/>
      </c>
      <c r="M116" s="51" t="str">
        <f>IFERROR(INDEX('M04-S02'!$E$18:$E$199,2*(ROWS($M$116:M116)-1)+1)&amp;" - "&amp;INDEX('M04-S02'!$C$18:$C$199,2*(ROWS($M$116:M116)-1)+1),"")</f>
        <v xml:space="preserve"> - </v>
      </c>
      <c r="N116">
        <f>IFERROR(INDEX('M04-S02'!$G$18:$G$199,2*(ROWS(N$116:N116)-1)+1),"")</f>
        <v>0</v>
      </c>
      <c r="O116">
        <f>IFERROR(INDEX('M04-S02'!$S$18:$S$199,2*(ROWS(O$116:O116)-1)+1),"")</f>
        <v>0</v>
      </c>
      <c r="P116">
        <f>IFERROR(INDEX('M04-S02'!$K$18:$K$199,2*(ROWS(P$116:P116)-1)+1),"")</f>
        <v>0</v>
      </c>
      <c r="Q116">
        <f>IFERROR(INDEX('M04-S02'!$Z$18:$Z$199,2*(ROWS(Q$116:Q116)-1)+1),"")</f>
        <v>0</v>
      </c>
      <c r="S116" t="str">
        <f>IFERROR(INDEX('M04-S02'!$AX$18:$AX$199,2*(ROWS(S$116:S116)-1)+1),"")</f>
        <v/>
      </c>
      <c r="T116" s="545" t="str">
        <f>IFERROR(ROUND(INDEX('M04-S02'!$AY$18:$AY$199,2*(ROWS(T$116:T116)-1)+1),3),"")</f>
        <v/>
      </c>
      <c r="U116" s="545" t="str">
        <f>IFERROR(ROUND(INDEX('M04-S02'!$AZ$18:$AZ$199,2*(ROWS(U$116:U116)-1)+1),3),"")</f>
        <v/>
      </c>
      <c r="V116" s="26">
        <f>IFERROR(INDEX('M04-S02'!$Q$18:$Q$199,2*(ROWS(V$116:V116)-1)+1),"")</f>
        <v>0</v>
      </c>
      <c r="W116" s="27" t="str">
        <f>IFERROR(INDEX('M04-S02'!$O$18:$O$199,2*(ROWS(W$116:W116)-1)+1),"")</f>
        <v/>
      </c>
      <c r="X116" s="27">
        <f>IFERROR(INDEX('M04-S02'!$AF$18:$AF$199,2*(ROWS(X$116:X116)-1)+1),"")</f>
        <v>0</v>
      </c>
      <c r="Y116" s="184"/>
      <c r="Z116" s="184"/>
      <c r="AA116" s="9" t="str" cm="1">
        <f t="array" ref="AA116">IFERROR(ROUND(INDEX('M04-S02'!$AR$18:$AR$199,2*(ROWS(AA$116:AA116)-1)+1), 2),"")</f>
        <v/>
      </c>
      <c r="AB116" s="164"/>
      <c r="AC116" s="9" t="str" cm="1">
        <f t="array" aca="1" ref="AC116" ca="1">IFERROR(ROUND(IF(BB116&lt;&gt;"","",INDEX('M04-S02'!$AH$18:$AH$199,2*(ROWS(AC$116:AC116)-1)+1)),2),"")</f>
        <v/>
      </c>
      <c r="AD116" s="9" t="str" cm="1">
        <f t="array" aca="1" ref="AD116" ca="1">IFERROR(ROUND(IF(BB116&lt;&gt;"","",INDEX('M04-S02'!$AJ$18:$AJ$199,2*(ROWS(AD$116:AD116)-1)+1)),2),"")</f>
        <v/>
      </c>
      <c r="AE116" s="9" t="str" cm="1">
        <f t="array" aca="1" ref="AE116" ca="1">IFERROR(ROUND(IF(BB116&lt;&gt;"","",INDEX('M04-S02'!$AL$18:$AL$199,2*(ROWS(AE$116:AE116)-1)+1)),2),"")</f>
        <v/>
      </c>
      <c r="AF116" t="str">
        <f ca="1">IFERROR(IF(BB116&lt;&gt;"","","Incremental"),"")</f>
        <v/>
      </c>
      <c r="AG116" s="9" t="str" cm="1">
        <f t="array" aca="1" ref="AG116" ca="1">IFERROR(ROUND(IF(BB116&lt;&gt;"","",INDEX('M04-S02'!$AL$18:$AL$199,2*(ROWS(AG$116:AG116)-1)+1)),2),"")</f>
        <v/>
      </c>
      <c r="AH116" s="184"/>
      <c r="AI116" s="191"/>
      <c r="AJ116" s="32" t="str">
        <f ca="1">IFERROR(ROUND(IF(BA116&lt;&gt;"","",INDEX('M04-S02'!$AO$18:$AO$199,2*(ROWS(AJ$116:AJ116)-1)+1)),4),"")</f>
        <v/>
      </c>
      <c r="AK116" s="32" t="str">
        <f ca="1">IFERROR(ROUND(IF(BA116&lt;&gt;"","",INDEX('M04-S02'!$BF$18:$BF$199,2*(ROWS(AK$116:AK116)-1)+1)),4),"")</f>
        <v/>
      </c>
      <c r="AL116" s="32" t="str">
        <f ca="1">IFERROR(ROUND(IF(BA116&lt;&gt;"","",INDEX('M04-S02'!$BG$18:$BG$199,2*(ROWS(AL$116:AL116)-1)+1)),4),"")</f>
        <v/>
      </c>
      <c r="AM116" s="32" t="str" cm="1">
        <f t="array" ref="AM116">IFERROR(ROUND(INDEX('M04-S02'!$BA$18:$BA$199,2*(ROWS(AM$116:AM116)-1)+1),4),"")</f>
        <v/>
      </c>
      <c r="AN116" s="32" t="str" cm="1">
        <f t="array" ref="AN116">IFERROR(ROUND(INDEX('M04-S02'!$BB$18:$BB$199,2*(ROWS(AN$116:AN116)-1)+1),4),"")</f>
        <v/>
      </c>
      <c r="AO116" s="32"/>
      <c r="AP116" s="9">
        <f ca="1">IFERROR(ROUND(IF(BB116&lt;&gt;"",INDEX('M04-S02'!$AH$18:$AH$199,2*(ROWS(AP$116:AP116)-1)+1),""),2),"")</f>
        <v>0</v>
      </c>
      <c r="AQ116" s="9">
        <f ca="1">IFERROR(ROUND(IF(BB116&lt;&gt;"",INDEX('M04-S02'!$AJ$18:$AJ$199,2*(ROWS(AQ$116:AQ116)-1)+1),""),2),"")</f>
        <v>0</v>
      </c>
      <c r="AR116" s="536" t="str" cm="1">
        <f t="array" aca="1" ref="AR116" ca="1">IFERROR(ROUND(IF(BB116&lt;&gt;"", INDEX('M04-S02'!$AL$18:$AL$199,2*(ROWS(AT$116:AT116)-1)+1), ""),2),"")</f>
        <v/>
      </c>
      <c r="AS116" t="str">
        <f ca="1">IFERROR(IF(BB116&lt;&gt;"","Incremental",""),"")</f>
        <v>Incremental</v>
      </c>
      <c r="AT116" s="536" t="str" cm="1">
        <f t="array" aca="1" ref="AT116" ca="1">IFERROR(ROUND(IF(BB116&lt;&gt;"", INDEX('M04-S02'!$AL$18:$AL$199,2*(ROWS(AT$116:AT116)-1)+1), ""),2),"")</f>
        <v/>
      </c>
      <c r="AU116" s="184"/>
      <c r="AV116" s="5">
        <f ca="1">IFERROR(IF(BB116&lt;&gt;"",ROUND(INDEX('M04-S02'!$M$18:$M$199,2*(ROWS(AV$116:AV116)-1)+1),3),""),"")</f>
        <v>0</v>
      </c>
      <c r="AW116" s="5">
        <f ca="1">IFERROR(IF(BB116&lt;&gt;"",ROUND(INDEX('M04-S02'!$AD$18:$AD$199,2*(ROWS(AW$116:AW116)-1)+1),3),""),"")</f>
        <v>0</v>
      </c>
      <c r="AX116" s="184"/>
      <c r="AY116" s="26" t="str">
        <f ca="1">IFERROR(IF(BB116&lt;&gt;"",INDEX('M04-S02'!$AO$18:$AO$199,2*(ROWS(AY$116:AY116)-1)+1),""),"")</f>
        <v/>
      </c>
      <c r="AZ116" s="32" t="str">
        <f ca="1">IFERROR(IF(BB116&lt;&gt;"",INDEX('M04-S02'!$BF$18:$BF$199,2*(ROWS(AZ$116:AZ116)-1)+1),""),"")</f>
        <v/>
      </c>
      <c r="BA116" s="32" t="str">
        <f ca="1">IFERROR(IF(BB116&lt;&gt;"",INDEX('M04-S02'!$BG$18:$BG$199,2*(ROWS(BA$116:BA116)-1)+1),""),"")</f>
        <v/>
      </c>
      <c r="BB116" t="str">
        <f ca="1">IFERROR(INDEX('M04-S02'!$BY$18:$BY$199,2*(ROWS(BB$116:BB116)-1)+1),"")</f>
        <v>Enter Utility Rate</v>
      </c>
    </row>
    <row r="117" spans="1:54">
      <c r="A117" s="10">
        <f t="shared" si="12"/>
        <v>0</v>
      </c>
      <c r="B117" t="str">
        <f t="shared" si="13"/>
        <v/>
      </c>
      <c r="C117" t="str" cm="1">
        <f t="array" ref="C117">IFERROR(_xlfn.VALUETOTEXT(INDEX('M04-S02'!$BW$18:$BW$199,2*(ROWS($C$116:C117)-1)+1)),"")</f>
        <v/>
      </c>
      <c r="D117">
        <f>IFERROR(INDEX('M04-S02'!$B$18:$B$199,2*(ROWS(D$116:D117)-1)+1),"")</f>
        <v>2</v>
      </c>
      <c r="E117" s="51" t="str" cm="1">
        <f t="array" ref="E117">IFERROR(_xlfn.VALUETOTEXT(INDEX('M04-S02'!$BX$18:$BX$199,2*(ROWS($E$116:E117)-1)+1)),"")</f>
        <v/>
      </c>
      <c r="F117" t="str" cm="1">
        <f t="array" ref="F117">IF(C117&lt;&gt;"", _xlfn.SWITCH(Program_Banner, "Small Business / Non-Profit", "Hard-To-Reach Business", "Business Energy Savings", "Whole Business Efficiency", ""), "")</f>
        <v/>
      </c>
      <c r="G117" t="s">
        <v>135</v>
      </c>
      <c r="H117" t="str">
        <f>IFERROR(INDEX('M04-S02'!$BC$18:$BC$199,2*(ROWS(H$116:H117)-1)+1),"")</f>
        <v/>
      </c>
      <c r="I117" t="str">
        <f>IFERROR(INDEX('M04-S02'!$BJ$18:$BJ$199,2*(ROWS(I$116:I117)-1)+1),"")</f>
        <v/>
      </c>
      <c r="J117" s="9" t="str">
        <f>IFERROR(INDEX('M04-S02'!$BN$18:$BN$199,2*(ROWS(J$116:J117)-1)+1),"")</f>
        <v/>
      </c>
      <c r="K117" s="9" t="str">
        <f>IFERROR(INDEX('M04-S02'!$BO$18:$BO$199,2*(ROWS(K$116:K117)-1)+1),"")</f>
        <v/>
      </c>
      <c r="L117" s="51" t="str">
        <f>IFERROR(INDEX('M04-S02'!$BD$18:$BD$199,2*(ROWS($L$116:L117)-1)+1), "")</f>
        <v/>
      </c>
      <c r="M117" s="51" t="str">
        <f>IFERROR(INDEX('M04-S02'!$E$18:$E$199,2*(ROWS($M$116:M117)-1)+1)&amp;" - "&amp;INDEX('M04-S02'!$C$18:$C$199,2*(ROWS($M$116:M117)-1)+1),"")</f>
        <v xml:space="preserve"> - </v>
      </c>
      <c r="N117">
        <f>IFERROR(INDEX('M04-S02'!$G$18:$G$199,2*(ROWS(N$116:N117)-1)+1),"")</f>
        <v>0</v>
      </c>
      <c r="O117">
        <f>IFERROR(INDEX('M04-S02'!$S$18:$S$199,2*(ROWS(O$116:O117)-1)+1),"")</f>
        <v>0</v>
      </c>
      <c r="P117">
        <f>IFERROR(INDEX('M04-S02'!$K$18:$K$199,2*(ROWS(P$116:P117)-1)+1),"")</f>
        <v>0</v>
      </c>
      <c r="Q117">
        <f>IFERROR(INDEX('M04-S02'!$Z$18:$Z$199,2*(ROWS(Q$116:Q117)-1)+1),"")</f>
        <v>0</v>
      </c>
      <c r="S117" t="str">
        <f>IFERROR(INDEX('M04-S02'!$AX$18:$AX$199,2*(ROWS(S$116:S117)-1)+1),"")</f>
        <v/>
      </c>
      <c r="T117" s="545" t="str">
        <f>IFERROR(ROUND(INDEX('M04-S02'!$AY$18:$AY$199,2*(ROWS(T$116:T117)-1)+1),3),"")</f>
        <v/>
      </c>
      <c r="U117" s="545" t="str">
        <f>IFERROR(ROUND(INDEX('M04-S02'!$AZ$18:$AZ$199,2*(ROWS(U$116:U117)-1)+1),3),"")</f>
        <v/>
      </c>
      <c r="V117" s="26">
        <f>IFERROR(INDEX('M04-S02'!$Q$18:$Q$199,2*(ROWS(V$116:V117)-1)+1),"")</f>
        <v>0</v>
      </c>
      <c r="W117" s="27" t="str">
        <f>IFERROR(INDEX('M04-S02'!$O$18:$O$199,2*(ROWS(W$116:W117)-1)+1),"")</f>
        <v/>
      </c>
      <c r="X117" s="27">
        <f>IFERROR(INDEX('M04-S02'!$AF$18:$AF$199,2*(ROWS(X$116:X117)-1)+1),"")</f>
        <v>0</v>
      </c>
      <c r="Y117" s="184"/>
      <c r="Z117" s="184"/>
      <c r="AA117" s="9" t="str" cm="1">
        <f t="array" ref="AA117">IFERROR(ROUND(INDEX('M04-S02'!$AR$18:$AR$199,2*(ROWS(AA$116:AA117)-1)+1), 2),"")</f>
        <v/>
      </c>
      <c r="AB117" s="164"/>
      <c r="AC117" s="9" t="str" cm="1">
        <f t="array" aca="1" ref="AC117" ca="1">IFERROR(ROUND(IF(BB117&lt;&gt;"","",INDEX('M04-S02'!$AH$18:$AH$199,2*(ROWS(AC$116:AC117)-1)+1)),2),"")</f>
        <v/>
      </c>
      <c r="AD117" s="9" t="str" cm="1">
        <f t="array" aca="1" ref="AD117" ca="1">IFERROR(ROUND(IF(BB117&lt;&gt;"","",INDEX('M04-S02'!$AJ$18:$AJ$199,2*(ROWS(AD$116:AD117)-1)+1)),2),"")</f>
        <v/>
      </c>
      <c r="AE117" s="9" t="str" cm="1">
        <f t="array" aca="1" ref="AE117" ca="1">IFERROR(ROUND(IF(BB117&lt;&gt;"","",INDEX('M04-S02'!$AL$18:$AL$199,2*(ROWS(AE$116:AE117)-1)+1)),2),"")</f>
        <v/>
      </c>
      <c r="AF117" t="str">
        <f t="shared" ref="AF117:AF145" ca="1" si="14">IFERROR(IF(BB117&lt;&gt;"","","Incremental"),"")</f>
        <v/>
      </c>
      <c r="AG117" s="9" t="str" cm="1">
        <f t="array" aca="1" ref="AG117" ca="1">IFERROR(ROUND(IF(BB117&lt;&gt;"","",INDEX('M04-S02'!$AL$18:$AL$199,2*(ROWS(AG$116:AG117)-1)+1)),2),"")</f>
        <v/>
      </c>
      <c r="AH117" s="184"/>
      <c r="AI117" s="191"/>
      <c r="AJ117" s="32" t="str">
        <f ca="1">IFERROR(ROUND(IF(BA117&lt;&gt;"","",INDEX('M04-S02'!$AO$18:$AO$199,2*(ROWS(AJ$116:AJ117)-1)+1)),4),"")</f>
        <v/>
      </c>
      <c r="AK117" s="32" t="str">
        <f ca="1">IFERROR(ROUND(IF(BA117&lt;&gt;"","",INDEX('M04-S02'!$BF$18:$BF$199,2*(ROWS(AK$116:AK117)-1)+1)),4),"")</f>
        <v/>
      </c>
      <c r="AL117" s="32" t="str">
        <f ca="1">IFERROR(ROUND(IF(BA117&lt;&gt;"","",INDEX('M04-S02'!$BG$18:$BG$199,2*(ROWS(AL$116:AL117)-1)+1)),4),"")</f>
        <v/>
      </c>
      <c r="AM117" s="32" t="str" cm="1">
        <f t="array" ref="AM117">IFERROR(ROUND(INDEX('M04-S02'!$BA$18:$BA$199,2*(ROWS(AM$116:AM117)-1)+1),4),"")</f>
        <v/>
      </c>
      <c r="AN117" s="32" t="str" cm="1">
        <f t="array" ref="AN117">IFERROR(ROUND(INDEX('M04-S02'!$BB$18:$BB$199,2*(ROWS(AN$116:AN117)-1)+1),4),"")</f>
        <v/>
      </c>
      <c r="AO117" s="32"/>
      <c r="AP117" s="9">
        <f ca="1">IFERROR(ROUND(IF(BB117&lt;&gt;"",INDEX('M04-S02'!$AH$18:$AH$199,2*(ROWS(AP$116:AP117)-1)+1),""),2),"")</f>
        <v>0</v>
      </c>
      <c r="AQ117" s="9">
        <f ca="1">IFERROR(ROUND(IF(BB117&lt;&gt;"",INDEX('M04-S02'!$AJ$18:$AJ$199,2*(ROWS(AQ$116:AQ117)-1)+1),""),2),"")</f>
        <v>0</v>
      </c>
      <c r="AR117" s="536" t="str" cm="1">
        <f t="array" aca="1" ref="AR117" ca="1">IFERROR(ROUND(IF(BB117&lt;&gt;"", INDEX('M04-S02'!$AL$18:$AL$199,2*(ROWS(AT$116:AT117)-1)+1), ""),2),"")</f>
        <v/>
      </c>
      <c r="AS117" t="str">
        <f t="shared" ref="AS117:AS145" ca="1" si="15">IFERROR(IF(BB117&lt;&gt;"","Incremental",""),"")</f>
        <v>Incremental</v>
      </c>
      <c r="AT117" s="536" t="str" cm="1">
        <f t="array" aca="1" ref="AT117" ca="1">IFERROR(ROUND(IF(BB117&lt;&gt;"", INDEX('M04-S02'!$AL$18:$AL$199,2*(ROWS(AT$116:AT117)-1)+1), ""),2),"")</f>
        <v/>
      </c>
      <c r="AU117" s="184"/>
      <c r="AV117" s="5">
        <f ca="1">IFERROR(IF(BB117&lt;&gt;"",ROUND(INDEX('M04-S02'!$M$18:$M$199,2*(ROWS(AV$116:AV117)-1)+1),3),""),"")</f>
        <v>0</v>
      </c>
      <c r="AW117" s="5">
        <f ca="1">IFERROR(IF(BB117&lt;&gt;"",ROUND(INDEX('M04-S02'!$AD$18:$AD$199,2*(ROWS(AW$116:AW117)-1)+1),3),""),"")</f>
        <v>0</v>
      </c>
      <c r="AX117" s="184"/>
      <c r="AY117" s="26" t="str">
        <f ca="1">IFERROR(IF(BB117&lt;&gt;"",INDEX('M04-S02'!$AO$18:$AO$199,2*(ROWS(AY$116:AY117)-1)+1),""),"")</f>
        <v/>
      </c>
      <c r="AZ117" s="32" t="str">
        <f ca="1">IFERROR(IF(BB117&lt;&gt;"",INDEX('M04-S02'!$BF$18:$BF$199,2*(ROWS(AZ$116:AZ117)-1)+1),""),"")</f>
        <v/>
      </c>
      <c r="BA117" s="32" t="str">
        <f ca="1">IFERROR(IF(BB117&lt;&gt;"",INDEX('M04-S02'!$BG$18:$BG$199,2*(ROWS(BA$116:BA117)-1)+1),""),"")</f>
        <v/>
      </c>
      <c r="BB117" t="str">
        <f ca="1">IFERROR(INDEX('M04-S02'!$BY$18:$BY$199,2*(ROWS(BB$116:BB117)-1)+1),"")</f>
        <v>Enter Utility Rate</v>
      </c>
    </row>
    <row r="118" spans="1:54">
      <c r="A118" s="10">
        <f t="shared" si="12"/>
        <v>0</v>
      </c>
      <c r="B118" t="str">
        <f t="shared" si="13"/>
        <v/>
      </c>
      <c r="C118" t="str" cm="1">
        <f t="array" ref="C118">IFERROR(_xlfn.VALUETOTEXT(INDEX('M04-S02'!$BW$18:$BW$199,2*(ROWS($C$116:C118)-1)+1)),"")</f>
        <v/>
      </c>
      <c r="D118">
        <f>IFERROR(INDEX('M04-S02'!$B$18:$B$199,2*(ROWS(D$116:D118)-1)+1),"")</f>
        <v>3</v>
      </c>
      <c r="E118" s="51" t="str" cm="1">
        <f t="array" ref="E118">IFERROR(_xlfn.VALUETOTEXT(INDEX('M04-S02'!$BX$18:$BX$199,2*(ROWS($E$116:E118)-1)+1)),"")</f>
        <v/>
      </c>
      <c r="F118" t="str" cm="1">
        <f t="array" ref="F118">IF(C118&lt;&gt;"", _xlfn.SWITCH(Program_Banner, "Small Business / Non-Profit", "Hard-To-Reach Business", "Business Energy Savings", "Whole Business Efficiency", ""), "")</f>
        <v/>
      </c>
      <c r="G118" t="s">
        <v>135</v>
      </c>
      <c r="H118" t="str">
        <f>IFERROR(INDEX('M04-S02'!$BC$18:$BC$199,2*(ROWS(H$116:H118)-1)+1),"")</f>
        <v/>
      </c>
      <c r="I118" t="str">
        <f>IFERROR(INDEX('M04-S02'!$BJ$18:$BJ$199,2*(ROWS(I$116:I118)-1)+1),"")</f>
        <v/>
      </c>
      <c r="J118" s="9" t="str">
        <f>IFERROR(INDEX('M04-S02'!$BN$18:$BN$199,2*(ROWS(J$116:J118)-1)+1),"")</f>
        <v/>
      </c>
      <c r="K118" s="9" t="str">
        <f>IFERROR(INDEX('M04-S02'!$BO$18:$BO$199,2*(ROWS(K$116:K118)-1)+1),"")</f>
        <v/>
      </c>
      <c r="L118" s="51" t="str">
        <f>IFERROR(INDEX('M04-S02'!$BD$18:$BD$199,2*(ROWS($L$116:L118)-1)+1), "")</f>
        <v/>
      </c>
      <c r="M118" s="51" t="str">
        <f>IFERROR(INDEX('M04-S02'!$E$18:$E$199,2*(ROWS($M$116:M118)-1)+1)&amp;" - "&amp;INDEX('M04-S02'!$C$18:$C$199,2*(ROWS($M$116:M118)-1)+1),"")</f>
        <v xml:space="preserve"> - </v>
      </c>
      <c r="N118">
        <f>IFERROR(INDEX('M04-S02'!$G$18:$G$199,2*(ROWS(N$116:N118)-1)+1),"")</f>
        <v>0</v>
      </c>
      <c r="O118">
        <f>IFERROR(INDEX('M04-S02'!$S$18:$S$199,2*(ROWS(O$116:O118)-1)+1),"")</f>
        <v>0</v>
      </c>
      <c r="P118">
        <f>IFERROR(INDEX('M04-S02'!$K$18:$K$199,2*(ROWS(P$116:P118)-1)+1),"")</f>
        <v>0</v>
      </c>
      <c r="Q118">
        <f>IFERROR(INDEX('M04-S02'!$Z$18:$Z$199,2*(ROWS(Q$116:Q118)-1)+1),"")</f>
        <v>0</v>
      </c>
      <c r="S118" t="str">
        <f>IFERROR(INDEX('M04-S02'!$AX$18:$AX$199,2*(ROWS(S$116:S118)-1)+1),"")</f>
        <v/>
      </c>
      <c r="T118" s="545" t="str">
        <f>IFERROR(ROUND(INDEX('M04-S02'!$AY$18:$AY$199,2*(ROWS(T$116:T118)-1)+1),3),"")</f>
        <v/>
      </c>
      <c r="U118" s="545" t="str">
        <f>IFERROR(ROUND(INDEX('M04-S02'!$AZ$18:$AZ$199,2*(ROWS(U$116:U118)-1)+1),3),"")</f>
        <v/>
      </c>
      <c r="V118" s="26">
        <f>IFERROR(INDEX('M04-S02'!$Q$18:$Q$199,2*(ROWS(V$116:V118)-1)+1),"")</f>
        <v>0</v>
      </c>
      <c r="W118" s="27" t="str">
        <f>IFERROR(INDEX('M04-S02'!$O$18:$O$199,2*(ROWS(W$116:W118)-1)+1),"")</f>
        <v/>
      </c>
      <c r="X118" s="27">
        <f>IFERROR(INDEX('M04-S02'!$AF$18:$AF$199,2*(ROWS(X$116:X118)-1)+1),"")</f>
        <v>0</v>
      </c>
      <c r="Y118" s="184"/>
      <c r="Z118" s="184"/>
      <c r="AA118" s="9" t="str" cm="1">
        <f t="array" ref="AA118">IFERROR(ROUND(INDEX('M04-S02'!$AR$18:$AR$199,2*(ROWS(AA$116:AA118)-1)+1), 2),"")</f>
        <v/>
      </c>
      <c r="AB118" s="164"/>
      <c r="AC118" s="9" t="str" cm="1">
        <f t="array" aca="1" ref="AC118" ca="1">IFERROR(ROUND(IF(BB118&lt;&gt;"","",INDEX('M04-S02'!$AH$18:$AH$199,2*(ROWS(AC$116:AC118)-1)+1)),2),"")</f>
        <v/>
      </c>
      <c r="AD118" s="9" t="str" cm="1">
        <f t="array" aca="1" ref="AD118" ca="1">IFERROR(ROUND(IF(BB118&lt;&gt;"","",INDEX('M04-S02'!$AJ$18:$AJ$199,2*(ROWS(AD$116:AD118)-1)+1)),2),"")</f>
        <v/>
      </c>
      <c r="AE118" s="9" t="str" cm="1">
        <f t="array" aca="1" ref="AE118" ca="1">IFERROR(ROUND(IF(BB118&lt;&gt;"","",INDEX('M04-S02'!$AL$18:$AL$199,2*(ROWS(AE$116:AE118)-1)+1)),2),"")</f>
        <v/>
      </c>
      <c r="AF118" t="str">
        <f t="shared" ca="1" si="14"/>
        <v/>
      </c>
      <c r="AG118" s="9" t="str" cm="1">
        <f t="array" aca="1" ref="AG118" ca="1">IFERROR(ROUND(IF(BB118&lt;&gt;"","",INDEX('M04-S02'!$AL$18:$AL$199,2*(ROWS(AG$116:AG118)-1)+1)),2),"")</f>
        <v/>
      </c>
      <c r="AH118" s="184"/>
      <c r="AI118" s="191"/>
      <c r="AJ118" s="32" t="str">
        <f ca="1">IFERROR(ROUND(IF(BA118&lt;&gt;"","",INDEX('M04-S02'!$AO$18:$AO$199,2*(ROWS(AJ$116:AJ118)-1)+1)),4),"")</f>
        <v/>
      </c>
      <c r="AK118" s="32" t="str">
        <f ca="1">IFERROR(ROUND(IF(BA118&lt;&gt;"","",INDEX('M04-S02'!$BF$18:$BF$199,2*(ROWS(AK$116:AK118)-1)+1)),4),"")</f>
        <v/>
      </c>
      <c r="AL118" s="32" t="str">
        <f ca="1">IFERROR(ROUND(IF(BA118&lt;&gt;"","",INDEX('M04-S02'!$BG$18:$BG$199,2*(ROWS(AL$116:AL118)-1)+1)),4),"")</f>
        <v/>
      </c>
      <c r="AM118" s="32" t="str" cm="1">
        <f t="array" ref="AM118">IFERROR(ROUND(INDEX('M04-S02'!$BA$18:$BA$199,2*(ROWS(AM$116:AM118)-1)+1),4),"")</f>
        <v/>
      </c>
      <c r="AN118" s="32" t="str" cm="1">
        <f t="array" ref="AN118">IFERROR(ROUND(INDEX('M04-S02'!$BB$18:$BB$199,2*(ROWS(AN$116:AN118)-1)+1),4),"")</f>
        <v/>
      </c>
      <c r="AO118" s="32"/>
      <c r="AP118" s="9">
        <f ca="1">IFERROR(ROUND(IF(BB118&lt;&gt;"",INDEX('M04-S02'!$AH$18:$AH$199,2*(ROWS(AP$116:AP118)-1)+1),""),2),"")</f>
        <v>0</v>
      </c>
      <c r="AQ118" s="9">
        <f ca="1">IFERROR(ROUND(IF(BB118&lt;&gt;"",INDEX('M04-S02'!$AJ$18:$AJ$199,2*(ROWS(AQ$116:AQ118)-1)+1),""),2),"")</f>
        <v>0</v>
      </c>
      <c r="AR118" s="536" t="str" cm="1">
        <f t="array" aca="1" ref="AR118" ca="1">IFERROR(ROUND(IF(BB118&lt;&gt;"", INDEX('M04-S02'!$AL$18:$AL$199,2*(ROWS(AT$116:AT118)-1)+1), ""),2),"")</f>
        <v/>
      </c>
      <c r="AS118" t="str">
        <f t="shared" ca="1" si="15"/>
        <v>Incremental</v>
      </c>
      <c r="AT118" s="536" t="str" cm="1">
        <f t="array" aca="1" ref="AT118" ca="1">IFERROR(ROUND(IF(BB118&lt;&gt;"", INDEX('M04-S02'!$AL$18:$AL$199,2*(ROWS(AT$116:AT118)-1)+1), ""),2),"")</f>
        <v/>
      </c>
      <c r="AU118" s="184"/>
      <c r="AV118" s="5">
        <f ca="1">IFERROR(IF(BB118&lt;&gt;"",ROUND(INDEX('M04-S02'!$M$18:$M$199,2*(ROWS(AV$116:AV118)-1)+1),3),""),"")</f>
        <v>0</v>
      </c>
      <c r="AW118" s="5">
        <f ca="1">IFERROR(IF(BB118&lt;&gt;"",ROUND(INDEX('M04-S02'!$AD$18:$AD$199,2*(ROWS(AW$116:AW118)-1)+1),3),""),"")</f>
        <v>0</v>
      </c>
      <c r="AX118" s="184"/>
      <c r="AY118" s="26" t="str">
        <f ca="1">IFERROR(IF(BB118&lt;&gt;"",INDEX('M04-S02'!$AO$18:$AO$199,2*(ROWS(AY$116:AY118)-1)+1),""),"")</f>
        <v/>
      </c>
      <c r="AZ118" s="32" t="str">
        <f ca="1">IFERROR(IF(BB118&lt;&gt;"",INDEX('M04-S02'!$BF$18:$BF$199,2*(ROWS(AZ$116:AZ118)-1)+1),""),"")</f>
        <v/>
      </c>
      <c r="BA118" s="32" t="str">
        <f ca="1">IFERROR(IF(BB118&lt;&gt;"",INDEX('M04-S02'!$BG$18:$BG$199,2*(ROWS(BA$116:BA118)-1)+1),""),"")</f>
        <v/>
      </c>
      <c r="BB118" t="str">
        <f ca="1">IFERROR(INDEX('M04-S02'!$BY$18:$BY$199,2*(ROWS(BB$116:BB118)-1)+1),"")</f>
        <v>Enter Utility Rate</v>
      </c>
    </row>
    <row r="119" spans="1:54">
      <c r="A119" s="10">
        <f t="shared" si="12"/>
        <v>0</v>
      </c>
      <c r="B119" t="str">
        <f t="shared" si="13"/>
        <v/>
      </c>
      <c r="C119" t="str" cm="1">
        <f t="array" ref="C119">IFERROR(_xlfn.VALUETOTEXT(INDEX('M04-S02'!$BW$18:$BW$199,2*(ROWS($C$116:C119)-1)+1)),"")</f>
        <v/>
      </c>
      <c r="D119">
        <f>IFERROR(INDEX('M04-S02'!$B$18:$B$199,2*(ROWS(D$116:D119)-1)+1),"")</f>
        <v>4</v>
      </c>
      <c r="E119" s="51" t="str" cm="1">
        <f t="array" ref="E119">IFERROR(_xlfn.VALUETOTEXT(INDEX('M04-S02'!$BX$18:$BX$199,2*(ROWS($E$116:E119)-1)+1)),"")</f>
        <v/>
      </c>
      <c r="F119" t="str" cm="1">
        <f t="array" ref="F119">IF(C119&lt;&gt;"", _xlfn.SWITCH(Program_Banner, "Small Business / Non-Profit", "Hard-To-Reach Business", "Business Energy Savings", "Whole Business Efficiency", ""), "")</f>
        <v/>
      </c>
      <c r="G119" t="s">
        <v>135</v>
      </c>
      <c r="H119" t="str">
        <f>IFERROR(INDEX('M04-S02'!$BC$18:$BC$199,2*(ROWS(H$116:H119)-1)+1),"")</f>
        <v/>
      </c>
      <c r="I119" t="str">
        <f>IFERROR(INDEX('M04-S02'!$BJ$18:$BJ$199,2*(ROWS(I$116:I119)-1)+1),"")</f>
        <v/>
      </c>
      <c r="J119" s="9" t="str">
        <f>IFERROR(INDEX('M04-S02'!$BN$18:$BN$199,2*(ROWS(J$116:J119)-1)+1),"")</f>
        <v/>
      </c>
      <c r="K119" s="9" t="str">
        <f>IFERROR(INDEX('M04-S02'!$BO$18:$BO$199,2*(ROWS(K$116:K119)-1)+1),"")</f>
        <v/>
      </c>
      <c r="L119" s="51" t="str">
        <f>IFERROR(INDEX('M04-S02'!$BD$18:$BD$199,2*(ROWS($L$116:L119)-1)+1), "")</f>
        <v/>
      </c>
      <c r="M119" s="51" t="str">
        <f>IFERROR(INDEX('M04-S02'!$E$18:$E$199,2*(ROWS($M$116:M119)-1)+1)&amp;" - "&amp;INDEX('M04-S02'!$C$18:$C$199,2*(ROWS($M$116:M119)-1)+1),"")</f>
        <v xml:space="preserve"> - </v>
      </c>
      <c r="N119">
        <f>IFERROR(INDEX('M04-S02'!$G$18:$G$199,2*(ROWS(N$116:N119)-1)+1),"")</f>
        <v>0</v>
      </c>
      <c r="O119">
        <f>IFERROR(INDEX('M04-S02'!$S$18:$S$199,2*(ROWS(O$116:O119)-1)+1),"")</f>
        <v>0</v>
      </c>
      <c r="P119">
        <f>IFERROR(INDEX('M04-S02'!$K$18:$K$199,2*(ROWS(P$116:P119)-1)+1),"")</f>
        <v>0</v>
      </c>
      <c r="Q119">
        <f>IFERROR(INDEX('M04-S02'!$Z$18:$Z$199,2*(ROWS(Q$116:Q119)-1)+1),"")</f>
        <v>0</v>
      </c>
      <c r="S119" t="str">
        <f>IFERROR(INDEX('M04-S02'!$AX$18:$AX$199,2*(ROWS(S$116:S119)-1)+1),"")</f>
        <v/>
      </c>
      <c r="T119" s="545" t="str">
        <f>IFERROR(ROUND(INDEX('M04-S02'!$AY$18:$AY$199,2*(ROWS(T$116:T119)-1)+1),3),"")</f>
        <v/>
      </c>
      <c r="U119" s="545" t="str">
        <f>IFERROR(ROUND(INDEX('M04-S02'!$AZ$18:$AZ$199,2*(ROWS(U$116:U119)-1)+1),3),"")</f>
        <v/>
      </c>
      <c r="V119" s="26">
        <f>IFERROR(INDEX('M04-S02'!$Q$18:$Q$199,2*(ROWS(V$116:V119)-1)+1),"")</f>
        <v>0</v>
      </c>
      <c r="W119" s="27" t="str">
        <f>IFERROR(INDEX('M04-S02'!$O$18:$O$199,2*(ROWS(W$116:W119)-1)+1),"")</f>
        <v/>
      </c>
      <c r="X119" s="27">
        <f>IFERROR(INDEX('M04-S02'!$AF$18:$AF$199,2*(ROWS(X$116:X119)-1)+1),"")</f>
        <v>0</v>
      </c>
      <c r="Y119" s="184"/>
      <c r="Z119" s="184"/>
      <c r="AA119" s="9" t="str" cm="1">
        <f t="array" ref="AA119">IFERROR(ROUND(INDEX('M04-S02'!$AR$18:$AR$199,2*(ROWS(AA$116:AA119)-1)+1), 2),"")</f>
        <v/>
      </c>
      <c r="AB119" s="164"/>
      <c r="AC119" s="9" t="str" cm="1">
        <f t="array" aca="1" ref="AC119" ca="1">IFERROR(ROUND(IF(BB119&lt;&gt;"","",INDEX('M04-S02'!$AH$18:$AH$199,2*(ROWS(AC$116:AC119)-1)+1)),2),"")</f>
        <v/>
      </c>
      <c r="AD119" s="9" t="str" cm="1">
        <f t="array" aca="1" ref="AD119" ca="1">IFERROR(ROUND(IF(BB119&lt;&gt;"","",INDEX('M04-S02'!$AJ$18:$AJ$199,2*(ROWS(AD$116:AD119)-1)+1)),2),"")</f>
        <v/>
      </c>
      <c r="AE119" s="9" t="str" cm="1">
        <f t="array" aca="1" ref="AE119" ca="1">IFERROR(ROUND(IF(BB119&lt;&gt;"","",INDEX('M04-S02'!$AL$18:$AL$199,2*(ROWS(AE$116:AE119)-1)+1)),2),"")</f>
        <v/>
      </c>
      <c r="AF119" t="str">
        <f t="shared" ca="1" si="14"/>
        <v/>
      </c>
      <c r="AG119" s="9" t="str" cm="1">
        <f t="array" aca="1" ref="AG119" ca="1">IFERROR(ROUND(IF(BB119&lt;&gt;"","",INDEX('M04-S02'!$AL$18:$AL$199,2*(ROWS(AG$116:AG119)-1)+1)),2),"")</f>
        <v/>
      </c>
      <c r="AH119" s="184"/>
      <c r="AI119" s="191"/>
      <c r="AJ119" s="32" t="str">
        <f ca="1">IFERROR(ROUND(IF(BA119&lt;&gt;"","",INDEX('M04-S02'!$AO$18:$AO$199,2*(ROWS(AJ$116:AJ119)-1)+1)),4),"")</f>
        <v/>
      </c>
      <c r="AK119" s="32" t="str">
        <f ca="1">IFERROR(ROUND(IF(BA119&lt;&gt;"","",INDEX('M04-S02'!$BF$18:$BF$199,2*(ROWS(AK$116:AK119)-1)+1)),4),"")</f>
        <v/>
      </c>
      <c r="AL119" s="32" t="str">
        <f ca="1">IFERROR(ROUND(IF(BA119&lt;&gt;"","",INDEX('M04-S02'!$BG$18:$BG$199,2*(ROWS(AL$116:AL119)-1)+1)),4),"")</f>
        <v/>
      </c>
      <c r="AM119" s="32" t="str" cm="1">
        <f t="array" ref="AM119">IFERROR(ROUND(INDEX('M04-S02'!$BA$18:$BA$199,2*(ROWS(AM$116:AM119)-1)+1),4),"")</f>
        <v/>
      </c>
      <c r="AN119" s="32" t="str" cm="1">
        <f t="array" ref="AN119">IFERROR(ROUND(INDEX('M04-S02'!$BB$18:$BB$199,2*(ROWS(AN$116:AN119)-1)+1),4),"")</f>
        <v/>
      </c>
      <c r="AO119" s="32"/>
      <c r="AP119" s="9">
        <f ca="1">IFERROR(ROUND(IF(BB119&lt;&gt;"",INDEX('M04-S02'!$AH$18:$AH$199,2*(ROWS(AP$116:AP119)-1)+1),""),2),"")</f>
        <v>0</v>
      </c>
      <c r="AQ119" s="9">
        <f ca="1">IFERROR(ROUND(IF(BB119&lt;&gt;"",INDEX('M04-S02'!$AJ$18:$AJ$199,2*(ROWS(AQ$116:AQ119)-1)+1),""),2),"")</f>
        <v>0</v>
      </c>
      <c r="AR119" s="536" t="str" cm="1">
        <f t="array" aca="1" ref="AR119" ca="1">IFERROR(ROUND(IF(BB119&lt;&gt;"", INDEX('M04-S02'!$AL$18:$AL$199,2*(ROWS(AT$116:AT119)-1)+1), ""),2),"")</f>
        <v/>
      </c>
      <c r="AS119" t="str">
        <f t="shared" ca="1" si="15"/>
        <v>Incremental</v>
      </c>
      <c r="AT119" s="536" t="str" cm="1">
        <f t="array" aca="1" ref="AT119" ca="1">IFERROR(ROUND(IF(BB119&lt;&gt;"", INDEX('M04-S02'!$AL$18:$AL$199,2*(ROWS(AT$116:AT119)-1)+1), ""),2),"")</f>
        <v/>
      </c>
      <c r="AU119" s="184"/>
      <c r="AV119" s="5">
        <f ca="1">IFERROR(IF(BB119&lt;&gt;"",ROUND(INDEX('M04-S02'!$M$18:$M$199,2*(ROWS(AV$116:AV119)-1)+1),3),""),"")</f>
        <v>0</v>
      </c>
      <c r="AW119" s="5">
        <f ca="1">IFERROR(IF(BB119&lt;&gt;"",ROUND(INDEX('M04-S02'!$AD$18:$AD$199,2*(ROWS(AW$116:AW119)-1)+1),3),""),"")</f>
        <v>0</v>
      </c>
      <c r="AX119" s="184"/>
      <c r="AY119" s="26" t="str">
        <f ca="1">IFERROR(IF(BB119&lt;&gt;"",INDEX('M04-S02'!$AO$18:$AO$199,2*(ROWS(AY$116:AY119)-1)+1),""),"")</f>
        <v/>
      </c>
      <c r="AZ119" s="32" t="str">
        <f ca="1">IFERROR(IF(BB119&lt;&gt;"",INDEX('M04-S02'!$BF$18:$BF$199,2*(ROWS(AZ$116:AZ119)-1)+1),""),"")</f>
        <v/>
      </c>
      <c r="BA119" s="32" t="str">
        <f ca="1">IFERROR(IF(BB119&lt;&gt;"",INDEX('M04-S02'!$BG$18:$BG$199,2*(ROWS(BA$116:BA119)-1)+1),""),"")</f>
        <v/>
      </c>
      <c r="BB119" t="str">
        <f ca="1">IFERROR(INDEX('M04-S02'!$BY$18:$BY$199,2*(ROWS(BB$116:BB119)-1)+1),"")</f>
        <v>Enter Utility Rate</v>
      </c>
    </row>
    <row r="120" spans="1:54">
      <c r="A120" s="10">
        <f t="shared" si="12"/>
        <v>0</v>
      </c>
      <c r="B120" t="str">
        <f t="shared" si="13"/>
        <v/>
      </c>
      <c r="C120" t="str" cm="1">
        <f t="array" ref="C120">IFERROR(_xlfn.VALUETOTEXT(INDEX('M04-S02'!$BW$18:$BW$199,2*(ROWS($C$116:C120)-1)+1)),"")</f>
        <v/>
      </c>
      <c r="D120">
        <f>IFERROR(INDEX('M04-S02'!$B$18:$B$199,2*(ROWS(D$116:D120)-1)+1),"")</f>
        <v>5</v>
      </c>
      <c r="E120" s="51" t="str" cm="1">
        <f t="array" ref="E120">IFERROR(_xlfn.VALUETOTEXT(INDEX('M04-S02'!$BX$18:$BX$199,2*(ROWS($E$116:E120)-1)+1)),"")</f>
        <v/>
      </c>
      <c r="F120" t="str" cm="1">
        <f t="array" ref="F120">IF(C120&lt;&gt;"", _xlfn.SWITCH(Program_Banner, "Small Business / Non-Profit", "Hard-To-Reach Business", "Business Energy Savings", "Whole Business Efficiency", ""), "")</f>
        <v/>
      </c>
      <c r="G120" t="s">
        <v>135</v>
      </c>
      <c r="H120" t="str">
        <f>IFERROR(INDEX('M04-S02'!$BC$18:$BC$199,2*(ROWS(H$116:H120)-1)+1),"")</f>
        <v/>
      </c>
      <c r="I120" t="str">
        <f>IFERROR(INDEX('M04-S02'!$BJ$18:$BJ$199,2*(ROWS(I$116:I120)-1)+1),"")</f>
        <v/>
      </c>
      <c r="J120" s="9" t="str">
        <f>IFERROR(INDEX('M04-S02'!$BN$18:$BN$199,2*(ROWS(J$116:J120)-1)+1),"")</f>
        <v/>
      </c>
      <c r="K120" s="9" t="str">
        <f>IFERROR(INDEX('M04-S02'!$BO$18:$BO$199,2*(ROWS(K$116:K120)-1)+1),"")</f>
        <v/>
      </c>
      <c r="L120" s="51" t="str">
        <f>IFERROR(INDEX('M04-S02'!$BD$18:$BD$199,2*(ROWS($L$116:L120)-1)+1), "")</f>
        <v/>
      </c>
      <c r="M120" s="51" t="str">
        <f>IFERROR(INDEX('M04-S02'!$E$18:$E$199,2*(ROWS($M$116:M120)-1)+1)&amp;" - "&amp;INDEX('M04-S02'!$C$18:$C$199,2*(ROWS($M$116:M120)-1)+1),"")</f>
        <v xml:space="preserve"> - </v>
      </c>
      <c r="N120">
        <f>IFERROR(INDEX('M04-S02'!$G$18:$G$199,2*(ROWS(N$116:N120)-1)+1),"")</f>
        <v>0</v>
      </c>
      <c r="O120">
        <f>IFERROR(INDEX('M04-S02'!$S$18:$S$199,2*(ROWS(O$116:O120)-1)+1),"")</f>
        <v>0</v>
      </c>
      <c r="P120">
        <f>IFERROR(INDEX('M04-S02'!$K$18:$K$199,2*(ROWS(P$116:P120)-1)+1),"")</f>
        <v>0</v>
      </c>
      <c r="Q120">
        <f>IFERROR(INDEX('M04-S02'!$Z$18:$Z$199,2*(ROWS(Q$116:Q120)-1)+1),"")</f>
        <v>0</v>
      </c>
      <c r="S120" t="str">
        <f>IFERROR(INDEX('M04-S02'!$AX$18:$AX$199,2*(ROWS(S$116:S120)-1)+1),"")</f>
        <v/>
      </c>
      <c r="T120" s="545" t="str">
        <f>IFERROR(ROUND(INDEX('M04-S02'!$AY$18:$AY$199,2*(ROWS(T$116:T120)-1)+1),3),"")</f>
        <v/>
      </c>
      <c r="U120" s="545" t="str">
        <f>IFERROR(ROUND(INDEX('M04-S02'!$AZ$18:$AZ$199,2*(ROWS(U$116:U120)-1)+1),3),"")</f>
        <v/>
      </c>
      <c r="V120" s="26">
        <f>IFERROR(INDEX('M04-S02'!$Q$18:$Q$199,2*(ROWS(V$116:V120)-1)+1),"")</f>
        <v>0</v>
      </c>
      <c r="W120" s="27" t="str">
        <f>IFERROR(INDEX('M04-S02'!$O$18:$O$199,2*(ROWS(W$116:W120)-1)+1),"")</f>
        <v/>
      </c>
      <c r="X120" s="27">
        <f>IFERROR(INDEX('M04-S02'!$AF$18:$AF$199,2*(ROWS(X$116:X120)-1)+1),"")</f>
        <v>0</v>
      </c>
      <c r="Y120" s="184"/>
      <c r="Z120" s="184"/>
      <c r="AA120" s="9" t="str" cm="1">
        <f t="array" ref="AA120">IFERROR(ROUND(INDEX('M04-S02'!$AR$18:$AR$199,2*(ROWS(AA$116:AA120)-1)+1), 2),"")</f>
        <v/>
      </c>
      <c r="AB120" s="164"/>
      <c r="AC120" s="9" t="str" cm="1">
        <f t="array" aca="1" ref="AC120" ca="1">IFERROR(ROUND(IF(BB120&lt;&gt;"","",INDEX('M04-S02'!$AH$18:$AH$199,2*(ROWS(AC$116:AC120)-1)+1)),2),"")</f>
        <v/>
      </c>
      <c r="AD120" s="9" t="str" cm="1">
        <f t="array" aca="1" ref="AD120" ca="1">IFERROR(ROUND(IF(BB120&lt;&gt;"","",INDEX('M04-S02'!$AJ$18:$AJ$199,2*(ROWS(AD$116:AD120)-1)+1)),2),"")</f>
        <v/>
      </c>
      <c r="AE120" s="9" t="str" cm="1">
        <f t="array" aca="1" ref="AE120" ca="1">IFERROR(ROUND(IF(BB120&lt;&gt;"","",INDEX('M04-S02'!$AL$18:$AL$199,2*(ROWS(AE$116:AE120)-1)+1)),2),"")</f>
        <v/>
      </c>
      <c r="AF120" t="str">
        <f t="shared" ca="1" si="14"/>
        <v/>
      </c>
      <c r="AG120" s="9" t="str" cm="1">
        <f t="array" aca="1" ref="AG120" ca="1">IFERROR(ROUND(IF(BB120&lt;&gt;"","",INDEX('M04-S02'!$AL$18:$AL$199,2*(ROWS(AG$116:AG120)-1)+1)),2),"")</f>
        <v/>
      </c>
      <c r="AH120" s="184"/>
      <c r="AI120" s="191"/>
      <c r="AJ120" s="32" t="str">
        <f ca="1">IFERROR(ROUND(IF(BA120&lt;&gt;"","",INDEX('M04-S02'!$AO$18:$AO$199,2*(ROWS(AJ$116:AJ120)-1)+1)),4),"")</f>
        <v/>
      </c>
      <c r="AK120" s="32" t="str">
        <f ca="1">IFERROR(ROUND(IF(BA120&lt;&gt;"","",INDEX('M04-S02'!$BF$18:$BF$199,2*(ROWS(AK$116:AK120)-1)+1)),4),"")</f>
        <v/>
      </c>
      <c r="AL120" s="32" t="str">
        <f ca="1">IFERROR(ROUND(IF(BA120&lt;&gt;"","",INDEX('M04-S02'!$BG$18:$BG$199,2*(ROWS(AL$116:AL120)-1)+1)),4),"")</f>
        <v/>
      </c>
      <c r="AM120" s="32" t="str" cm="1">
        <f t="array" ref="AM120">IFERROR(ROUND(INDEX('M04-S02'!$BA$18:$BA$199,2*(ROWS(AM$116:AM120)-1)+1),4),"")</f>
        <v/>
      </c>
      <c r="AN120" s="32" t="str" cm="1">
        <f t="array" ref="AN120">IFERROR(ROUND(INDEX('M04-S02'!$BB$18:$BB$199,2*(ROWS(AN$116:AN120)-1)+1),4),"")</f>
        <v/>
      </c>
      <c r="AO120" s="32"/>
      <c r="AP120" s="9">
        <f ca="1">IFERROR(ROUND(IF(BB120&lt;&gt;"",INDEX('M04-S02'!$AH$18:$AH$199,2*(ROWS(AP$116:AP120)-1)+1),""),2),"")</f>
        <v>0</v>
      </c>
      <c r="AQ120" s="9">
        <f ca="1">IFERROR(ROUND(IF(BB120&lt;&gt;"",INDEX('M04-S02'!$AJ$18:$AJ$199,2*(ROWS(AQ$116:AQ120)-1)+1),""),2),"")</f>
        <v>0</v>
      </c>
      <c r="AR120" s="536" t="str" cm="1">
        <f t="array" aca="1" ref="AR120" ca="1">IFERROR(ROUND(IF(BB120&lt;&gt;"", INDEX('M04-S02'!$AL$18:$AL$199,2*(ROWS(AT$116:AT120)-1)+1), ""),2),"")</f>
        <v/>
      </c>
      <c r="AS120" t="str">
        <f t="shared" ca="1" si="15"/>
        <v>Incremental</v>
      </c>
      <c r="AT120" s="536" t="str" cm="1">
        <f t="array" aca="1" ref="AT120" ca="1">IFERROR(ROUND(IF(BB120&lt;&gt;"", INDEX('M04-S02'!$AL$18:$AL$199,2*(ROWS(AT$116:AT120)-1)+1), ""),2),"")</f>
        <v/>
      </c>
      <c r="AU120" s="184"/>
      <c r="AV120" s="5">
        <f ca="1">IFERROR(IF(BB120&lt;&gt;"",ROUND(INDEX('M04-S02'!$M$18:$M$199,2*(ROWS(AV$116:AV120)-1)+1),3),""),"")</f>
        <v>0</v>
      </c>
      <c r="AW120" s="5">
        <f ca="1">IFERROR(IF(BB120&lt;&gt;"",ROUND(INDEX('M04-S02'!$AD$18:$AD$199,2*(ROWS(AW$116:AW120)-1)+1),3),""),"")</f>
        <v>0</v>
      </c>
      <c r="AX120" s="184"/>
      <c r="AY120" s="26" t="str">
        <f ca="1">IFERROR(IF(BB120&lt;&gt;"",INDEX('M04-S02'!$AO$18:$AO$199,2*(ROWS(AY$116:AY120)-1)+1),""),"")</f>
        <v/>
      </c>
      <c r="AZ120" s="32" t="str">
        <f ca="1">IFERROR(IF(BB120&lt;&gt;"",INDEX('M04-S02'!$BF$18:$BF$199,2*(ROWS(AZ$116:AZ120)-1)+1),""),"")</f>
        <v/>
      </c>
      <c r="BA120" s="32" t="str">
        <f ca="1">IFERROR(IF(BB120&lt;&gt;"",INDEX('M04-S02'!$BG$18:$BG$199,2*(ROWS(BA$116:BA120)-1)+1),""),"")</f>
        <v/>
      </c>
      <c r="BB120" t="str">
        <f ca="1">IFERROR(INDEX('M04-S02'!$BY$18:$BY$199,2*(ROWS(BB$116:BB120)-1)+1),"")</f>
        <v>Enter Utility Rate</v>
      </c>
    </row>
    <row r="121" spans="1:54">
      <c r="A121" s="10">
        <f t="shared" si="12"/>
        <v>0</v>
      </c>
      <c r="B121" t="str">
        <f t="shared" si="13"/>
        <v/>
      </c>
      <c r="C121" t="str" cm="1">
        <f t="array" ref="C121">IFERROR(_xlfn.VALUETOTEXT(INDEX('M04-S02'!$BW$18:$BW$199,2*(ROWS($C$116:C121)-1)+1)),"")</f>
        <v/>
      </c>
      <c r="D121">
        <f>IFERROR(INDEX('M04-S02'!$B$18:$B$199,2*(ROWS(D$116:D121)-1)+1),"")</f>
        <v>6</v>
      </c>
      <c r="E121" s="51" t="str" cm="1">
        <f t="array" ref="E121">IFERROR(_xlfn.VALUETOTEXT(INDEX('M04-S02'!$BX$18:$BX$199,2*(ROWS($E$116:E121)-1)+1)),"")</f>
        <v/>
      </c>
      <c r="F121" t="str" cm="1">
        <f t="array" ref="F121">IF(C121&lt;&gt;"", _xlfn.SWITCH(Program_Banner, "Small Business / Non-Profit", "Hard-To-Reach Business", "Business Energy Savings", "Whole Business Efficiency", ""), "")</f>
        <v/>
      </c>
      <c r="G121" t="s">
        <v>135</v>
      </c>
      <c r="H121" t="str">
        <f>IFERROR(INDEX('M04-S02'!$BC$18:$BC$199,2*(ROWS(H$116:H121)-1)+1),"")</f>
        <v/>
      </c>
      <c r="I121" t="str">
        <f>IFERROR(INDEX('M04-S02'!$BJ$18:$BJ$199,2*(ROWS(I$116:I121)-1)+1),"")</f>
        <v/>
      </c>
      <c r="J121" s="9" t="str">
        <f>IFERROR(INDEX('M04-S02'!$BN$18:$BN$199,2*(ROWS(J$116:J121)-1)+1),"")</f>
        <v/>
      </c>
      <c r="K121" s="9" t="str">
        <f>IFERROR(INDEX('M04-S02'!$BO$18:$BO$199,2*(ROWS(K$116:K121)-1)+1),"")</f>
        <v/>
      </c>
      <c r="L121" s="51" t="str">
        <f>IFERROR(INDEX('M04-S02'!$BD$18:$BD$199,2*(ROWS($L$116:L121)-1)+1), "")</f>
        <v/>
      </c>
      <c r="M121" s="51" t="str">
        <f>IFERROR(INDEX('M04-S02'!$E$18:$E$199,2*(ROWS($M$116:M121)-1)+1)&amp;" - "&amp;INDEX('M04-S02'!$C$18:$C$199,2*(ROWS($M$116:M121)-1)+1),"")</f>
        <v xml:space="preserve"> - </v>
      </c>
      <c r="N121">
        <f>IFERROR(INDEX('M04-S02'!$G$18:$G$199,2*(ROWS(N$116:N121)-1)+1),"")</f>
        <v>0</v>
      </c>
      <c r="O121">
        <f>IFERROR(INDEX('M04-S02'!$S$18:$S$199,2*(ROWS(O$116:O121)-1)+1),"")</f>
        <v>0</v>
      </c>
      <c r="P121">
        <f>IFERROR(INDEX('M04-S02'!$K$18:$K$199,2*(ROWS(P$116:P121)-1)+1),"")</f>
        <v>0</v>
      </c>
      <c r="Q121">
        <f>IFERROR(INDEX('M04-S02'!$Z$18:$Z$199,2*(ROWS(Q$116:Q121)-1)+1),"")</f>
        <v>0</v>
      </c>
      <c r="S121" t="str">
        <f>IFERROR(INDEX('M04-S02'!$AX$18:$AX$199,2*(ROWS(S$116:S121)-1)+1),"")</f>
        <v/>
      </c>
      <c r="T121" s="545" t="str">
        <f>IFERROR(ROUND(INDEX('M04-S02'!$AY$18:$AY$199,2*(ROWS(T$116:T121)-1)+1),3),"")</f>
        <v/>
      </c>
      <c r="U121" s="545" t="str">
        <f>IFERROR(ROUND(INDEX('M04-S02'!$AZ$18:$AZ$199,2*(ROWS(U$116:U121)-1)+1),3),"")</f>
        <v/>
      </c>
      <c r="V121" s="26">
        <f>IFERROR(INDEX('M04-S02'!$Q$18:$Q$199,2*(ROWS(V$116:V121)-1)+1),"")</f>
        <v>0</v>
      </c>
      <c r="W121" s="27" t="str">
        <f>IFERROR(INDEX('M04-S02'!$O$18:$O$199,2*(ROWS(W$116:W121)-1)+1),"")</f>
        <v/>
      </c>
      <c r="X121" s="27">
        <f>IFERROR(INDEX('M04-S02'!$AF$18:$AF$199,2*(ROWS(X$116:X121)-1)+1),"")</f>
        <v>0</v>
      </c>
      <c r="Y121" s="184"/>
      <c r="Z121" s="184"/>
      <c r="AA121" s="9" t="str" cm="1">
        <f t="array" ref="AA121">IFERROR(ROUND(INDEX('M04-S02'!$AR$18:$AR$199,2*(ROWS(AA$116:AA121)-1)+1), 2),"")</f>
        <v/>
      </c>
      <c r="AB121" s="164"/>
      <c r="AC121" s="9" t="str" cm="1">
        <f t="array" aca="1" ref="AC121" ca="1">IFERROR(ROUND(IF(BB121&lt;&gt;"","",INDEX('M04-S02'!$AH$18:$AH$199,2*(ROWS(AC$116:AC121)-1)+1)),2),"")</f>
        <v/>
      </c>
      <c r="AD121" s="9" t="str" cm="1">
        <f t="array" aca="1" ref="AD121" ca="1">IFERROR(ROUND(IF(BB121&lt;&gt;"","",INDEX('M04-S02'!$AJ$18:$AJ$199,2*(ROWS(AD$116:AD121)-1)+1)),2),"")</f>
        <v/>
      </c>
      <c r="AE121" s="9" t="str" cm="1">
        <f t="array" aca="1" ref="AE121" ca="1">IFERROR(ROUND(IF(BB121&lt;&gt;"","",INDEX('M04-S02'!$AL$18:$AL$199,2*(ROWS(AE$116:AE121)-1)+1)),2),"")</f>
        <v/>
      </c>
      <c r="AF121" t="str">
        <f t="shared" ca="1" si="14"/>
        <v/>
      </c>
      <c r="AG121" s="9" t="str" cm="1">
        <f t="array" aca="1" ref="AG121" ca="1">IFERROR(ROUND(IF(BB121&lt;&gt;"","",INDEX('M04-S02'!$AL$18:$AL$199,2*(ROWS(AG$116:AG121)-1)+1)),2),"")</f>
        <v/>
      </c>
      <c r="AH121" s="184"/>
      <c r="AI121" s="191"/>
      <c r="AJ121" s="32" t="str">
        <f ca="1">IFERROR(ROUND(IF(BA121&lt;&gt;"","",INDEX('M04-S02'!$AO$18:$AO$199,2*(ROWS(AJ$116:AJ121)-1)+1)),4),"")</f>
        <v/>
      </c>
      <c r="AK121" s="32" t="str">
        <f ca="1">IFERROR(ROUND(IF(BA121&lt;&gt;"","",INDEX('M04-S02'!$BF$18:$BF$199,2*(ROWS(AK$116:AK121)-1)+1)),4),"")</f>
        <v/>
      </c>
      <c r="AL121" s="32" t="str">
        <f ca="1">IFERROR(ROUND(IF(BA121&lt;&gt;"","",INDEX('M04-S02'!$BG$18:$BG$199,2*(ROWS(AL$116:AL121)-1)+1)),4),"")</f>
        <v/>
      </c>
      <c r="AM121" s="32" t="str" cm="1">
        <f t="array" ref="AM121">IFERROR(ROUND(INDEX('M04-S02'!$BA$18:$BA$199,2*(ROWS(AM$116:AM121)-1)+1),4),"")</f>
        <v/>
      </c>
      <c r="AN121" s="32" t="str" cm="1">
        <f t="array" ref="AN121">IFERROR(ROUND(INDEX('M04-S02'!$BB$18:$BB$199,2*(ROWS(AN$116:AN121)-1)+1),4),"")</f>
        <v/>
      </c>
      <c r="AO121" s="32"/>
      <c r="AP121" s="9">
        <f ca="1">IFERROR(ROUND(IF(BB121&lt;&gt;"",INDEX('M04-S02'!$AH$18:$AH$199,2*(ROWS(AP$116:AP121)-1)+1),""),2),"")</f>
        <v>0</v>
      </c>
      <c r="AQ121" s="9">
        <f ca="1">IFERROR(ROUND(IF(BB121&lt;&gt;"",INDEX('M04-S02'!$AJ$18:$AJ$199,2*(ROWS(AQ$116:AQ121)-1)+1),""),2),"")</f>
        <v>0</v>
      </c>
      <c r="AR121" s="536" t="str" cm="1">
        <f t="array" aca="1" ref="AR121" ca="1">IFERROR(ROUND(IF(BB121&lt;&gt;"", INDEX('M04-S02'!$AL$18:$AL$199,2*(ROWS(AT$116:AT121)-1)+1), ""),2),"")</f>
        <v/>
      </c>
      <c r="AS121" t="str">
        <f t="shared" ca="1" si="15"/>
        <v>Incremental</v>
      </c>
      <c r="AT121" s="536" t="str" cm="1">
        <f t="array" aca="1" ref="AT121" ca="1">IFERROR(ROUND(IF(BB121&lt;&gt;"", INDEX('M04-S02'!$AL$18:$AL$199,2*(ROWS(AT$116:AT121)-1)+1), ""),2),"")</f>
        <v/>
      </c>
      <c r="AU121" s="184"/>
      <c r="AV121" s="5">
        <f ca="1">IFERROR(IF(BB121&lt;&gt;"",ROUND(INDEX('M04-S02'!$M$18:$M$199,2*(ROWS(AV$116:AV121)-1)+1),3),""),"")</f>
        <v>0</v>
      </c>
      <c r="AW121" s="5">
        <f ca="1">IFERROR(IF(BB121&lt;&gt;"",ROUND(INDEX('M04-S02'!$AD$18:$AD$199,2*(ROWS(AW$116:AW121)-1)+1),3),""),"")</f>
        <v>0</v>
      </c>
      <c r="AX121" s="184"/>
      <c r="AY121" s="26" t="str">
        <f ca="1">IFERROR(IF(BB121&lt;&gt;"",INDEX('M04-S02'!$AO$18:$AO$199,2*(ROWS(AY$116:AY121)-1)+1),""),"")</f>
        <v/>
      </c>
      <c r="AZ121" s="32" t="str">
        <f ca="1">IFERROR(IF(BB121&lt;&gt;"",INDEX('M04-S02'!$BF$18:$BF$199,2*(ROWS(AZ$116:AZ121)-1)+1),""),"")</f>
        <v/>
      </c>
      <c r="BA121" s="32" t="str">
        <f ca="1">IFERROR(IF(BB121&lt;&gt;"",INDEX('M04-S02'!$BG$18:$BG$199,2*(ROWS(BA$116:BA121)-1)+1),""),"")</f>
        <v/>
      </c>
      <c r="BB121" t="str">
        <f ca="1">IFERROR(INDEX('M04-S02'!$BY$18:$BY$199,2*(ROWS(BB$116:BB121)-1)+1),"")</f>
        <v>Enter Utility Rate</v>
      </c>
    </row>
    <row r="122" spans="1:54">
      <c r="A122" s="10">
        <f t="shared" si="12"/>
        <v>0</v>
      </c>
      <c r="B122" t="str">
        <f t="shared" si="13"/>
        <v/>
      </c>
      <c r="C122" t="str" cm="1">
        <f t="array" ref="C122">IFERROR(_xlfn.VALUETOTEXT(INDEX('M04-S02'!$BW$18:$BW$199,2*(ROWS($C$116:C122)-1)+1)),"")</f>
        <v/>
      </c>
      <c r="D122">
        <f>IFERROR(INDEX('M04-S02'!$B$18:$B$199,2*(ROWS(D$116:D122)-1)+1),"")</f>
        <v>7</v>
      </c>
      <c r="E122" s="51" t="str" cm="1">
        <f t="array" ref="E122">IFERROR(_xlfn.VALUETOTEXT(INDEX('M04-S02'!$BX$18:$BX$199,2*(ROWS($E$116:E122)-1)+1)),"")</f>
        <v/>
      </c>
      <c r="F122" t="str" cm="1">
        <f t="array" ref="F122">IF(C122&lt;&gt;"", _xlfn.SWITCH(Program_Banner, "Small Business / Non-Profit", "Hard-To-Reach Business", "Business Energy Savings", "Whole Business Efficiency", ""), "")</f>
        <v/>
      </c>
      <c r="G122" t="s">
        <v>135</v>
      </c>
      <c r="H122" t="str">
        <f>IFERROR(INDEX('M04-S02'!$BC$18:$BC$199,2*(ROWS(H$116:H122)-1)+1),"")</f>
        <v/>
      </c>
      <c r="I122" t="str">
        <f>IFERROR(INDEX('M04-S02'!$BJ$18:$BJ$199,2*(ROWS(I$116:I122)-1)+1),"")</f>
        <v/>
      </c>
      <c r="J122" s="9" t="str">
        <f>IFERROR(INDEX('M04-S02'!$BN$18:$BN$199,2*(ROWS(J$116:J122)-1)+1),"")</f>
        <v/>
      </c>
      <c r="K122" s="9" t="str">
        <f>IFERROR(INDEX('M04-S02'!$BO$18:$BO$199,2*(ROWS(K$116:K122)-1)+1),"")</f>
        <v/>
      </c>
      <c r="L122" s="51" t="str">
        <f>IFERROR(INDEX('M04-S02'!$BD$18:$BD$199,2*(ROWS($L$116:L122)-1)+1), "")</f>
        <v/>
      </c>
      <c r="M122" s="51" t="str">
        <f>IFERROR(INDEX('M04-S02'!$E$18:$E$199,2*(ROWS($M$116:M122)-1)+1)&amp;" - "&amp;INDEX('M04-S02'!$C$18:$C$199,2*(ROWS($M$116:M122)-1)+1),"")</f>
        <v xml:space="preserve"> - </v>
      </c>
      <c r="N122">
        <f>IFERROR(INDEX('M04-S02'!$G$18:$G$199,2*(ROWS(N$116:N122)-1)+1),"")</f>
        <v>0</v>
      </c>
      <c r="O122">
        <f>IFERROR(INDEX('M04-S02'!$S$18:$S$199,2*(ROWS(O$116:O122)-1)+1),"")</f>
        <v>0</v>
      </c>
      <c r="P122">
        <f>IFERROR(INDEX('M04-S02'!$K$18:$K$199,2*(ROWS(P$116:P122)-1)+1),"")</f>
        <v>0</v>
      </c>
      <c r="Q122">
        <f>IFERROR(INDEX('M04-S02'!$Z$18:$Z$199,2*(ROWS(Q$116:Q122)-1)+1),"")</f>
        <v>0</v>
      </c>
      <c r="S122" t="str">
        <f>IFERROR(INDEX('M04-S02'!$AX$18:$AX$199,2*(ROWS(S$116:S122)-1)+1),"")</f>
        <v/>
      </c>
      <c r="T122" s="545" t="str">
        <f>IFERROR(ROUND(INDEX('M04-S02'!$AY$18:$AY$199,2*(ROWS(T$116:T122)-1)+1),3),"")</f>
        <v/>
      </c>
      <c r="U122" s="545" t="str">
        <f>IFERROR(ROUND(INDEX('M04-S02'!$AZ$18:$AZ$199,2*(ROWS(U$116:U122)-1)+1),3),"")</f>
        <v/>
      </c>
      <c r="V122" s="26">
        <f>IFERROR(INDEX('M04-S02'!$Q$18:$Q$199,2*(ROWS(V$116:V122)-1)+1),"")</f>
        <v>0</v>
      </c>
      <c r="W122" s="27" t="str">
        <f>IFERROR(INDEX('M04-S02'!$O$18:$O$199,2*(ROWS(W$116:W122)-1)+1),"")</f>
        <v/>
      </c>
      <c r="X122" s="27">
        <f>IFERROR(INDEX('M04-S02'!$AF$18:$AF$199,2*(ROWS(X$116:X122)-1)+1),"")</f>
        <v>0</v>
      </c>
      <c r="Y122" s="184"/>
      <c r="Z122" s="184"/>
      <c r="AA122" s="9" t="str" cm="1">
        <f t="array" ref="AA122">IFERROR(ROUND(INDEX('M04-S02'!$AR$18:$AR$199,2*(ROWS(AA$116:AA122)-1)+1), 2),"")</f>
        <v/>
      </c>
      <c r="AB122" s="164"/>
      <c r="AC122" s="9" t="str" cm="1">
        <f t="array" aca="1" ref="AC122" ca="1">IFERROR(ROUND(IF(BB122&lt;&gt;"","",INDEX('M04-S02'!$AH$18:$AH$199,2*(ROWS(AC$116:AC122)-1)+1)),2),"")</f>
        <v/>
      </c>
      <c r="AD122" s="9" t="str" cm="1">
        <f t="array" aca="1" ref="AD122" ca="1">IFERROR(ROUND(IF(BB122&lt;&gt;"","",INDEX('M04-S02'!$AJ$18:$AJ$199,2*(ROWS(AD$116:AD122)-1)+1)),2),"")</f>
        <v/>
      </c>
      <c r="AE122" s="9" t="str" cm="1">
        <f t="array" aca="1" ref="AE122" ca="1">IFERROR(ROUND(IF(BB122&lt;&gt;"","",INDEX('M04-S02'!$AL$18:$AL$199,2*(ROWS(AE$116:AE122)-1)+1)),2),"")</f>
        <v/>
      </c>
      <c r="AF122" t="str">
        <f t="shared" ca="1" si="14"/>
        <v/>
      </c>
      <c r="AG122" s="9" t="str" cm="1">
        <f t="array" aca="1" ref="AG122" ca="1">IFERROR(ROUND(IF(BB122&lt;&gt;"","",INDEX('M04-S02'!$AL$18:$AL$199,2*(ROWS(AG$116:AG122)-1)+1)),2),"")</f>
        <v/>
      </c>
      <c r="AH122" s="184"/>
      <c r="AI122" s="191"/>
      <c r="AJ122" s="32" t="str">
        <f ca="1">IFERROR(ROUND(IF(BA122&lt;&gt;"","",INDEX('M04-S02'!$AO$18:$AO$199,2*(ROWS(AJ$116:AJ122)-1)+1)),4),"")</f>
        <v/>
      </c>
      <c r="AK122" s="32" t="str">
        <f ca="1">IFERROR(ROUND(IF(BA122&lt;&gt;"","",INDEX('M04-S02'!$BF$18:$BF$199,2*(ROWS(AK$116:AK122)-1)+1)),4),"")</f>
        <v/>
      </c>
      <c r="AL122" s="32" t="str">
        <f ca="1">IFERROR(ROUND(IF(BA122&lt;&gt;"","",INDEX('M04-S02'!$BG$18:$BG$199,2*(ROWS(AL$116:AL122)-1)+1)),4),"")</f>
        <v/>
      </c>
      <c r="AM122" s="32" t="str" cm="1">
        <f t="array" ref="AM122">IFERROR(ROUND(INDEX('M04-S02'!$BA$18:$BA$199,2*(ROWS(AM$116:AM122)-1)+1),4),"")</f>
        <v/>
      </c>
      <c r="AN122" s="32" t="str" cm="1">
        <f t="array" ref="AN122">IFERROR(ROUND(INDEX('M04-S02'!$BB$18:$BB$199,2*(ROWS(AN$116:AN122)-1)+1),4),"")</f>
        <v/>
      </c>
      <c r="AO122" s="32"/>
      <c r="AP122" s="9">
        <f ca="1">IFERROR(ROUND(IF(BB122&lt;&gt;"",INDEX('M04-S02'!$AH$18:$AH$199,2*(ROWS(AP$116:AP122)-1)+1),""),2),"")</f>
        <v>0</v>
      </c>
      <c r="AQ122" s="9">
        <f ca="1">IFERROR(ROUND(IF(BB122&lt;&gt;"",INDEX('M04-S02'!$AJ$18:$AJ$199,2*(ROWS(AQ$116:AQ122)-1)+1),""),2),"")</f>
        <v>0</v>
      </c>
      <c r="AR122" s="536" t="str" cm="1">
        <f t="array" aca="1" ref="AR122" ca="1">IFERROR(ROUND(IF(BB122&lt;&gt;"", INDEX('M04-S02'!$AL$18:$AL$199,2*(ROWS(AT$116:AT122)-1)+1), ""),2),"")</f>
        <v/>
      </c>
      <c r="AS122" t="str">
        <f t="shared" ca="1" si="15"/>
        <v>Incremental</v>
      </c>
      <c r="AT122" s="536" t="str" cm="1">
        <f t="array" aca="1" ref="AT122" ca="1">IFERROR(ROUND(IF(BB122&lt;&gt;"", INDEX('M04-S02'!$AL$18:$AL$199,2*(ROWS(AT$116:AT122)-1)+1), ""),2),"")</f>
        <v/>
      </c>
      <c r="AU122" s="184"/>
      <c r="AV122" s="5">
        <f ca="1">IFERROR(IF(BB122&lt;&gt;"",ROUND(INDEX('M04-S02'!$M$18:$M$199,2*(ROWS(AV$116:AV122)-1)+1),3),""),"")</f>
        <v>0</v>
      </c>
      <c r="AW122" s="5">
        <f ca="1">IFERROR(IF(BB122&lt;&gt;"",ROUND(INDEX('M04-S02'!$AD$18:$AD$199,2*(ROWS(AW$116:AW122)-1)+1),3),""),"")</f>
        <v>0</v>
      </c>
      <c r="AX122" s="184"/>
      <c r="AY122" s="26" t="str">
        <f ca="1">IFERROR(IF(BB122&lt;&gt;"",INDEX('M04-S02'!$AO$18:$AO$199,2*(ROWS(AY$116:AY122)-1)+1),""),"")</f>
        <v/>
      </c>
      <c r="AZ122" s="32" t="str">
        <f ca="1">IFERROR(IF(BB122&lt;&gt;"",INDEX('M04-S02'!$BF$18:$BF$199,2*(ROWS(AZ$116:AZ122)-1)+1),""),"")</f>
        <v/>
      </c>
      <c r="BA122" s="32" t="str">
        <f ca="1">IFERROR(IF(BB122&lt;&gt;"",INDEX('M04-S02'!$BG$18:$BG$199,2*(ROWS(BA$116:BA122)-1)+1),""),"")</f>
        <v/>
      </c>
      <c r="BB122" t="str">
        <f ca="1">IFERROR(INDEX('M04-S02'!$BY$18:$BY$199,2*(ROWS(BB$116:BB122)-1)+1),"")</f>
        <v>Enter Utility Rate</v>
      </c>
    </row>
    <row r="123" spans="1:54">
      <c r="A123" s="10">
        <f t="shared" si="12"/>
        <v>0</v>
      </c>
      <c r="B123" t="str">
        <f t="shared" si="13"/>
        <v/>
      </c>
      <c r="C123" t="str" cm="1">
        <f t="array" ref="C123">IFERROR(_xlfn.VALUETOTEXT(INDEX('M04-S02'!$BW$18:$BW$199,2*(ROWS($C$116:C123)-1)+1)),"")</f>
        <v/>
      </c>
      <c r="D123">
        <f>IFERROR(INDEX('M04-S02'!$B$18:$B$199,2*(ROWS(D$116:D123)-1)+1),"")</f>
        <v>8</v>
      </c>
      <c r="E123" s="51" t="str" cm="1">
        <f t="array" ref="E123">IFERROR(_xlfn.VALUETOTEXT(INDEX('M04-S02'!$BX$18:$BX$199,2*(ROWS($E$116:E123)-1)+1)),"")</f>
        <v/>
      </c>
      <c r="F123" t="str" cm="1">
        <f t="array" ref="F123">IF(C123&lt;&gt;"", _xlfn.SWITCH(Program_Banner, "Small Business / Non-Profit", "Hard-To-Reach Business", "Business Energy Savings", "Whole Business Efficiency", ""), "")</f>
        <v/>
      </c>
      <c r="G123" t="s">
        <v>135</v>
      </c>
      <c r="H123" t="str">
        <f>IFERROR(INDEX('M04-S02'!$BC$18:$BC$199,2*(ROWS(H$116:H123)-1)+1),"")</f>
        <v/>
      </c>
      <c r="I123" t="str">
        <f>IFERROR(INDEX('M04-S02'!$BJ$18:$BJ$199,2*(ROWS(I$116:I123)-1)+1),"")</f>
        <v/>
      </c>
      <c r="J123" s="9" t="str">
        <f>IFERROR(INDEX('M04-S02'!$BN$18:$BN$199,2*(ROWS(J$116:J123)-1)+1),"")</f>
        <v/>
      </c>
      <c r="K123" s="9" t="str">
        <f>IFERROR(INDEX('M04-S02'!$BO$18:$BO$199,2*(ROWS(K$116:K123)-1)+1),"")</f>
        <v/>
      </c>
      <c r="L123" s="51" t="str">
        <f>IFERROR(INDEX('M04-S02'!$BD$18:$BD$199,2*(ROWS($L$116:L123)-1)+1), "")</f>
        <v/>
      </c>
      <c r="M123" s="51" t="str">
        <f>IFERROR(INDEX('M04-S02'!$E$18:$E$199,2*(ROWS($M$116:M123)-1)+1)&amp;" - "&amp;INDEX('M04-S02'!$C$18:$C$199,2*(ROWS($M$116:M123)-1)+1),"")</f>
        <v xml:space="preserve"> - </v>
      </c>
      <c r="N123">
        <f>IFERROR(INDEX('M04-S02'!$G$18:$G$199,2*(ROWS(N$116:N123)-1)+1),"")</f>
        <v>0</v>
      </c>
      <c r="O123">
        <f>IFERROR(INDEX('M04-S02'!$S$18:$S$199,2*(ROWS(O$116:O123)-1)+1),"")</f>
        <v>0</v>
      </c>
      <c r="P123">
        <f>IFERROR(INDEX('M04-S02'!$K$18:$K$199,2*(ROWS(P$116:P123)-1)+1),"")</f>
        <v>0</v>
      </c>
      <c r="Q123">
        <f>IFERROR(INDEX('M04-S02'!$Z$18:$Z$199,2*(ROWS(Q$116:Q123)-1)+1),"")</f>
        <v>0</v>
      </c>
      <c r="S123" t="str">
        <f>IFERROR(INDEX('M04-S02'!$AX$18:$AX$199,2*(ROWS(S$116:S123)-1)+1),"")</f>
        <v/>
      </c>
      <c r="T123" s="545" t="str">
        <f>IFERROR(ROUND(INDEX('M04-S02'!$AY$18:$AY$199,2*(ROWS(T$116:T123)-1)+1),3),"")</f>
        <v/>
      </c>
      <c r="U123" s="545" t="str">
        <f>IFERROR(ROUND(INDEX('M04-S02'!$AZ$18:$AZ$199,2*(ROWS(U$116:U123)-1)+1),3),"")</f>
        <v/>
      </c>
      <c r="V123" s="26">
        <f>IFERROR(INDEX('M04-S02'!$Q$18:$Q$199,2*(ROWS(V$116:V123)-1)+1),"")</f>
        <v>0</v>
      </c>
      <c r="W123" s="27" t="str">
        <f>IFERROR(INDEX('M04-S02'!$O$18:$O$199,2*(ROWS(W$116:W123)-1)+1),"")</f>
        <v/>
      </c>
      <c r="X123" s="27">
        <f>IFERROR(INDEX('M04-S02'!$AF$18:$AF$199,2*(ROWS(X$116:X123)-1)+1),"")</f>
        <v>0</v>
      </c>
      <c r="Y123" s="184"/>
      <c r="Z123" s="184"/>
      <c r="AA123" s="9" t="str" cm="1">
        <f t="array" ref="AA123">IFERROR(ROUND(INDEX('M04-S02'!$AR$18:$AR$199,2*(ROWS(AA$116:AA123)-1)+1), 2),"")</f>
        <v/>
      </c>
      <c r="AB123" s="164"/>
      <c r="AC123" s="9" t="str" cm="1">
        <f t="array" aca="1" ref="AC123" ca="1">IFERROR(ROUND(IF(BB123&lt;&gt;"","",INDEX('M04-S02'!$AH$18:$AH$199,2*(ROWS(AC$116:AC123)-1)+1)),2),"")</f>
        <v/>
      </c>
      <c r="AD123" s="9" t="str" cm="1">
        <f t="array" aca="1" ref="AD123" ca="1">IFERROR(ROUND(IF(BB123&lt;&gt;"","",INDEX('M04-S02'!$AJ$18:$AJ$199,2*(ROWS(AD$116:AD123)-1)+1)),2),"")</f>
        <v/>
      </c>
      <c r="AE123" s="9" t="str" cm="1">
        <f t="array" aca="1" ref="AE123" ca="1">IFERROR(ROUND(IF(BB123&lt;&gt;"","",INDEX('M04-S02'!$AL$18:$AL$199,2*(ROWS(AE$116:AE123)-1)+1)),2),"")</f>
        <v/>
      </c>
      <c r="AF123" t="str">
        <f t="shared" ca="1" si="14"/>
        <v/>
      </c>
      <c r="AG123" s="9" t="str" cm="1">
        <f t="array" aca="1" ref="AG123" ca="1">IFERROR(ROUND(IF(BB123&lt;&gt;"","",INDEX('M04-S02'!$AL$18:$AL$199,2*(ROWS(AG$116:AG123)-1)+1)),2),"")</f>
        <v/>
      </c>
      <c r="AH123" s="184"/>
      <c r="AI123" s="191"/>
      <c r="AJ123" s="32" t="str">
        <f ca="1">IFERROR(ROUND(IF(BA123&lt;&gt;"","",INDEX('M04-S02'!$AO$18:$AO$199,2*(ROWS(AJ$116:AJ123)-1)+1)),4),"")</f>
        <v/>
      </c>
      <c r="AK123" s="32" t="str">
        <f ca="1">IFERROR(ROUND(IF(BA123&lt;&gt;"","",INDEX('M04-S02'!$BF$18:$BF$199,2*(ROWS(AK$116:AK123)-1)+1)),4),"")</f>
        <v/>
      </c>
      <c r="AL123" s="32" t="str">
        <f ca="1">IFERROR(ROUND(IF(BA123&lt;&gt;"","",INDEX('M04-S02'!$BG$18:$BG$199,2*(ROWS(AL$116:AL123)-1)+1)),4),"")</f>
        <v/>
      </c>
      <c r="AM123" s="32" t="str" cm="1">
        <f t="array" ref="AM123">IFERROR(ROUND(INDEX('M04-S02'!$BA$18:$BA$199,2*(ROWS(AM$116:AM123)-1)+1),4),"")</f>
        <v/>
      </c>
      <c r="AN123" s="32" t="str" cm="1">
        <f t="array" ref="AN123">IFERROR(ROUND(INDEX('M04-S02'!$BB$18:$BB$199,2*(ROWS(AN$116:AN123)-1)+1),4),"")</f>
        <v/>
      </c>
      <c r="AO123" s="32"/>
      <c r="AP123" s="9">
        <f ca="1">IFERROR(ROUND(IF(BB123&lt;&gt;"",INDEX('M04-S02'!$AH$18:$AH$199,2*(ROWS(AP$116:AP123)-1)+1),""),2),"")</f>
        <v>0</v>
      </c>
      <c r="AQ123" s="9">
        <f ca="1">IFERROR(ROUND(IF(BB123&lt;&gt;"",INDEX('M04-S02'!$AJ$18:$AJ$199,2*(ROWS(AQ$116:AQ123)-1)+1),""),2),"")</f>
        <v>0</v>
      </c>
      <c r="AR123" s="536" t="str" cm="1">
        <f t="array" aca="1" ref="AR123" ca="1">IFERROR(ROUND(IF(BB123&lt;&gt;"", INDEX('M04-S02'!$AL$18:$AL$199,2*(ROWS(AT$116:AT123)-1)+1), ""),2),"")</f>
        <v/>
      </c>
      <c r="AS123" t="str">
        <f t="shared" ca="1" si="15"/>
        <v>Incremental</v>
      </c>
      <c r="AT123" s="536" t="str" cm="1">
        <f t="array" aca="1" ref="AT123" ca="1">IFERROR(ROUND(IF(BB123&lt;&gt;"", INDEX('M04-S02'!$AL$18:$AL$199,2*(ROWS(AT$116:AT123)-1)+1), ""),2),"")</f>
        <v/>
      </c>
      <c r="AU123" s="184"/>
      <c r="AV123" s="5">
        <f ca="1">IFERROR(IF(BB123&lt;&gt;"",ROUND(INDEX('M04-S02'!$M$18:$M$199,2*(ROWS(AV$116:AV123)-1)+1),3),""),"")</f>
        <v>0</v>
      </c>
      <c r="AW123" s="5">
        <f ca="1">IFERROR(IF(BB123&lt;&gt;"",ROUND(INDEX('M04-S02'!$AD$18:$AD$199,2*(ROWS(AW$116:AW123)-1)+1),3),""),"")</f>
        <v>0</v>
      </c>
      <c r="AX123" s="184"/>
      <c r="AY123" s="26" t="str">
        <f ca="1">IFERROR(IF(BB123&lt;&gt;"",INDEX('M04-S02'!$AO$18:$AO$199,2*(ROWS(AY$116:AY123)-1)+1),""),"")</f>
        <v/>
      </c>
      <c r="AZ123" s="32" t="str">
        <f ca="1">IFERROR(IF(BB123&lt;&gt;"",INDEX('M04-S02'!$BF$18:$BF$199,2*(ROWS(AZ$116:AZ123)-1)+1),""),"")</f>
        <v/>
      </c>
      <c r="BA123" s="32" t="str">
        <f ca="1">IFERROR(IF(BB123&lt;&gt;"",INDEX('M04-S02'!$BG$18:$BG$199,2*(ROWS(BA$116:BA123)-1)+1),""),"")</f>
        <v/>
      </c>
      <c r="BB123" t="str">
        <f ca="1">IFERROR(INDEX('M04-S02'!$BY$18:$BY$199,2*(ROWS(BB$116:BB123)-1)+1),"")</f>
        <v>Enter Utility Rate</v>
      </c>
    </row>
    <row r="124" spans="1:54">
      <c r="A124" s="10">
        <f t="shared" si="12"/>
        <v>0</v>
      </c>
      <c r="B124" t="str">
        <f t="shared" si="13"/>
        <v/>
      </c>
      <c r="C124" t="str" cm="1">
        <f t="array" ref="C124">IFERROR(_xlfn.VALUETOTEXT(INDEX('M04-S02'!$BW$18:$BW$199,2*(ROWS($C$116:C124)-1)+1)),"")</f>
        <v/>
      </c>
      <c r="D124">
        <f>IFERROR(INDEX('M04-S02'!$B$18:$B$199,2*(ROWS(D$116:D124)-1)+1),"")</f>
        <v>9</v>
      </c>
      <c r="E124" s="51" t="str" cm="1">
        <f t="array" ref="E124">IFERROR(_xlfn.VALUETOTEXT(INDEX('M04-S02'!$BX$18:$BX$199,2*(ROWS($E$116:E124)-1)+1)),"")</f>
        <v/>
      </c>
      <c r="F124" t="str" cm="1">
        <f t="array" ref="F124">IF(C124&lt;&gt;"", _xlfn.SWITCH(Program_Banner, "Small Business / Non-Profit", "Hard-To-Reach Business", "Business Energy Savings", "Whole Business Efficiency", ""), "")</f>
        <v/>
      </c>
      <c r="G124" t="s">
        <v>135</v>
      </c>
      <c r="H124" t="str">
        <f>IFERROR(INDEX('M04-S02'!$BC$18:$BC$199,2*(ROWS(H$116:H124)-1)+1),"")</f>
        <v/>
      </c>
      <c r="I124" t="str">
        <f>IFERROR(INDEX('M04-S02'!$BJ$18:$BJ$199,2*(ROWS(I$116:I124)-1)+1),"")</f>
        <v/>
      </c>
      <c r="J124" s="9" t="str">
        <f>IFERROR(INDEX('M04-S02'!$BN$18:$BN$199,2*(ROWS(J$116:J124)-1)+1),"")</f>
        <v/>
      </c>
      <c r="K124" s="9" t="str">
        <f>IFERROR(INDEX('M04-S02'!$BO$18:$BO$199,2*(ROWS(K$116:K124)-1)+1),"")</f>
        <v/>
      </c>
      <c r="L124" s="51" t="str">
        <f>IFERROR(INDEX('M04-S02'!$BD$18:$BD$199,2*(ROWS($L$116:L124)-1)+1), "")</f>
        <v/>
      </c>
      <c r="M124" s="51" t="str">
        <f>IFERROR(INDEX('M04-S02'!$E$18:$E$199,2*(ROWS($M$116:M124)-1)+1)&amp;" - "&amp;INDEX('M04-S02'!$C$18:$C$199,2*(ROWS($M$116:M124)-1)+1),"")</f>
        <v xml:space="preserve"> - </v>
      </c>
      <c r="N124">
        <f>IFERROR(INDEX('M04-S02'!$G$18:$G$199,2*(ROWS(N$116:N124)-1)+1),"")</f>
        <v>0</v>
      </c>
      <c r="O124">
        <f>IFERROR(INDEX('M04-S02'!$S$18:$S$199,2*(ROWS(O$116:O124)-1)+1),"")</f>
        <v>0</v>
      </c>
      <c r="P124">
        <f>IFERROR(INDEX('M04-S02'!$K$18:$K$199,2*(ROWS(P$116:P124)-1)+1),"")</f>
        <v>0</v>
      </c>
      <c r="Q124">
        <f>IFERROR(INDEX('M04-S02'!$Z$18:$Z$199,2*(ROWS(Q$116:Q124)-1)+1),"")</f>
        <v>0</v>
      </c>
      <c r="S124" t="str">
        <f>IFERROR(INDEX('M04-S02'!$AX$18:$AX$199,2*(ROWS(S$116:S124)-1)+1),"")</f>
        <v/>
      </c>
      <c r="T124" s="545" t="str">
        <f>IFERROR(ROUND(INDEX('M04-S02'!$AY$18:$AY$199,2*(ROWS(T$116:T124)-1)+1),3),"")</f>
        <v/>
      </c>
      <c r="U124" s="545" t="str">
        <f>IFERROR(ROUND(INDEX('M04-S02'!$AZ$18:$AZ$199,2*(ROWS(U$116:U124)-1)+1),3),"")</f>
        <v/>
      </c>
      <c r="V124" s="26">
        <f>IFERROR(INDEX('M04-S02'!$Q$18:$Q$199,2*(ROWS(V$116:V124)-1)+1),"")</f>
        <v>0</v>
      </c>
      <c r="W124" s="27" t="str">
        <f>IFERROR(INDEX('M04-S02'!$O$18:$O$199,2*(ROWS(W$116:W124)-1)+1),"")</f>
        <v/>
      </c>
      <c r="X124" s="27">
        <f>IFERROR(INDEX('M04-S02'!$AF$18:$AF$199,2*(ROWS(X$116:X124)-1)+1),"")</f>
        <v>0</v>
      </c>
      <c r="Y124" s="184"/>
      <c r="Z124" s="184"/>
      <c r="AA124" s="9" t="str" cm="1">
        <f t="array" ref="AA124">IFERROR(ROUND(INDEX('M04-S02'!$AR$18:$AR$199,2*(ROWS(AA$116:AA124)-1)+1), 2),"")</f>
        <v/>
      </c>
      <c r="AB124" s="164"/>
      <c r="AC124" s="9" t="str" cm="1">
        <f t="array" aca="1" ref="AC124" ca="1">IFERROR(ROUND(IF(BB124&lt;&gt;"","",INDEX('M04-S02'!$AH$18:$AH$199,2*(ROWS(AC$116:AC124)-1)+1)),2),"")</f>
        <v/>
      </c>
      <c r="AD124" s="9" t="str" cm="1">
        <f t="array" aca="1" ref="AD124" ca="1">IFERROR(ROUND(IF(BB124&lt;&gt;"","",INDEX('M04-S02'!$AJ$18:$AJ$199,2*(ROWS(AD$116:AD124)-1)+1)),2),"")</f>
        <v/>
      </c>
      <c r="AE124" s="9" t="str" cm="1">
        <f t="array" aca="1" ref="AE124" ca="1">IFERROR(ROUND(IF(BB124&lt;&gt;"","",INDEX('M04-S02'!$AL$18:$AL$199,2*(ROWS(AE$116:AE124)-1)+1)),2),"")</f>
        <v/>
      </c>
      <c r="AF124" t="str">
        <f t="shared" ca="1" si="14"/>
        <v/>
      </c>
      <c r="AG124" s="9" t="str" cm="1">
        <f t="array" aca="1" ref="AG124" ca="1">IFERROR(ROUND(IF(BB124&lt;&gt;"","",INDEX('M04-S02'!$AL$18:$AL$199,2*(ROWS(AG$116:AG124)-1)+1)),2),"")</f>
        <v/>
      </c>
      <c r="AH124" s="184"/>
      <c r="AI124" s="191"/>
      <c r="AJ124" s="32" t="str">
        <f ca="1">IFERROR(ROUND(IF(BA124&lt;&gt;"","",INDEX('M04-S02'!$AO$18:$AO$199,2*(ROWS(AJ$116:AJ124)-1)+1)),4),"")</f>
        <v/>
      </c>
      <c r="AK124" s="32" t="str">
        <f ca="1">IFERROR(ROUND(IF(BA124&lt;&gt;"","",INDEX('M04-S02'!$BF$18:$BF$199,2*(ROWS(AK$116:AK124)-1)+1)),4),"")</f>
        <v/>
      </c>
      <c r="AL124" s="32" t="str">
        <f ca="1">IFERROR(ROUND(IF(BA124&lt;&gt;"","",INDEX('M04-S02'!$BG$18:$BG$199,2*(ROWS(AL$116:AL124)-1)+1)),4),"")</f>
        <v/>
      </c>
      <c r="AM124" s="32" t="str" cm="1">
        <f t="array" ref="AM124">IFERROR(ROUND(INDEX('M04-S02'!$BA$18:$BA$199,2*(ROWS(AM$116:AM124)-1)+1),4),"")</f>
        <v/>
      </c>
      <c r="AN124" s="32" t="str" cm="1">
        <f t="array" ref="AN124">IFERROR(ROUND(INDEX('M04-S02'!$BB$18:$BB$199,2*(ROWS(AN$116:AN124)-1)+1),4),"")</f>
        <v/>
      </c>
      <c r="AO124" s="32"/>
      <c r="AP124" s="9">
        <f ca="1">IFERROR(ROUND(IF(BB124&lt;&gt;"",INDEX('M04-S02'!$AH$18:$AH$199,2*(ROWS(AP$116:AP124)-1)+1),""),2),"")</f>
        <v>0</v>
      </c>
      <c r="AQ124" s="9">
        <f ca="1">IFERROR(ROUND(IF(BB124&lt;&gt;"",INDEX('M04-S02'!$AJ$18:$AJ$199,2*(ROWS(AQ$116:AQ124)-1)+1),""),2),"")</f>
        <v>0</v>
      </c>
      <c r="AR124" s="536" t="str" cm="1">
        <f t="array" aca="1" ref="AR124" ca="1">IFERROR(ROUND(IF(BB124&lt;&gt;"", INDEX('M04-S02'!$AL$18:$AL$199,2*(ROWS(AT$116:AT124)-1)+1), ""),2),"")</f>
        <v/>
      </c>
      <c r="AS124" t="str">
        <f t="shared" ca="1" si="15"/>
        <v>Incremental</v>
      </c>
      <c r="AT124" s="536" t="str" cm="1">
        <f t="array" aca="1" ref="AT124" ca="1">IFERROR(ROUND(IF(BB124&lt;&gt;"", INDEX('M04-S02'!$AL$18:$AL$199,2*(ROWS(AT$116:AT124)-1)+1), ""),2),"")</f>
        <v/>
      </c>
      <c r="AU124" s="184"/>
      <c r="AV124" s="5">
        <f ca="1">IFERROR(IF(BB124&lt;&gt;"",ROUND(INDEX('M04-S02'!$M$18:$M$199,2*(ROWS(AV$116:AV124)-1)+1),3),""),"")</f>
        <v>0</v>
      </c>
      <c r="AW124" s="5">
        <f ca="1">IFERROR(IF(BB124&lt;&gt;"",ROUND(INDEX('M04-S02'!$AD$18:$AD$199,2*(ROWS(AW$116:AW124)-1)+1),3),""),"")</f>
        <v>0</v>
      </c>
      <c r="AX124" s="184"/>
      <c r="AY124" s="26" t="str">
        <f ca="1">IFERROR(IF(BB124&lt;&gt;"",INDEX('M04-S02'!$AO$18:$AO$199,2*(ROWS(AY$116:AY124)-1)+1),""),"")</f>
        <v/>
      </c>
      <c r="AZ124" s="32" t="str">
        <f ca="1">IFERROR(IF(BB124&lt;&gt;"",INDEX('M04-S02'!$BF$18:$BF$199,2*(ROWS(AZ$116:AZ124)-1)+1),""),"")</f>
        <v/>
      </c>
      <c r="BA124" s="32" t="str">
        <f ca="1">IFERROR(IF(BB124&lt;&gt;"",INDEX('M04-S02'!$BG$18:$BG$199,2*(ROWS(BA$116:BA124)-1)+1),""),"")</f>
        <v/>
      </c>
      <c r="BB124" t="str">
        <f ca="1">IFERROR(INDEX('M04-S02'!$BY$18:$BY$199,2*(ROWS(BB$116:BB124)-1)+1),"")</f>
        <v>Enter Utility Rate</v>
      </c>
    </row>
    <row r="125" spans="1:54">
      <c r="A125" s="10">
        <f t="shared" si="12"/>
        <v>0</v>
      </c>
      <c r="B125" t="str">
        <f t="shared" si="13"/>
        <v/>
      </c>
      <c r="C125" t="str" cm="1">
        <f t="array" ref="C125">IFERROR(_xlfn.VALUETOTEXT(INDEX('M04-S02'!$BW$18:$BW$199,2*(ROWS($C$116:C125)-1)+1)),"")</f>
        <v/>
      </c>
      <c r="D125">
        <f>IFERROR(INDEX('M04-S02'!$B$18:$B$199,2*(ROWS(D$116:D125)-1)+1),"")</f>
        <v>10</v>
      </c>
      <c r="E125" s="51" t="str" cm="1">
        <f t="array" ref="E125">IFERROR(_xlfn.VALUETOTEXT(INDEX('M04-S02'!$BX$18:$BX$199,2*(ROWS($E$116:E125)-1)+1)),"")</f>
        <v/>
      </c>
      <c r="F125" t="str" cm="1">
        <f t="array" ref="F125">IF(C125&lt;&gt;"", _xlfn.SWITCH(Program_Banner, "Small Business / Non-Profit", "Hard-To-Reach Business", "Business Energy Savings", "Whole Business Efficiency", ""), "")</f>
        <v/>
      </c>
      <c r="G125" t="s">
        <v>135</v>
      </c>
      <c r="H125" t="str">
        <f>IFERROR(INDEX('M04-S02'!$BC$18:$BC$199,2*(ROWS(H$116:H125)-1)+1),"")</f>
        <v/>
      </c>
      <c r="I125" t="str">
        <f>IFERROR(INDEX('M04-S02'!$BJ$18:$BJ$199,2*(ROWS(I$116:I125)-1)+1),"")</f>
        <v/>
      </c>
      <c r="J125" s="9" t="str">
        <f>IFERROR(INDEX('M04-S02'!$BN$18:$BN$199,2*(ROWS(J$116:J125)-1)+1),"")</f>
        <v/>
      </c>
      <c r="K125" s="9" t="str">
        <f>IFERROR(INDEX('M04-S02'!$BO$18:$BO$199,2*(ROWS(K$116:K125)-1)+1),"")</f>
        <v/>
      </c>
      <c r="L125" s="51" t="str">
        <f>IFERROR(INDEX('M04-S02'!$BD$18:$BD$199,2*(ROWS($L$116:L125)-1)+1), "")</f>
        <v/>
      </c>
      <c r="M125" s="51" t="str">
        <f>IFERROR(INDEX('M04-S02'!$E$18:$E$199,2*(ROWS($M$116:M125)-1)+1)&amp;" - "&amp;INDEX('M04-S02'!$C$18:$C$199,2*(ROWS($M$116:M125)-1)+1),"")</f>
        <v xml:space="preserve"> - </v>
      </c>
      <c r="N125">
        <f>IFERROR(INDEX('M04-S02'!$G$18:$G$199,2*(ROWS(N$116:N125)-1)+1),"")</f>
        <v>0</v>
      </c>
      <c r="O125">
        <f>IFERROR(INDEX('M04-S02'!$S$18:$S$199,2*(ROWS(O$116:O125)-1)+1),"")</f>
        <v>0</v>
      </c>
      <c r="P125">
        <f>IFERROR(INDEX('M04-S02'!$K$18:$K$199,2*(ROWS(P$116:P125)-1)+1),"")</f>
        <v>0</v>
      </c>
      <c r="Q125">
        <f>IFERROR(INDEX('M04-S02'!$Z$18:$Z$199,2*(ROWS(Q$116:Q125)-1)+1),"")</f>
        <v>0</v>
      </c>
      <c r="S125" t="str">
        <f>IFERROR(INDEX('M04-S02'!$AX$18:$AX$199,2*(ROWS(S$116:S125)-1)+1),"")</f>
        <v/>
      </c>
      <c r="T125" s="545" t="str">
        <f>IFERROR(ROUND(INDEX('M04-S02'!$AY$18:$AY$199,2*(ROWS(T$116:T125)-1)+1),3),"")</f>
        <v/>
      </c>
      <c r="U125" s="545" t="str">
        <f>IFERROR(ROUND(INDEX('M04-S02'!$AZ$18:$AZ$199,2*(ROWS(U$116:U125)-1)+1),3),"")</f>
        <v/>
      </c>
      <c r="V125" s="26">
        <f>IFERROR(INDEX('M04-S02'!$Q$18:$Q$199,2*(ROWS(V$116:V125)-1)+1),"")</f>
        <v>0</v>
      </c>
      <c r="W125" s="27" t="str">
        <f>IFERROR(INDEX('M04-S02'!$O$18:$O$199,2*(ROWS(W$116:W125)-1)+1),"")</f>
        <v/>
      </c>
      <c r="X125" s="27">
        <f>IFERROR(INDEX('M04-S02'!$AF$18:$AF$199,2*(ROWS(X$116:X125)-1)+1),"")</f>
        <v>0</v>
      </c>
      <c r="Y125" s="184"/>
      <c r="Z125" s="184"/>
      <c r="AA125" s="9" t="str" cm="1">
        <f t="array" ref="AA125">IFERROR(ROUND(INDEX('M04-S02'!$AR$18:$AR$199,2*(ROWS(AA$116:AA125)-1)+1), 2),"")</f>
        <v/>
      </c>
      <c r="AB125" s="164"/>
      <c r="AC125" s="9" t="str" cm="1">
        <f t="array" aca="1" ref="AC125" ca="1">IFERROR(ROUND(IF(BB125&lt;&gt;"","",INDEX('M04-S02'!$AH$18:$AH$199,2*(ROWS(AC$116:AC125)-1)+1)),2),"")</f>
        <v/>
      </c>
      <c r="AD125" s="9" t="str" cm="1">
        <f t="array" aca="1" ref="AD125" ca="1">IFERROR(ROUND(IF(BB125&lt;&gt;"","",INDEX('M04-S02'!$AJ$18:$AJ$199,2*(ROWS(AD$116:AD125)-1)+1)),2),"")</f>
        <v/>
      </c>
      <c r="AE125" s="9" t="str" cm="1">
        <f t="array" aca="1" ref="AE125" ca="1">IFERROR(ROUND(IF(BB125&lt;&gt;"","",INDEX('M04-S02'!$AL$18:$AL$199,2*(ROWS(AE$116:AE125)-1)+1)),2),"")</f>
        <v/>
      </c>
      <c r="AF125" t="str">
        <f t="shared" ca="1" si="14"/>
        <v/>
      </c>
      <c r="AG125" s="9" t="str" cm="1">
        <f t="array" aca="1" ref="AG125" ca="1">IFERROR(ROUND(IF(BB125&lt;&gt;"","",INDEX('M04-S02'!$AL$18:$AL$199,2*(ROWS(AG$116:AG125)-1)+1)),2),"")</f>
        <v/>
      </c>
      <c r="AH125" s="184"/>
      <c r="AI125" s="191"/>
      <c r="AJ125" s="32" t="str">
        <f ca="1">IFERROR(ROUND(IF(BA125&lt;&gt;"","",INDEX('M04-S02'!$AO$18:$AO$199,2*(ROWS(AJ$116:AJ125)-1)+1)),4),"")</f>
        <v/>
      </c>
      <c r="AK125" s="32" t="str">
        <f ca="1">IFERROR(ROUND(IF(BA125&lt;&gt;"","",INDEX('M04-S02'!$BF$18:$BF$199,2*(ROWS(AK$116:AK125)-1)+1)),4),"")</f>
        <v/>
      </c>
      <c r="AL125" s="32" t="str">
        <f ca="1">IFERROR(ROUND(IF(BA125&lt;&gt;"","",INDEX('M04-S02'!$BG$18:$BG$199,2*(ROWS(AL$116:AL125)-1)+1)),4),"")</f>
        <v/>
      </c>
      <c r="AM125" s="32" t="str" cm="1">
        <f t="array" ref="AM125">IFERROR(ROUND(INDEX('M04-S02'!$BA$18:$BA$199,2*(ROWS(AM$116:AM125)-1)+1),4),"")</f>
        <v/>
      </c>
      <c r="AN125" s="32" t="str" cm="1">
        <f t="array" ref="AN125">IFERROR(ROUND(INDEX('M04-S02'!$BB$18:$BB$199,2*(ROWS(AN$116:AN125)-1)+1),4),"")</f>
        <v/>
      </c>
      <c r="AO125" s="32"/>
      <c r="AP125" s="9">
        <f ca="1">IFERROR(ROUND(IF(BB125&lt;&gt;"",INDEX('M04-S02'!$AH$18:$AH$199,2*(ROWS(AP$116:AP125)-1)+1),""),2),"")</f>
        <v>0</v>
      </c>
      <c r="AQ125" s="9">
        <f ca="1">IFERROR(ROUND(IF(BB125&lt;&gt;"",INDEX('M04-S02'!$AJ$18:$AJ$199,2*(ROWS(AQ$116:AQ125)-1)+1),""),2),"")</f>
        <v>0</v>
      </c>
      <c r="AR125" s="536" t="str" cm="1">
        <f t="array" aca="1" ref="AR125" ca="1">IFERROR(ROUND(IF(BB125&lt;&gt;"", INDEX('M04-S02'!$AL$18:$AL$199,2*(ROWS(AT$116:AT125)-1)+1), ""),2),"")</f>
        <v/>
      </c>
      <c r="AS125" t="str">
        <f t="shared" ca="1" si="15"/>
        <v>Incremental</v>
      </c>
      <c r="AT125" s="536" t="str" cm="1">
        <f t="array" aca="1" ref="AT125" ca="1">IFERROR(ROUND(IF(BB125&lt;&gt;"", INDEX('M04-S02'!$AL$18:$AL$199,2*(ROWS(AT$116:AT125)-1)+1), ""),2),"")</f>
        <v/>
      </c>
      <c r="AU125" s="184"/>
      <c r="AV125" s="5">
        <f ca="1">IFERROR(IF(BB125&lt;&gt;"",ROUND(INDEX('M04-S02'!$M$18:$M$199,2*(ROWS(AV$116:AV125)-1)+1),3),""),"")</f>
        <v>0</v>
      </c>
      <c r="AW125" s="5">
        <f ca="1">IFERROR(IF(BB125&lt;&gt;"",ROUND(INDEX('M04-S02'!$AD$18:$AD$199,2*(ROWS(AW$116:AW125)-1)+1),3),""),"")</f>
        <v>0</v>
      </c>
      <c r="AX125" s="184"/>
      <c r="AY125" s="26" t="str">
        <f ca="1">IFERROR(IF(BB125&lt;&gt;"",INDEX('M04-S02'!$AO$18:$AO$199,2*(ROWS(AY$116:AY125)-1)+1),""),"")</f>
        <v/>
      </c>
      <c r="AZ125" s="32" t="str">
        <f ca="1">IFERROR(IF(BB125&lt;&gt;"",INDEX('M04-S02'!$BF$18:$BF$199,2*(ROWS(AZ$116:AZ125)-1)+1),""),"")</f>
        <v/>
      </c>
      <c r="BA125" s="32" t="str">
        <f ca="1">IFERROR(IF(BB125&lt;&gt;"",INDEX('M04-S02'!$BG$18:$BG$199,2*(ROWS(BA$116:BA125)-1)+1),""),"")</f>
        <v/>
      </c>
      <c r="BB125" t="str">
        <f ca="1">IFERROR(INDEX('M04-S02'!$BY$18:$BY$199,2*(ROWS(BB$116:BB125)-1)+1),"")</f>
        <v>Enter Utility Rate</v>
      </c>
    </row>
    <row r="126" spans="1:54">
      <c r="A126" s="10">
        <f t="shared" si="12"/>
        <v>0</v>
      </c>
      <c r="B126" t="str">
        <f t="shared" si="13"/>
        <v/>
      </c>
      <c r="C126" t="str" cm="1">
        <f t="array" ref="C126">IFERROR(_xlfn.VALUETOTEXT(INDEX('M04-S02'!$BW$18:$BW$199,2*(ROWS($C$116:C126)-1)+1)),"")</f>
        <v/>
      </c>
      <c r="D126">
        <f>IFERROR(INDEX('M04-S02'!$B$18:$B$199,2*(ROWS(D$116:D126)-1)+1),"")</f>
        <v>11</v>
      </c>
      <c r="E126" s="51" t="str" cm="1">
        <f t="array" ref="E126">IFERROR(_xlfn.VALUETOTEXT(INDEX('M04-S02'!$BX$18:$BX$199,2*(ROWS($E$116:E126)-1)+1)),"")</f>
        <v/>
      </c>
      <c r="F126" t="str" cm="1">
        <f t="array" ref="F126">IF(C126&lt;&gt;"", _xlfn.SWITCH(Program_Banner, "Small Business / Non-Profit", "Hard-To-Reach Business", "Business Energy Savings", "Whole Business Efficiency", ""), "")</f>
        <v/>
      </c>
      <c r="G126" t="s">
        <v>135</v>
      </c>
      <c r="H126" t="str">
        <f>IFERROR(INDEX('M04-S02'!$BC$18:$BC$199,2*(ROWS(H$116:H126)-1)+1),"")</f>
        <v/>
      </c>
      <c r="I126" t="str">
        <f>IFERROR(INDEX('M04-S02'!$BJ$18:$BJ$199,2*(ROWS(I$116:I126)-1)+1),"")</f>
        <v/>
      </c>
      <c r="J126" s="9" t="str">
        <f>IFERROR(INDEX('M04-S02'!$BN$18:$BN$199,2*(ROWS(J$116:J126)-1)+1),"")</f>
        <v/>
      </c>
      <c r="K126" s="9" t="str">
        <f>IFERROR(INDEX('M04-S02'!$BO$18:$BO$199,2*(ROWS(K$116:K126)-1)+1),"")</f>
        <v/>
      </c>
      <c r="L126" s="51" t="str">
        <f>IFERROR(INDEX('M04-S02'!$BD$18:$BD$199,2*(ROWS($L$116:L126)-1)+1), "")</f>
        <v/>
      </c>
      <c r="M126" s="51" t="str">
        <f>IFERROR(INDEX('M04-S02'!$E$18:$E$199,2*(ROWS($M$116:M126)-1)+1)&amp;" - "&amp;INDEX('M04-S02'!$C$18:$C$199,2*(ROWS($M$116:M126)-1)+1),"")</f>
        <v xml:space="preserve"> - </v>
      </c>
      <c r="N126">
        <f>IFERROR(INDEX('M04-S02'!$G$18:$G$199,2*(ROWS(N$116:N126)-1)+1),"")</f>
        <v>0</v>
      </c>
      <c r="O126">
        <f>IFERROR(INDEX('M04-S02'!$S$18:$S$199,2*(ROWS(O$116:O126)-1)+1),"")</f>
        <v>0</v>
      </c>
      <c r="P126">
        <f>IFERROR(INDEX('M04-S02'!$K$18:$K$199,2*(ROWS(P$116:P126)-1)+1),"")</f>
        <v>0</v>
      </c>
      <c r="Q126">
        <f>IFERROR(INDEX('M04-S02'!$Z$18:$Z$199,2*(ROWS(Q$116:Q126)-1)+1),"")</f>
        <v>0</v>
      </c>
      <c r="S126" t="str">
        <f>IFERROR(INDEX('M04-S02'!$AX$18:$AX$199,2*(ROWS(S$116:S126)-1)+1),"")</f>
        <v/>
      </c>
      <c r="T126" s="545" t="str">
        <f>IFERROR(ROUND(INDEX('M04-S02'!$AY$18:$AY$199,2*(ROWS(T$116:T126)-1)+1),3),"")</f>
        <v/>
      </c>
      <c r="U126" s="545" t="str">
        <f>IFERROR(ROUND(INDEX('M04-S02'!$AZ$18:$AZ$199,2*(ROWS(U$116:U126)-1)+1),3),"")</f>
        <v/>
      </c>
      <c r="V126" s="26">
        <f>IFERROR(INDEX('M04-S02'!$Q$18:$Q$199,2*(ROWS(V$116:V126)-1)+1),"")</f>
        <v>0</v>
      </c>
      <c r="W126" s="27" t="str">
        <f>IFERROR(INDEX('M04-S02'!$O$18:$O$199,2*(ROWS(W$116:W126)-1)+1),"")</f>
        <v/>
      </c>
      <c r="X126" s="27">
        <f>IFERROR(INDEX('M04-S02'!$AF$18:$AF$199,2*(ROWS(X$116:X126)-1)+1),"")</f>
        <v>0</v>
      </c>
      <c r="Y126" s="184"/>
      <c r="Z126" s="184"/>
      <c r="AA126" s="9" t="str" cm="1">
        <f t="array" ref="AA126">IFERROR(ROUND(INDEX('M04-S02'!$AR$18:$AR$199,2*(ROWS(AA$116:AA126)-1)+1), 2),"")</f>
        <v/>
      </c>
      <c r="AB126" s="164"/>
      <c r="AC126" s="9" t="str" cm="1">
        <f t="array" aca="1" ref="AC126" ca="1">IFERROR(ROUND(IF(BB126&lt;&gt;"","",INDEX('M04-S02'!$AH$18:$AH$199,2*(ROWS(AC$116:AC126)-1)+1)),2),"")</f>
        <v/>
      </c>
      <c r="AD126" s="9" t="str" cm="1">
        <f t="array" aca="1" ref="AD126" ca="1">IFERROR(ROUND(IF(BB126&lt;&gt;"","",INDEX('M04-S02'!$AJ$18:$AJ$199,2*(ROWS(AD$116:AD126)-1)+1)),2),"")</f>
        <v/>
      </c>
      <c r="AE126" s="9" t="str" cm="1">
        <f t="array" aca="1" ref="AE126" ca="1">IFERROR(ROUND(IF(BB126&lt;&gt;"","",INDEX('M04-S02'!$AL$18:$AL$199,2*(ROWS(AE$116:AE126)-1)+1)),2),"")</f>
        <v/>
      </c>
      <c r="AF126" t="str">
        <f t="shared" ca="1" si="14"/>
        <v/>
      </c>
      <c r="AG126" s="9" t="str" cm="1">
        <f t="array" aca="1" ref="AG126" ca="1">IFERROR(ROUND(IF(BB126&lt;&gt;"","",INDEX('M04-S02'!$AL$18:$AL$199,2*(ROWS(AG$116:AG126)-1)+1)),2),"")</f>
        <v/>
      </c>
      <c r="AH126" s="184"/>
      <c r="AI126" s="191"/>
      <c r="AJ126" s="32" t="str">
        <f ca="1">IFERROR(ROUND(IF(BA126&lt;&gt;"","",INDEX('M04-S02'!$AO$18:$AO$199,2*(ROWS(AJ$116:AJ126)-1)+1)),4),"")</f>
        <v/>
      </c>
      <c r="AK126" s="32" t="str">
        <f ca="1">IFERROR(ROUND(IF(BA126&lt;&gt;"","",INDEX('M04-S02'!$BF$18:$BF$199,2*(ROWS(AK$116:AK126)-1)+1)),4),"")</f>
        <v/>
      </c>
      <c r="AL126" s="32" t="str">
        <f ca="1">IFERROR(ROUND(IF(BA126&lt;&gt;"","",INDEX('M04-S02'!$BG$18:$BG$199,2*(ROWS(AL$116:AL126)-1)+1)),4),"")</f>
        <v/>
      </c>
      <c r="AM126" s="32" t="str" cm="1">
        <f t="array" ref="AM126">IFERROR(ROUND(INDEX('M04-S02'!$BA$18:$BA$199,2*(ROWS(AM$116:AM126)-1)+1),4),"")</f>
        <v/>
      </c>
      <c r="AN126" s="32" t="str" cm="1">
        <f t="array" ref="AN126">IFERROR(ROUND(INDEX('M04-S02'!$BB$18:$BB$199,2*(ROWS(AN$116:AN126)-1)+1),4),"")</f>
        <v/>
      </c>
      <c r="AO126" s="32"/>
      <c r="AP126" s="9">
        <f ca="1">IFERROR(ROUND(IF(BB126&lt;&gt;"",INDEX('M04-S02'!$AH$18:$AH$199,2*(ROWS(AP$116:AP126)-1)+1),""),2),"")</f>
        <v>0</v>
      </c>
      <c r="AQ126" s="9">
        <f ca="1">IFERROR(ROUND(IF(BB126&lt;&gt;"",INDEX('M04-S02'!$AJ$18:$AJ$199,2*(ROWS(AQ$116:AQ126)-1)+1),""),2),"")</f>
        <v>0</v>
      </c>
      <c r="AR126" s="536" t="str" cm="1">
        <f t="array" aca="1" ref="AR126" ca="1">IFERROR(ROUND(IF(BB126&lt;&gt;"", INDEX('M04-S02'!$AL$18:$AL$199,2*(ROWS(AT$116:AT126)-1)+1), ""),2),"")</f>
        <v/>
      </c>
      <c r="AS126" t="str">
        <f t="shared" ca="1" si="15"/>
        <v>Incremental</v>
      </c>
      <c r="AT126" s="536" t="str" cm="1">
        <f t="array" aca="1" ref="AT126" ca="1">IFERROR(ROUND(IF(BB126&lt;&gt;"", INDEX('M04-S02'!$AL$18:$AL$199,2*(ROWS(AT$116:AT126)-1)+1), ""),2),"")</f>
        <v/>
      </c>
      <c r="AU126" s="184"/>
      <c r="AV126" s="5">
        <f ca="1">IFERROR(IF(BB126&lt;&gt;"",ROUND(INDEX('M04-S02'!$M$18:$M$199,2*(ROWS(AV$116:AV126)-1)+1),3),""),"")</f>
        <v>0</v>
      </c>
      <c r="AW126" s="5">
        <f ca="1">IFERROR(IF(BB126&lt;&gt;"",ROUND(INDEX('M04-S02'!$AD$18:$AD$199,2*(ROWS(AW$116:AW126)-1)+1),3),""),"")</f>
        <v>0</v>
      </c>
      <c r="AX126" s="184"/>
      <c r="AY126" s="26" t="str">
        <f ca="1">IFERROR(IF(BB126&lt;&gt;"",INDEX('M04-S02'!$AO$18:$AO$199,2*(ROWS(AY$116:AY126)-1)+1),""),"")</f>
        <v/>
      </c>
      <c r="AZ126" s="32" t="str">
        <f ca="1">IFERROR(IF(BB126&lt;&gt;"",INDEX('M04-S02'!$BF$18:$BF$199,2*(ROWS(AZ$116:AZ126)-1)+1),""),"")</f>
        <v/>
      </c>
      <c r="BA126" s="32" t="str">
        <f ca="1">IFERROR(IF(BB126&lt;&gt;"",INDEX('M04-S02'!$BG$18:$BG$199,2*(ROWS(BA$116:BA126)-1)+1),""),"")</f>
        <v/>
      </c>
      <c r="BB126" t="str">
        <f ca="1">IFERROR(INDEX('M04-S02'!$BY$18:$BY$199,2*(ROWS(BB$116:BB126)-1)+1),"")</f>
        <v>Enter Utility Rate</v>
      </c>
    </row>
    <row r="127" spans="1:54">
      <c r="A127" s="10">
        <f t="shared" si="12"/>
        <v>0</v>
      </c>
      <c r="B127" t="str">
        <f t="shared" si="13"/>
        <v/>
      </c>
      <c r="C127" t="str" cm="1">
        <f t="array" ref="C127">IFERROR(_xlfn.VALUETOTEXT(INDEX('M04-S02'!$BW$18:$BW$199,2*(ROWS($C$116:C127)-1)+1)),"")</f>
        <v/>
      </c>
      <c r="D127">
        <f>IFERROR(INDEX('M04-S02'!$B$18:$B$199,2*(ROWS(D$116:D127)-1)+1),"")</f>
        <v>12</v>
      </c>
      <c r="E127" s="51" t="str" cm="1">
        <f t="array" ref="E127">IFERROR(_xlfn.VALUETOTEXT(INDEX('M04-S02'!$BX$18:$BX$199,2*(ROWS($E$116:E127)-1)+1)),"")</f>
        <v/>
      </c>
      <c r="F127" t="str" cm="1">
        <f t="array" ref="F127">IF(C127&lt;&gt;"", _xlfn.SWITCH(Program_Banner, "Small Business / Non-Profit", "Hard-To-Reach Business", "Business Energy Savings", "Whole Business Efficiency", ""), "")</f>
        <v/>
      </c>
      <c r="G127" t="s">
        <v>135</v>
      </c>
      <c r="H127" t="str">
        <f>IFERROR(INDEX('M04-S02'!$BC$18:$BC$199,2*(ROWS(H$116:H127)-1)+1),"")</f>
        <v/>
      </c>
      <c r="I127" t="str">
        <f>IFERROR(INDEX('M04-S02'!$BJ$18:$BJ$199,2*(ROWS(I$116:I127)-1)+1),"")</f>
        <v/>
      </c>
      <c r="J127" s="9" t="str">
        <f>IFERROR(INDEX('M04-S02'!$BN$18:$BN$199,2*(ROWS(J$116:J127)-1)+1),"")</f>
        <v/>
      </c>
      <c r="K127" s="9" t="str">
        <f>IFERROR(INDEX('M04-S02'!$BO$18:$BO$199,2*(ROWS(K$116:K127)-1)+1),"")</f>
        <v/>
      </c>
      <c r="L127" s="51" t="str">
        <f>IFERROR(INDEX('M04-S02'!$BD$18:$BD$199,2*(ROWS($L$116:L127)-1)+1), "")</f>
        <v/>
      </c>
      <c r="M127" s="51" t="str">
        <f>IFERROR(INDEX('M04-S02'!$E$18:$E$199,2*(ROWS($M$116:M127)-1)+1)&amp;" - "&amp;INDEX('M04-S02'!$C$18:$C$199,2*(ROWS($M$116:M127)-1)+1),"")</f>
        <v xml:space="preserve"> - </v>
      </c>
      <c r="N127">
        <f>IFERROR(INDEX('M04-S02'!$G$18:$G$199,2*(ROWS(N$116:N127)-1)+1),"")</f>
        <v>0</v>
      </c>
      <c r="O127">
        <f>IFERROR(INDEX('M04-S02'!$S$18:$S$199,2*(ROWS(O$116:O127)-1)+1),"")</f>
        <v>0</v>
      </c>
      <c r="P127">
        <f>IFERROR(INDEX('M04-S02'!$K$18:$K$199,2*(ROWS(P$116:P127)-1)+1),"")</f>
        <v>0</v>
      </c>
      <c r="Q127">
        <f>IFERROR(INDEX('M04-S02'!$Z$18:$Z$199,2*(ROWS(Q$116:Q127)-1)+1),"")</f>
        <v>0</v>
      </c>
      <c r="S127" t="str">
        <f>IFERROR(INDEX('M04-S02'!$AX$18:$AX$199,2*(ROWS(S$116:S127)-1)+1),"")</f>
        <v/>
      </c>
      <c r="T127" s="545" t="str">
        <f>IFERROR(ROUND(INDEX('M04-S02'!$AY$18:$AY$199,2*(ROWS(T$116:T127)-1)+1),3),"")</f>
        <v/>
      </c>
      <c r="U127" s="545" t="str">
        <f>IFERROR(ROUND(INDEX('M04-S02'!$AZ$18:$AZ$199,2*(ROWS(U$116:U127)-1)+1),3),"")</f>
        <v/>
      </c>
      <c r="V127" s="26">
        <f>IFERROR(INDEX('M04-S02'!$Q$18:$Q$199,2*(ROWS(V$116:V127)-1)+1),"")</f>
        <v>0</v>
      </c>
      <c r="W127" s="27" t="str">
        <f>IFERROR(INDEX('M04-S02'!$O$18:$O$199,2*(ROWS(W$116:W127)-1)+1),"")</f>
        <v/>
      </c>
      <c r="X127" s="27">
        <f>IFERROR(INDEX('M04-S02'!$AF$18:$AF$199,2*(ROWS(X$116:X127)-1)+1),"")</f>
        <v>0</v>
      </c>
      <c r="Y127" s="184"/>
      <c r="Z127" s="184"/>
      <c r="AA127" s="9" t="str" cm="1">
        <f t="array" ref="AA127">IFERROR(ROUND(INDEX('M04-S02'!$AR$18:$AR$199,2*(ROWS(AA$116:AA127)-1)+1), 2),"")</f>
        <v/>
      </c>
      <c r="AB127" s="164"/>
      <c r="AC127" s="9" t="str" cm="1">
        <f t="array" aca="1" ref="AC127" ca="1">IFERROR(ROUND(IF(BB127&lt;&gt;"","",INDEX('M04-S02'!$AH$18:$AH$199,2*(ROWS(AC$116:AC127)-1)+1)),2),"")</f>
        <v/>
      </c>
      <c r="AD127" s="9" t="str" cm="1">
        <f t="array" aca="1" ref="AD127" ca="1">IFERROR(ROUND(IF(BB127&lt;&gt;"","",INDEX('M04-S02'!$AJ$18:$AJ$199,2*(ROWS(AD$116:AD127)-1)+1)),2),"")</f>
        <v/>
      </c>
      <c r="AE127" s="9" t="str" cm="1">
        <f t="array" aca="1" ref="AE127" ca="1">IFERROR(ROUND(IF(BB127&lt;&gt;"","",INDEX('M04-S02'!$AL$18:$AL$199,2*(ROWS(AE$116:AE127)-1)+1)),2),"")</f>
        <v/>
      </c>
      <c r="AF127" t="str">
        <f t="shared" ca="1" si="14"/>
        <v/>
      </c>
      <c r="AG127" s="9" t="str" cm="1">
        <f t="array" aca="1" ref="AG127" ca="1">IFERROR(ROUND(IF(BB127&lt;&gt;"","",INDEX('M04-S02'!$AL$18:$AL$199,2*(ROWS(AG$116:AG127)-1)+1)),2),"")</f>
        <v/>
      </c>
      <c r="AH127" s="184"/>
      <c r="AI127" s="191"/>
      <c r="AJ127" s="32" t="str">
        <f ca="1">IFERROR(ROUND(IF(BA127&lt;&gt;"","",INDEX('M04-S02'!$AO$18:$AO$199,2*(ROWS(AJ$116:AJ127)-1)+1)),4),"")</f>
        <v/>
      </c>
      <c r="AK127" s="32" t="str">
        <f ca="1">IFERROR(ROUND(IF(BA127&lt;&gt;"","",INDEX('M04-S02'!$BF$18:$BF$199,2*(ROWS(AK$116:AK127)-1)+1)),4),"")</f>
        <v/>
      </c>
      <c r="AL127" s="32" t="str">
        <f ca="1">IFERROR(ROUND(IF(BA127&lt;&gt;"","",INDEX('M04-S02'!$BG$18:$BG$199,2*(ROWS(AL$116:AL127)-1)+1)),4),"")</f>
        <v/>
      </c>
      <c r="AM127" s="32" t="str" cm="1">
        <f t="array" ref="AM127">IFERROR(ROUND(INDEX('M04-S02'!$BA$18:$BA$199,2*(ROWS(AM$116:AM127)-1)+1),4),"")</f>
        <v/>
      </c>
      <c r="AN127" s="32" t="str" cm="1">
        <f t="array" ref="AN127">IFERROR(ROUND(INDEX('M04-S02'!$BB$18:$BB$199,2*(ROWS(AN$116:AN127)-1)+1),4),"")</f>
        <v/>
      </c>
      <c r="AO127" s="32"/>
      <c r="AP127" s="9">
        <f ca="1">IFERROR(ROUND(IF(BB127&lt;&gt;"",INDEX('M04-S02'!$AH$18:$AH$199,2*(ROWS(AP$116:AP127)-1)+1),""),2),"")</f>
        <v>0</v>
      </c>
      <c r="AQ127" s="9">
        <f ca="1">IFERROR(ROUND(IF(BB127&lt;&gt;"",INDEX('M04-S02'!$AJ$18:$AJ$199,2*(ROWS(AQ$116:AQ127)-1)+1),""),2),"")</f>
        <v>0</v>
      </c>
      <c r="AR127" s="536" t="str" cm="1">
        <f t="array" aca="1" ref="AR127" ca="1">IFERROR(ROUND(IF(BB127&lt;&gt;"", INDEX('M04-S02'!$AL$18:$AL$199,2*(ROWS(AT$116:AT127)-1)+1), ""),2),"")</f>
        <v/>
      </c>
      <c r="AS127" t="str">
        <f t="shared" ca="1" si="15"/>
        <v>Incremental</v>
      </c>
      <c r="AT127" s="536" t="str" cm="1">
        <f t="array" aca="1" ref="AT127" ca="1">IFERROR(ROUND(IF(BB127&lt;&gt;"", INDEX('M04-S02'!$AL$18:$AL$199,2*(ROWS(AT$116:AT127)-1)+1), ""),2),"")</f>
        <v/>
      </c>
      <c r="AU127" s="184"/>
      <c r="AV127" s="5">
        <f ca="1">IFERROR(IF(BB127&lt;&gt;"",ROUND(INDEX('M04-S02'!$M$18:$M$199,2*(ROWS(AV$116:AV127)-1)+1),3),""),"")</f>
        <v>0</v>
      </c>
      <c r="AW127" s="5">
        <f ca="1">IFERROR(IF(BB127&lt;&gt;"",ROUND(INDEX('M04-S02'!$AD$18:$AD$199,2*(ROWS(AW$116:AW127)-1)+1),3),""),"")</f>
        <v>0</v>
      </c>
      <c r="AX127" s="184"/>
      <c r="AY127" s="26" t="str">
        <f ca="1">IFERROR(IF(BB127&lt;&gt;"",INDEX('M04-S02'!$AO$18:$AO$199,2*(ROWS(AY$116:AY127)-1)+1),""),"")</f>
        <v/>
      </c>
      <c r="AZ127" s="32" t="str">
        <f ca="1">IFERROR(IF(BB127&lt;&gt;"",INDEX('M04-S02'!$BF$18:$BF$199,2*(ROWS(AZ$116:AZ127)-1)+1),""),"")</f>
        <v/>
      </c>
      <c r="BA127" s="32" t="str">
        <f ca="1">IFERROR(IF(BB127&lt;&gt;"",INDEX('M04-S02'!$BG$18:$BG$199,2*(ROWS(BA$116:BA127)-1)+1),""),"")</f>
        <v/>
      </c>
      <c r="BB127" t="str">
        <f ca="1">IFERROR(INDEX('M04-S02'!$BY$18:$BY$199,2*(ROWS(BB$116:BB127)-1)+1),"")</f>
        <v>Enter Utility Rate</v>
      </c>
    </row>
    <row r="128" spans="1:54">
      <c r="A128" s="10">
        <f t="shared" si="12"/>
        <v>0</v>
      </c>
      <c r="B128" t="str">
        <f t="shared" si="13"/>
        <v/>
      </c>
      <c r="C128" t="str" cm="1">
        <f t="array" ref="C128">IFERROR(_xlfn.VALUETOTEXT(INDEX('M04-S02'!$BW$18:$BW$199,2*(ROWS($C$116:C128)-1)+1)),"")</f>
        <v/>
      </c>
      <c r="D128">
        <f>IFERROR(INDEX('M04-S02'!$B$18:$B$199,2*(ROWS(D$116:D128)-1)+1),"")</f>
        <v>13</v>
      </c>
      <c r="E128" s="51" t="str" cm="1">
        <f t="array" ref="E128">IFERROR(_xlfn.VALUETOTEXT(INDEX('M04-S02'!$BX$18:$BX$199,2*(ROWS($E$116:E128)-1)+1)),"")</f>
        <v/>
      </c>
      <c r="F128" t="str" cm="1">
        <f t="array" ref="F128">IF(C128&lt;&gt;"", _xlfn.SWITCH(Program_Banner, "Small Business / Non-Profit", "Hard-To-Reach Business", "Business Energy Savings", "Whole Business Efficiency", ""), "")</f>
        <v/>
      </c>
      <c r="G128" t="s">
        <v>135</v>
      </c>
      <c r="H128" t="str">
        <f>IFERROR(INDEX('M04-S02'!$BC$18:$BC$199,2*(ROWS(H$116:H128)-1)+1),"")</f>
        <v/>
      </c>
      <c r="I128" t="str">
        <f>IFERROR(INDEX('M04-S02'!$BJ$18:$BJ$199,2*(ROWS(I$116:I128)-1)+1),"")</f>
        <v/>
      </c>
      <c r="J128" s="9" t="str">
        <f>IFERROR(INDEX('M04-S02'!$BN$18:$BN$199,2*(ROWS(J$116:J128)-1)+1),"")</f>
        <v/>
      </c>
      <c r="K128" s="9" t="str">
        <f>IFERROR(INDEX('M04-S02'!$BO$18:$BO$199,2*(ROWS(K$116:K128)-1)+1),"")</f>
        <v/>
      </c>
      <c r="L128" s="51" t="str">
        <f>IFERROR(INDEX('M04-S02'!$BD$18:$BD$199,2*(ROWS($L$116:L128)-1)+1), "")</f>
        <v/>
      </c>
      <c r="M128" s="51" t="str">
        <f>IFERROR(INDEX('M04-S02'!$E$18:$E$199,2*(ROWS($M$116:M128)-1)+1)&amp;" - "&amp;INDEX('M04-S02'!$C$18:$C$199,2*(ROWS($M$116:M128)-1)+1),"")</f>
        <v xml:space="preserve"> - </v>
      </c>
      <c r="N128">
        <f>IFERROR(INDEX('M04-S02'!$G$18:$G$199,2*(ROWS(N$116:N128)-1)+1),"")</f>
        <v>0</v>
      </c>
      <c r="O128">
        <f>IFERROR(INDEX('M04-S02'!$S$18:$S$199,2*(ROWS(O$116:O128)-1)+1),"")</f>
        <v>0</v>
      </c>
      <c r="P128">
        <f>IFERROR(INDEX('M04-S02'!$K$18:$K$199,2*(ROWS(P$116:P128)-1)+1),"")</f>
        <v>0</v>
      </c>
      <c r="Q128">
        <f>IFERROR(INDEX('M04-S02'!$Z$18:$Z$199,2*(ROWS(Q$116:Q128)-1)+1),"")</f>
        <v>0</v>
      </c>
      <c r="S128" t="str">
        <f>IFERROR(INDEX('M04-S02'!$AX$18:$AX$199,2*(ROWS(S$116:S128)-1)+1),"")</f>
        <v/>
      </c>
      <c r="T128" s="545" t="str">
        <f>IFERROR(ROUND(INDEX('M04-S02'!$AY$18:$AY$199,2*(ROWS(T$116:T128)-1)+1),3),"")</f>
        <v/>
      </c>
      <c r="U128" s="545" t="str">
        <f>IFERROR(ROUND(INDEX('M04-S02'!$AZ$18:$AZ$199,2*(ROWS(U$116:U128)-1)+1),3),"")</f>
        <v/>
      </c>
      <c r="V128" s="26">
        <f>IFERROR(INDEX('M04-S02'!$Q$18:$Q$199,2*(ROWS(V$116:V128)-1)+1),"")</f>
        <v>0</v>
      </c>
      <c r="W128" s="27" t="str">
        <f>IFERROR(INDEX('M04-S02'!$O$18:$O$199,2*(ROWS(W$116:W128)-1)+1),"")</f>
        <v/>
      </c>
      <c r="X128" s="27">
        <f>IFERROR(INDEX('M04-S02'!$AF$18:$AF$199,2*(ROWS(X$116:X128)-1)+1),"")</f>
        <v>0</v>
      </c>
      <c r="Y128" s="184"/>
      <c r="Z128" s="184"/>
      <c r="AA128" s="9" t="str" cm="1">
        <f t="array" ref="AA128">IFERROR(ROUND(INDEX('M04-S02'!$AR$18:$AR$199,2*(ROWS(AA$116:AA128)-1)+1), 2),"")</f>
        <v/>
      </c>
      <c r="AB128" s="164"/>
      <c r="AC128" s="9" t="str" cm="1">
        <f t="array" aca="1" ref="AC128" ca="1">IFERROR(ROUND(IF(BB128&lt;&gt;"","",INDEX('M04-S02'!$AH$18:$AH$199,2*(ROWS(AC$116:AC128)-1)+1)),2),"")</f>
        <v/>
      </c>
      <c r="AD128" s="9" t="str" cm="1">
        <f t="array" aca="1" ref="AD128" ca="1">IFERROR(ROUND(IF(BB128&lt;&gt;"","",INDEX('M04-S02'!$AJ$18:$AJ$199,2*(ROWS(AD$116:AD128)-1)+1)),2),"")</f>
        <v/>
      </c>
      <c r="AE128" s="9" t="str" cm="1">
        <f t="array" aca="1" ref="AE128" ca="1">IFERROR(ROUND(IF(BB128&lt;&gt;"","",INDEX('M04-S02'!$AL$18:$AL$199,2*(ROWS(AE$116:AE128)-1)+1)),2),"")</f>
        <v/>
      </c>
      <c r="AF128" t="str">
        <f t="shared" ca="1" si="14"/>
        <v/>
      </c>
      <c r="AG128" s="9" t="str" cm="1">
        <f t="array" aca="1" ref="AG128" ca="1">IFERROR(ROUND(IF(BB128&lt;&gt;"","",INDEX('M04-S02'!$AL$18:$AL$199,2*(ROWS(AG$116:AG128)-1)+1)),2),"")</f>
        <v/>
      </c>
      <c r="AH128" s="184"/>
      <c r="AI128" s="191"/>
      <c r="AJ128" s="32" t="str">
        <f ca="1">IFERROR(ROUND(IF(BA128&lt;&gt;"","",INDEX('M04-S02'!$AO$18:$AO$199,2*(ROWS(AJ$116:AJ128)-1)+1)),4),"")</f>
        <v/>
      </c>
      <c r="AK128" s="32" t="str">
        <f ca="1">IFERROR(ROUND(IF(BA128&lt;&gt;"","",INDEX('M04-S02'!$BF$18:$BF$199,2*(ROWS(AK$116:AK128)-1)+1)),4),"")</f>
        <v/>
      </c>
      <c r="AL128" s="32" t="str">
        <f ca="1">IFERROR(ROUND(IF(BA128&lt;&gt;"","",INDEX('M04-S02'!$BG$18:$BG$199,2*(ROWS(AL$116:AL128)-1)+1)),4),"")</f>
        <v/>
      </c>
      <c r="AM128" s="32" t="str" cm="1">
        <f t="array" ref="AM128">IFERROR(ROUND(INDEX('M04-S02'!$BA$18:$BA$199,2*(ROWS(AM$116:AM128)-1)+1),4),"")</f>
        <v/>
      </c>
      <c r="AN128" s="32" t="str" cm="1">
        <f t="array" ref="AN128">IFERROR(ROUND(INDEX('M04-S02'!$BB$18:$BB$199,2*(ROWS(AN$116:AN128)-1)+1),4),"")</f>
        <v/>
      </c>
      <c r="AO128" s="32"/>
      <c r="AP128" s="9">
        <f ca="1">IFERROR(ROUND(IF(BB128&lt;&gt;"",INDEX('M04-S02'!$AH$18:$AH$199,2*(ROWS(AP$116:AP128)-1)+1),""),2),"")</f>
        <v>0</v>
      </c>
      <c r="AQ128" s="9">
        <f ca="1">IFERROR(ROUND(IF(BB128&lt;&gt;"",INDEX('M04-S02'!$AJ$18:$AJ$199,2*(ROWS(AQ$116:AQ128)-1)+1),""),2),"")</f>
        <v>0</v>
      </c>
      <c r="AR128" s="536" t="str" cm="1">
        <f t="array" aca="1" ref="AR128" ca="1">IFERROR(ROUND(IF(BB128&lt;&gt;"", INDEX('M04-S02'!$AL$18:$AL$199,2*(ROWS(AT$116:AT128)-1)+1), ""),2),"")</f>
        <v/>
      </c>
      <c r="AS128" t="str">
        <f t="shared" ca="1" si="15"/>
        <v>Incremental</v>
      </c>
      <c r="AT128" s="536" t="str" cm="1">
        <f t="array" aca="1" ref="AT128" ca="1">IFERROR(ROUND(IF(BB128&lt;&gt;"", INDEX('M04-S02'!$AL$18:$AL$199,2*(ROWS(AT$116:AT128)-1)+1), ""),2),"")</f>
        <v/>
      </c>
      <c r="AU128" s="184"/>
      <c r="AV128" s="5">
        <f ca="1">IFERROR(IF(BB128&lt;&gt;"",ROUND(INDEX('M04-S02'!$M$18:$M$199,2*(ROWS(AV$116:AV128)-1)+1),3),""),"")</f>
        <v>0</v>
      </c>
      <c r="AW128" s="5">
        <f ca="1">IFERROR(IF(BB128&lt;&gt;"",ROUND(INDEX('M04-S02'!$AD$18:$AD$199,2*(ROWS(AW$116:AW128)-1)+1),3),""),"")</f>
        <v>0</v>
      </c>
      <c r="AX128" s="184"/>
      <c r="AY128" s="26" t="str">
        <f ca="1">IFERROR(IF(BB128&lt;&gt;"",INDEX('M04-S02'!$AO$18:$AO$199,2*(ROWS(AY$116:AY128)-1)+1),""),"")</f>
        <v/>
      </c>
      <c r="AZ128" s="32" t="str">
        <f ca="1">IFERROR(IF(BB128&lt;&gt;"",INDEX('M04-S02'!$BF$18:$BF$199,2*(ROWS(AZ$116:AZ128)-1)+1),""),"")</f>
        <v/>
      </c>
      <c r="BA128" s="32" t="str">
        <f ca="1">IFERROR(IF(BB128&lt;&gt;"",INDEX('M04-S02'!$BG$18:$BG$199,2*(ROWS(BA$116:BA128)-1)+1),""),"")</f>
        <v/>
      </c>
      <c r="BB128" t="str">
        <f ca="1">IFERROR(INDEX('M04-S02'!$BY$18:$BY$199,2*(ROWS(BB$116:BB128)-1)+1),"")</f>
        <v>Enter Utility Rate</v>
      </c>
    </row>
    <row r="129" spans="1:54">
      <c r="A129" s="10">
        <f t="shared" si="12"/>
        <v>0</v>
      </c>
      <c r="B129" t="str">
        <f t="shared" si="13"/>
        <v/>
      </c>
      <c r="C129" t="str" cm="1">
        <f t="array" ref="C129">IFERROR(_xlfn.VALUETOTEXT(INDEX('M04-S02'!$BW$18:$BW$199,2*(ROWS($C$116:C129)-1)+1)),"")</f>
        <v/>
      </c>
      <c r="D129">
        <f>IFERROR(INDEX('M04-S02'!$B$18:$B$199,2*(ROWS(D$116:D129)-1)+1),"")</f>
        <v>14</v>
      </c>
      <c r="E129" s="51" t="str" cm="1">
        <f t="array" ref="E129">IFERROR(_xlfn.VALUETOTEXT(INDEX('M04-S02'!$BX$18:$BX$199,2*(ROWS($E$116:E129)-1)+1)),"")</f>
        <v/>
      </c>
      <c r="F129" t="str" cm="1">
        <f t="array" ref="F129">IF(C129&lt;&gt;"", _xlfn.SWITCH(Program_Banner, "Small Business / Non-Profit", "Hard-To-Reach Business", "Business Energy Savings", "Whole Business Efficiency", ""), "")</f>
        <v/>
      </c>
      <c r="G129" t="s">
        <v>135</v>
      </c>
      <c r="H129" t="str">
        <f>IFERROR(INDEX('M04-S02'!$BC$18:$BC$199,2*(ROWS(H$116:H129)-1)+1),"")</f>
        <v/>
      </c>
      <c r="I129" t="str">
        <f>IFERROR(INDEX('M04-S02'!$BJ$18:$BJ$199,2*(ROWS(I$116:I129)-1)+1),"")</f>
        <v/>
      </c>
      <c r="J129" s="9" t="str">
        <f>IFERROR(INDEX('M04-S02'!$BN$18:$BN$199,2*(ROWS(J$116:J129)-1)+1),"")</f>
        <v/>
      </c>
      <c r="K129" s="9" t="str">
        <f>IFERROR(INDEX('M04-S02'!$BO$18:$BO$199,2*(ROWS(K$116:K129)-1)+1),"")</f>
        <v/>
      </c>
      <c r="L129" s="51" t="str">
        <f>IFERROR(INDEX('M04-S02'!$BD$18:$BD$199,2*(ROWS($L$116:L129)-1)+1), "")</f>
        <v/>
      </c>
      <c r="M129" s="51" t="str">
        <f>IFERROR(INDEX('M04-S02'!$E$18:$E$199,2*(ROWS($M$116:M129)-1)+1)&amp;" - "&amp;INDEX('M04-S02'!$C$18:$C$199,2*(ROWS($M$116:M129)-1)+1),"")</f>
        <v xml:space="preserve"> - </v>
      </c>
      <c r="N129">
        <f>IFERROR(INDEX('M04-S02'!$G$18:$G$199,2*(ROWS(N$116:N129)-1)+1),"")</f>
        <v>0</v>
      </c>
      <c r="O129">
        <f>IFERROR(INDEX('M04-S02'!$S$18:$S$199,2*(ROWS(O$116:O129)-1)+1),"")</f>
        <v>0</v>
      </c>
      <c r="P129">
        <f>IFERROR(INDEX('M04-S02'!$K$18:$K$199,2*(ROWS(P$116:P129)-1)+1),"")</f>
        <v>0</v>
      </c>
      <c r="Q129">
        <f>IFERROR(INDEX('M04-S02'!$Z$18:$Z$199,2*(ROWS(Q$116:Q129)-1)+1),"")</f>
        <v>0</v>
      </c>
      <c r="S129" t="str">
        <f>IFERROR(INDEX('M04-S02'!$AX$18:$AX$199,2*(ROWS(S$116:S129)-1)+1),"")</f>
        <v/>
      </c>
      <c r="T129" s="545" t="str">
        <f>IFERROR(ROUND(INDEX('M04-S02'!$AY$18:$AY$199,2*(ROWS(T$116:T129)-1)+1),3),"")</f>
        <v/>
      </c>
      <c r="U129" s="545" t="str">
        <f>IFERROR(ROUND(INDEX('M04-S02'!$AZ$18:$AZ$199,2*(ROWS(U$116:U129)-1)+1),3),"")</f>
        <v/>
      </c>
      <c r="V129" s="26">
        <f>IFERROR(INDEX('M04-S02'!$Q$18:$Q$199,2*(ROWS(V$116:V129)-1)+1),"")</f>
        <v>0</v>
      </c>
      <c r="W129" s="27" t="str">
        <f>IFERROR(INDEX('M04-S02'!$O$18:$O$199,2*(ROWS(W$116:W129)-1)+1),"")</f>
        <v/>
      </c>
      <c r="X129" s="27">
        <f>IFERROR(INDEX('M04-S02'!$AF$18:$AF$199,2*(ROWS(X$116:X129)-1)+1),"")</f>
        <v>0</v>
      </c>
      <c r="Y129" s="184"/>
      <c r="Z129" s="184"/>
      <c r="AA129" s="9" t="str" cm="1">
        <f t="array" ref="AA129">IFERROR(ROUND(INDEX('M04-S02'!$AR$18:$AR$199,2*(ROWS(AA$116:AA129)-1)+1), 2),"")</f>
        <v/>
      </c>
      <c r="AB129" s="164"/>
      <c r="AC129" s="9" t="str" cm="1">
        <f t="array" aca="1" ref="AC129" ca="1">IFERROR(ROUND(IF(BB129&lt;&gt;"","",INDEX('M04-S02'!$AH$18:$AH$199,2*(ROWS(AC$116:AC129)-1)+1)),2),"")</f>
        <v/>
      </c>
      <c r="AD129" s="9" t="str" cm="1">
        <f t="array" aca="1" ref="AD129" ca="1">IFERROR(ROUND(IF(BB129&lt;&gt;"","",INDEX('M04-S02'!$AJ$18:$AJ$199,2*(ROWS(AD$116:AD129)-1)+1)),2),"")</f>
        <v/>
      </c>
      <c r="AE129" s="9" t="str" cm="1">
        <f t="array" aca="1" ref="AE129" ca="1">IFERROR(ROUND(IF(BB129&lt;&gt;"","",INDEX('M04-S02'!$AL$18:$AL$199,2*(ROWS(AE$116:AE129)-1)+1)),2),"")</f>
        <v/>
      </c>
      <c r="AF129" t="str">
        <f t="shared" ca="1" si="14"/>
        <v/>
      </c>
      <c r="AG129" s="9" t="str" cm="1">
        <f t="array" aca="1" ref="AG129" ca="1">IFERROR(ROUND(IF(BB129&lt;&gt;"","",INDEX('M04-S02'!$AL$18:$AL$199,2*(ROWS(AG$116:AG129)-1)+1)),2),"")</f>
        <v/>
      </c>
      <c r="AH129" s="184"/>
      <c r="AI129" s="191"/>
      <c r="AJ129" s="32" t="str">
        <f ca="1">IFERROR(ROUND(IF(BA129&lt;&gt;"","",INDEX('M04-S02'!$AO$18:$AO$199,2*(ROWS(AJ$116:AJ129)-1)+1)),4),"")</f>
        <v/>
      </c>
      <c r="AK129" s="32" t="str">
        <f ca="1">IFERROR(ROUND(IF(BA129&lt;&gt;"","",INDEX('M04-S02'!$BF$18:$BF$199,2*(ROWS(AK$116:AK129)-1)+1)),4),"")</f>
        <v/>
      </c>
      <c r="AL129" s="32" t="str">
        <f ca="1">IFERROR(ROUND(IF(BA129&lt;&gt;"","",INDEX('M04-S02'!$BG$18:$BG$199,2*(ROWS(AL$116:AL129)-1)+1)),4),"")</f>
        <v/>
      </c>
      <c r="AM129" s="32" t="str" cm="1">
        <f t="array" ref="AM129">IFERROR(ROUND(INDEX('M04-S02'!$BA$18:$BA$199,2*(ROWS(AM$116:AM129)-1)+1),4),"")</f>
        <v/>
      </c>
      <c r="AN129" s="32" t="str" cm="1">
        <f t="array" ref="AN129">IFERROR(ROUND(INDEX('M04-S02'!$BB$18:$BB$199,2*(ROWS(AN$116:AN129)-1)+1),4),"")</f>
        <v/>
      </c>
      <c r="AO129" s="32"/>
      <c r="AP129" s="9">
        <f ca="1">IFERROR(ROUND(IF(BB129&lt;&gt;"",INDEX('M04-S02'!$AH$18:$AH$199,2*(ROWS(AP$116:AP129)-1)+1),""),2),"")</f>
        <v>0</v>
      </c>
      <c r="AQ129" s="9">
        <f ca="1">IFERROR(ROUND(IF(BB129&lt;&gt;"",INDEX('M04-S02'!$AJ$18:$AJ$199,2*(ROWS(AQ$116:AQ129)-1)+1),""),2),"")</f>
        <v>0</v>
      </c>
      <c r="AR129" s="536" t="str" cm="1">
        <f t="array" aca="1" ref="AR129" ca="1">IFERROR(ROUND(IF(BB129&lt;&gt;"", INDEX('M04-S02'!$AL$18:$AL$199,2*(ROWS(AT$116:AT129)-1)+1), ""),2),"")</f>
        <v/>
      </c>
      <c r="AS129" t="str">
        <f t="shared" ca="1" si="15"/>
        <v>Incremental</v>
      </c>
      <c r="AT129" s="536" t="str" cm="1">
        <f t="array" aca="1" ref="AT129" ca="1">IFERROR(ROUND(IF(BB129&lt;&gt;"", INDEX('M04-S02'!$AL$18:$AL$199,2*(ROWS(AT$116:AT129)-1)+1), ""),2),"")</f>
        <v/>
      </c>
      <c r="AU129" s="184"/>
      <c r="AV129" s="5">
        <f ca="1">IFERROR(IF(BB129&lt;&gt;"",ROUND(INDEX('M04-S02'!$M$18:$M$199,2*(ROWS(AV$116:AV129)-1)+1),3),""),"")</f>
        <v>0</v>
      </c>
      <c r="AW129" s="5">
        <f ca="1">IFERROR(IF(BB129&lt;&gt;"",ROUND(INDEX('M04-S02'!$AD$18:$AD$199,2*(ROWS(AW$116:AW129)-1)+1),3),""),"")</f>
        <v>0</v>
      </c>
      <c r="AX129" s="184"/>
      <c r="AY129" s="26" t="str">
        <f ca="1">IFERROR(IF(BB129&lt;&gt;"",INDEX('M04-S02'!$AO$18:$AO$199,2*(ROWS(AY$116:AY129)-1)+1),""),"")</f>
        <v/>
      </c>
      <c r="AZ129" s="32" t="str">
        <f ca="1">IFERROR(IF(BB129&lt;&gt;"",INDEX('M04-S02'!$BF$18:$BF$199,2*(ROWS(AZ$116:AZ129)-1)+1),""),"")</f>
        <v/>
      </c>
      <c r="BA129" s="32" t="str">
        <f ca="1">IFERROR(IF(BB129&lt;&gt;"",INDEX('M04-S02'!$BG$18:$BG$199,2*(ROWS(BA$116:BA129)-1)+1),""),"")</f>
        <v/>
      </c>
      <c r="BB129" t="str">
        <f ca="1">IFERROR(INDEX('M04-S02'!$BY$18:$BY$199,2*(ROWS(BB$116:BB129)-1)+1),"")</f>
        <v>Enter Utility Rate</v>
      </c>
    </row>
    <row r="130" spans="1:54">
      <c r="A130" s="10">
        <f t="shared" si="12"/>
        <v>0</v>
      </c>
      <c r="B130" t="str">
        <f t="shared" si="13"/>
        <v/>
      </c>
      <c r="C130" t="str" cm="1">
        <f t="array" ref="C130">IFERROR(_xlfn.VALUETOTEXT(INDEX('M04-S02'!$BW$18:$BW$199,2*(ROWS($C$116:C130)-1)+1)),"")</f>
        <v/>
      </c>
      <c r="D130">
        <f>IFERROR(INDEX('M04-S02'!$B$18:$B$199,2*(ROWS(D$116:D130)-1)+1),"")</f>
        <v>15</v>
      </c>
      <c r="E130" s="51" t="str" cm="1">
        <f t="array" ref="E130">IFERROR(_xlfn.VALUETOTEXT(INDEX('M04-S02'!$BX$18:$BX$199,2*(ROWS($E$116:E130)-1)+1)),"")</f>
        <v/>
      </c>
      <c r="F130" t="str" cm="1">
        <f t="array" ref="F130">IF(C130&lt;&gt;"", _xlfn.SWITCH(Program_Banner, "Small Business / Non-Profit", "Hard-To-Reach Business", "Business Energy Savings", "Whole Business Efficiency", ""), "")</f>
        <v/>
      </c>
      <c r="G130" t="s">
        <v>135</v>
      </c>
      <c r="H130" t="str">
        <f>IFERROR(INDEX('M04-S02'!$BC$18:$BC$199,2*(ROWS(H$116:H130)-1)+1),"")</f>
        <v/>
      </c>
      <c r="I130" t="str">
        <f>IFERROR(INDEX('M04-S02'!$BJ$18:$BJ$199,2*(ROWS(I$116:I130)-1)+1),"")</f>
        <v/>
      </c>
      <c r="J130" s="9" t="str">
        <f>IFERROR(INDEX('M04-S02'!$BN$18:$BN$199,2*(ROWS(J$116:J130)-1)+1),"")</f>
        <v/>
      </c>
      <c r="K130" s="9" t="str">
        <f>IFERROR(INDEX('M04-S02'!$BO$18:$BO$199,2*(ROWS(K$116:K130)-1)+1),"")</f>
        <v/>
      </c>
      <c r="L130" s="51" t="str">
        <f>IFERROR(INDEX('M04-S02'!$BD$18:$BD$199,2*(ROWS($L$116:L130)-1)+1), "")</f>
        <v/>
      </c>
      <c r="M130" s="51" t="str">
        <f>IFERROR(INDEX('M04-S02'!$E$18:$E$199,2*(ROWS($M$116:M130)-1)+1)&amp;" - "&amp;INDEX('M04-S02'!$C$18:$C$199,2*(ROWS($M$116:M130)-1)+1),"")</f>
        <v xml:space="preserve"> - </v>
      </c>
      <c r="N130">
        <f>IFERROR(INDEX('M04-S02'!$G$18:$G$199,2*(ROWS(N$116:N130)-1)+1),"")</f>
        <v>0</v>
      </c>
      <c r="O130">
        <f>IFERROR(INDEX('M04-S02'!$S$18:$S$199,2*(ROWS(O$116:O130)-1)+1),"")</f>
        <v>0</v>
      </c>
      <c r="P130">
        <f>IFERROR(INDEX('M04-S02'!$K$18:$K$199,2*(ROWS(P$116:P130)-1)+1),"")</f>
        <v>0</v>
      </c>
      <c r="Q130">
        <f>IFERROR(INDEX('M04-S02'!$Z$18:$Z$199,2*(ROWS(Q$116:Q130)-1)+1),"")</f>
        <v>0</v>
      </c>
      <c r="S130" t="str">
        <f>IFERROR(INDEX('M04-S02'!$AX$18:$AX$199,2*(ROWS(S$116:S130)-1)+1),"")</f>
        <v/>
      </c>
      <c r="T130" s="545" t="str">
        <f>IFERROR(ROUND(INDEX('M04-S02'!$AY$18:$AY$199,2*(ROWS(T$116:T130)-1)+1),3),"")</f>
        <v/>
      </c>
      <c r="U130" s="545" t="str">
        <f>IFERROR(ROUND(INDEX('M04-S02'!$AZ$18:$AZ$199,2*(ROWS(U$116:U130)-1)+1),3),"")</f>
        <v/>
      </c>
      <c r="V130" s="26">
        <f>IFERROR(INDEX('M04-S02'!$Q$18:$Q$199,2*(ROWS(V$116:V130)-1)+1),"")</f>
        <v>0</v>
      </c>
      <c r="W130" s="27" t="str">
        <f>IFERROR(INDEX('M04-S02'!$O$18:$O$199,2*(ROWS(W$116:W130)-1)+1),"")</f>
        <v/>
      </c>
      <c r="X130" s="27">
        <f>IFERROR(INDEX('M04-S02'!$AF$18:$AF$199,2*(ROWS(X$116:X130)-1)+1),"")</f>
        <v>0</v>
      </c>
      <c r="Y130" s="184"/>
      <c r="Z130" s="184"/>
      <c r="AA130" s="9" t="str" cm="1">
        <f t="array" ref="AA130">IFERROR(ROUND(INDEX('M04-S02'!$AR$18:$AR$199,2*(ROWS(AA$116:AA130)-1)+1), 2),"")</f>
        <v/>
      </c>
      <c r="AB130" s="164"/>
      <c r="AC130" s="9" t="str" cm="1">
        <f t="array" aca="1" ref="AC130" ca="1">IFERROR(ROUND(IF(BB130&lt;&gt;"","",INDEX('M04-S02'!$AH$18:$AH$199,2*(ROWS(AC$116:AC130)-1)+1)),2),"")</f>
        <v/>
      </c>
      <c r="AD130" s="9" t="str" cm="1">
        <f t="array" aca="1" ref="AD130" ca="1">IFERROR(ROUND(IF(BB130&lt;&gt;"","",INDEX('M04-S02'!$AJ$18:$AJ$199,2*(ROWS(AD$116:AD130)-1)+1)),2),"")</f>
        <v/>
      </c>
      <c r="AE130" s="9" t="str" cm="1">
        <f t="array" aca="1" ref="AE130" ca="1">IFERROR(ROUND(IF(BB130&lt;&gt;"","",INDEX('M04-S02'!$AL$18:$AL$199,2*(ROWS(AE$116:AE130)-1)+1)),2),"")</f>
        <v/>
      </c>
      <c r="AF130" t="str">
        <f t="shared" ca="1" si="14"/>
        <v/>
      </c>
      <c r="AG130" s="9" t="str" cm="1">
        <f t="array" aca="1" ref="AG130" ca="1">IFERROR(ROUND(IF(BB130&lt;&gt;"","",INDEX('M04-S02'!$AL$18:$AL$199,2*(ROWS(AG$116:AG130)-1)+1)),2),"")</f>
        <v/>
      </c>
      <c r="AH130" s="184"/>
      <c r="AI130" s="191"/>
      <c r="AJ130" s="32" t="str">
        <f ca="1">IFERROR(ROUND(IF(BA130&lt;&gt;"","",INDEX('M04-S02'!$AO$18:$AO$199,2*(ROWS(AJ$116:AJ130)-1)+1)),4),"")</f>
        <v/>
      </c>
      <c r="AK130" s="32" t="str">
        <f ca="1">IFERROR(ROUND(IF(BA130&lt;&gt;"","",INDEX('M04-S02'!$BF$18:$BF$199,2*(ROWS(AK$116:AK130)-1)+1)),4),"")</f>
        <v/>
      </c>
      <c r="AL130" s="32" t="str">
        <f ca="1">IFERROR(ROUND(IF(BA130&lt;&gt;"","",INDEX('M04-S02'!$BG$18:$BG$199,2*(ROWS(AL$116:AL130)-1)+1)),4),"")</f>
        <v/>
      </c>
      <c r="AM130" s="32" t="str" cm="1">
        <f t="array" ref="AM130">IFERROR(ROUND(INDEX('M04-S02'!$BA$18:$BA$199,2*(ROWS(AM$116:AM130)-1)+1),4),"")</f>
        <v/>
      </c>
      <c r="AN130" s="32" t="str" cm="1">
        <f t="array" ref="AN130">IFERROR(ROUND(INDEX('M04-S02'!$BB$18:$BB$199,2*(ROWS(AN$116:AN130)-1)+1),4),"")</f>
        <v/>
      </c>
      <c r="AO130" s="32"/>
      <c r="AP130" s="9">
        <f ca="1">IFERROR(ROUND(IF(BB130&lt;&gt;"",INDEX('M04-S02'!$AH$18:$AH$199,2*(ROWS(AP$116:AP130)-1)+1),""),2),"")</f>
        <v>0</v>
      </c>
      <c r="AQ130" s="9">
        <f ca="1">IFERROR(ROUND(IF(BB130&lt;&gt;"",INDEX('M04-S02'!$AJ$18:$AJ$199,2*(ROWS(AQ$116:AQ130)-1)+1),""),2),"")</f>
        <v>0</v>
      </c>
      <c r="AR130" s="536" t="str" cm="1">
        <f t="array" aca="1" ref="AR130" ca="1">IFERROR(ROUND(IF(BB130&lt;&gt;"", INDEX('M04-S02'!$AL$18:$AL$199,2*(ROWS(AT$116:AT130)-1)+1), ""),2),"")</f>
        <v/>
      </c>
      <c r="AS130" t="str">
        <f t="shared" ca="1" si="15"/>
        <v>Incremental</v>
      </c>
      <c r="AT130" s="536" t="str" cm="1">
        <f t="array" aca="1" ref="AT130" ca="1">IFERROR(ROUND(IF(BB130&lt;&gt;"", INDEX('M04-S02'!$AL$18:$AL$199,2*(ROWS(AT$116:AT130)-1)+1), ""),2),"")</f>
        <v/>
      </c>
      <c r="AU130" s="184"/>
      <c r="AV130" s="5">
        <f ca="1">IFERROR(IF(BB130&lt;&gt;"",ROUND(INDEX('M04-S02'!$M$18:$M$199,2*(ROWS(AV$116:AV130)-1)+1),3),""),"")</f>
        <v>0</v>
      </c>
      <c r="AW130" s="5">
        <f ca="1">IFERROR(IF(BB130&lt;&gt;"",ROUND(INDEX('M04-S02'!$AD$18:$AD$199,2*(ROWS(AW$116:AW130)-1)+1),3),""),"")</f>
        <v>0</v>
      </c>
      <c r="AX130" s="184"/>
      <c r="AY130" s="26" t="str">
        <f ca="1">IFERROR(IF(BB130&lt;&gt;"",INDEX('M04-S02'!$AO$18:$AO$199,2*(ROWS(AY$116:AY130)-1)+1),""),"")</f>
        <v/>
      </c>
      <c r="AZ130" s="32" t="str">
        <f ca="1">IFERROR(IF(BB130&lt;&gt;"",INDEX('M04-S02'!$BF$18:$BF$199,2*(ROWS(AZ$116:AZ130)-1)+1),""),"")</f>
        <v/>
      </c>
      <c r="BA130" s="32" t="str">
        <f ca="1">IFERROR(IF(BB130&lt;&gt;"",INDEX('M04-S02'!$BG$18:$BG$199,2*(ROWS(BA$116:BA130)-1)+1),""),"")</f>
        <v/>
      </c>
      <c r="BB130" t="str">
        <f ca="1">IFERROR(INDEX('M04-S02'!$BY$18:$BY$199,2*(ROWS(BB$116:BB130)-1)+1),"")</f>
        <v>Enter Utility Rate</v>
      </c>
    </row>
    <row r="131" spans="1:54">
      <c r="A131" s="10">
        <f t="shared" si="12"/>
        <v>0</v>
      </c>
      <c r="B131" t="str">
        <f t="shared" si="13"/>
        <v/>
      </c>
      <c r="C131" t="str" cm="1">
        <f t="array" ref="C131">IFERROR(_xlfn.VALUETOTEXT(INDEX('M04-S02'!$BW$18:$BW$199,2*(ROWS($C$116:C131)-1)+1)),"")</f>
        <v/>
      </c>
      <c r="D131">
        <f>IFERROR(INDEX('M04-S02'!$B$18:$B$199,2*(ROWS(D$116:D131)-1)+1),"")</f>
        <v>16</v>
      </c>
      <c r="E131" s="51" t="str" cm="1">
        <f t="array" ref="E131">IFERROR(_xlfn.VALUETOTEXT(INDEX('M04-S02'!$BX$18:$BX$199,2*(ROWS($E$116:E131)-1)+1)),"")</f>
        <v/>
      </c>
      <c r="F131" t="str" cm="1">
        <f t="array" ref="F131">IF(C131&lt;&gt;"", _xlfn.SWITCH(Program_Banner, "Small Business / Non-Profit", "Hard-To-Reach Business", "Business Energy Savings", "Whole Business Efficiency", ""), "")</f>
        <v/>
      </c>
      <c r="G131" t="s">
        <v>135</v>
      </c>
      <c r="H131" t="str">
        <f>IFERROR(INDEX('M04-S02'!$BC$18:$BC$199,2*(ROWS(H$116:H131)-1)+1),"")</f>
        <v/>
      </c>
      <c r="I131" t="str">
        <f>IFERROR(INDEX('M04-S02'!$BJ$18:$BJ$199,2*(ROWS(I$116:I131)-1)+1),"")</f>
        <v/>
      </c>
      <c r="J131" s="9" t="str">
        <f>IFERROR(INDEX('M04-S02'!$BN$18:$BN$199,2*(ROWS(J$116:J131)-1)+1),"")</f>
        <v/>
      </c>
      <c r="K131" s="9" t="str">
        <f>IFERROR(INDEX('M04-S02'!$BO$18:$BO$199,2*(ROWS(K$116:K131)-1)+1),"")</f>
        <v/>
      </c>
      <c r="L131" s="51" t="str">
        <f>IFERROR(INDEX('M04-S02'!$BD$18:$BD$199,2*(ROWS($L$116:L131)-1)+1), "")</f>
        <v/>
      </c>
      <c r="M131" s="51" t="str">
        <f>IFERROR(INDEX('M04-S02'!$E$18:$E$199,2*(ROWS($M$116:M131)-1)+1)&amp;" - "&amp;INDEX('M04-S02'!$C$18:$C$199,2*(ROWS($M$116:M131)-1)+1),"")</f>
        <v xml:space="preserve"> - </v>
      </c>
      <c r="N131">
        <f>IFERROR(INDEX('M04-S02'!$G$18:$G$199,2*(ROWS(N$116:N131)-1)+1),"")</f>
        <v>0</v>
      </c>
      <c r="O131">
        <f>IFERROR(INDEX('M04-S02'!$S$18:$S$199,2*(ROWS(O$116:O131)-1)+1),"")</f>
        <v>0</v>
      </c>
      <c r="P131">
        <f>IFERROR(INDEX('M04-S02'!$K$18:$K$199,2*(ROWS(P$116:P131)-1)+1),"")</f>
        <v>0</v>
      </c>
      <c r="Q131">
        <f>IFERROR(INDEX('M04-S02'!$Z$18:$Z$199,2*(ROWS(Q$116:Q131)-1)+1),"")</f>
        <v>0</v>
      </c>
      <c r="S131" t="str">
        <f>IFERROR(INDEX('M04-S02'!$AX$18:$AX$199,2*(ROWS(S$116:S131)-1)+1),"")</f>
        <v/>
      </c>
      <c r="T131" s="545" t="str">
        <f>IFERROR(ROUND(INDEX('M04-S02'!$AY$18:$AY$199,2*(ROWS(T$116:T131)-1)+1),3),"")</f>
        <v/>
      </c>
      <c r="U131" s="545" t="str">
        <f>IFERROR(ROUND(INDEX('M04-S02'!$AZ$18:$AZ$199,2*(ROWS(U$116:U131)-1)+1),3),"")</f>
        <v/>
      </c>
      <c r="V131" s="26">
        <f>IFERROR(INDEX('M04-S02'!$Q$18:$Q$199,2*(ROWS(V$116:V131)-1)+1),"")</f>
        <v>0</v>
      </c>
      <c r="W131" s="27" t="str">
        <f>IFERROR(INDEX('M04-S02'!$O$18:$O$199,2*(ROWS(W$116:W131)-1)+1),"")</f>
        <v/>
      </c>
      <c r="X131" s="27">
        <f>IFERROR(INDEX('M04-S02'!$AF$18:$AF$199,2*(ROWS(X$116:X131)-1)+1),"")</f>
        <v>0</v>
      </c>
      <c r="Y131" s="184"/>
      <c r="Z131" s="184"/>
      <c r="AA131" s="9" t="str" cm="1">
        <f t="array" ref="AA131">IFERROR(ROUND(INDEX('M04-S02'!$AR$18:$AR$199,2*(ROWS(AA$116:AA131)-1)+1), 2),"")</f>
        <v/>
      </c>
      <c r="AB131" s="164"/>
      <c r="AC131" s="9" t="str" cm="1">
        <f t="array" aca="1" ref="AC131" ca="1">IFERROR(ROUND(IF(BB131&lt;&gt;"","",INDEX('M04-S02'!$AH$18:$AH$199,2*(ROWS(AC$116:AC131)-1)+1)),2),"")</f>
        <v/>
      </c>
      <c r="AD131" s="9" t="str" cm="1">
        <f t="array" aca="1" ref="AD131" ca="1">IFERROR(ROUND(IF(BB131&lt;&gt;"","",INDEX('M04-S02'!$AJ$18:$AJ$199,2*(ROWS(AD$116:AD131)-1)+1)),2),"")</f>
        <v/>
      </c>
      <c r="AE131" s="9" t="str" cm="1">
        <f t="array" aca="1" ref="AE131" ca="1">IFERROR(ROUND(IF(BB131&lt;&gt;"","",INDEX('M04-S02'!$AL$18:$AL$199,2*(ROWS(AE$116:AE131)-1)+1)),2),"")</f>
        <v/>
      </c>
      <c r="AF131" t="str">
        <f t="shared" ca="1" si="14"/>
        <v/>
      </c>
      <c r="AG131" s="9" t="str" cm="1">
        <f t="array" aca="1" ref="AG131" ca="1">IFERROR(ROUND(IF(BB131&lt;&gt;"","",INDEX('M04-S02'!$AL$18:$AL$199,2*(ROWS(AG$116:AG131)-1)+1)),2),"")</f>
        <v/>
      </c>
      <c r="AH131" s="184"/>
      <c r="AI131" s="191"/>
      <c r="AJ131" s="32" t="str">
        <f ca="1">IFERROR(ROUND(IF(BA131&lt;&gt;"","",INDEX('M04-S02'!$AO$18:$AO$199,2*(ROWS(AJ$116:AJ131)-1)+1)),4),"")</f>
        <v/>
      </c>
      <c r="AK131" s="32" t="str">
        <f ca="1">IFERROR(ROUND(IF(BA131&lt;&gt;"","",INDEX('M04-S02'!$BF$18:$BF$199,2*(ROWS(AK$116:AK131)-1)+1)),4),"")</f>
        <v/>
      </c>
      <c r="AL131" s="32" t="str">
        <f ca="1">IFERROR(ROUND(IF(BA131&lt;&gt;"","",INDEX('M04-S02'!$BG$18:$BG$199,2*(ROWS(AL$116:AL131)-1)+1)),4),"")</f>
        <v/>
      </c>
      <c r="AM131" s="32" t="str" cm="1">
        <f t="array" ref="AM131">IFERROR(ROUND(INDEX('M04-S02'!$BA$18:$BA$199,2*(ROWS(AM$116:AM131)-1)+1),4),"")</f>
        <v/>
      </c>
      <c r="AN131" s="32" t="str" cm="1">
        <f t="array" ref="AN131">IFERROR(ROUND(INDEX('M04-S02'!$BB$18:$BB$199,2*(ROWS(AN$116:AN131)-1)+1),4),"")</f>
        <v/>
      </c>
      <c r="AO131" s="32"/>
      <c r="AP131" s="9">
        <f ca="1">IFERROR(ROUND(IF(BB131&lt;&gt;"",INDEX('M04-S02'!$AH$18:$AH$199,2*(ROWS(AP$116:AP131)-1)+1),""),2),"")</f>
        <v>0</v>
      </c>
      <c r="AQ131" s="9">
        <f ca="1">IFERROR(ROUND(IF(BB131&lt;&gt;"",INDEX('M04-S02'!$AJ$18:$AJ$199,2*(ROWS(AQ$116:AQ131)-1)+1),""),2),"")</f>
        <v>0</v>
      </c>
      <c r="AR131" s="536" t="str" cm="1">
        <f t="array" aca="1" ref="AR131" ca="1">IFERROR(ROUND(IF(BB131&lt;&gt;"", INDEX('M04-S02'!$AL$18:$AL$199,2*(ROWS(AT$116:AT131)-1)+1), ""),2),"")</f>
        <v/>
      </c>
      <c r="AS131" t="str">
        <f t="shared" ca="1" si="15"/>
        <v>Incremental</v>
      </c>
      <c r="AT131" s="536" t="str" cm="1">
        <f t="array" aca="1" ref="AT131" ca="1">IFERROR(ROUND(IF(BB131&lt;&gt;"", INDEX('M04-S02'!$AL$18:$AL$199,2*(ROWS(AT$116:AT131)-1)+1), ""),2),"")</f>
        <v/>
      </c>
      <c r="AU131" s="184"/>
      <c r="AV131" s="5">
        <f ca="1">IFERROR(IF(BB131&lt;&gt;"",ROUND(INDEX('M04-S02'!$M$18:$M$199,2*(ROWS(AV$116:AV131)-1)+1),3),""),"")</f>
        <v>0</v>
      </c>
      <c r="AW131" s="5">
        <f ca="1">IFERROR(IF(BB131&lt;&gt;"",ROUND(INDEX('M04-S02'!$AD$18:$AD$199,2*(ROWS(AW$116:AW131)-1)+1),3),""),"")</f>
        <v>0</v>
      </c>
      <c r="AX131" s="184"/>
      <c r="AY131" s="26" t="str">
        <f ca="1">IFERROR(IF(BB131&lt;&gt;"",INDEX('M04-S02'!$AO$18:$AO$199,2*(ROWS(AY$116:AY131)-1)+1),""),"")</f>
        <v/>
      </c>
      <c r="AZ131" s="32" t="str">
        <f ca="1">IFERROR(IF(BB131&lt;&gt;"",INDEX('M04-S02'!$BF$18:$BF$199,2*(ROWS(AZ$116:AZ131)-1)+1),""),"")</f>
        <v/>
      </c>
      <c r="BA131" s="32" t="str">
        <f ca="1">IFERROR(IF(BB131&lt;&gt;"",INDEX('M04-S02'!$BG$18:$BG$199,2*(ROWS(BA$116:BA131)-1)+1),""),"")</f>
        <v/>
      </c>
      <c r="BB131" t="str">
        <f ca="1">IFERROR(INDEX('M04-S02'!$BY$18:$BY$199,2*(ROWS(BB$116:BB131)-1)+1),"")</f>
        <v>Enter Utility Rate</v>
      </c>
    </row>
    <row r="132" spans="1:54">
      <c r="A132" s="10">
        <f t="shared" si="12"/>
        <v>0</v>
      </c>
      <c r="B132" t="str">
        <f t="shared" si="13"/>
        <v/>
      </c>
      <c r="C132" t="str" cm="1">
        <f t="array" ref="C132">IFERROR(_xlfn.VALUETOTEXT(INDEX('M04-S02'!$BW$18:$BW$199,2*(ROWS($C$116:C132)-1)+1)),"")</f>
        <v/>
      </c>
      <c r="D132">
        <f>IFERROR(INDEX('M04-S02'!$B$18:$B$199,2*(ROWS(D$116:D132)-1)+1),"")</f>
        <v>17</v>
      </c>
      <c r="E132" s="51" t="str" cm="1">
        <f t="array" ref="E132">IFERROR(_xlfn.VALUETOTEXT(INDEX('M04-S02'!$BX$18:$BX$199,2*(ROWS($E$116:E132)-1)+1)),"")</f>
        <v/>
      </c>
      <c r="F132" t="str" cm="1">
        <f t="array" ref="F132">IF(C132&lt;&gt;"", _xlfn.SWITCH(Program_Banner, "Small Business / Non-Profit", "Hard-To-Reach Business", "Business Energy Savings", "Whole Business Efficiency", ""), "")</f>
        <v/>
      </c>
      <c r="G132" t="s">
        <v>135</v>
      </c>
      <c r="H132" t="str">
        <f>IFERROR(INDEX('M04-S02'!$BC$18:$BC$199,2*(ROWS(H$116:H132)-1)+1),"")</f>
        <v/>
      </c>
      <c r="I132" t="str">
        <f>IFERROR(INDEX('M04-S02'!$BJ$18:$BJ$199,2*(ROWS(I$116:I132)-1)+1),"")</f>
        <v/>
      </c>
      <c r="J132" s="9" t="str">
        <f>IFERROR(INDEX('M04-S02'!$BN$18:$BN$199,2*(ROWS(J$116:J132)-1)+1),"")</f>
        <v/>
      </c>
      <c r="K132" s="9" t="str">
        <f>IFERROR(INDEX('M04-S02'!$BO$18:$BO$199,2*(ROWS(K$116:K132)-1)+1),"")</f>
        <v/>
      </c>
      <c r="L132" s="51" t="str">
        <f>IFERROR(INDEX('M04-S02'!$BD$18:$BD$199,2*(ROWS($L$116:L132)-1)+1), "")</f>
        <v/>
      </c>
      <c r="M132" s="51" t="str">
        <f>IFERROR(INDEX('M04-S02'!$E$18:$E$199,2*(ROWS($M$116:M132)-1)+1)&amp;" - "&amp;INDEX('M04-S02'!$C$18:$C$199,2*(ROWS($M$116:M132)-1)+1),"")</f>
        <v xml:space="preserve"> - </v>
      </c>
      <c r="N132">
        <f>IFERROR(INDEX('M04-S02'!$G$18:$G$199,2*(ROWS(N$116:N132)-1)+1),"")</f>
        <v>0</v>
      </c>
      <c r="O132">
        <f>IFERROR(INDEX('M04-S02'!$S$18:$S$199,2*(ROWS(O$116:O132)-1)+1),"")</f>
        <v>0</v>
      </c>
      <c r="P132">
        <f>IFERROR(INDEX('M04-S02'!$K$18:$K$199,2*(ROWS(P$116:P132)-1)+1),"")</f>
        <v>0</v>
      </c>
      <c r="Q132">
        <f>IFERROR(INDEX('M04-S02'!$Z$18:$Z$199,2*(ROWS(Q$116:Q132)-1)+1),"")</f>
        <v>0</v>
      </c>
      <c r="S132" t="str">
        <f>IFERROR(INDEX('M04-S02'!$AX$18:$AX$199,2*(ROWS(S$116:S132)-1)+1),"")</f>
        <v/>
      </c>
      <c r="T132" s="545" t="str">
        <f>IFERROR(ROUND(INDEX('M04-S02'!$AY$18:$AY$199,2*(ROWS(T$116:T132)-1)+1),3),"")</f>
        <v/>
      </c>
      <c r="U132" s="545" t="str">
        <f>IFERROR(ROUND(INDEX('M04-S02'!$AZ$18:$AZ$199,2*(ROWS(U$116:U132)-1)+1),3),"")</f>
        <v/>
      </c>
      <c r="V132" s="26">
        <f>IFERROR(INDEX('M04-S02'!$Q$18:$Q$199,2*(ROWS(V$116:V132)-1)+1),"")</f>
        <v>0</v>
      </c>
      <c r="W132" s="27" t="str">
        <f>IFERROR(INDEX('M04-S02'!$O$18:$O$199,2*(ROWS(W$116:W132)-1)+1),"")</f>
        <v/>
      </c>
      <c r="X132" s="27">
        <f>IFERROR(INDEX('M04-S02'!$AF$18:$AF$199,2*(ROWS(X$116:X132)-1)+1),"")</f>
        <v>0</v>
      </c>
      <c r="Y132" s="184"/>
      <c r="Z132" s="184"/>
      <c r="AA132" s="9" t="str" cm="1">
        <f t="array" ref="AA132">IFERROR(ROUND(INDEX('M04-S02'!$AR$18:$AR$199,2*(ROWS(AA$116:AA132)-1)+1), 2),"")</f>
        <v/>
      </c>
      <c r="AB132" s="164"/>
      <c r="AC132" s="9" t="str" cm="1">
        <f t="array" aca="1" ref="AC132" ca="1">IFERROR(ROUND(IF(BB132&lt;&gt;"","",INDEX('M04-S02'!$AH$18:$AH$199,2*(ROWS(AC$116:AC132)-1)+1)),2),"")</f>
        <v/>
      </c>
      <c r="AD132" s="9" t="str" cm="1">
        <f t="array" aca="1" ref="AD132" ca="1">IFERROR(ROUND(IF(BB132&lt;&gt;"","",INDEX('M04-S02'!$AJ$18:$AJ$199,2*(ROWS(AD$116:AD132)-1)+1)),2),"")</f>
        <v/>
      </c>
      <c r="AE132" s="9" t="str" cm="1">
        <f t="array" aca="1" ref="AE132" ca="1">IFERROR(ROUND(IF(BB132&lt;&gt;"","",INDEX('M04-S02'!$AL$18:$AL$199,2*(ROWS(AE$116:AE132)-1)+1)),2),"")</f>
        <v/>
      </c>
      <c r="AF132" t="str">
        <f t="shared" ca="1" si="14"/>
        <v/>
      </c>
      <c r="AG132" s="9" t="str" cm="1">
        <f t="array" aca="1" ref="AG132" ca="1">IFERROR(ROUND(IF(BB132&lt;&gt;"","",INDEX('M04-S02'!$AL$18:$AL$199,2*(ROWS(AG$116:AG132)-1)+1)),2),"")</f>
        <v/>
      </c>
      <c r="AH132" s="184"/>
      <c r="AI132" s="191"/>
      <c r="AJ132" s="32" t="str">
        <f ca="1">IFERROR(ROUND(IF(BA132&lt;&gt;"","",INDEX('M04-S02'!$AO$18:$AO$199,2*(ROWS(AJ$116:AJ132)-1)+1)),4),"")</f>
        <v/>
      </c>
      <c r="AK132" s="32" t="str">
        <f ca="1">IFERROR(ROUND(IF(BA132&lt;&gt;"","",INDEX('M04-S02'!$BF$18:$BF$199,2*(ROWS(AK$116:AK132)-1)+1)),4),"")</f>
        <v/>
      </c>
      <c r="AL132" s="32" t="str">
        <f ca="1">IFERROR(ROUND(IF(BA132&lt;&gt;"","",INDEX('M04-S02'!$BG$18:$BG$199,2*(ROWS(AL$116:AL132)-1)+1)),4),"")</f>
        <v/>
      </c>
      <c r="AM132" s="32" t="str" cm="1">
        <f t="array" ref="AM132">IFERROR(ROUND(INDEX('M04-S02'!$BA$18:$BA$199,2*(ROWS(AM$116:AM132)-1)+1),4),"")</f>
        <v/>
      </c>
      <c r="AN132" s="32" t="str" cm="1">
        <f t="array" ref="AN132">IFERROR(ROUND(INDEX('M04-S02'!$BB$18:$BB$199,2*(ROWS(AN$116:AN132)-1)+1),4),"")</f>
        <v/>
      </c>
      <c r="AO132" s="32"/>
      <c r="AP132" s="9">
        <f ca="1">IFERROR(ROUND(IF(BB132&lt;&gt;"",INDEX('M04-S02'!$AH$18:$AH$199,2*(ROWS(AP$116:AP132)-1)+1),""),2),"")</f>
        <v>0</v>
      </c>
      <c r="AQ132" s="9">
        <f ca="1">IFERROR(ROUND(IF(BB132&lt;&gt;"",INDEX('M04-S02'!$AJ$18:$AJ$199,2*(ROWS(AQ$116:AQ132)-1)+1),""),2),"")</f>
        <v>0</v>
      </c>
      <c r="AR132" s="536" t="str" cm="1">
        <f t="array" aca="1" ref="AR132" ca="1">IFERROR(ROUND(IF(BB132&lt;&gt;"", INDEX('M04-S02'!$AL$18:$AL$199,2*(ROWS(AT$116:AT132)-1)+1), ""),2),"")</f>
        <v/>
      </c>
      <c r="AS132" t="str">
        <f t="shared" ca="1" si="15"/>
        <v>Incremental</v>
      </c>
      <c r="AT132" s="536" t="str" cm="1">
        <f t="array" aca="1" ref="AT132" ca="1">IFERROR(ROUND(IF(BB132&lt;&gt;"", INDEX('M04-S02'!$AL$18:$AL$199,2*(ROWS(AT$116:AT132)-1)+1), ""),2),"")</f>
        <v/>
      </c>
      <c r="AU132" s="184"/>
      <c r="AV132" s="5">
        <f ca="1">IFERROR(IF(BB132&lt;&gt;"",ROUND(INDEX('M04-S02'!$M$18:$M$199,2*(ROWS(AV$116:AV132)-1)+1),3),""),"")</f>
        <v>0</v>
      </c>
      <c r="AW132" s="5">
        <f ca="1">IFERROR(IF(BB132&lt;&gt;"",ROUND(INDEX('M04-S02'!$AD$18:$AD$199,2*(ROWS(AW$116:AW132)-1)+1),3),""),"")</f>
        <v>0</v>
      </c>
      <c r="AX132" s="184"/>
      <c r="AY132" s="26" t="str">
        <f ca="1">IFERROR(IF(BB132&lt;&gt;"",INDEX('M04-S02'!$AO$18:$AO$199,2*(ROWS(AY$116:AY132)-1)+1),""),"")</f>
        <v/>
      </c>
      <c r="AZ132" s="32" t="str">
        <f ca="1">IFERROR(IF(BB132&lt;&gt;"",INDEX('M04-S02'!$BF$18:$BF$199,2*(ROWS(AZ$116:AZ132)-1)+1),""),"")</f>
        <v/>
      </c>
      <c r="BA132" s="32" t="str">
        <f ca="1">IFERROR(IF(BB132&lt;&gt;"",INDEX('M04-S02'!$BG$18:$BG$199,2*(ROWS(BA$116:BA132)-1)+1),""),"")</f>
        <v/>
      </c>
      <c r="BB132" t="str">
        <f ca="1">IFERROR(INDEX('M04-S02'!$BY$18:$BY$199,2*(ROWS(BB$116:BB132)-1)+1),"")</f>
        <v>Enter Utility Rate</v>
      </c>
    </row>
    <row r="133" spans="1:54">
      <c r="A133" s="10">
        <f t="shared" si="12"/>
        <v>0</v>
      </c>
      <c r="B133" t="str">
        <f t="shared" si="13"/>
        <v/>
      </c>
      <c r="C133" t="str" cm="1">
        <f t="array" ref="C133">IFERROR(_xlfn.VALUETOTEXT(INDEX('M04-S02'!$BW$18:$BW$199,2*(ROWS($C$116:C133)-1)+1)),"")</f>
        <v/>
      </c>
      <c r="D133">
        <f>IFERROR(INDEX('M04-S02'!$B$18:$B$199,2*(ROWS(D$116:D133)-1)+1),"")</f>
        <v>18</v>
      </c>
      <c r="E133" s="51" t="str" cm="1">
        <f t="array" ref="E133">IFERROR(_xlfn.VALUETOTEXT(INDEX('M04-S02'!$BX$18:$BX$199,2*(ROWS($E$116:E133)-1)+1)),"")</f>
        <v/>
      </c>
      <c r="F133" t="str" cm="1">
        <f t="array" ref="F133">IF(C133&lt;&gt;"", _xlfn.SWITCH(Program_Banner, "Small Business / Non-Profit", "Hard-To-Reach Business", "Business Energy Savings", "Whole Business Efficiency", ""), "")</f>
        <v/>
      </c>
      <c r="G133" t="s">
        <v>135</v>
      </c>
      <c r="H133" t="str">
        <f>IFERROR(INDEX('M04-S02'!$BC$18:$BC$199,2*(ROWS(H$116:H133)-1)+1),"")</f>
        <v/>
      </c>
      <c r="I133" t="str">
        <f>IFERROR(INDEX('M04-S02'!$BJ$18:$BJ$199,2*(ROWS(I$116:I133)-1)+1),"")</f>
        <v/>
      </c>
      <c r="J133" s="9" t="str">
        <f>IFERROR(INDEX('M04-S02'!$BN$18:$BN$199,2*(ROWS(J$116:J133)-1)+1),"")</f>
        <v/>
      </c>
      <c r="K133" s="9" t="str">
        <f>IFERROR(INDEX('M04-S02'!$BO$18:$BO$199,2*(ROWS(K$116:K133)-1)+1),"")</f>
        <v/>
      </c>
      <c r="L133" s="51" t="str">
        <f>IFERROR(INDEX('M04-S02'!$BD$18:$BD$199,2*(ROWS($L$116:L133)-1)+1), "")</f>
        <v/>
      </c>
      <c r="M133" s="51" t="str">
        <f>IFERROR(INDEX('M04-S02'!$E$18:$E$199,2*(ROWS($M$116:M133)-1)+1)&amp;" - "&amp;INDEX('M04-S02'!$C$18:$C$199,2*(ROWS($M$116:M133)-1)+1),"")</f>
        <v xml:space="preserve"> - </v>
      </c>
      <c r="N133">
        <f>IFERROR(INDEX('M04-S02'!$G$18:$G$199,2*(ROWS(N$116:N133)-1)+1),"")</f>
        <v>0</v>
      </c>
      <c r="O133">
        <f>IFERROR(INDEX('M04-S02'!$S$18:$S$199,2*(ROWS(O$116:O133)-1)+1),"")</f>
        <v>0</v>
      </c>
      <c r="P133">
        <f>IFERROR(INDEX('M04-S02'!$K$18:$K$199,2*(ROWS(P$116:P133)-1)+1),"")</f>
        <v>0</v>
      </c>
      <c r="Q133">
        <f>IFERROR(INDEX('M04-S02'!$Z$18:$Z$199,2*(ROWS(Q$116:Q133)-1)+1),"")</f>
        <v>0</v>
      </c>
      <c r="S133" t="str">
        <f>IFERROR(INDEX('M04-S02'!$AX$18:$AX$199,2*(ROWS(S$116:S133)-1)+1),"")</f>
        <v/>
      </c>
      <c r="T133" s="545" t="str">
        <f>IFERROR(ROUND(INDEX('M04-S02'!$AY$18:$AY$199,2*(ROWS(T$116:T133)-1)+1),3),"")</f>
        <v/>
      </c>
      <c r="U133" s="545" t="str">
        <f>IFERROR(ROUND(INDEX('M04-S02'!$AZ$18:$AZ$199,2*(ROWS(U$116:U133)-1)+1),3),"")</f>
        <v/>
      </c>
      <c r="V133" s="26">
        <f>IFERROR(INDEX('M04-S02'!$Q$18:$Q$199,2*(ROWS(V$116:V133)-1)+1),"")</f>
        <v>0</v>
      </c>
      <c r="W133" s="27" t="str">
        <f>IFERROR(INDEX('M04-S02'!$O$18:$O$199,2*(ROWS(W$116:W133)-1)+1),"")</f>
        <v/>
      </c>
      <c r="X133" s="27">
        <f>IFERROR(INDEX('M04-S02'!$AF$18:$AF$199,2*(ROWS(X$116:X133)-1)+1),"")</f>
        <v>0</v>
      </c>
      <c r="Y133" s="184"/>
      <c r="Z133" s="184"/>
      <c r="AA133" s="9" t="str" cm="1">
        <f t="array" ref="AA133">IFERROR(ROUND(INDEX('M04-S02'!$AR$18:$AR$199,2*(ROWS(AA$116:AA133)-1)+1), 2),"")</f>
        <v/>
      </c>
      <c r="AB133" s="164"/>
      <c r="AC133" s="9" t="str" cm="1">
        <f t="array" aca="1" ref="AC133" ca="1">IFERROR(ROUND(IF(BB133&lt;&gt;"","",INDEX('M04-S02'!$AH$18:$AH$199,2*(ROWS(AC$116:AC133)-1)+1)),2),"")</f>
        <v/>
      </c>
      <c r="AD133" s="9" t="str" cm="1">
        <f t="array" aca="1" ref="AD133" ca="1">IFERROR(ROUND(IF(BB133&lt;&gt;"","",INDEX('M04-S02'!$AJ$18:$AJ$199,2*(ROWS(AD$116:AD133)-1)+1)),2),"")</f>
        <v/>
      </c>
      <c r="AE133" s="9" t="str" cm="1">
        <f t="array" aca="1" ref="AE133" ca="1">IFERROR(ROUND(IF(BB133&lt;&gt;"","",INDEX('M04-S02'!$AL$18:$AL$199,2*(ROWS(AE$116:AE133)-1)+1)),2),"")</f>
        <v/>
      </c>
      <c r="AF133" t="str">
        <f t="shared" ca="1" si="14"/>
        <v/>
      </c>
      <c r="AG133" s="9" t="str" cm="1">
        <f t="array" aca="1" ref="AG133" ca="1">IFERROR(ROUND(IF(BB133&lt;&gt;"","",INDEX('M04-S02'!$AL$18:$AL$199,2*(ROWS(AG$116:AG133)-1)+1)),2),"")</f>
        <v/>
      </c>
      <c r="AH133" s="184"/>
      <c r="AI133" s="191"/>
      <c r="AJ133" s="32" t="str">
        <f ca="1">IFERROR(ROUND(IF(BA133&lt;&gt;"","",INDEX('M04-S02'!$AO$18:$AO$199,2*(ROWS(AJ$116:AJ133)-1)+1)),4),"")</f>
        <v/>
      </c>
      <c r="AK133" s="32" t="str">
        <f ca="1">IFERROR(ROUND(IF(BA133&lt;&gt;"","",INDEX('M04-S02'!$BF$18:$BF$199,2*(ROWS(AK$116:AK133)-1)+1)),4),"")</f>
        <v/>
      </c>
      <c r="AL133" s="32" t="str">
        <f ca="1">IFERROR(ROUND(IF(BA133&lt;&gt;"","",INDEX('M04-S02'!$BG$18:$BG$199,2*(ROWS(AL$116:AL133)-1)+1)),4),"")</f>
        <v/>
      </c>
      <c r="AM133" s="32" t="str" cm="1">
        <f t="array" ref="AM133">IFERROR(ROUND(INDEX('M04-S02'!$BA$18:$BA$199,2*(ROWS(AM$116:AM133)-1)+1),4),"")</f>
        <v/>
      </c>
      <c r="AN133" s="32" t="str" cm="1">
        <f t="array" ref="AN133">IFERROR(ROUND(INDEX('M04-S02'!$BB$18:$BB$199,2*(ROWS(AN$116:AN133)-1)+1),4),"")</f>
        <v/>
      </c>
      <c r="AO133" s="32"/>
      <c r="AP133" s="9">
        <f ca="1">IFERROR(ROUND(IF(BB133&lt;&gt;"",INDEX('M04-S02'!$AH$18:$AH$199,2*(ROWS(AP$116:AP133)-1)+1),""),2),"")</f>
        <v>0</v>
      </c>
      <c r="AQ133" s="9">
        <f ca="1">IFERROR(ROUND(IF(BB133&lt;&gt;"",INDEX('M04-S02'!$AJ$18:$AJ$199,2*(ROWS(AQ$116:AQ133)-1)+1),""),2),"")</f>
        <v>0</v>
      </c>
      <c r="AR133" s="536" t="str" cm="1">
        <f t="array" aca="1" ref="AR133" ca="1">IFERROR(ROUND(IF(BB133&lt;&gt;"", INDEX('M04-S02'!$AL$18:$AL$199,2*(ROWS(AT$116:AT133)-1)+1), ""),2),"")</f>
        <v/>
      </c>
      <c r="AS133" t="str">
        <f t="shared" ca="1" si="15"/>
        <v>Incremental</v>
      </c>
      <c r="AT133" s="536" t="str" cm="1">
        <f t="array" aca="1" ref="AT133" ca="1">IFERROR(ROUND(IF(BB133&lt;&gt;"", INDEX('M04-S02'!$AL$18:$AL$199,2*(ROWS(AT$116:AT133)-1)+1), ""),2),"")</f>
        <v/>
      </c>
      <c r="AU133" s="184"/>
      <c r="AV133" s="5">
        <f ca="1">IFERROR(IF(BB133&lt;&gt;"",ROUND(INDEX('M04-S02'!$M$18:$M$199,2*(ROWS(AV$116:AV133)-1)+1),3),""),"")</f>
        <v>0</v>
      </c>
      <c r="AW133" s="5">
        <f ca="1">IFERROR(IF(BB133&lt;&gt;"",ROUND(INDEX('M04-S02'!$AD$18:$AD$199,2*(ROWS(AW$116:AW133)-1)+1),3),""),"")</f>
        <v>0</v>
      </c>
      <c r="AX133" s="184"/>
      <c r="AY133" s="26" t="str">
        <f ca="1">IFERROR(IF(BB133&lt;&gt;"",INDEX('M04-S02'!$AO$18:$AO$199,2*(ROWS(AY$116:AY133)-1)+1),""),"")</f>
        <v/>
      </c>
      <c r="AZ133" s="32" t="str">
        <f ca="1">IFERROR(IF(BB133&lt;&gt;"",INDEX('M04-S02'!$BF$18:$BF$199,2*(ROWS(AZ$116:AZ133)-1)+1),""),"")</f>
        <v/>
      </c>
      <c r="BA133" s="32" t="str">
        <f ca="1">IFERROR(IF(BB133&lt;&gt;"",INDEX('M04-S02'!$BG$18:$BG$199,2*(ROWS(BA$116:BA133)-1)+1),""),"")</f>
        <v/>
      </c>
      <c r="BB133" t="str">
        <f ca="1">IFERROR(INDEX('M04-S02'!$BY$18:$BY$199,2*(ROWS(BB$116:BB133)-1)+1),"")</f>
        <v>Enter Utility Rate</v>
      </c>
    </row>
    <row r="134" spans="1:54">
      <c r="A134" s="10">
        <f t="shared" si="12"/>
        <v>0</v>
      </c>
      <c r="B134" t="str">
        <f t="shared" si="13"/>
        <v/>
      </c>
      <c r="C134" t="str" cm="1">
        <f t="array" ref="C134">IFERROR(_xlfn.VALUETOTEXT(INDEX('M04-S02'!$BW$18:$BW$199,2*(ROWS($C$116:C134)-1)+1)),"")</f>
        <v/>
      </c>
      <c r="D134">
        <f>IFERROR(INDEX('M04-S02'!$B$18:$B$199,2*(ROWS(D$116:D134)-1)+1),"")</f>
        <v>19</v>
      </c>
      <c r="E134" s="51" t="str" cm="1">
        <f t="array" ref="E134">IFERROR(_xlfn.VALUETOTEXT(INDEX('M04-S02'!$BX$18:$BX$199,2*(ROWS($E$116:E134)-1)+1)),"")</f>
        <v/>
      </c>
      <c r="F134" t="str" cm="1">
        <f t="array" ref="F134">IF(C134&lt;&gt;"", _xlfn.SWITCH(Program_Banner, "Small Business / Non-Profit", "Hard-To-Reach Business", "Business Energy Savings", "Whole Business Efficiency", ""), "")</f>
        <v/>
      </c>
      <c r="G134" t="s">
        <v>135</v>
      </c>
      <c r="H134" t="str">
        <f>IFERROR(INDEX('M04-S02'!$BC$18:$BC$199,2*(ROWS(H$116:H134)-1)+1),"")</f>
        <v/>
      </c>
      <c r="I134" t="str">
        <f>IFERROR(INDEX('M04-S02'!$BJ$18:$BJ$199,2*(ROWS(I$116:I134)-1)+1),"")</f>
        <v/>
      </c>
      <c r="J134" s="9" t="str">
        <f>IFERROR(INDEX('M04-S02'!$BN$18:$BN$199,2*(ROWS(J$116:J134)-1)+1),"")</f>
        <v/>
      </c>
      <c r="K134" s="9" t="str">
        <f>IFERROR(INDEX('M04-S02'!$BO$18:$BO$199,2*(ROWS(K$116:K134)-1)+1),"")</f>
        <v/>
      </c>
      <c r="L134" s="51" t="str">
        <f>IFERROR(INDEX('M04-S02'!$BD$18:$BD$199,2*(ROWS($L$116:L134)-1)+1), "")</f>
        <v/>
      </c>
      <c r="M134" s="51" t="str">
        <f>IFERROR(INDEX('M04-S02'!$E$18:$E$199,2*(ROWS($M$116:M134)-1)+1)&amp;" - "&amp;INDEX('M04-S02'!$C$18:$C$199,2*(ROWS($M$116:M134)-1)+1),"")</f>
        <v xml:space="preserve"> - </v>
      </c>
      <c r="N134">
        <f>IFERROR(INDEX('M04-S02'!$G$18:$G$199,2*(ROWS(N$116:N134)-1)+1),"")</f>
        <v>0</v>
      </c>
      <c r="O134">
        <f>IFERROR(INDEX('M04-S02'!$S$18:$S$199,2*(ROWS(O$116:O134)-1)+1),"")</f>
        <v>0</v>
      </c>
      <c r="P134">
        <f>IFERROR(INDEX('M04-S02'!$K$18:$K$199,2*(ROWS(P$116:P134)-1)+1),"")</f>
        <v>0</v>
      </c>
      <c r="Q134">
        <f>IFERROR(INDEX('M04-S02'!$Z$18:$Z$199,2*(ROWS(Q$116:Q134)-1)+1),"")</f>
        <v>0</v>
      </c>
      <c r="S134" t="str">
        <f>IFERROR(INDEX('M04-S02'!$AX$18:$AX$199,2*(ROWS(S$116:S134)-1)+1),"")</f>
        <v/>
      </c>
      <c r="T134" s="545" t="str">
        <f>IFERROR(ROUND(INDEX('M04-S02'!$AY$18:$AY$199,2*(ROWS(T$116:T134)-1)+1),3),"")</f>
        <v/>
      </c>
      <c r="U134" s="545" t="str">
        <f>IFERROR(ROUND(INDEX('M04-S02'!$AZ$18:$AZ$199,2*(ROWS(U$116:U134)-1)+1),3),"")</f>
        <v/>
      </c>
      <c r="V134" s="26">
        <f>IFERROR(INDEX('M04-S02'!$Q$18:$Q$199,2*(ROWS(V$116:V134)-1)+1),"")</f>
        <v>0</v>
      </c>
      <c r="W134" s="27" t="str">
        <f>IFERROR(INDEX('M04-S02'!$O$18:$O$199,2*(ROWS(W$116:W134)-1)+1),"")</f>
        <v/>
      </c>
      <c r="X134" s="27">
        <f>IFERROR(INDEX('M04-S02'!$AF$18:$AF$199,2*(ROWS(X$116:X134)-1)+1),"")</f>
        <v>0</v>
      </c>
      <c r="Y134" s="184"/>
      <c r="Z134" s="184"/>
      <c r="AA134" s="9" t="str" cm="1">
        <f t="array" ref="AA134">IFERROR(ROUND(INDEX('M04-S02'!$AR$18:$AR$199,2*(ROWS(AA$116:AA134)-1)+1), 2),"")</f>
        <v/>
      </c>
      <c r="AB134" s="164"/>
      <c r="AC134" s="9" t="str" cm="1">
        <f t="array" aca="1" ref="AC134" ca="1">IFERROR(ROUND(IF(BB134&lt;&gt;"","",INDEX('M04-S02'!$AH$18:$AH$199,2*(ROWS(AC$116:AC134)-1)+1)),2),"")</f>
        <v/>
      </c>
      <c r="AD134" s="9" t="str" cm="1">
        <f t="array" aca="1" ref="AD134" ca="1">IFERROR(ROUND(IF(BB134&lt;&gt;"","",INDEX('M04-S02'!$AJ$18:$AJ$199,2*(ROWS(AD$116:AD134)-1)+1)),2),"")</f>
        <v/>
      </c>
      <c r="AE134" s="9" t="str" cm="1">
        <f t="array" aca="1" ref="AE134" ca="1">IFERROR(ROUND(IF(BB134&lt;&gt;"","",INDEX('M04-S02'!$AL$18:$AL$199,2*(ROWS(AE$116:AE134)-1)+1)),2),"")</f>
        <v/>
      </c>
      <c r="AF134" t="str">
        <f t="shared" ca="1" si="14"/>
        <v/>
      </c>
      <c r="AG134" s="9" t="str" cm="1">
        <f t="array" aca="1" ref="AG134" ca="1">IFERROR(ROUND(IF(BB134&lt;&gt;"","",INDEX('M04-S02'!$AL$18:$AL$199,2*(ROWS(AG$116:AG134)-1)+1)),2),"")</f>
        <v/>
      </c>
      <c r="AH134" s="184"/>
      <c r="AI134" s="191"/>
      <c r="AJ134" s="32" t="str">
        <f ca="1">IFERROR(ROUND(IF(BA134&lt;&gt;"","",INDEX('M04-S02'!$AO$18:$AO$199,2*(ROWS(AJ$116:AJ134)-1)+1)),4),"")</f>
        <v/>
      </c>
      <c r="AK134" s="32" t="str">
        <f ca="1">IFERROR(ROUND(IF(BA134&lt;&gt;"","",INDEX('M04-S02'!$BF$18:$BF$199,2*(ROWS(AK$116:AK134)-1)+1)),4),"")</f>
        <v/>
      </c>
      <c r="AL134" s="32" t="str">
        <f ca="1">IFERROR(ROUND(IF(BA134&lt;&gt;"","",INDEX('M04-S02'!$BG$18:$BG$199,2*(ROWS(AL$116:AL134)-1)+1)),4),"")</f>
        <v/>
      </c>
      <c r="AM134" s="32" t="str" cm="1">
        <f t="array" ref="AM134">IFERROR(ROUND(INDEX('M04-S02'!$BA$18:$BA$199,2*(ROWS(AM$116:AM134)-1)+1),4),"")</f>
        <v/>
      </c>
      <c r="AN134" s="32" t="str" cm="1">
        <f t="array" ref="AN134">IFERROR(ROUND(INDEX('M04-S02'!$BB$18:$BB$199,2*(ROWS(AN$116:AN134)-1)+1),4),"")</f>
        <v/>
      </c>
      <c r="AO134" s="32"/>
      <c r="AP134" s="9">
        <f ca="1">IFERROR(ROUND(IF(BB134&lt;&gt;"",INDEX('M04-S02'!$AH$18:$AH$199,2*(ROWS(AP$116:AP134)-1)+1),""),2),"")</f>
        <v>0</v>
      </c>
      <c r="AQ134" s="9">
        <f ca="1">IFERROR(ROUND(IF(BB134&lt;&gt;"",INDEX('M04-S02'!$AJ$18:$AJ$199,2*(ROWS(AQ$116:AQ134)-1)+1),""),2),"")</f>
        <v>0</v>
      </c>
      <c r="AR134" s="536" t="str" cm="1">
        <f t="array" aca="1" ref="AR134" ca="1">IFERROR(ROUND(IF(BB134&lt;&gt;"", INDEX('M04-S02'!$AL$18:$AL$199,2*(ROWS(AT$116:AT134)-1)+1), ""),2),"")</f>
        <v/>
      </c>
      <c r="AS134" t="str">
        <f t="shared" ca="1" si="15"/>
        <v>Incremental</v>
      </c>
      <c r="AT134" s="536" t="str" cm="1">
        <f t="array" aca="1" ref="AT134" ca="1">IFERROR(ROUND(IF(BB134&lt;&gt;"", INDEX('M04-S02'!$AL$18:$AL$199,2*(ROWS(AT$116:AT134)-1)+1), ""),2),"")</f>
        <v/>
      </c>
      <c r="AU134" s="184"/>
      <c r="AV134" s="5">
        <f ca="1">IFERROR(IF(BB134&lt;&gt;"",ROUND(INDEX('M04-S02'!$M$18:$M$199,2*(ROWS(AV$116:AV134)-1)+1),3),""),"")</f>
        <v>0</v>
      </c>
      <c r="AW134" s="5">
        <f ca="1">IFERROR(IF(BB134&lt;&gt;"",ROUND(INDEX('M04-S02'!$AD$18:$AD$199,2*(ROWS(AW$116:AW134)-1)+1),3),""),"")</f>
        <v>0</v>
      </c>
      <c r="AX134" s="184"/>
      <c r="AY134" s="26" t="str">
        <f ca="1">IFERROR(IF(BB134&lt;&gt;"",INDEX('M04-S02'!$AO$18:$AO$199,2*(ROWS(AY$116:AY134)-1)+1),""),"")</f>
        <v/>
      </c>
      <c r="AZ134" s="32" t="str">
        <f ca="1">IFERROR(IF(BB134&lt;&gt;"",INDEX('M04-S02'!$BF$18:$BF$199,2*(ROWS(AZ$116:AZ134)-1)+1),""),"")</f>
        <v/>
      </c>
      <c r="BA134" s="32" t="str">
        <f ca="1">IFERROR(IF(BB134&lt;&gt;"",INDEX('M04-S02'!$BG$18:$BG$199,2*(ROWS(BA$116:BA134)-1)+1),""),"")</f>
        <v/>
      </c>
      <c r="BB134" t="str">
        <f ca="1">IFERROR(INDEX('M04-S02'!$BY$18:$BY$199,2*(ROWS(BB$116:BB134)-1)+1),"")</f>
        <v>Enter Utility Rate</v>
      </c>
    </row>
    <row r="135" spans="1:54">
      <c r="A135" s="10">
        <f t="shared" si="12"/>
        <v>0</v>
      </c>
      <c r="B135" t="str">
        <f t="shared" si="13"/>
        <v/>
      </c>
      <c r="C135" t="str" cm="1">
        <f t="array" ref="C135">IFERROR(_xlfn.VALUETOTEXT(INDEX('M04-S02'!$BW$18:$BW$199,2*(ROWS($C$116:C135)-1)+1)),"")</f>
        <v/>
      </c>
      <c r="D135">
        <f>IFERROR(INDEX('M04-S02'!$B$18:$B$199,2*(ROWS(D$116:D135)-1)+1),"")</f>
        <v>20</v>
      </c>
      <c r="E135" s="51" t="str" cm="1">
        <f t="array" ref="E135">IFERROR(_xlfn.VALUETOTEXT(INDEX('M04-S02'!$BX$18:$BX$199,2*(ROWS($E$116:E135)-1)+1)),"")</f>
        <v/>
      </c>
      <c r="F135" t="str" cm="1">
        <f t="array" ref="F135">IF(C135&lt;&gt;"", _xlfn.SWITCH(Program_Banner, "Small Business / Non-Profit", "Hard-To-Reach Business", "Business Energy Savings", "Whole Business Efficiency", ""), "")</f>
        <v/>
      </c>
      <c r="G135" t="s">
        <v>135</v>
      </c>
      <c r="H135" t="str">
        <f>IFERROR(INDEX('M04-S02'!$BC$18:$BC$199,2*(ROWS(H$116:H135)-1)+1),"")</f>
        <v/>
      </c>
      <c r="I135" t="str">
        <f>IFERROR(INDEX('M04-S02'!$BJ$18:$BJ$199,2*(ROWS(I$116:I135)-1)+1),"")</f>
        <v/>
      </c>
      <c r="J135" s="9" t="str">
        <f>IFERROR(INDEX('M04-S02'!$BN$18:$BN$199,2*(ROWS(J$116:J135)-1)+1),"")</f>
        <v/>
      </c>
      <c r="K135" s="9" t="str">
        <f>IFERROR(INDEX('M04-S02'!$BO$18:$BO$199,2*(ROWS(K$116:K135)-1)+1),"")</f>
        <v/>
      </c>
      <c r="L135" s="51" t="str">
        <f>IFERROR(INDEX('M04-S02'!$BD$18:$BD$199,2*(ROWS($L$116:L135)-1)+1), "")</f>
        <v/>
      </c>
      <c r="M135" s="51" t="str">
        <f>IFERROR(INDEX('M04-S02'!$E$18:$E$199,2*(ROWS($M$116:M135)-1)+1)&amp;" - "&amp;INDEX('M04-S02'!$C$18:$C$199,2*(ROWS($M$116:M135)-1)+1),"")</f>
        <v xml:space="preserve"> - </v>
      </c>
      <c r="N135">
        <f>IFERROR(INDEX('M04-S02'!$G$18:$G$199,2*(ROWS(N$116:N135)-1)+1),"")</f>
        <v>0</v>
      </c>
      <c r="O135">
        <f>IFERROR(INDEX('M04-S02'!$S$18:$S$199,2*(ROWS(O$116:O135)-1)+1),"")</f>
        <v>0</v>
      </c>
      <c r="P135">
        <f>IFERROR(INDEX('M04-S02'!$K$18:$K$199,2*(ROWS(P$116:P135)-1)+1),"")</f>
        <v>0</v>
      </c>
      <c r="Q135">
        <f>IFERROR(INDEX('M04-S02'!$Z$18:$Z$199,2*(ROWS(Q$116:Q135)-1)+1),"")</f>
        <v>0</v>
      </c>
      <c r="S135" t="str">
        <f>IFERROR(INDEX('M04-S02'!$AX$18:$AX$199,2*(ROWS(S$116:S135)-1)+1),"")</f>
        <v/>
      </c>
      <c r="T135" s="545" t="str">
        <f>IFERROR(ROUND(INDEX('M04-S02'!$AY$18:$AY$199,2*(ROWS(T$116:T135)-1)+1),3),"")</f>
        <v/>
      </c>
      <c r="U135" s="545" t="str">
        <f>IFERROR(ROUND(INDEX('M04-S02'!$AZ$18:$AZ$199,2*(ROWS(U$116:U135)-1)+1),3),"")</f>
        <v/>
      </c>
      <c r="V135" s="26">
        <f>IFERROR(INDEX('M04-S02'!$Q$18:$Q$199,2*(ROWS(V$116:V135)-1)+1),"")</f>
        <v>0</v>
      </c>
      <c r="W135" s="27" t="str">
        <f>IFERROR(INDEX('M04-S02'!$O$18:$O$199,2*(ROWS(W$116:W135)-1)+1),"")</f>
        <v/>
      </c>
      <c r="X135" s="27">
        <f>IFERROR(INDEX('M04-S02'!$AF$18:$AF$199,2*(ROWS(X$116:X135)-1)+1),"")</f>
        <v>0</v>
      </c>
      <c r="Y135" s="184"/>
      <c r="Z135" s="184"/>
      <c r="AA135" s="9" t="str" cm="1">
        <f t="array" ref="AA135">IFERROR(ROUND(INDEX('M04-S02'!$AR$18:$AR$199,2*(ROWS(AA$116:AA135)-1)+1), 2),"")</f>
        <v/>
      </c>
      <c r="AB135" s="164"/>
      <c r="AC135" s="9" t="str" cm="1">
        <f t="array" aca="1" ref="AC135" ca="1">IFERROR(ROUND(IF(BB135&lt;&gt;"","",INDEX('M04-S02'!$AH$18:$AH$199,2*(ROWS(AC$116:AC135)-1)+1)),2),"")</f>
        <v/>
      </c>
      <c r="AD135" s="9" t="str" cm="1">
        <f t="array" aca="1" ref="AD135" ca="1">IFERROR(ROUND(IF(BB135&lt;&gt;"","",INDEX('M04-S02'!$AJ$18:$AJ$199,2*(ROWS(AD$116:AD135)-1)+1)),2),"")</f>
        <v/>
      </c>
      <c r="AE135" s="9" t="str" cm="1">
        <f t="array" aca="1" ref="AE135" ca="1">IFERROR(ROUND(IF(BB135&lt;&gt;"","",INDEX('M04-S02'!$AL$18:$AL$199,2*(ROWS(AE$116:AE135)-1)+1)),2),"")</f>
        <v/>
      </c>
      <c r="AF135" t="str">
        <f t="shared" ca="1" si="14"/>
        <v/>
      </c>
      <c r="AG135" s="9" t="str" cm="1">
        <f t="array" aca="1" ref="AG135" ca="1">IFERROR(ROUND(IF(BB135&lt;&gt;"","",INDEX('M04-S02'!$AL$18:$AL$199,2*(ROWS(AG$116:AG135)-1)+1)),2),"")</f>
        <v/>
      </c>
      <c r="AH135" s="184"/>
      <c r="AI135" s="191"/>
      <c r="AJ135" s="32" t="str">
        <f ca="1">IFERROR(ROUND(IF(BA135&lt;&gt;"","",INDEX('M04-S02'!$AO$18:$AO$199,2*(ROWS(AJ$116:AJ135)-1)+1)),4),"")</f>
        <v/>
      </c>
      <c r="AK135" s="32" t="str">
        <f ca="1">IFERROR(ROUND(IF(BA135&lt;&gt;"","",INDEX('M04-S02'!$BF$18:$BF$199,2*(ROWS(AK$116:AK135)-1)+1)),4),"")</f>
        <v/>
      </c>
      <c r="AL135" s="32" t="str">
        <f ca="1">IFERROR(ROUND(IF(BA135&lt;&gt;"","",INDEX('M04-S02'!$BG$18:$BG$199,2*(ROWS(AL$116:AL135)-1)+1)),4),"")</f>
        <v/>
      </c>
      <c r="AM135" s="32" t="str" cm="1">
        <f t="array" ref="AM135">IFERROR(ROUND(INDEX('M04-S02'!$BA$18:$BA$199,2*(ROWS(AM$116:AM135)-1)+1),4),"")</f>
        <v/>
      </c>
      <c r="AN135" s="32" t="str" cm="1">
        <f t="array" ref="AN135">IFERROR(ROUND(INDEX('M04-S02'!$BB$18:$BB$199,2*(ROWS(AN$116:AN135)-1)+1),4),"")</f>
        <v/>
      </c>
      <c r="AO135" s="32"/>
      <c r="AP135" s="9">
        <f ca="1">IFERROR(ROUND(IF(BB135&lt;&gt;"",INDEX('M04-S02'!$AH$18:$AH$199,2*(ROWS(AP$116:AP135)-1)+1),""),2),"")</f>
        <v>0</v>
      </c>
      <c r="AQ135" s="9">
        <f ca="1">IFERROR(ROUND(IF(BB135&lt;&gt;"",INDEX('M04-S02'!$AJ$18:$AJ$199,2*(ROWS(AQ$116:AQ135)-1)+1),""),2),"")</f>
        <v>0</v>
      </c>
      <c r="AR135" s="536" t="str" cm="1">
        <f t="array" aca="1" ref="AR135" ca="1">IFERROR(ROUND(IF(BB135&lt;&gt;"", INDEX('M04-S02'!$AL$18:$AL$199,2*(ROWS(AT$116:AT135)-1)+1), ""),2),"")</f>
        <v/>
      </c>
      <c r="AS135" t="str">
        <f t="shared" ca="1" si="15"/>
        <v>Incremental</v>
      </c>
      <c r="AT135" s="536" t="str" cm="1">
        <f t="array" aca="1" ref="AT135" ca="1">IFERROR(ROUND(IF(BB135&lt;&gt;"", INDEX('M04-S02'!$AL$18:$AL$199,2*(ROWS(AT$116:AT135)-1)+1), ""),2),"")</f>
        <v/>
      </c>
      <c r="AU135" s="184"/>
      <c r="AV135" s="5">
        <f ca="1">IFERROR(IF(BB135&lt;&gt;"",ROUND(INDEX('M04-S02'!$M$18:$M$199,2*(ROWS(AV$116:AV135)-1)+1),3),""),"")</f>
        <v>0</v>
      </c>
      <c r="AW135" s="5">
        <f ca="1">IFERROR(IF(BB135&lt;&gt;"",ROUND(INDEX('M04-S02'!$AD$18:$AD$199,2*(ROWS(AW$116:AW135)-1)+1),3),""),"")</f>
        <v>0</v>
      </c>
      <c r="AX135" s="184"/>
      <c r="AY135" s="26" t="str">
        <f ca="1">IFERROR(IF(BB135&lt;&gt;"",INDEX('M04-S02'!$AO$18:$AO$199,2*(ROWS(AY$116:AY135)-1)+1),""),"")</f>
        <v/>
      </c>
      <c r="AZ135" s="32" t="str">
        <f ca="1">IFERROR(IF(BB135&lt;&gt;"",INDEX('M04-S02'!$BF$18:$BF$199,2*(ROWS(AZ$116:AZ135)-1)+1),""),"")</f>
        <v/>
      </c>
      <c r="BA135" s="32" t="str">
        <f ca="1">IFERROR(IF(BB135&lt;&gt;"",INDEX('M04-S02'!$BG$18:$BG$199,2*(ROWS(BA$116:BA135)-1)+1),""),"")</f>
        <v/>
      </c>
      <c r="BB135" t="str">
        <f ca="1">IFERROR(INDEX('M04-S02'!$BY$18:$BY$199,2*(ROWS(BB$116:BB135)-1)+1),"")</f>
        <v>Enter Utility Rate</v>
      </c>
    </row>
    <row r="136" spans="1:54">
      <c r="A136" s="10">
        <f t="shared" si="12"/>
        <v>0</v>
      </c>
      <c r="B136" t="str">
        <f t="shared" si="13"/>
        <v/>
      </c>
      <c r="C136" t="str" cm="1">
        <f t="array" ref="C136">IFERROR(_xlfn.VALUETOTEXT(INDEX('M04-S02'!$BW$18:$BW$199,2*(ROWS($C$116:C136)-1)+1)),"")</f>
        <v/>
      </c>
      <c r="D136">
        <f>IFERROR(INDEX('M04-S02'!$B$18:$B$199,2*(ROWS(D$116:D136)-1)+1),"")</f>
        <v>21</v>
      </c>
      <c r="E136" s="51" t="str" cm="1">
        <f t="array" ref="E136">IFERROR(_xlfn.VALUETOTEXT(INDEX('M04-S02'!$BX$18:$BX$199,2*(ROWS($E$116:E136)-1)+1)),"")</f>
        <v/>
      </c>
      <c r="F136" t="str" cm="1">
        <f t="array" ref="F136">IF(C136&lt;&gt;"", _xlfn.SWITCH(Program_Banner, "Small Business / Non-Profit", "Hard-To-Reach Business", "Business Energy Savings", "Whole Business Efficiency", ""), "")</f>
        <v/>
      </c>
      <c r="G136" t="s">
        <v>135</v>
      </c>
      <c r="H136" t="str">
        <f>IFERROR(INDEX('M04-S02'!$BC$18:$BC$199,2*(ROWS(H$116:H136)-1)+1),"")</f>
        <v/>
      </c>
      <c r="I136" t="str">
        <f>IFERROR(INDEX('M04-S02'!$BJ$18:$BJ$199,2*(ROWS(I$116:I136)-1)+1),"")</f>
        <v/>
      </c>
      <c r="J136" s="9" t="str">
        <f>IFERROR(INDEX('M04-S02'!$BN$18:$BN$199,2*(ROWS(J$116:J136)-1)+1),"")</f>
        <v/>
      </c>
      <c r="K136" s="9" t="str">
        <f>IFERROR(INDEX('M04-S02'!$BO$18:$BO$199,2*(ROWS(K$116:K136)-1)+1),"")</f>
        <v/>
      </c>
      <c r="L136" s="51" t="str">
        <f>IFERROR(INDEX('M04-S02'!$BD$18:$BD$199,2*(ROWS($L$116:L136)-1)+1), "")</f>
        <v/>
      </c>
      <c r="M136" s="51" t="str">
        <f>IFERROR(INDEX('M04-S02'!$E$18:$E$199,2*(ROWS($M$116:M136)-1)+1)&amp;" - "&amp;INDEX('M04-S02'!$C$18:$C$199,2*(ROWS($M$116:M136)-1)+1),"")</f>
        <v xml:space="preserve"> - </v>
      </c>
      <c r="N136">
        <f>IFERROR(INDEX('M04-S02'!$G$18:$G$199,2*(ROWS(N$116:N136)-1)+1),"")</f>
        <v>0</v>
      </c>
      <c r="O136">
        <f>IFERROR(INDEX('M04-S02'!$S$18:$S$199,2*(ROWS(O$116:O136)-1)+1),"")</f>
        <v>0</v>
      </c>
      <c r="P136">
        <f>IFERROR(INDEX('M04-S02'!$K$18:$K$199,2*(ROWS(P$116:P136)-1)+1),"")</f>
        <v>0</v>
      </c>
      <c r="Q136">
        <f>IFERROR(INDEX('M04-S02'!$Z$18:$Z$199,2*(ROWS(Q$116:Q136)-1)+1),"")</f>
        <v>0</v>
      </c>
      <c r="S136" t="str">
        <f>IFERROR(INDEX('M04-S02'!$AX$18:$AX$199,2*(ROWS(S$116:S136)-1)+1),"")</f>
        <v/>
      </c>
      <c r="T136" s="545" t="str">
        <f>IFERROR(ROUND(INDEX('M04-S02'!$AY$18:$AY$199,2*(ROWS(T$116:T136)-1)+1),3),"")</f>
        <v/>
      </c>
      <c r="U136" s="545" t="str">
        <f>IFERROR(ROUND(INDEX('M04-S02'!$AZ$18:$AZ$199,2*(ROWS(U$116:U136)-1)+1),3),"")</f>
        <v/>
      </c>
      <c r="V136" s="26">
        <f>IFERROR(INDEX('M04-S02'!$Q$18:$Q$199,2*(ROWS(V$116:V136)-1)+1),"")</f>
        <v>0</v>
      </c>
      <c r="W136" s="27" t="str">
        <f>IFERROR(INDEX('M04-S02'!$O$18:$O$199,2*(ROWS(W$116:W136)-1)+1),"")</f>
        <v/>
      </c>
      <c r="X136" s="27">
        <f>IFERROR(INDEX('M04-S02'!$AF$18:$AF$199,2*(ROWS(X$116:X136)-1)+1),"")</f>
        <v>0</v>
      </c>
      <c r="Y136" s="184"/>
      <c r="Z136" s="184"/>
      <c r="AA136" s="9" t="str" cm="1">
        <f t="array" ref="AA136">IFERROR(ROUND(INDEX('M04-S02'!$AR$18:$AR$199,2*(ROWS(AA$116:AA136)-1)+1), 2),"")</f>
        <v/>
      </c>
      <c r="AB136" s="164"/>
      <c r="AC136" s="9" t="str" cm="1">
        <f t="array" aca="1" ref="AC136" ca="1">IFERROR(ROUND(IF(BB136&lt;&gt;"","",INDEX('M04-S02'!$AH$18:$AH$199,2*(ROWS(AC$116:AC136)-1)+1)),2),"")</f>
        <v/>
      </c>
      <c r="AD136" s="9" t="str" cm="1">
        <f t="array" aca="1" ref="AD136" ca="1">IFERROR(ROUND(IF(BB136&lt;&gt;"","",INDEX('M04-S02'!$AJ$18:$AJ$199,2*(ROWS(AD$116:AD136)-1)+1)),2),"")</f>
        <v/>
      </c>
      <c r="AE136" s="9" t="str" cm="1">
        <f t="array" aca="1" ref="AE136" ca="1">IFERROR(ROUND(IF(BB136&lt;&gt;"","",INDEX('M04-S02'!$AL$18:$AL$199,2*(ROWS(AE$116:AE136)-1)+1)),2),"")</f>
        <v/>
      </c>
      <c r="AF136" t="str">
        <f t="shared" ca="1" si="14"/>
        <v/>
      </c>
      <c r="AG136" s="9" t="str" cm="1">
        <f t="array" aca="1" ref="AG136" ca="1">IFERROR(ROUND(IF(BB136&lt;&gt;"","",INDEX('M04-S02'!$AL$18:$AL$199,2*(ROWS(AG$116:AG136)-1)+1)),2),"")</f>
        <v/>
      </c>
      <c r="AH136" s="184"/>
      <c r="AI136" s="191"/>
      <c r="AJ136" s="32" t="str">
        <f ca="1">IFERROR(ROUND(IF(BA136&lt;&gt;"","",INDEX('M04-S02'!$AO$18:$AO$199,2*(ROWS(AJ$116:AJ136)-1)+1)),4),"")</f>
        <v/>
      </c>
      <c r="AK136" s="32" t="str">
        <f ca="1">IFERROR(ROUND(IF(BA136&lt;&gt;"","",INDEX('M04-S02'!$BF$18:$BF$199,2*(ROWS(AK$116:AK136)-1)+1)),4),"")</f>
        <v/>
      </c>
      <c r="AL136" s="32" t="str">
        <f ca="1">IFERROR(ROUND(IF(BA136&lt;&gt;"","",INDEX('M04-S02'!$BG$18:$BG$199,2*(ROWS(AL$116:AL136)-1)+1)),4),"")</f>
        <v/>
      </c>
      <c r="AM136" s="32" t="str" cm="1">
        <f t="array" ref="AM136">IFERROR(ROUND(INDEX('M04-S02'!$BA$18:$BA$199,2*(ROWS(AM$116:AM136)-1)+1),4),"")</f>
        <v/>
      </c>
      <c r="AN136" s="32" t="str" cm="1">
        <f t="array" ref="AN136">IFERROR(ROUND(INDEX('M04-S02'!$BB$18:$BB$199,2*(ROWS(AN$116:AN136)-1)+1),4),"")</f>
        <v/>
      </c>
      <c r="AO136" s="32"/>
      <c r="AP136" s="9">
        <f ca="1">IFERROR(ROUND(IF(BB136&lt;&gt;"",INDEX('M04-S02'!$AH$18:$AH$199,2*(ROWS(AP$116:AP136)-1)+1),""),2),"")</f>
        <v>0</v>
      </c>
      <c r="AQ136" s="9">
        <f ca="1">IFERROR(ROUND(IF(BB136&lt;&gt;"",INDEX('M04-S02'!$AJ$18:$AJ$199,2*(ROWS(AQ$116:AQ136)-1)+1),""),2),"")</f>
        <v>0</v>
      </c>
      <c r="AR136" s="536" t="str" cm="1">
        <f t="array" aca="1" ref="AR136" ca="1">IFERROR(ROUND(IF(BB136&lt;&gt;"", INDEX('M04-S02'!$AL$18:$AL$199,2*(ROWS(AT$116:AT136)-1)+1), ""),2),"")</f>
        <v/>
      </c>
      <c r="AS136" t="str">
        <f t="shared" ca="1" si="15"/>
        <v>Incremental</v>
      </c>
      <c r="AT136" s="536" t="str" cm="1">
        <f t="array" aca="1" ref="AT136" ca="1">IFERROR(ROUND(IF(BB136&lt;&gt;"", INDEX('M04-S02'!$AL$18:$AL$199,2*(ROWS(AT$116:AT136)-1)+1), ""),2),"")</f>
        <v/>
      </c>
      <c r="AU136" s="184"/>
      <c r="AV136" s="5">
        <f ca="1">IFERROR(IF(BB136&lt;&gt;"",ROUND(INDEX('M04-S02'!$M$18:$M$199,2*(ROWS(AV$116:AV136)-1)+1),3),""),"")</f>
        <v>0</v>
      </c>
      <c r="AW136" s="5">
        <f ca="1">IFERROR(IF(BB136&lt;&gt;"",ROUND(INDEX('M04-S02'!$AD$18:$AD$199,2*(ROWS(AW$116:AW136)-1)+1),3),""),"")</f>
        <v>0</v>
      </c>
      <c r="AX136" s="184"/>
      <c r="AY136" s="26" t="str">
        <f ca="1">IFERROR(IF(BB136&lt;&gt;"",INDEX('M04-S02'!$AO$18:$AO$199,2*(ROWS(AY$116:AY136)-1)+1),""),"")</f>
        <v/>
      </c>
      <c r="AZ136" s="32" t="str">
        <f ca="1">IFERROR(IF(BB136&lt;&gt;"",INDEX('M04-S02'!$BF$18:$BF$199,2*(ROWS(AZ$116:AZ136)-1)+1),""),"")</f>
        <v/>
      </c>
      <c r="BA136" s="32" t="str">
        <f ca="1">IFERROR(IF(BB136&lt;&gt;"",INDEX('M04-S02'!$BG$18:$BG$199,2*(ROWS(BA$116:BA136)-1)+1),""),"")</f>
        <v/>
      </c>
      <c r="BB136" t="str">
        <f ca="1">IFERROR(INDEX('M04-S02'!$BY$18:$BY$199,2*(ROWS(BB$116:BB136)-1)+1),"")</f>
        <v>Enter Utility Rate</v>
      </c>
    </row>
    <row r="137" spans="1:54">
      <c r="A137" s="10">
        <f t="shared" si="12"/>
        <v>0</v>
      </c>
      <c r="B137" t="str">
        <f t="shared" si="13"/>
        <v/>
      </c>
      <c r="C137" t="str" cm="1">
        <f t="array" ref="C137">IFERROR(_xlfn.VALUETOTEXT(INDEX('M04-S02'!$BW$18:$BW$199,2*(ROWS($C$116:C137)-1)+1)),"")</f>
        <v/>
      </c>
      <c r="D137">
        <f>IFERROR(INDEX('M04-S02'!$B$18:$B$199,2*(ROWS(D$116:D137)-1)+1),"")</f>
        <v>22</v>
      </c>
      <c r="E137" s="51" t="str" cm="1">
        <f t="array" ref="E137">IFERROR(_xlfn.VALUETOTEXT(INDEX('M04-S02'!$BX$18:$BX$199,2*(ROWS($E$116:E137)-1)+1)),"")</f>
        <v/>
      </c>
      <c r="F137" t="str" cm="1">
        <f t="array" ref="F137">IF(C137&lt;&gt;"", _xlfn.SWITCH(Program_Banner, "Small Business / Non-Profit", "Hard-To-Reach Business", "Business Energy Savings", "Whole Business Efficiency", ""), "")</f>
        <v/>
      </c>
      <c r="G137" t="s">
        <v>135</v>
      </c>
      <c r="H137" t="str">
        <f>IFERROR(INDEX('M04-S02'!$BC$18:$BC$199,2*(ROWS(H$116:H137)-1)+1),"")</f>
        <v/>
      </c>
      <c r="I137" t="str">
        <f>IFERROR(INDEX('M04-S02'!$BJ$18:$BJ$199,2*(ROWS(I$116:I137)-1)+1),"")</f>
        <v/>
      </c>
      <c r="J137" s="9" t="str">
        <f>IFERROR(INDEX('M04-S02'!$BN$18:$BN$199,2*(ROWS(J$116:J137)-1)+1),"")</f>
        <v/>
      </c>
      <c r="K137" s="9" t="str">
        <f>IFERROR(INDEX('M04-S02'!$BO$18:$BO$199,2*(ROWS(K$116:K137)-1)+1),"")</f>
        <v/>
      </c>
      <c r="L137" s="51" t="str">
        <f>IFERROR(INDEX('M04-S02'!$BD$18:$BD$199,2*(ROWS($L$116:L137)-1)+1), "")</f>
        <v/>
      </c>
      <c r="M137" s="51" t="str">
        <f>IFERROR(INDEX('M04-S02'!$E$18:$E$199,2*(ROWS($M$116:M137)-1)+1)&amp;" - "&amp;INDEX('M04-S02'!$C$18:$C$199,2*(ROWS($M$116:M137)-1)+1),"")</f>
        <v xml:space="preserve"> - </v>
      </c>
      <c r="N137">
        <f>IFERROR(INDEX('M04-S02'!$G$18:$G$199,2*(ROWS(N$116:N137)-1)+1),"")</f>
        <v>0</v>
      </c>
      <c r="O137">
        <f>IFERROR(INDEX('M04-S02'!$S$18:$S$199,2*(ROWS(O$116:O137)-1)+1),"")</f>
        <v>0</v>
      </c>
      <c r="P137">
        <f>IFERROR(INDEX('M04-S02'!$K$18:$K$199,2*(ROWS(P$116:P137)-1)+1),"")</f>
        <v>0</v>
      </c>
      <c r="Q137">
        <f>IFERROR(INDEX('M04-S02'!$Z$18:$Z$199,2*(ROWS(Q$116:Q137)-1)+1),"")</f>
        <v>0</v>
      </c>
      <c r="S137" t="str">
        <f>IFERROR(INDEX('M04-S02'!$AX$18:$AX$199,2*(ROWS(S$116:S137)-1)+1),"")</f>
        <v/>
      </c>
      <c r="T137" s="545" t="str">
        <f>IFERROR(ROUND(INDEX('M04-S02'!$AY$18:$AY$199,2*(ROWS(T$116:T137)-1)+1),3),"")</f>
        <v/>
      </c>
      <c r="U137" s="545" t="str">
        <f>IFERROR(ROUND(INDEX('M04-S02'!$AZ$18:$AZ$199,2*(ROWS(U$116:U137)-1)+1),3),"")</f>
        <v/>
      </c>
      <c r="V137" s="26">
        <f>IFERROR(INDEX('M04-S02'!$Q$18:$Q$199,2*(ROWS(V$116:V137)-1)+1),"")</f>
        <v>0</v>
      </c>
      <c r="W137" s="27" t="str">
        <f>IFERROR(INDEX('M04-S02'!$O$18:$O$199,2*(ROWS(W$116:W137)-1)+1),"")</f>
        <v/>
      </c>
      <c r="X137" s="27">
        <f>IFERROR(INDEX('M04-S02'!$AF$18:$AF$199,2*(ROWS(X$116:X137)-1)+1),"")</f>
        <v>0</v>
      </c>
      <c r="Y137" s="184"/>
      <c r="Z137" s="184"/>
      <c r="AA137" s="9" t="str" cm="1">
        <f t="array" ref="AA137">IFERROR(ROUND(INDEX('M04-S02'!$AR$18:$AR$199,2*(ROWS(AA$116:AA137)-1)+1), 2),"")</f>
        <v/>
      </c>
      <c r="AB137" s="164"/>
      <c r="AC137" s="9" t="str" cm="1">
        <f t="array" aca="1" ref="AC137" ca="1">IFERROR(ROUND(IF(BB137&lt;&gt;"","",INDEX('M04-S02'!$AH$18:$AH$199,2*(ROWS(AC$116:AC137)-1)+1)),2),"")</f>
        <v/>
      </c>
      <c r="AD137" s="9" t="str" cm="1">
        <f t="array" aca="1" ref="AD137" ca="1">IFERROR(ROUND(IF(BB137&lt;&gt;"","",INDEX('M04-S02'!$AJ$18:$AJ$199,2*(ROWS(AD$116:AD137)-1)+1)),2),"")</f>
        <v/>
      </c>
      <c r="AE137" s="9" t="str" cm="1">
        <f t="array" aca="1" ref="AE137" ca="1">IFERROR(ROUND(IF(BB137&lt;&gt;"","",INDEX('M04-S02'!$AL$18:$AL$199,2*(ROWS(AE$116:AE137)-1)+1)),2),"")</f>
        <v/>
      </c>
      <c r="AF137" t="str">
        <f t="shared" ca="1" si="14"/>
        <v/>
      </c>
      <c r="AG137" s="9" t="str" cm="1">
        <f t="array" aca="1" ref="AG137" ca="1">IFERROR(ROUND(IF(BB137&lt;&gt;"","",INDEX('M04-S02'!$AL$18:$AL$199,2*(ROWS(AG$116:AG137)-1)+1)),2),"")</f>
        <v/>
      </c>
      <c r="AH137" s="184"/>
      <c r="AI137" s="191"/>
      <c r="AJ137" s="32" t="str">
        <f ca="1">IFERROR(ROUND(IF(BA137&lt;&gt;"","",INDEX('M04-S02'!$AO$18:$AO$199,2*(ROWS(AJ$116:AJ137)-1)+1)),4),"")</f>
        <v/>
      </c>
      <c r="AK137" s="32" t="str">
        <f ca="1">IFERROR(ROUND(IF(BA137&lt;&gt;"","",INDEX('M04-S02'!$BF$18:$BF$199,2*(ROWS(AK$116:AK137)-1)+1)),4),"")</f>
        <v/>
      </c>
      <c r="AL137" s="32" t="str">
        <f ca="1">IFERROR(ROUND(IF(BA137&lt;&gt;"","",INDEX('M04-S02'!$BG$18:$BG$199,2*(ROWS(AL$116:AL137)-1)+1)),4),"")</f>
        <v/>
      </c>
      <c r="AM137" s="32" t="str" cm="1">
        <f t="array" ref="AM137">IFERROR(ROUND(INDEX('M04-S02'!$BA$18:$BA$199,2*(ROWS(AM$116:AM137)-1)+1),4),"")</f>
        <v/>
      </c>
      <c r="AN137" s="32" t="str" cm="1">
        <f t="array" ref="AN137">IFERROR(ROUND(INDEX('M04-S02'!$BB$18:$BB$199,2*(ROWS(AN$116:AN137)-1)+1),4),"")</f>
        <v/>
      </c>
      <c r="AO137" s="32"/>
      <c r="AP137" s="9">
        <f ca="1">IFERROR(ROUND(IF(BB137&lt;&gt;"",INDEX('M04-S02'!$AH$18:$AH$199,2*(ROWS(AP$116:AP137)-1)+1),""),2),"")</f>
        <v>0</v>
      </c>
      <c r="AQ137" s="9">
        <f ca="1">IFERROR(ROUND(IF(BB137&lt;&gt;"",INDEX('M04-S02'!$AJ$18:$AJ$199,2*(ROWS(AQ$116:AQ137)-1)+1),""),2),"")</f>
        <v>0</v>
      </c>
      <c r="AR137" s="536" t="str" cm="1">
        <f t="array" aca="1" ref="AR137" ca="1">IFERROR(ROUND(IF(BB137&lt;&gt;"", INDEX('M04-S02'!$AL$18:$AL$199,2*(ROWS(AT$116:AT137)-1)+1), ""),2),"")</f>
        <v/>
      </c>
      <c r="AS137" t="str">
        <f t="shared" ca="1" si="15"/>
        <v>Incremental</v>
      </c>
      <c r="AT137" s="536" t="str" cm="1">
        <f t="array" aca="1" ref="AT137" ca="1">IFERROR(ROUND(IF(BB137&lt;&gt;"", INDEX('M04-S02'!$AL$18:$AL$199,2*(ROWS(AT$116:AT137)-1)+1), ""),2),"")</f>
        <v/>
      </c>
      <c r="AU137" s="184"/>
      <c r="AV137" s="5">
        <f ca="1">IFERROR(IF(BB137&lt;&gt;"",ROUND(INDEX('M04-S02'!$M$18:$M$199,2*(ROWS(AV$116:AV137)-1)+1),3),""),"")</f>
        <v>0</v>
      </c>
      <c r="AW137" s="5">
        <f ca="1">IFERROR(IF(BB137&lt;&gt;"",ROUND(INDEX('M04-S02'!$AD$18:$AD$199,2*(ROWS(AW$116:AW137)-1)+1),3),""),"")</f>
        <v>0</v>
      </c>
      <c r="AX137" s="184"/>
      <c r="AY137" s="26" t="str">
        <f ca="1">IFERROR(IF(BB137&lt;&gt;"",INDEX('M04-S02'!$AO$18:$AO$199,2*(ROWS(AY$116:AY137)-1)+1),""),"")</f>
        <v/>
      </c>
      <c r="AZ137" s="32" t="str">
        <f ca="1">IFERROR(IF(BB137&lt;&gt;"",INDEX('M04-S02'!$BF$18:$BF$199,2*(ROWS(AZ$116:AZ137)-1)+1),""),"")</f>
        <v/>
      </c>
      <c r="BA137" s="32" t="str">
        <f ca="1">IFERROR(IF(BB137&lt;&gt;"",INDEX('M04-S02'!$BG$18:$BG$199,2*(ROWS(BA$116:BA137)-1)+1),""),"")</f>
        <v/>
      </c>
      <c r="BB137" t="str">
        <f ca="1">IFERROR(INDEX('M04-S02'!$BY$18:$BY$199,2*(ROWS(BB$116:BB137)-1)+1),"")</f>
        <v>Enter Utility Rate</v>
      </c>
    </row>
    <row r="138" spans="1:54">
      <c r="A138" s="10">
        <f t="shared" si="12"/>
        <v>0</v>
      </c>
      <c r="B138" t="str">
        <f t="shared" si="13"/>
        <v/>
      </c>
      <c r="C138" t="str" cm="1">
        <f t="array" ref="C138">IFERROR(_xlfn.VALUETOTEXT(INDEX('M04-S02'!$BW$18:$BW$199,2*(ROWS($C$116:C138)-1)+1)),"")</f>
        <v/>
      </c>
      <c r="D138">
        <f>IFERROR(INDEX('M04-S02'!$B$18:$B$199,2*(ROWS(D$116:D138)-1)+1),"")</f>
        <v>23</v>
      </c>
      <c r="E138" s="51" t="str" cm="1">
        <f t="array" ref="E138">IFERROR(_xlfn.VALUETOTEXT(INDEX('M04-S02'!$BX$18:$BX$199,2*(ROWS($E$116:E138)-1)+1)),"")</f>
        <v/>
      </c>
      <c r="F138" t="str" cm="1">
        <f t="array" ref="F138">IF(C138&lt;&gt;"", _xlfn.SWITCH(Program_Banner, "Small Business / Non-Profit", "Hard-To-Reach Business", "Business Energy Savings", "Whole Business Efficiency", ""), "")</f>
        <v/>
      </c>
      <c r="G138" t="s">
        <v>135</v>
      </c>
      <c r="H138" t="str">
        <f>IFERROR(INDEX('M04-S02'!$BC$18:$BC$199,2*(ROWS(H$116:H138)-1)+1),"")</f>
        <v/>
      </c>
      <c r="I138" t="str">
        <f>IFERROR(INDEX('M04-S02'!$BJ$18:$BJ$199,2*(ROWS(I$116:I138)-1)+1),"")</f>
        <v/>
      </c>
      <c r="J138" s="9" t="str">
        <f>IFERROR(INDEX('M04-S02'!$BN$18:$BN$199,2*(ROWS(J$116:J138)-1)+1),"")</f>
        <v/>
      </c>
      <c r="K138" s="9" t="str">
        <f>IFERROR(INDEX('M04-S02'!$BO$18:$BO$199,2*(ROWS(K$116:K138)-1)+1),"")</f>
        <v/>
      </c>
      <c r="L138" s="51" t="str">
        <f>IFERROR(INDEX('M04-S02'!$BD$18:$BD$199,2*(ROWS($L$116:L138)-1)+1), "")</f>
        <v/>
      </c>
      <c r="M138" s="51" t="str">
        <f>IFERROR(INDEX('M04-S02'!$E$18:$E$199,2*(ROWS($M$116:M138)-1)+1)&amp;" - "&amp;INDEX('M04-S02'!$C$18:$C$199,2*(ROWS($M$116:M138)-1)+1),"")</f>
        <v xml:space="preserve"> - </v>
      </c>
      <c r="N138">
        <f>IFERROR(INDEX('M04-S02'!$G$18:$G$199,2*(ROWS(N$116:N138)-1)+1),"")</f>
        <v>0</v>
      </c>
      <c r="O138">
        <f>IFERROR(INDEX('M04-S02'!$S$18:$S$199,2*(ROWS(O$116:O138)-1)+1),"")</f>
        <v>0</v>
      </c>
      <c r="P138">
        <f>IFERROR(INDEX('M04-S02'!$K$18:$K$199,2*(ROWS(P$116:P138)-1)+1),"")</f>
        <v>0</v>
      </c>
      <c r="Q138">
        <f>IFERROR(INDEX('M04-S02'!$Z$18:$Z$199,2*(ROWS(Q$116:Q138)-1)+1),"")</f>
        <v>0</v>
      </c>
      <c r="S138" t="str">
        <f>IFERROR(INDEX('M04-S02'!$AX$18:$AX$199,2*(ROWS(S$116:S138)-1)+1),"")</f>
        <v/>
      </c>
      <c r="T138" s="545" t="str">
        <f>IFERROR(ROUND(INDEX('M04-S02'!$AY$18:$AY$199,2*(ROWS(T$116:T138)-1)+1),3),"")</f>
        <v/>
      </c>
      <c r="U138" s="545" t="str">
        <f>IFERROR(ROUND(INDEX('M04-S02'!$AZ$18:$AZ$199,2*(ROWS(U$116:U138)-1)+1),3),"")</f>
        <v/>
      </c>
      <c r="V138" s="26">
        <f>IFERROR(INDEX('M04-S02'!$Q$18:$Q$199,2*(ROWS(V$116:V138)-1)+1),"")</f>
        <v>0</v>
      </c>
      <c r="W138" s="27" t="str">
        <f>IFERROR(INDEX('M04-S02'!$O$18:$O$199,2*(ROWS(W$116:W138)-1)+1),"")</f>
        <v/>
      </c>
      <c r="X138" s="27">
        <f>IFERROR(INDEX('M04-S02'!$AF$18:$AF$199,2*(ROWS(X$116:X138)-1)+1),"")</f>
        <v>0</v>
      </c>
      <c r="Y138" s="184"/>
      <c r="Z138" s="184"/>
      <c r="AA138" s="9" t="str" cm="1">
        <f t="array" ref="AA138">IFERROR(ROUND(INDEX('M04-S02'!$AR$18:$AR$199,2*(ROWS(AA$116:AA138)-1)+1), 2),"")</f>
        <v/>
      </c>
      <c r="AB138" s="164"/>
      <c r="AC138" s="9" t="str" cm="1">
        <f t="array" aca="1" ref="AC138" ca="1">IFERROR(ROUND(IF(BB138&lt;&gt;"","",INDEX('M04-S02'!$AH$18:$AH$199,2*(ROWS(AC$116:AC138)-1)+1)),2),"")</f>
        <v/>
      </c>
      <c r="AD138" s="9" t="str" cm="1">
        <f t="array" aca="1" ref="AD138" ca="1">IFERROR(ROUND(IF(BB138&lt;&gt;"","",INDEX('M04-S02'!$AJ$18:$AJ$199,2*(ROWS(AD$116:AD138)-1)+1)),2),"")</f>
        <v/>
      </c>
      <c r="AE138" s="9" t="str" cm="1">
        <f t="array" aca="1" ref="AE138" ca="1">IFERROR(ROUND(IF(BB138&lt;&gt;"","",INDEX('M04-S02'!$AL$18:$AL$199,2*(ROWS(AE$116:AE138)-1)+1)),2),"")</f>
        <v/>
      </c>
      <c r="AF138" t="str">
        <f t="shared" ca="1" si="14"/>
        <v/>
      </c>
      <c r="AG138" s="9" t="str" cm="1">
        <f t="array" aca="1" ref="AG138" ca="1">IFERROR(ROUND(IF(BB138&lt;&gt;"","",INDEX('M04-S02'!$AL$18:$AL$199,2*(ROWS(AG$116:AG138)-1)+1)),2),"")</f>
        <v/>
      </c>
      <c r="AH138" s="184"/>
      <c r="AI138" s="191"/>
      <c r="AJ138" s="32" t="str">
        <f ca="1">IFERROR(ROUND(IF(BA138&lt;&gt;"","",INDEX('M04-S02'!$AO$18:$AO$199,2*(ROWS(AJ$116:AJ138)-1)+1)),4),"")</f>
        <v/>
      </c>
      <c r="AK138" s="32" t="str">
        <f ca="1">IFERROR(ROUND(IF(BA138&lt;&gt;"","",INDEX('M04-S02'!$BF$18:$BF$199,2*(ROWS(AK$116:AK138)-1)+1)),4),"")</f>
        <v/>
      </c>
      <c r="AL138" s="32" t="str">
        <f ca="1">IFERROR(ROUND(IF(BA138&lt;&gt;"","",INDEX('M04-S02'!$BG$18:$BG$199,2*(ROWS(AL$116:AL138)-1)+1)),4),"")</f>
        <v/>
      </c>
      <c r="AM138" s="32" t="str" cm="1">
        <f t="array" ref="AM138">IFERROR(ROUND(INDEX('M04-S02'!$BA$18:$BA$199,2*(ROWS(AM$116:AM138)-1)+1),4),"")</f>
        <v/>
      </c>
      <c r="AN138" s="32" t="str" cm="1">
        <f t="array" ref="AN138">IFERROR(ROUND(INDEX('M04-S02'!$BB$18:$BB$199,2*(ROWS(AN$116:AN138)-1)+1),4),"")</f>
        <v/>
      </c>
      <c r="AO138" s="32"/>
      <c r="AP138" s="9">
        <f ca="1">IFERROR(ROUND(IF(BB138&lt;&gt;"",INDEX('M04-S02'!$AH$18:$AH$199,2*(ROWS(AP$116:AP138)-1)+1),""),2),"")</f>
        <v>0</v>
      </c>
      <c r="AQ138" s="9">
        <f ca="1">IFERROR(ROUND(IF(BB138&lt;&gt;"",INDEX('M04-S02'!$AJ$18:$AJ$199,2*(ROWS(AQ$116:AQ138)-1)+1),""),2),"")</f>
        <v>0</v>
      </c>
      <c r="AR138" s="536" t="str" cm="1">
        <f t="array" aca="1" ref="AR138" ca="1">IFERROR(ROUND(IF(BB138&lt;&gt;"", INDEX('M04-S02'!$AL$18:$AL$199,2*(ROWS(AT$116:AT138)-1)+1), ""),2),"")</f>
        <v/>
      </c>
      <c r="AS138" t="str">
        <f t="shared" ca="1" si="15"/>
        <v>Incremental</v>
      </c>
      <c r="AT138" s="536" t="str" cm="1">
        <f t="array" aca="1" ref="AT138" ca="1">IFERROR(ROUND(IF(BB138&lt;&gt;"", INDEX('M04-S02'!$AL$18:$AL$199,2*(ROWS(AT$116:AT138)-1)+1), ""),2),"")</f>
        <v/>
      </c>
      <c r="AU138" s="184"/>
      <c r="AV138" s="5">
        <f ca="1">IFERROR(IF(BB138&lt;&gt;"",ROUND(INDEX('M04-S02'!$M$18:$M$199,2*(ROWS(AV$116:AV138)-1)+1),3),""),"")</f>
        <v>0</v>
      </c>
      <c r="AW138" s="5">
        <f ca="1">IFERROR(IF(BB138&lt;&gt;"",ROUND(INDEX('M04-S02'!$AD$18:$AD$199,2*(ROWS(AW$116:AW138)-1)+1),3),""),"")</f>
        <v>0</v>
      </c>
      <c r="AX138" s="184"/>
      <c r="AY138" s="26" t="str">
        <f ca="1">IFERROR(IF(BB138&lt;&gt;"",INDEX('M04-S02'!$AO$18:$AO$199,2*(ROWS(AY$116:AY138)-1)+1),""),"")</f>
        <v/>
      </c>
      <c r="AZ138" s="32" t="str">
        <f ca="1">IFERROR(IF(BB138&lt;&gt;"",INDEX('M04-S02'!$BF$18:$BF$199,2*(ROWS(AZ$116:AZ138)-1)+1),""),"")</f>
        <v/>
      </c>
      <c r="BA138" s="32" t="str">
        <f ca="1">IFERROR(IF(BB138&lt;&gt;"",INDEX('M04-S02'!$BG$18:$BG$199,2*(ROWS(BA$116:BA138)-1)+1),""),"")</f>
        <v/>
      </c>
      <c r="BB138" t="str">
        <f ca="1">IFERROR(INDEX('M04-S02'!$BY$18:$BY$199,2*(ROWS(BB$116:BB138)-1)+1),"")</f>
        <v>Enter Utility Rate</v>
      </c>
    </row>
    <row r="139" spans="1:54">
      <c r="A139" s="10">
        <f t="shared" si="12"/>
        <v>0</v>
      </c>
      <c r="B139" t="str">
        <f t="shared" si="13"/>
        <v/>
      </c>
      <c r="C139" t="str" cm="1">
        <f t="array" ref="C139">IFERROR(_xlfn.VALUETOTEXT(INDEX('M04-S02'!$BW$18:$BW$199,2*(ROWS($C$116:C139)-1)+1)),"")</f>
        <v/>
      </c>
      <c r="D139">
        <f>IFERROR(INDEX('M04-S02'!$B$18:$B$199,2*(ROWS(D$116:D139)-1)+1),"")</f>
        <v>24</v>
      </c>
      <c r="E139" s="51" t="str" cm="1">
        <f t="array" ref="E139">IFERROR(_xlfn.VALUETOTEXT(INDEX('M04-S02'!$BX$18:$BX$199,2*(ROWS($E$116:E139)-1)+1)),"")</f>
        <v/>
      </c>
      <c r="F139" t="str" cm="1">
        <f t="array" ref="F139">IF(C139&lt;&gt;"", _xlfn.SWITCH(Program_Banner, "Small Business / Non-Profit", "Hard-To-Reach Business", "Business Energy Savings", "Whole Business Efficiency", ""), "")</f>
        <v/>
      </c>
      <c r="G139" t="s">
        <v>135</v>
      </c>
      <c r="H139" t="str">
        <f>IFERROR(INDEX('M04-S02'!$BC$18:$BC$199,2*(ROWS(H$116:H139)-1)+1),"")</f>
        <v/>
      </c>
      <c r="I139" t="str">
        <f>IFERROR(INDEX('M04-S02'!$BJ$18:$BJ$199,2*(ROWS(I$116:I139)-1)+1),"")</f>
        <v/>
      </c>
      <c r="J139" s="9" t="str">
        <f>IFERROR(INDEX('M04-S02'!$BN$18:$BN$199,2*(ROWS(J$116:J139)-1)+1),"")</f>
        <v/>
      </c>
      <c r="K139" s="9" t="str">
        <f>IFERROR(INDEX('M04-S02'!$BO$18:$BO$199,2*(ROWS(K$116:K139)-1)+1),"")</f>
        <v/>
      </c>
      <c r="L139" s="51" t="str">
        <f>IFERROR(INDEX('M04-S02'!$BD$18:$BD$199,2*(ROWS($L$116:L139)-1)+1), "")</f>
        <v/>
      </c>
      <c r="M139" s="51" t="str">
        <f>IFERROR(INDEX('M04-S02'!$E$18:$E$199,2*(ROWS($M$116:M139)-1)+1)&amp;" - "&amp;INDEX('M04-S02'!$C$18:$C$199,2*(ROWS($M$116:M139)-1)+1),"")</f>
        <v xml:space="preserve"> - </v>
      </c>
      <c r="N139">
        <f>IFERROR(INDEX('M04-S02'!$G$18:$G$199,2*(ROWS(N$116:N139)-1)+1),"")</f>
        <v>0</v>
      </c>
      <c r="O139">
        <f>IFERROR(INDEX('M04-S02'!$S$18:$S$199,2*(ROWS(O$116:O139)-1)+1),"")</f>
        <v>0</v>
      </c>
      <c r="P139">
        <f>IFERROR(INDEX('M04-S02'!$K$18:$K$199,2*(ROWS(P$116:P139)-1)+1),"")</f>
        <v>0</v>
      </c>
      <c r="Q139">
        <f>IFERROR(INDEX('M04-S02'!$Z$18:$Z$199,2*(ROWS(Q$116:Q139)-1)+1),"")</f>
        <v>0</v>
      </c>
      <c r="S139" t="str">
        <f>IFERROR(INDEX('M04-S02'!$AX$18:$AX$199,2*(ROWS(S$116:S139)-1)+1),"")</f>
        <v/>
      </c>
      <c r="T139" s="545" t="str">
        <f>IFERROR(ROUND(INDEX('M04-S02'!$AY$18:$AY$199,2*(ROWS(T$116:T139)-1)+1),3),"")</f>
        <v/>
      </c>
      <c r="U139" s="545" t="str">
        <f>IFERROR(ROUND(INDEX('M04-S02'!$AZ$18:$AZ$199,2*(ROWS(U$116:U139)-1)+1),3),"")</f>
        <v/>
      </c>
      <c r="V139" s="26">
        <f>IFERROR(INDEX('M04-S02'!$Q$18:$Q$199,2*(ROWS(V$116:V139)-1)+1),"")</f>
        <v>0</v>
      </c>
      <c r="W139" s="27" t="str">
        <f>IFERROR(INDEX('M04-S02'!$O$18:$O$199,2*(ROWS(W$116:W139)-1)+1),"")</f>
        <v/>
      </c>
      <c r="X139" s="27">
        <f>IFERROR(INDEX('M04-S02'!$AF$18:$AF$199,2*(ROWS(X$116:X139)-1)+1),"")</f>
        <v>0</v>
      </c>
      <c r="Y139" s="184"/>
      <c r="Z139" s="184"/>
      <c r="AA139" s="9" t="str" cm="1">
        <f t="array" ref="AA139">IFERROR(ROUND(INDEX('M04-S02'!$AR$18:$AR$199,2*(ROWS(AA$116:AA139)-1)+1), 2),"")</f>
        <v/>
      </c>
      <c r="AB139" s="164"/>
      <c r="AC139" s="9" t="str" cm="1">
        <f t="array" aca="1" ref="AC139" ca="1">IFERROR(ROUND(IF(BB139&lt;&gt;"","",INDEX('M04-S02'!$AH$18:$AH$199,2*(ROWS(AC$116:AC139)-1)+1)),2),"")</f>
        <v/>
      </c>
      <c r="AD139" s="9" t="str" cm="1">
        <f t="array" aca="1" ref="AD139" ca="1">IFERROR(ROUND(IF(BB139&lt;&gt;"","",INDEX('M04-S02'!$AJ$18:$AJ$199,2*(ROWS(AD$116:AD139)-1)+1)),2),"")</f>
        <v/>
      </c>
      <c r="AE139" s="9" t="str" cm="1">
        <f t="array" aca="1" ref="AE139" ca="1">IFERROR(ROUND(IF(BB139&lt;&gt;"","",INDEX('M04-S02'!$AL$18:$AL$199,2*(ROWS(AE$116:AE139)-1)+1)),2),"")</f>
        <v/>
      </c>
      <c r="AF139" t="str">
        <f t="shared" ca="1" si="14"/>
        <v/>
      </c>
      <c r="AG139" s="9" t="str" cm="1">
        <f t="array" aca="1" ref="AG139" ca="1">IFERROR(ROUND(IF(BB139&lt;&gt;"","",INDEX('M04-S02'!$AL$18:$AL$199,2*(ROWS(AG$116:AG139)-1)+1)),2),"")</f>
        <v/>
      </c>
      <c r="AH139" s="184"/>
      <c r="AI139" s="191"/>
      <c r="AJ139" s="32" t="str">
        <f ca="1">IFERROR(ROUND(IF(BA139&lt;&gt;"","",INDEX('M04-S02'!$AO$18:$AO$199,2*(ROWS(AJ$116:AJ139)-1)+1)),4),"")</f>
        <v/>
      </c>
      <c r="AK139" s="32" t="str">
        <f ca="1">IFERROR(ROUND(IF(BA139&lt;&gt;"","",INDEX('M04-S02'!$BF$18:$BF$199,2*(ROWS(AK$116:AK139)-1)+1)),4),"")</f>
        <v/>
      </c>
      <c r="AL139" s="32" t="str">
        <f ca="1">IFERROR(ROUND(IF(BA139&lt;&gt;"","",INDEX('M04-S02'!$BG$18:$BG$199,2*(ROWS(AL$116:AL139)-1)+1)),4),"")</f>
        <v/>
      </c>
      <c r="AM139" s="32" t="str" cm="1">
        <f t="array" ref="AM139">IFERROR(ROUND(INDEX('M04-S02'!$BA$18:$BA$199,2*(ROWS(AM$116:AM139)-1)+1),4),"")</f>
        <v/>
      </c>
      <c r="AN139" s="32" t="str" cm="1">
        <f t="array" ref="AN139">IFERROR(ROUND(INDEX('M04-S02'!$BB$18:$BB$199,2*(ROWS(AN$116:AN139)-1)+1),4),"")</f>
        <v/>
      </c>
      <c r="AO139" s="32"/>
      <c r="AP139" s="9">
        <f ca="1">IFERROR(ROUND(IF(BB139&lt;&gt;"",INDEX('M04-S02'!$AH$18:$AH$199,2*(ROWS(AP$116:AP139)-1)+1),""),2),"")</f>
        <v>0</v>
      </c>
      <c r="AQ139" s="9">
        <f ca="1">IFERROR(ROUND(IF(BB139&lt;&gt;"",INDEX('M04-S02'!$AJ$18:$AJ$199,2*(ROWS(AQ$116:AQ139)-1)+1),""),2),"")</f>
        <v>0</v>
      </c>
      <c r="AR139" s="536" t="str" cm="1">
        <f t="array" aca="1" ref="AR139" ca="1">IFERROR(ROUND(IF(BB139&lt;&gt;"", INDEX('M04-S02'!$AL$18:$AL$199,2*(ROWS(AT$116:AT139)-1)+1), ""),2),"")</f>
        <v/>
      </c>
      <c r="AS139" t="str">
        <f t="shared" ca="1" si="15"/>
        <v>Incremental</v>
      </c>
      <c r="AT139" s="536" t="str" cm="1">
        <f t="array" aca="1" ref="AT139" ca="1">IFERROR(ROUND(IF(BB139&lt;&gt;"", INDEX('M04-S02'!$AL$18:$AL$199,2*(ROWS(AT$116:AT139)-1)+1), ""),2),"")</f>
        <v/>
      </c>
      <c r="AU139" s="184"/>
      <c r="AV139" s="5">
        <f ca="1">IFERROR(IF(BB139&lt;&gt;"",ROUND(INDEX('M04-S02'!$M$18:$M$199,2*(ROWS(AV$116:AV139)-1)+1),3),""),"")</f>
        <v>0</v>
      </c>
      <c r="AW139" s="5">
        <f ca="1">IFERROR(IF(BB139&lt;&gt;"",ROUND(INDEX('M04-S02'!$AD$18:$AD$199,2*(ROWS(AW$116:AW139)-1)+1),3),""),"")</f>
        <v>0</v>
      </c>
      <c r="AX139" s="184"/>
      <c r="AY139" s="26" t="str">
        <f ca="1">IFERROR(IF(BB139&lt;&gt;"",INDEX('M04-S02'!$AO$18:$AO$199,2*(ROWS(AY$116:AY139)-1)+1),""),"")</f>
        <v/>
      </c>
      <c r="AZ139" s="32" t="str">
        <f ca="1">IFERROR(IF(BB139&lt;&gt;"",INDEX('M04-S02'!$BF$18:$BF$199,2*(ROWS(AZ$116:AZ139)-1)+1),""),"")</f>
        <v/>
      </c>
      <c r="BA139" s="32" t="str">
        <f ca="1">IFERROR(IF(BB139&lt;&gt;"",INDEX('M04-S02'!$BG$18:$BG$199,2*(ROWS(BA$116:BA139)-1)+1),""),"")</f>
        <v/>
      </c>
      <c r="BB139" t="str">
        <f ca="1">IFERROR(INDEX('M04-S02'!$BY$18:$BY$199,2*(ROWS(BB$116:BB139)-1)+1),"")</f>
        <v>Enter Utility Rate</v>
      </c>
    </row>
    <row r="140" spans="1:54">
      <c r="A140" s="10">
        <f t="shared" si="12"/>
        <v>0</v>
      </c>
      <c r="B140" t="str">
        <f t="shared" si="13"/>
        <v/>
      </c>
      <c r="C140" t="str" cm="1">
        <f t="array" ref="C140">IFERROR(_xlfn.VALUETOTEXT(INDEX('M04-S02'!$BW$18:$BW$199,2*(ROWS($C$116:C140)-1)+1)),"")</f>
        <v/>
      </c>
      <c r="D140">
        <f>IFERROR(INDEX('M04-S02'!$B$18:$B$199,2*(ROWS(D$116:D140)-1)+1),"")</f>
        <v>25</v>
      </c>
      <c r="E140" s="51" t="str" cm="1">
        <f t="array" ref="E140">IFERROR(_xlfn.VALUETOTEXT(INDEX('M04-S02'!$BX$18:$BX$199,2*(ROWS($E$116:E140)-1)+1)),"")</f>
        <v/>
      </c>
      <c r="F140" t="str" cm="1">
        <f t="array" ref="F140">IF(C140&lt;&gt;"", _xlfn.SWITCH(Program_Banner, "Small Business / Non-Profit", "Hard-To-Reach Business", "Business Energy Savings", "Whole Business Efficiency", ""), "")</f>
        <v/>
      </c>
      <c r="G140" t="s">
        <v>135</v>
      </c>
      <c r="H140" t="str">
        <f>IFERROR(INDEX('M04-S02'!$BC$18:$BC$199,2*(ROWS(H$116:H140)-1)+1),"")</f>
        <v/>
      </c>
      <c r="I140" t="str">
        <f>IFERROR(INDEX('M04-S02'!$BJ$18:$BJ$199,2*(ROWS(I$116:I140)-1)+1),"")</f>
        <v/>
      </c>
      <c r="J140" s="9" t="str">
        <f>IFERROR(INDEX('M04-S02'!$BN$18:$BN$199,2*(ROWS(J$116:J140)-1)+1),"")</f>
        <v/>
      </c>
      <c r="K140" s="9" t="str">
        <f>IFERROR(INDEX('M04-S02'!$BO$18:$BO$199,2*(ROWS(K$116:K140)-1)+1),"")</f>
        <v/>
      </c>
      <c r="L140" s="51" t="str">
        <f>IFERROR(INDEX('M04-S02'!$BD$18:$BD$199,2*(ROWS($L$116:L140)-1)+1), "")</f>
        <v/>
      </c>
      <c r="M140" s="51" t="str">
        <f>IFERROR(INDEX('M04-S02'!$E$18:$E$199,2*(ROWS($M$116:M140)-1)+1)&amp;" - "&amp;INDEX('M04-S02'!$C$18:$C$199,2*(ROWS($M$116:M140)-1)+1),"")</f>
        <v xml:space="preserve"> - </v>
      </c>
      <c r="N140">
        <f>IFERROR(INDEX('M04-S02'!$G$18:$G$199,2*(ROWS(N$116:N140)-1)+1),"")</f>
        <v>0</v>
      </c>
      <c r="O140">
        <f>IFERROR(INDEX('M04-S02'!$S$18:$S$199,2*(ROWS(O$116:O140)-1)+1),"")</f>
        <v>0</v>
      </c>
      <c r="P140">
        <f>IFERROR(INDEX('M04-S02'!$K$18:$K$199,2*(ROWS(P$116:P140)-1)+1),"")</f>
        <v>0</v>
      </c>
      <c r="Q140">
        <f>IFERROR(INDEX('M04-S02'!$Z$18:$Z$199,2*(ROWS(Q$116:Q140)-1)+1),"")</f>
        <v>0</v>
      </c>
      <c r="S140" t="str">
        <f>IFERROR(INDEX('M04-S02'!$AX$18:$AX$199,2*(ROWS(S$116:S140)-1)+1),"")</f>
        <v/>
      </c>
      <c r="T140" s="545" t="str">
        <f>IFERROR(ROUND(INDEX('M04-S02'!$AY$18:$AY$199,2*(ROWS(T$116:T140)-1)+1),3),"")</f>
        <v/>
      </c>
      <c r="U140" s="545" t="str">
        <f>IFERROR(ROUND(INDEX('M04-S02'!$AZ$18:$AZ$199,2*(ROWS(U$116:U140)-1)+1),3),"")</f>
        <v/>
      </c>
      <c r="V140" s="26">
        <f>IFERROR(INDEX('M04-S02'!$Q$18:$Q$199,2*(ROWS(V$116:V140)-1)+1),"")</f>
        <v>0</v>
      </c>
      <c r="W140" s="27" t="str">
        <f>IFERROR(INDEX('M04-S02'!$O$18:$O$199,2*(ROWS(W$116:W140)-1)+1),"")</f>
        <v/>
      </c>
      <c r="X140" s="27">
        <f>IFERROR(INDEX('M04-S02'!$AF$18:$AF$199,2*(ROWS(X$116:X140)-1)+1),"")</f>
        <v>0</v>
      </c>
      <c r="Y140" s="184"/>
      <c r="Z140" s="184"/>
      <c r="AA140" s="9" t="str" cm="1">
        <f t="array" ref="AA140">IFERROR(ROUND(INDEX('M04-S02'!$AR$18:$AR$199,2*(ROWS(AA$116:AA140)-1)+1), 2),"")</f>
        <v/>
      </c>
      <c r="AB140" s="164"/>
      <c r="AC140" s="9" t="str" cm="1">
        <f t="array" aca="1" ref="AC140" ca="1">IFERROR(ROUND(IF(BB140&lt;&gt;"","",INDEX('M04-S02'!$AH$18:$AH$199,2*(ROWS(AC$116:AC140)-1)+1)),2),"")</f>
        <v/>
      </c>
      <c r="AD140" s="9" t="str" cm="1">
        <f t="array" aca="1" ref="AD140" ca="1">IFERROR(ROUND(IF(BB140&lt;&gt;"","",INDEX('M04-S02'!$AJ$18:$AJ$199,2*(ROWS(AD$116:AD140)-1)+1)),2),"")</f>
        <v/>
      </c>
      <c r="AE140" s="9" t="str" cm="1">
        <f t="array" aca="1" ref="AE140" ca="1">IFERROR(ROUND(IF(BB140&lt;&gt;"","",INDEX('M04-S02'!$AL$18:$AL$199,2*(ROWS(AE$116:AE140)-1)+1)),2),"")</f>
        <v/>
      </c>
      <c r="AF140" t="str">
        <f t="shared" ca="1" si="14"/>
        <v/>
      </c>
      <c r="AG140" s="9" t="str" cm="1">
        <f t="array" aca="1" ref="AG140" ca="1">IFERROR(ROUND(IF(BB140&lt;&gt;"","",INDEX('M04-S02'!$AL$18:$AL$199,2*(ROWS(AG$116:AG140)-1)+1)),2),"")</f>
        <v/>
      </c>
      <c r="AH140" s="184"/>
      <c r="AI140" s="191"/>
      <c r="AJ140" s="32" t="str">
        <f ca="1">IFERROR(ROUND(IF(BA140&lt;&gt;"","",INDEX('M04-S02'!$AO$18:$AO$199,2*(ROWS(AJ$116:AJ140)-1)+1)),4),"")</f>
        <v/>
      </c>
      <c r="AK140" s="32" t="str">
        <f ca="1">IFERROR(ROUND(IF(BA140&lt;&gt;"","",INDEX('M04-S02'!$BF$18:$BF$199,2*(ROWS(AK$116:AK140)-1)+1)),4),"")</f>
        <v/>
      </c>
      <c r="AL140" s="32" t="str">
        <f ca="1">IFERROR(ROUND(IF(BA140&lt;&gt;"","",INDEX('M04-S02'!$BG$18:$BG$199,2*(ROWS(AL$116:AL140)-1)+1)),4),"")</f>
        <v/>
      </c>
      <c r="AM140" s="32" t="str" cm="1">
        <f t="array" ref="AM140">IFERROR(ROUND(INDEX('M04-S02'!$BA$18:$BA$199,2*(ROWS(AM$116:AM140)-1)+1),4),"")</f>
        <v/>
      </c>
      <c r="AN140" s="32" t="str" cm="1">
        <f t="array" ref="AN140">IFERROR(ROUND(INDEX('M04-S02'!$BB$18:$BB$199,2*(ROWS(AN$116:AN140)-1)+1),4),"")</f>
        <v/>
      </c>
      <c r="AO140" s="32"/>
      <c r="AP140" s="9">
        <f ca="1">IFERROR(ROUND(IF(BB140&lt;&gt;"",INDEX('M04-S02'!$AH$18:$AH$199,2*(ROWS(AP$116:AP140)-1)+1),""),2),"")</f>
        <v>0</v>
      </c>
      <c r="AQ140" s="9">
        <f ca="1">IFERROR(ROUND(IF(BB140&lt;&gt;"",INDEX('M04-S02'!$AJ$18:$AJ$199,2*(ROWS(AQ$116:AQ140)-1)+1),""),2),"")</f>
        <v>0</v>
      </c>
      <c r="AR140" s="536" t="str" cm="1">
        <f t="array" aca="1" ref="AR140" ca="1">IFERROR(ROUND(IF(BB140&lt;&gt;"", INDEX('M04-S02'!$AL$18:$AL$199,2*(ROWS(AT$116:AT140)-1)+1), ""),2),"")</f>
        <v/>
      </c>
      <c r="AS140" t="str">
        <f t="shared" ca="1" si="15"/>
        <v>Incremental</v>
      </c>
      <c r="AT140" s="536" t="str" cm="1">
        <f t="array" aca="1" ref="AT140" ca="1">IFERROR(ROUND(IF(BB140&lt;&gt;"", INDEX('M04-S02'!$AL$18:$AL$199,2*(ROWS(AT$116:AT140)-1)+1), ""),2),"")</f>
        <v/>
      </c>
      <c r="AU140" s="184"/>
      <c r="AV140" s="5">
        <f ca="1">IFERROR(IF(BB140&lt;&gt;"",ROUND(INDEX('M04-S02'!$M$18:$M$199,2*(ROWS(AV$116:AV140)-1)+1),3),""),"")</f>
        <v>0</v>
      </c>
      <c r="AW140" s="5">
        <f ca="1">IFERROR(IF(BB140&lt;&gt;"",ROUND(INDEX('M04-S02'!$AD$18:$AD$199,2*(ROWS(AW$116:AW140)-1)+1),3),""),"")</f>
        <v>0</v>
      </c>
      <c r="AX140" s="184"/>
      <c r="AY140" s="26" t="str">
        <f ca="1">IFERROR(IF(BB140&lt;&gt;"",INDEX('M04-S02'!$AO$18:$AO$199,2*(ROWS(AY$116:AY140)-1)+1),""),"")</f>
        <v/>
      </c>
      <c r="AZ140" s="32" t="str">
        <f ca="1">IFERROR(IF(BB140&lt;&gt;"",INDEX('M04-S02'!$BF$18:$BF$199,2*(ROWS(AZ$116:AZ140)-1)+1),""),"")</f>
        <v/>
      </c>
      <c r="BA140" s="32" t="str">
        <f ca="1">IFERROR(IF(BB140&lt;&gt;"",INDEX('M04-S02'!$BG$18:$BG$199,2*(ROWS(BA$116:BA140)-1)+1),""),"")</f>
        <v/>
      </c>
      <c r="BB140" t="str">
        <f ca="1">IFERROR(INDEX('M04-S02'!$BY$18:$BY$199,2*(ROWS(BB$116:BB140)-1)+1),"")</f>
        <v>Enter Utility Rate</v>
      </c>
    </row>
    <row r="141" spans="1:54">
      <c r="A141" s="10">
        <f t="shared" si="12"/>
        <v>0</v>
      </c>
      <c r="B141" t="str">
        <f t="shared" si="13"/>
        <v/>
      </c>
      <c r="C141" t="str" cm="1">
        <f t="array" ref="C141">IFERROR(_xlfn.VALUETOTEXT(INDEX('M04-S02'!$BW$18:$BW$199,2*(ROWS($C$116:C141)-1)+1)),"")</f>
        <v/>
      </c>
      <c r="D141">
        <f>IFERROR(INDEX('M04-S02'!$B$18:$B$199,2*(ROWS(D$116:D141)-1)+1),"")</f>
        <v>26</v>
      </c>
      <c r="E141" s="51" t="str" cm="1">
        <f t="array" ref="E141">IFERROR(_xlfn.VALUETOTEXT(INDEX('M04-S02'!$BX$18:$BX$199,2*(ROWS($E$116:E141)-1)+1)),"")</f>
        <v/>
      </c>
      <c r="F141" t="str" cm="1">
        <f t="array" ref="F141">IF(C141&lt;&gt;"", _xlfn.SWITCH(Program_Banner, "Small Business / Non-Profit", "Hard-To-Reach Business", "Business Energy Savings", "Whole Business Efficiency", ""), "")</f>
        <v/>
      </c>
      <c r="G141" t="s">
        <v>135</v>
      </c>
      <c r="H141" t="str">
        <f>IFERROR(INDEX('M04-S02'!$BC$18:$BC$199,2*(ROWS(H$116:H141)-1)+1),"")</f>
        <v/>
      </c>
      <c r="I141" t="str">
        <f>IFERROR(INDEX('M04-S02'!$BJ$18:$BJ$199,2*(ROWS(I$116:I141)-1)+1),"")</f>
        <v/>
      </c>
      <c r="J141" s="9" t="str">
        <f>IFERROR(INDEX('M04-S02'!$BN$18:$BN$199,2*(ROWS(J$116:J141)-1)+1),"")</f>
        <v/>
      </c>
      <c r="K141" s="9" t="str">
        <f>IFERROR(INDEX('M04-S02'!$BO$18:$BO$199,2*(ROWS(K$116:K141)-1)+1),"")</f>
        <v/>
      </c>
      <c r="L141" s="51" t="str">
        <f>IFERROR(INDEX('M04-S02'!$BD$18:$BD$199,2*(ROWS($L$116:L141)-1)+1), "")</f>
        <v/>
      </c>
      <c r="M141" s="51" t="str">
        <f>IFERROR(INDEX('M04-S02'!$E$18:$E$199,2*(ROWS($M$116:M141)-1)+1)&amp;" - "&amp;INDEX('M04-S02'!$C$18:$C$199,2*(ROWS($M$116:M141)-1)+1),"")</f>
        <v xml:space="preserve"> - </v>
      </c>
      <c r="N141">
        <f>IFERROR(INDEX('M04-S02'!$G$18:$G$199,2*(ROWS(N$116:N141)-1)+1),"")</f>
        <v>0</v>
      </c>
      <c r="O141">
        <f>IFERROR(INDEX('M04-S02'!$S$18:$S$199,2*(ROWS(O$116:O141)-1)+1),"")</f>
        <v>0</v>
      </c>
      <c r="P141">
        <f>IFERROR(INDEX('M04-S02'!$K$18:$K$199,2*(ROWS(P$116:P141)-1)+1),"")</f>
        <v>0</v>
      </c>
      <c r="Q141">
        <f>IFERROR(INDEX('M04-S02'!$Z$18:$Z$199,2*(ROWS(Q$116:Q141)-1)+1),"")</f>
        <v>0</v>
      </c>
      <c r="S141" t="str">
        <f>IFERROR(INDEX('M04-S02'!$AX$18:$AX$199,2*(ROWS(S$116:S141)-1)+1),"")</f>
        <v/>
      </c>
      <c r="T141" s="545" t="str">
        <f>IFERROR(ROUND(INDEX('M04-S02'!$AY$18:$AY$199,2*(ROWS(T$116:T141)-1)+1),3),"")</f>
        <v/>
      </c>
      <c r="U141" s="545" t="str">
        <f>IFERROR(ROUND(INDEX('M04-S02'!$AZ$18:$AZ$199,2*(ROWS(U$116:U141)-1)+1),3),"")</f>
        <v/>
      </c>
      <c r="V141" s="26">
        <f>IFERROR(INDEX('M04-S02'!$Q$18:$Q$199,2*(ROWS(V$116:V141)-1)+1),"")</f>
        <v>0</v>
      </c>
      <c r="W141" s="27" t="str">
        <f>IFERROR(INDEX('M04-S02'!$O$18:$O$199,2*(ROWS(W$116:W141)-1)+1),"")</f>
        <v/>
      </c>
      <c r="X141" s="27">
        <f>IFERROR(INDEX('M04-S02'!$AF$18:$AF$199,2*(ROWS(X$116:X141)-1)+1),"")</f>
        <v>0</v>
      </c>
      <c r="Y141" s="184"/>
      <c r="Z141" s="184"/>
      <c r="AA141" s="9" t="str" cm="1">
        <f t="array" ref="AA141">IFERROR(ROUND(INDEX('M04-S02'!$AR$18:$AR$199,2*(ROWS(AA$116:AA141)-1)+1), 2),"")</f>
        <v/>
      </c>
      <c r="AB141" s="164"/>
      <c r="AC141" s="9" t="str" cm="1">
        <f t="array" aca="1" ref="AC141" ca="1">IFERROR(ROUND(IF(BB141&lt;&gt;"","",INDEX('M04-S02'!$AH$18:$AH$199,2*(ROWS(AC$116:AC141)-1)+1)),2),"")</f>
        <v/>
      </c>
      <c r="AD141" s="9" t="str" cm="1">
        <f t="array" aca="1" ref="AD141" ca="1">IFERROR(ROUND(IF(BB141&lt;&gt;"","",INDEX('M04-S02'!$AJ$18:$AJ$199,2*(ROWS(AD$116:AD141)-1)+1)),2),"")</f>
        <v/>
      </c>
      <c r="AE141" s="9" t="str" cm="1">
        <f t="array" aca="1" ref="AE141" ca="1">IFERROR(ROUND(IF(BB141&lt;&gt;"","",INDEX('M04-S02'!$AL$18:$AL$199,2*(ROWS(AE$116:AE141)-1)+1)),2),"")</f>
        <v/>
      </c>
      <c r="AF141" t="str">
        <f t="shared" ca="1" si="14"/>
        <v/>
      </c>
      <c r="AG141" s="9" t="str" cm="1">
        <f t="array" aca="1" ref="AG141" ca="1">IFERROR(ROUND(IF(BB141&lt;&gt;"","",INDEX('M04-S02'!$AL$18:$AL$199,2*(ROWS(AG$116:AG141)-1)+1)),2),"")</f>
        <v/>
      </c>
      <c r="AH141" s="184"/>
      <c r="AI141" s="191"/>
      <c r="AJ141" s="32" t="str">
        <f ca="1">IFERROR(ROUND(IF(BA141&lt;&gt;"","",INDEX('M04-S02'!$AO$18:$AO$199,2*(ROWS(AJ$116:AJ141)-1)+1)),4),"")</f>
        <v/>
      </c>
      <c r="AK141" s="32" t="str">
        <f ca="1">IFERROR(ROUND(IF(BA141&lt;&gt;"","",INDEX('M04-S02'!$BF$18:$BF$199,2*(ROWS(AK$116:AK141)-1)+1)),4),"")</f>
        <v/>
      </c>
      <c r="AL141" s="32" t="str">
        <f ca="1">IFERROR(ROUND(IF(BA141&lt;&gt;"","",INDEX('M04-S02'!$BG$18:$BG$199,2*(ROWS(AL$116:AL141)-1)+1)),4),"")</f>
        <v/>
      </c>
      <c r="AM141" s="32" t="str" cm="1">
        <f t="array" ref="AM141">IFERROR(ROUND(INDEX('M04-S02'!$BA$18:$BA$199,2*(ROWS(AM$116:AM141)-1)+1),4),"")</f>
        <v/>
      </c>
      <c r="AN141" s="32" t="str" cm="1">
        <f t="array" ref="AN141">IFERROR(ROUND(INDEX('M04-S02'!$BB$18:$BB$199,2*(ROWS(AN$116:AN141)-1)+1),4),"")</f>
        <v/>
      </c>
      <c r="AO141" s="32"/>
      <c r="AP141" s="9">
        <f ca="1">IFERROR(ROUND(IF(BB141&lt;&gt;"",INDEX('M04-S02'!$AH$18:$AH$199,2*(ROWS(AP$116:AP141)-1)+1),""),2),"")</f>
        <v>0</v>
      </c>
      <c r="AQ141" s="9">
        <f ca="1">IFERROR(ROUND(IF(BB141&lt;&gt;"",INDEX('M04-S02'!$AJ$18:$AJ$199,2*(ROWS(AQ$116:AQ141)-1)+1),""),2),"")</f>
        <v>0</v>
      </c>
      <c r="AR141" s="536" t="str" cm="1">
        <f t="array" aca="1" ref="AR141" ca="1">IFERROR(ROUND(IF(BB141&lt;&gt;"", INDEX('M04-S02'!$AL$18:$AL$199,2*(ROWS(AT$116:AT141)-1)+1), ""),2),"")</f>
        <v/>
      </c>
      <c r="AS141" t="str">
        <f t="shared" ca="1" si="15"/>
        <v>Incremental</v>
      </c>
      <c r="AT141" s="536" t="str" cm="1">
        <f t="array" aca="1" ref="AT141" ca="1">IFERROR(ROUND(IF(BB141&lt;&gt;"", INDEX('M04-S02'!$AL$18:$AL$199,2*(ROWS(AT$116:AT141)-1)+1), ""),2),"")</f>
        <v/>
      </c>
      <c r="AU141" s="184"/>
      <c r="AV141" s="5">
        <f ca="1">IFERROR(IF(BB141&lt;&gt;"",ROUND(INDEX('M04-S02'!$M$18:$M$199,2*(ROWS(AV$116:AV141)-1)+1),3),""),"")</f>
        <v>0</v>
      </c>
      <c r="AW141" s="5">
        <f ca="1">IFERROR(IF(BB141&lt;&gt;"",ROUND(INDEX('M04-S02'!$AD$18:$AD$199,2*(ROWS(AW$116:AW141)-1)+1),3),""),"")</f>
        <v>0</v>
      </c>
      <c r="AX141" s="184"/>
      <c r="AY141" s="26" t="str">
        <f ca="1">IFERROR(IF(BB141&lt;&gt;"",INDEX('M04-S02'!$AO$18:$AO$199,2*(ROWS(AY$116:AY141)-1)+1),""),"")</f>
        <v/>
      </c>
      <c r="AZ141" s="32" t="str">
        <f ca="1">IFERROR(IF(BB141&lt;&gt;"",INDEX('M04-S02'!$BF$18:$BF$199,2*(ROWS(AZ$116:AZ141)-1)+1),""),"")</f>
        <v/>
      </c>
      <c r="BA141" s="32" t="str">
        <f ca="1">IFERROR(IF(BB141&lt;&gt;"",INDEX('M04-S02'!$BG$18:$BG$199,2*(ROWS(BA$116:BA141)-1)+1),""),"")</f>
        <v/>
      </c>
      <c r="BB141" t="str">
        <f ca="1">IFERROR(INDEX('M04-S02'!$BY$18:$BY$199,2*(ROWS(BB$116:BB141)-1)+1),"")</f>
        <v>Enter Utility Rate</v>
      </c>
    </row>
    <row r="142" spans="1:54">
      <c r="A142" s="10">
        <f t="shared" si="12"/>
        <v>0</v>
      </c>
      <c r="B142" t="str">
        <f t="shared" si="13"/>
        <v/>
      </c>
      <c r="C142" t="str" cm="1">
        <f t="array" ref="C142">IFERROR(_xlfn.VALUETOTEXT(INDEX('M04-S02'!$BW$18:$BW$199,2*(ROWS($C$116:C142)-1)+1)),"")</f>
        <v/>
      </c>
      <c r="D142">
        <f>IFERROR(INDEX('M04-S02'!$B$18:$B$199,2*(ROWS(D$116:D142)-1)+1),"")</f>
        <v>27</v>
      </c>
      <c r="E142" s="51" t="str" cm="1">
        <f t="array" ref="E142">IFERROR(_xlfn.VALUETOTEXT(INDEX('M04-S02'!$BX$18:$BX$199,2*(ROWS($E$116:E142)-1)+1)),"")</f>
        <v/>
      </c>
      <c r="F142" t="str" cm="1">
        <f t="array" ref="F142">IF(C142&lt;&gt;"", _xlfn.SWITCH(Program_Banner, "Small Business / Non-Profit", "Hard-To-Reach Business", "Business Energy Savings", "Whole Business Efficiency", ""), "")</f>
        <v/>
      </c>
      <c r="G142" t="s">
        <v>135</v>
      </c>
      <c r="H142" t="str">
        <f>IFERROR(INDEX('M04-S02'!$BC$18:$BC$199,2*(ROWS(H$116:H142)-1)+1),"")</f>
        <v/>
      </c>
      <c r="I142" t="str">
        <f>IFERROR(INDEX('M04-S02'!$BJ$18:$BJ$199,2*(ROWS(I$116:I142)-1)+1),"")</f>
        <v/>
      </c>
      <c r="J142" s="9" t="str">
        <f>IFERROR(INDEX('M04-S02'!$BN$18:$BN$199,2*(ROWS(J$116:J142)-1)+1),"")</f>
        <v/>
      </c>
      <c r="K142" s="9" t="str">
        <f>IFERROR(INDEX('M04-S02'!$BO$18:$BO$199,2*(ROWS(K$116:K142)-1)+1),"")</f>
        <v/>
      </c>
      <c r="L142" s="51" t="str">
        <f>IFERROR(INDEX('M04-S02'!$BD$18:$BD$199,2*(ROWS($L$116:L142)-1)+1), "")</f>
        <v/>
      </c>
      <c r="M142" s="51" t="str">
        <f>IFERROR(INDEX('M04-S02'!$E$18:$E$199,2*(ROWS($M$116:M142)-1)+1)&amp;" - "&amp;INDEX('M04-S02'!$C$18:$C$199,2*(ROWS($M$116:M142)-1)+1),"")</f>
        <v xml:space="preserve"> - </v>
      </c>
      <c r="N142">
        <f>IFERROR(INDEX('M04-S02'!$G$18:$G$199,2*(ROWS(N$116:N142)-1)+1),"")</f>
        <v>0</v>
      </c>
      <c r="O142">
        <f>IFERROR(INDEX('M04-S02'!$S$18:$S$199,2*(ROWS(O$116:O142)-1)+1),"")</f>
        <v>0</v>
      </c>
      <c r="P142">
        <f>IFERROR(INDEX('M04-S02'!$K$18:$K$199,2*(ROWS(P$116:P142)-1)+1),"")</f>
        <v>0</v>
      </c>
      <c r="Q142">
        <f>IFERROR(INDEX('M04-S02'!$Z$18:$Z$199,2*(ROWS(Q$116:Q142)-1)+1),"")</f>
        <v>0</v>
      </c>
      <c r="S142" t="str">
        <f>IFERROR(INDEX('M04-S02'!$AX$18:$AX$199,2*(ROWS(S$116:S142)-1)+1),"")</f>
        <v/>
      </c>
      <c r="T142" s="545" t="str">
        <f>IFERROR(ROUND(INDEX('M04-S02'!$AY$18:$AY$199,2*(ROWS(T$116:T142)-1)+1),3),"")</f>
        <v/>
      </c>
      <c r="U142" s="545" t="str">
        <f>IFERROR(ROUND(INDEX('M04-S02'!$AZ$18:$AZ$199,2*(ROWS(U$116:U142)-1)+1),3),"")</f>
        <v/>
      </c>
      <c r="V142" s="26">
        <f>IFERROR(INDEX('M04-S02'!$Q$18:$Q$199,2*(ROWS(V$116:V142)-1)+1),"")</f>
        <v>0</v>
      </c>
      <c r="W142" s="27" t="str">
        <f>IFERROR(INDEX('M04-S02'!$O$18:$O$199,2*(ROWS(W$116:W142)-1)+1),"")</f>
        <v/>
      </c>
      <c r="X142" s="27">
        <f>IFERROR(INDEX('M04-S02'!$AF$18:$AF$199,2*(ROWS(X$116:X142)-1)+1),"")</f>
        <v>0</v>
      </c>
      <c r="Y142" s="184"/>
      <c r="Z142" s="184"/>
      <c r="AA142" s="9" t="str" cm="1">
        <f t="array" ref="AA142">IFERROR(ROUND(INDEX('M04-S02'!$AR$18:$AR$199,2*(ROWS(AA$116:AA142)-1)+1), 2),"")</f>
        <v/>
      </c>
      <c r="AB142" s="164"/>
      <c r="AC142" s="9" t="str" cm="1">
        <f t="array" aca="1" ref="AC142" ca="1">IFERROR(ROUND(IF(BB142&lt;&gt;"","",INDEX('M04-S02'!$AH$18:$AH$199,2*(ROWS(AC$116:AC142)-1)+1)),2),"")</f>
        <v/>
      </c>
      <c r="AD142" s="9" t="str" cm="1">
        <f t="array" aca="1" ref="AD142" ca="1">IFERROR(ROUND(IF(BB142&lt;&gt;"","",INDEX('M04-S02'!$AJ$18:$AJ$199,2*(ROWS(AD$116:AD142)-1)+1)),2),"")</f>
        <v/>
      </c>
      <c r="AE142" s="9" t="str" cm="1">
        <f t="array" aca="1" ref="AE142" ca="1">IFERROR(ROUND(IF(BB142&lt;&gt;"","",INDEX('M04-S02'!$AL$18:$AL$199,2*(ROWS(AE$116:AE142)-1)+1)),2),"")</f>
        <v/>
      </c>
      <c r="AF142" t="str">
        <f t="shared" ca="1" si="14"/>
        <v/>
      </c>
      <c r="AG142" s="9" t="str" cm="1">
        <f t="array" aca="1" ref="AG142" ca="1">IFERROR(ROUND(IF(BB142&lt;&gt;"","",INDEX('M04-S02'!$AL$18:$AL$199,2*(ROWS(AG$116:AG142)-1)+1)),2),"")</f>
        <v/>
      </c>
      <c r="AH142" s="184"/>
      <c r="AI142" s="191"/>
      <c r="AJ142" s="32" t="str">
        <f ca="1">IFERROR(ROUND(IF(BA142&lt;&gt;"","",INDEX('M04-S02'!$AO$18:$AO$199,2*(ROWS(AJ$116:AJ142)-1)+1)),4),"")</f>
        <v/>
      </c>
      <c r="AK142" s="32" t="str">
        <f ca="1">IFERROR(ROUND(IF(BA142&lt;&gt;"","",INDEX('M04-S02'!$BF$18:$BF$199,2*(ROWS(AK$116:AK142)-1)+1)),4),"")</f>
        <v/>
      </c>
      <c r="AL142" s="32" t="str">
        <f ca="1">IFERROR(ROUND(IF(BA142&lt;&gt;"","",INDEX('M04-S02'!$BG$18:$BG$199,2*(ROWS(AL$116:AL142)-1)+1)),4),"")</f>
        <v/>
      </c>
      <c r="AM142" s="32" t="str" cm="1">
        <f t="array" ref="AM142">IFERROR(ROUND(INDEX('M04-S02'!$BA$18:$BA$199,2*(ROWS(AM$116:AM142)-1)+1),4),"")</f>
        <v/>
      </c>
      <c r="AN142" s="32" t="str" cm="1">
        <f t="array" ref="AN142">IFERROR(ROUND(INDEX('M04-S02'!$BB$18:$BB$199,2*(ROWS(AN$116:AN142)-1)+1),4),"")</f>
        <v/>
      </c>
      <c r="AO142" s="32"/>
      <c r="AP142" s="9">
        <f ca="1">IFERROR(ROUND(IF(BB142&lt;&gt;"",INDEX('M04-S02'!$AH$18:$AH$199,2*(ROWS(AP$116:AP142)-1)+1),""),2),"")</f>
        <v>0</v>
      </c>
      <c r="AQ142" s="9">
        <f ca="1">IFERROR(ROUND(IF(BB142&lt;&gt;"",INDEX('M04-S02'!$AJ$18:$AJ$199,2*(ROWS(AQ$116:AQ142)-1)+1),""),2),"")</f>
        <v>0</v>
      </c>
      <c r="AR142" s="536" t="str" cm="1">
        <f t="array" aca="1" ref="AR142" ca="1">IFERROR(ROUND(IF(BB142&lt;&gt;"", INDEX('M04-S02'!$AL$18:$AL$199,2*(ROWS(AT$116:AT142)-1)+1), ""),2),"")</f>
        <v/>
      </c>
      <c r="AS142" t="str">
        <f t="shared" ca="1" si="15"/>
        <v>Incremental</v>
      </c>
      <c r="AT142" s="536" t="str" cm="1">
        <f t="array" aca="1" ref="AT142" ca="1">IFERROR(ROUND(IF(BB142&lt;&gt;"", INDEX('M04-S02'!$AL$18:$AL$199,2*(ROWS(AT$116:AT142)-1)+1), ""),2),"")</f>
        <v/>
      </c>
      <c r="AU142" s="184"/>
      <c r="AV142" s="5">
        <f ca="1">IFERROR(IF(BB142&lt;&gt;"",ROUND(INDEX('M04-S02'!$M$18:$M$199,2*(ROWS(AV$116:AV142)-1)+1),3),""),"")</f>
        <v>0</v>
      </c>
      <c r="AW142" s="5">
        <f ca="1">IFERROR(IF(BB142&lt;&gt;"",ROUND(INDEX('M04-S02'!$AD$18:$AD$199,2*(ROWS(AW$116:AW142)-1)+1),3),""),"")</f>
        <v>0</v>
      </c>
      <c r="AX142" s="184"/>
      <c r="AY142" s="26" t="str">
        <f ca="1">IFERROR(IF(BB142&lt;&gt;"",INDEX('M04-S02'!$AO$18:$AO$199,2*(ROWS(AY$116:AY142)-1)+1),""),"")</f>
        <v/>
      </c>
      <c r="AZ142" s="32" t="str">
        <f ca="1">IFERROR(IF(BB142&lt;&gt;"",INDEX('M04-S02'!$BF$18:$BF$199,2*(ROWS(AZ$116:AZ142)-1)+1),""),"")</f>
        <v/>
      </c>
      <c r="BA142" s="32" t="str">
        <f ca="1">IFERROR(IF(BB142&lt;&gt;"",INDEX('M04-S02'!$BG$18:$BG$199,2*(ROWS(BA$116:BA142)-1)+1),""),"")</f>
        <v/>
      </c>
      <c r="BB142" t="str">
        <f ca="1">IFERROR(INDEX('M04-S02'!$BY$18:$BY$199,2*(ROWS(BB$116:BB142)-1)+1),"")</f>
        <v>Enter Utility Rate</v>
      </c>
    </row>
    <row r="143" spans="1:54">
      <c r="A143" s="10">
        <f t="shared" si="12"/>
        <v>0</v>
      </c>
      <c r="B143" t="str">
        <f t="shared" si="13"/>
        <v/>
      </c>
      <c r="C143" t="str" cm="1">
        <f t="array" ref="C143">IFERROR(_xlfn.VALUETOTEXT(INDEX('M04-S02'!$BW$18:$BW$199,2*(ROWS($C$116:C143)-1)+1)),"")</f>
        <v/>
      </c>
      <c r="D143">
        <f>IFERROR(INDEX('M04-S02'!$B$18:$B$199,2*(ROWS(D$116:D143)-1)+1),"")</f>
        <v>28</v>
      </c>
      <c r="E143" s="51" t="str" cm="1">
        <f t="array" ref="E143">IFERROR(_xlfn.VALUETOTEXT(INDEX('M04-S02'!$BX$18:$BX$199,2*(ROWS($E$116:E143)-1)+1)),"")</f>
        <v/>
      </c>
      <c r="F143" t="str" cm="1">
        <f t="array" ref="F143">IF(C143&lt;&gt;"", _xlfn.SWITCH(Program_Banner, "Small Business / Non-Profit", "Hard-To-Reach Business", "Business Energy Savings", "Whole Business Efficiency", ""), "")</f>
        <v/>
      </c>
      <c r="G143" t="s">
        <v>135</v>
      </c>
      <c r="H143" t="str">
        <f>IFERROR(INDEX('M04-S02'!$BC$18:$BC$199,2*(ROWS(H$116:H143)-1)+1),"")</f>
        <v/>
      </c>
      <c r="I143" t="str">
        <f>IFERROR(INDEX('M04-S02'!$BJ$18:$BJ$199,2*(ROWS(I$116:I143)-1)+1),"")</f>
        <v/>
      </c>
      <c r="J143" s="9" t="str">
        <f>IFERROR(INDEX('M04-S02'!$BN$18:$BN$199,2*(ROWS(J$116:J143)-1)+1),"")</f>
        <v/>
      </c>
      <c r="K143" s="9" t="str">
        <f>IFERROR(INDEX('M04-S02'!$BO$18:$BO$199,2*(ROWS(K$116:K143)-1)+1),"")</f>
        <v/>
      </c>
      <c r="L143" s="51" t="str">
        <f>IFERROR(INDEX('M04-S02'!$BD$18:$BD$199,2*(ROWS($L$116:L143)-1)+1), "")</f>
        <v/>
      </c>
      <c r="M143" s="51" t="str">
        <f>IFERROR(INDEX('M04-S02'!$E$18:$E$199,2*(ROWS($M$116:M143)-1)+1)&amp;" - "&amp;INDEX('M04-S02'!$C$18:$C$199,2*(ROWS($M$116:M143)-1)+1),"")</f>
        <v xml:space="preserve"> - </v>
      </c>
      <c r="N143">
        <f>IFERROR(INDEX('M04-S02'!$G$18:$G$199,2*(ROWS(N$116:N143)-1)+1),"")</f>
        <v>0</v>
      </c>
      <c r="O143">
        <f>IFERROR(INDEX('M04-S02'!$S$18:$S$199,2*(ROWS(O$116:O143)-1)+1),"")</f>
        <v>0</v>
      </c>
      <c r="P143">
        <f>IFERROR(INDEX('M04-S02'!$K$18:$K$199,2*(ROWS(P$116:P143)-1)+1),"")</f>
        <v>0</v>
      </c>
      <c r="Q143">
        <f>IFERROR(INDEX('M04-S02'!$Z$18:$Z$199,2*(ROWS(Q$116:Q143)-1)+1),"")</f>
        <v>0</v>
      </c>
      <c r="S143" t="str">
        <f>IFERROR(INDEX('M04-S02'!$AX$18:$AX$199,2*(ROWS(S$116:S143)-1)+1),"")</f>
        <v/>
      </c>
      <c r="T143" s="545" t="str">
        <f>IFERROR(ROUND(INDEX('M04-S02'!$AY$18:$AY$199,2*(ROWS(T$116:T143)-1)+1),3),"")</f>
        <v/>
      </c>
      <c r="U143" s="545" t="str">
        <f>IFERROR(ROUND(INDEX('M04-S02'!$AZ$18:$AZ$199,2*(ROWS(U$116:U143)-1)+1),3),"")</f>
        <v/>
      </c>
      <c r="V143" s="26">
        <f>IFERROR(INDEX('M04-S02'!$Q$18:$Q$199,2*(ROWS(V$116:V143)-1)+1),"")</f>
        <v>0</v>
      </c>
      <c r="W143" s="27" t="str">
        <f>IFERROR(INDEX('M04-S02'!$O$18:$O$199,2*(ROWS(W$116:W143)-1)+1),"")</f>
        <v/>
      </c>
      <c r="X143" s="27">
        <f>IFERROR(INDEX('M04-S02'!$AF$18:$AF$199,2*(ROWS(X$116:X143)-1)+1),"")</f>
        <v>0</v>
      </c>
      <c r="Y143" s="184"/>
      <c r="Z143" s="184"/>
      <c r="AA143" s="9" t="str" cm="1">
        <f t="array" ref="AA143">IFERROR(ROUND(INDEX('M04-S02'!$AR$18:$AR$199,2*(ROWS(AA$116:AA143)-1)+1), 2),"")</f>
        <v/>
      </c>
      <c r="AB143" s="164"/>
      <c r="AC143" s="9" t="str" cm="1">
        <f t="array" aca="1" ref="AC143" ca="1">IFERROR(ROUND(IF(BB143&lt;&gt;"","",INDEX('M04-S02'!$AH$18:$AH$199,2*(ROWS(AC$116:AC143)-1)+1)),2),"")</f>
        <v/>
      </c>
      <c r="AD143" s="9" t="str" cm="1">
        <f t="array" aca="1" ref="AD143" ca="1">IFERROR(ROUND(IF(BB143&lt;&gt;"","",INDEX('M04-S02'!$AJ$18:$AJ$199,2*(ROWS(AD$116:AD143)-1)+1)),2),"")</f>
        <v/>
      </c>
      <c r="AE143" s="9" t="str" cm="1">
        <f t="array" aca="1" ref="AE143" ca="1">IFERROR(ROUND(IF(BB143&lt;&gt;"","",INDEX('M04-S02'!$AL$18:$AL$199,2*(ROWS(AE$116:AE143)-1)+1)),2),"")</f>
        <v/>
      </c>
      <c r="AF143" t="str">
        <f t="shared" ca="1" si="14"/>
        <v/>
      </c>
      <c r="AG143" s="9" t="str" cm="1">
        <f t="array" aca="1" ref="AG143" ca="1">IFERROR(ROUND(IF(BB143&lt;&gt;"","",INDEX('M04-S02'!$AL$18:$AL$199,2*(ROWS(AG$116:AG143)-1)+1)),2),"")</f>
        <v/>
      </c>
      <c r="AH143" s="184"/>
      <c r="AI143" s="191"/>
      <c r="AJ143" s="32" t="str">
        <f ca="1">IFERROR(ROUND(IF(BA143&lt;&gt;"","",INDEX('M04-S02'!$AO$18:$AO$199,2*(ROWS(AJ$116:AJ143)-1)+1)),4),"")</f>
        <v/>
      </c>
      <c r="AK143" s="32" t="str">
        <f ca="1">IFERROR(ROUND(IF(BA143&lt;&gt;"","",INDEX('M04-S02'!$BF$18:$BF$199,2*(ROWS(AK$116:AK143)-1)+1)),4),"")</f>
        <v/>
      </c>
      <c r="AL143" s="32" t="str">
        <f ca="1">IFERROR(ROUND(IF(BA143&lt;&gt;"","",INDEX('M04-S02'!$BG$18:$BG$199,2*(ROWS(AL$116:AL143)-1)+1)),4),"")</f>
        <v/>
      </c>
      <c r="AM143" s="32" t="str" cm="1">
        <f t="array" ref="AM143">IFERROR(ROUND(INDEX('M04-S02'!$BA$18:$BA$199,2*(ROWS(AM$116:AM143)-1)+1),4),"")</f>
        <v/>
      </c>
      <c r="AN143" s="32" t="str" cm="1">
        <f t="array" ref="AN143">IFERROR(ROUND(INDEX('M04-S02'!$BB$18:$BB$199,2*(ROWS(AN$116:AN143)-1)+1),4),"")</f>
        <v/>
      </c>
      <c r="AO143" s="32"/>
      <c r="AP143" s="9">
        <f ca="1">IFERROR(ROUND(IF(BB143&lt;&gt;"",INDEX('M04-S02'!$AH$18:$AH$199,2*(ROWS(AP$116:AP143)-1)+1),""),2),"")</f>
        <v>0</v>
      </c>
      <c r="AQ143" s="9">
        <f ca="1">IFERROR(ROUND(IF(BB143&lt;&gt;"",INDEX('M04-S02'!$AJ$18:$AJ$199,2*(ROWS(AQ$116:AQ143)-1)+1),""),2),"")</f>
        <v>0</v>
      </c>
      <c r="AR143" s="536" t="str" cm="1">
        <f t="array" aca="1" ref="AR143" ca="1">IFERROR(ROUND(IF(BB143&lt;&gt;"", INDEX('M04-S02'!$AL$18:$AL$199,2*(ROWS(AT$116:AT143)-1)+1), ""),2),"")</f>
        <v/>
      </c>
      <c r="AS143" t="str">
        <f t="shared" ca="1" si="15"/>
        <v>Incremental</v>
      </c>
      <c r="AT143" s="536" t="str" cm="1">
        <f t="array" aca="1" ref="AT143" ca="1">IFERROR(ROUND(IF(BB143&lt;&gt;"", INDEX('M04-S02'!$AL$18:$AL$199,2*(ROWS(AT$116:AT143)-1)+1), ""),2),"")</f>
        <v/>
      </c>
      <c r="AU143" s="184"/>
      <c r="AV143" s="5">
        <f ca="1">IFERROR(IF(BB143&lt;&gt;"",ROUND(INDEX('M04-S02'!$M$18:$M$199,2*(ROWS(AV$116:AV143)-1)+1),3),""),"")</f>
        <v>0</v>
      </c>
      <c r="AW143" s="5">
        <f ca="1">IFERROR(IF(BB143&lt;&gt;"",ROUND(INDEX('M04-S02'!$AD$18:$AD$199,2*(ROWS(AW$116:AW143)-1)+1),3),""),"")</f>
        <v>0</v>
      </c>
      <c r="AX143" s="184"/>
      <c r="AY143" s="26" t="str">
        <f ca="1">IFERROR(IF(BB143&lt;&gt;"",INDEX('M04-S02'!$AO$18:$AO$199,2*(ROWS(AY$116:AY143)-1)+1),""),"")</f>
        <v/>
      </c>
      <c r="AZ143" s="32" t="str">
        <f ca="1">IFERROR(IF(BB143&lt;&gt;"",INDEX('M04-S02'!$BF$18:$BF$199,2*(ROWS(AZ$116:AZ143)-1)+1),""),"")</f>
        <v/>
      </c>
      <c r="BA143" s="32" t="str">
        <f ca="1">IFERROR(IF(BB143&lt;&gt;"",INDEX('M04-S02'!$BG$18:$BG$199,2*(ROWS(BA$116:BA143)-1)+1),""),"")</f>
        <v/>
      </c>
      <c r="BB143" t="str">
        <f ca="1">IFERROR(INDEX('M04-S02'!$BY$18:$BY$199,2*(ROWS(BB$116:BB143)-1)+1),"")</f>
        <v>Enter Utility Rate</v>
      </c>
    </row>
    <row r="144" spans="1:54">
      <c r="A144" s="10">
        <f t="shared" si="12"/>
        <v>0</v>
      </c>
      <c r="B144" t="str">
        <f t="shared" si="13"/>
        <v/>
      </c>
      <c r="C144" t="str" cm="1">
        <f t="array" ref="C144">IFERROR(_xlfn.VALUETOTEXT(INDEX('M04-S02'!$BW$18:$BW$199,2*(ROWS($C$116:C144)-1)+1)),"")</f>
        <v/>
      </c>
      <c r="D144">
        <f>IFERROR(INDEX('M04-S02'!$B$18:$B$199,2*(ROWS(D$116:D144)-1)+1),"")</f>
        <v>29</v>
      </c>
      <c r="E144" s="51" t="str" cm="1">
        <f t="array" ref="E144">IFERROR(_xlfn.VALUETOTEXT(INDEX('M04-S02'!$BX$18:$BX$199,2*(ROWS($E$116:E144)-1)+1)),"")</f>
        <v/>
      </c>
      <c r="F144" t="str" cm="1">
        <f t="array" ref="F144">IF(C144&lt;&gt;"", _xlfn.SWITCH(Program_Banner, "Small Business / Non-Profit", "Hard-To-Reach Business", "Business Energy Savings", "Whole Business Efficiency", ""), "")</f>
        <v/>
      </c>
      <c r="G144" t="s">
        <v>135</v>
      </c>
      <c r="H144" t="str">
        <f>IFERROR(INDEX('M04-S02'!$BC$18:$BC$199,2*(ROWS(H$116:H144)-1)+1),"")</f>
        <v/>
      </c>
      <c r="I144" t="str">
        <f>IFERROR(INDEX('M04-S02'!$BJ$18:$BJ$199,2*(ROWS(I$116:I144)-1)+1),"")</f>
        <v/>
      </c>
      <c r="J144" s="9" t="str">
        <f>IFERROR(INDEX('M04-S02'!$BN$18:$BN$199,2*(ROWS(J$116:J144)-1)+1),"")</f>
        <v/>
      </c>
      <c r="K144" s="9" t="str">
        <f>IFERROR(INDEX('M04-S02'!$BO$18:$BO$199,2*(ROWS(K$116:K144)-1)+1),"")</f>
        <v/>
      </c>
      <c r="L144" s="51" t="str">
        <f>IFERROR(INDEX('M04-S02'!$BD$18:$BD$199,2*(ROWS($L$116:L144)-1)+1), "")</f>
        <v/>
      </c>
      <c r="M144" s="51" t="str">
        <f>IFERROR(INDEX('M04-S02'!$E$18:$E$199,2*(ROWS($M$116:M144)-1)+1)&amp;" - "&amp;INDEX('M04-S02'!$C$18:$C$199,2*(ROWS($M$116:M144)-1)+1),"")</f>
        <v xml:space="preserve"> - </v>
      </c>
      <c r="N144">
        <f>IFERROR(INDEX('M04-S02'!$G$18:$G$199,2*(ROWS(N$116:N144)-1)+1),"")</f>
        <v>0</v>
      </c>
      <c r="O144">
        <f>IFERROR(INDEX('M04-S02'!$S$18:$S$199,2*(ROWS(O$116:O144)-1)+1),"")</f>
        <v>0</v>
      </c>
      <c r="P144">
        <f>IFERROR(INDEX('M04-S02'!$K$18:$K$199,2*(ROWS(P$116:P144)-1)+1),"")</f>
        <v>0</v>
      </c>
      <c r="Q144">
        <f>IFERROR(INDEX('M04-S02'!$Z$18:$Z$199,2*(ROWS(Q$116:Q144)-1)+1),"")</f>
        <v>0</v>
      </c>
      <c r="S144" t="str">
        <f>IFERROR(INDEX('M04-S02'!$AX$18:$AX$199,2*(ROWS(S$116:S144)-1)+1),"")</f>
        <v/>
      </c>
      <c r="T144" s="545" t="str">
        <f>IFERROR(ROUND(INDEX('M04-S02'!$AY$18:$AY$199,2*(ROWS(T$116:T144)-1)+1),3),"")</f>
        <v/>
      </c>
      <c r="U144" s="545" t="str">
        <f>IFERROR(ROUND(INDEX('M04-S02'!$AZ$18:$AZ$199,2*(ROWS(U$116:U144)-1)+1),3),"")</f>
        <v/>
      </c>
      <c r="V144" s="26">
        <f>IFERROR(INDEX('M04-S02'!$Q$18:$Q$199,2*(ROWS(V$116:V144)-1)+1),"")</f>
        <v>0</v>
      </c>
      <c r="W144" s="27" t="str">
        <f>IFERROR(INDEX('M04-S02'!$O$18:$O$199,2*(ROWS(W$116:W144)-1)+1),"")</f>
        <v/>
      </c>
      <c r="X144" s="27">
        <f>IFERROR(INDEX('M04-S02'!$AF$18:$AF$199,2*(ROWS(X$116:X144)-1)+1),"")</f>
        <v>0</v>
      </c>
      <c r="Y144" s="184"/>
      <c r="Z144" s="184"/>
      <c r="AA144" s="9" t="str" cm="1">
        <f t="array" ref="AA144">IFERROR(ROUND(INDEX('M04-S02'!$AR$18:$AR$199,2*(ROWS(AA$116:AA144)-1)+1), 2),"")</f>
        <v/>
      </c>
      <c r="AB144" s="164"/>
      <c r="AC144" s="9" t="str" cm="1">
        <f t="array" aca="1" ref="AC144" ca="1">IFERROR(ROUND(IF(BB144&lt;&gt;"","",INDEX('M04-S02'!$AH$18:$AH$199,2*(ROWS(AC$116:AC144)-1)+1)),2),"")</f>
        <v/>
      </c>
      <c r="AD144" s="9" t="str" cm="1">
        <f t="array" aca="1" ref="AD144" ca="1">IFERROR(ROUND(IF(BB144&lt;&gt;"","",INDEX('M04-S02'!$AJ$18:$AJ$199,2*(ROWS(AD$116:AD144)-1)+1)),2),"")</f>
        <v/>
      </c>
      <c r="AE144" s="9" t="str" cm="1">
        <f t="array" aca="1" ref="AE144" ca="1">IFERROR(ROUND(IF(BB144&lt;&gt;"","",INDEX('M04-S02'!$AL$18:$AL$199,2*(ROWS(AE$116:AE144)-1)+1)),2),"")</f>
        <v/>
      </c>
      <c r="AF144" t="str">
        <f t="shared" ca="1" si="14"/>
        <v/>
      </c>
      <c r="AG144" s="9" t="str" cm="1">
        <f t="array" aca="1" ref="AG144" ca="1">IFERROR(ROUND(IF(BB144&lt;&gt;"","",INDEX('M04-S02'!$AL$18:$AL$199,2*(ROWS(AG$116:AG144)-1)+1)),2),"")</f>
        <v/>
      </c>
      <c r="AH144" s="184"/>
      <c r="AI144" s="191"/>
      <c r="AJ144" s="32" t="str">
        <f ca="1">IFERROR(ROUND(IF(BA144&lt;&gt;"","",INDEX('M04-S02'!$AO$18:$AO$199,2*(ROWS(AJ$116:AJ144)-1)+1)),4),"")</f>
        <v/>
      </c>
      <c r="AK144" s="32" t="str">
        <f ca="1">IFERROR(ROUND(IF(BA144&lt;&gt;"","",INDEX('M04-S02'!$BF$18:$BF$199,2*(ROWS(AK$116:AK144)-1)+1)),4),"")</f>
        <v/>
      </c>
      <c r="AL144" s="32" t="str">
        <f ca="1">IFERROR(ROUND(IF(BA144&lt;&gt;"","",INDEX('M04-S02'!$BG$18:$BG$199,2*(ROWS(AL$116:AL144)-1)+1)),4),"")</f>
        <v/>
      </c>
      <c r="AM144" s="32" t="str" cm="1">
        <f t="array" ref="AM144">IFERROR(ROUND(INDEX('M04-S02'!$BA$18:$BA$199,2*(ROWS(AM$116:AM144)-1)+1),4),"")</f>
        <v/>
      </c>
      <c r="AN144" s="32" t="str" cm="1">
        <f t="array" ref="AN144">IFERROR(ROUND(INDEX('M04-S02'!$BB$18:$BB$199,2*(ROWS(AN$116:AN144)-1)+1),4),"")</f>
        <v/>
      </c>
      <c r="AO144" s="32"/>
      <c r="AP144" s="9">
        <f ca="1">IFERROR(ROUND(IF(BB144&lt;&gt;"",INDEX('M04-S02'!$AH$18:$AH$199,2*(ROWS(AP$116:AP144)-1)+1),""),2),"")</f>
        <v>0</v>
      </c>
      <c r="AQ144" s="9">
        <f ca="1">IFERROR(ROUND(IF(BB144&lt;&gt;"",INDEX('M04-S02'!$AJ$18:$AJ$199,2*(ROWS(AQ$116:AQ144)-1)+1),""),2),"")</f>
        <v>0</v>
      </c>
      <c r="AR144" s="536" t="str" cm="1">
        <f t="array" aca="1" ref="AR144" ca="1">IFERROR(ROUND(IF(BB144&lt;&gt;"", INDEX('M04-S02'!$AL$18:$AL$199,2*(ROWS(AT$116:AT144)-1)+1), ""),2),"")</f>
        <v/>
      </c>
      <c r="AS144" t="str">
        <f t="shared" ca="1" si="15"/>
        <v>Incremental</v>
      </c>
      <c r="AT144" s="536" t="str" cm="1">
        <f t="array" aca="1" ref="AT144" ca="1">IFERROR(ROUND(IF(BB144&lt;&gt;"", INDEX('M04-S02'!$AL$18:$AL$199,2*(ROWS(AT$116:AT144)-1)+1), ""),2),"")</f>
        <v/>
      </c>
      <c r="AU144" s="184"/>
      <c r="AV144" s="5">
        <f ca="1">IFERROR(IF(BB144&lt;&gt;"",ROUND(INDEX('M04-S02'!$M$18:$M$199,2*(ROWS(AV$116:AV144)-1)+1),3),""),"")</f>
        <v>0</v>
      </c>
      <c r="AW144" s="5">
        <f ca="1">IFERROR(IF(BB144&lt;&gt;"",ROUND(INDEX('M04-S02'!$AD$18:$AD$199,2*(ROWS(AW$116:AW144)-1)+1),3),""),"")</f>
        <v>0</v>
      </c>
      <c r="AX144" s="184"/>
      <c r="AY144" s="26" t="str">
        <f ca="1">IFERROR(IF(BB144&lt;&gt;"",INDEX('M04-S02'!$AO$18:$AO$199,2*(ROWS(AY$116:AY144)-1)+1),""),"")</f>
        <v/>
      </c>
      <c r="AZ144" s="32" t="str">
        <f ca="1">IFERROR(IF(BB144&lt;&gt;"",INDEX('M04-S02'!$BF$18:$BF$199,2*(ROWS(AZ$116:AZ144)-1)+1),""),"")</f>
        <v/>
      </c>
      <c r="BA144" s="32" t="str">
        <f ca="1">IFERROR(IF(BB144&lt;&gt;"",INDEX('M04-S02'!$BG$18:$BG$199,2*(ROWS(BA$116:BA144)-1)+1),""),"")</f>
        <v/>
      </c>
      <c r="BB144" t="str">
        <f ca="1">IFERROR(INDEX('M04-S02'!$BY$18:$BY$199,2*(ROWS(BB$116:BB144)-1)+1),"")</f>
        <v>Enter Utility Rate</v>
      </c>
    </row>
    <row r="145" spans="1:54">
      <c r="A145" s="10">
        <f t="shared" si="12"/>
        <v>0</v>
      </c>
      <c r="B145" t="str">
        <f t="shared" si="13"/>
        <v/>
      </c>
      <c r="C145" t="str" cm="1">
        <f t="array" ref="C145">IFERROR(_xlfn.VALUETOTEXT(INDEX('M04-S02'!$BW$18:$BW$199,2*(ROWS($C$116:C145)-1)+1)),"")</f>
        <v/>
      </c>
      <c r="D145">
        <f>IFERROR(INDEX('M04-S02'!$B$18:$B$199,2*(ROWS(D$116:D145)-1)+1),"")</f>
        <v>30</v>
      </c>
      <c r="E145" s="51" t="str" cm="1">
        <f t="array" ref="E145">IFERROR(_xlfn.VALUETOTEXT(INDEX('M04-S02'!$BX$18:$BX$199,2*(ROWS($E$116:E145)-1)+1)),"")</f>
        <v/>
      </c>
      <c r="F145" t="str" cm="1">
        <f t="array" ref="F145">IF(C145&lt;&gt;"", _xlfn.SWITCH(Program_Banner, "Small Business / Non-Profit", "Hard-To-Reach Business", "Business Energy Savings", "Whole Business Efficiency", ""), "")</f>
        <v/>
      </c>
      <c r="G145" t="s">
        <v>135</v>
      </c>
      <c r="H145" t="str">
        <f>IFERROR(INDEX('M04-S02'!$BC$18:$BC$199,2*(ROWS(H$116:H145)-1)+1),"")</f>
        <v/>
      </c>
      <c r="I145" t="str">
        <f>IFERROR(INDEX('M04-S02'!$BJ$18:$BJ$199,2*(ROWS(I$116:I145)-1)+1),"")</f>
        <v/>
      </c>
      <c r="J145" s="9" t="str">
        <f>IFERROR(INDEX('M04-S02'!$BN$18:$BN$199,2*(ROWS(J$116:J145)-1)+1),"")</f>
        <v/>
      </c>
      <c r="K145" s="9" t="str">
        <f>IFERROR(INDEX('M04-S02'!$BO$18:$BO$199,2*(ROWS(K$116:K145)-1)+1),"")</f>
        <v/>
      </c>
      <c r="L145" s="51" t="str">
        <f>IFERROR(INDEX('M04-S02'!$BD$18:$BD$199,2*(ROWS($L$116:L145)-1)+1), "")</f>
        <v/>
      </c>
      <c r="M145" s="51" t="str">
        <f>IFERROR(INDEX('M04-S02'!$E$18:$E$199,2*(ROWS($M$116:M145)-1)+1)&amp;" - "&amp;INDEX('M04-S02'!$C$18:$C$199,2*(ROWS($M$116:M145)-1)+1),"")</f>
        <v xml:space="preserve"> - </v>
      </c>
      <c r="N145">
        <f>IFERROR(INDEX('M04-S02'!$G$18:$G$199,2*(ROWS(N$116:N145)-1)+1),"")</f>
        <v>0</v>
      </c>
      <c r="O145">
        <f>IFERROR(INDEX('M04-S02'!$S$18:$S$199,2*(ROWS(O$116:O145)-1)+1),"")</f>
        <v>0</v>
      </c>
      <c r="P145">
        <f>IFERROR(INDEX('M04-S02'!$K$18:$K$199,2*(ROWS(P$116:P145)-1)+1),"")</f>
        <v>0</v>
      </c>
      <c r="Q145">
        <f>IFERROR(INDEX('M04-S02'!$Z$18:$Z$199,2*(ROWS(Q$116:Q145)-1)+1),"")</f>
        <v>0</v>
      </c>
      <c r="S145" t="str">
        <f>IFERROR(INDEX('M04-S02'!$AX$18:$AX$199,2*(ROWS(S$116:S145)-1)+1),"")</f>
        <v/>
      </c>
      <c r="T145" s="545" t="str">
        <f>IFERROR(ROUND(INDEX('M04-S02'!$AY$18:$AY$199,2*(ROWS(T$116:T145)-1)+1),3),"")</f>
        <v/>
      </c>
      <c r="U145" s="545" t="str">
        <f>IFERROR(ROUND(INDEX('M04-S02'!$AZ$18:$AZ$199,2*(ROWS(U$116:U145)-1)+1),3),"")</f>
        <v/>
      </c>
      <c r="V145" s="26">
        <f>IFERROR(INDEX('M04-S02'!$Q$18:$Q$199,2*(ROWS(V$116:V145)-1)+1),"")</f>
        <v>0</v>
      </c>
      <c r="W145" s="27" t="str">
        <f>IFERROR(INDEX('M04-S02'!$O$18:$O$199,2*(ROWS(W$116:W145)-1)+1),"")</f>
        <v/>
      </c>
      <c r="X145" s="27">
        <f>IFERROR(INDEX('M04-S02'!$AF$18:$AF$199,2*(ROWS(X$116:X145)-1)+1),"")</f>
        <v>0</v>
      </c>
      <c r="Y145" s="184"/>
      <c r="Z145" s="184"/>
      <c r="AA145" s="9" t="str" cm="1">
        <f t="array" ref="AA145">IFERROR(ROUND(INDEX('M04-S02'!$AR$18:$AR$199,2*(ROWS(AA$116:AA145)-1)+1), 2),"")</f>
        <v/>
      </c>
      <c r="AB145" s="164"/>
      <c r="AC145" s="9" t="str" cm="1">
        <f t="array" aca="1" ref="AC145" ca="1">IFERROR(ROUND(IF(BB145&lt;&gt;"","",INDEX('M04-S02'!$AH$18:$AH$199,2*(ROWS(AC$116:AC145)-1)+1)),2),"")</f>
        <v/>
      </c>
      <c r="AD145" s="9" t="str" cm="1">
        <f t="array" aca="1" ref="AD145" ca="1">IFERROR(ROUND(IF(BB145&lt;&gt;"","",INDEX('M04-S02'!$AJ$18:$AJ$199,2*(ROWS(AD$116:AD145)-1)+1)),2),"")</f>
        <v/>
      </c>
      <c r="AE145" s="9" t="str" cm="1">
        <f t="array" aca="1" ref="AE145" ca="1">IFERROR(ROUND(IF(BB145&lt;&gt;"","",INDEX('M04-S02'!$AL$18:$AL$199,2*(ROWS(AE$116:AE145)-1)+1)),2),"")</f>
        <v/>
      </c>
      <c r="AF145" t="str">
        <f t="shared" ca="1" si="14"/>
        <v/>
      </c>
      <c r="AG145" s="9" t="str" cm="1">
        <f t="array" aca="1" ref="AG145" ca="1">IFERROR(ROUND(IF(BB145&lt;&gt;"","",INDEX('M04-S02'!$AL$18:$AL$199,2*(ROWS(AG$116:AG145)-1)+1)),2),"")</f>
        <v/>
      </c>
      <c r="AH145" s="184"/>
      <c r="AI145" s="191"/>
      <c r="AJ145" s="32" t="str">
        <f ca="1">IFERROR(ROUND(IF(BA145&lt;&gt;"","",INDEX('M04-S02'!$AO$18:$AO$199,2*(ROWS(AJ$116:AJ145)-1)+1)),4),"")</f>
        <v/>
      </c>
      <c r="AK145" s="32" t="str">
        <f ca="1">IFERROR(ROUND(IF(BA145&lt;&gt;"","",INDEX('M04-S02'!$BF$18:$BF$199,2*(ROWS(AK$116:AK145)-1)+1)),4),"")</f>
        <v/>
      </c>
      <c r="AL145" s="32" t="str">
        <f ca="1">IFERROR(ROUND(IF(BA145&lt;&gt;"","",INDEX('M04-S02'!$BG$18:$BG$199,2*(ROWS(AL$116:AL145)-1)+1)),4),"")</f>
        <v/>
      </c>
      <c r="AM145" s="32" t="str" cm="1">
        <f t="array" ref="AM145">IFERROR(ROUND(INDEX('M04-S02'!$BA$18:$BA$199,2*(ROWS(AM$116:AM145)-1)+1),4),"")</f>
        <v/>
      </c>
      <c r="AN145" s="32" t="str" cm="1">
        <f t="array" ref="AN145">IFERROR(ROUND(INDEX('M04-S02'!$BB$18:$BB$199,2*(ROWS(AN$116:AN145)-1)+1),4),"")</f>
        <v/>
      </c>
      <c r="AO145" s="32"/>
      <c r="AP145" s="9">
        <f ca="1">IFERROR(ROUND(IF(BB145&lt;&gt;"",INDEX('M04-S02'!$AH$18:$AH$199,2*(ROWS(AP$116:AP145)-1)+1),""),2),"")</f>
        <v>0</v>
      </c>
      <c r="AQ145" s="9">
        <f ca="1">IFERROR(ROUND(IF(BB145&lt;&gt;"",INDEX('M04-S02'!$AJ$18:$AJ$199,2*(ROWS(AQ$116:AQ145)-1)+1),""),2),"")</f>
        <v>0</v>
      </c>
      <c r="AR145" s="536" t="str" cm="1">
        <f t="array" aca="1" ref="AR145" ca="1">IFERROR(ROUND(IF(BB145&lt;&gt;"", INDEX('M04-S02'!$AL$18:$AL$199,2*(ROWS(AT$116:AT145)-1)+1), ""),2),"")</f>
        <v/>
      </c>
      <c r="AS145" t="str">
        <f t="shared" ca="1" si="15"/>
        <v>Incremental</v>
      </c>
      <c r="AT145" s="536" t="str" cm="1">
        <f t="array" aca="1" ref="AT145" ca="1">IFERROR(ROUND(IF(BB145&lt;&gt;"", INDEX('M04-S02'!$AL$18:$AL$199,2*(ROWS(AT$116:AT145)-1)+1), ""),2),"")</f>
        <v/>
      </c>
      <c r="AU145" s="184"/>
      <c r="AV145" s="5">
        <f ca="1">IFERROR(IF(BB145&lt;&gt;"",ROUND(INDEX('M04-S02'!$M$18:$M$199,2*(ROWS(AV$116:AV145)-1)+1),3),""),"")</f>
        <v>0</v>
      </c>
      <c r="AW145" s="5">
        <f ca="1">IFERROR(IF(BB145&lt;&gt;"",ROUND(INDEX('M04-S02'!$AD$18:$AD$199,2*(ROWS(AW$116:AW145)-1)+1),3),""),"")</f>
        <v>0</v>
      </c>
      <c r="AX145" s="184"/>
      <c r="AY145" s="26" t="str">
        <f ca="1">IFERROR(IF(BB145&lt;&gt;"",INDEX('M04-S02'!$AO$18:$AO$199,2*(ROWS(AY$116:AY145)-1)+1),""),"")</f>
        <v/>
      </c>
      <c r="AZ145" s="32" t="str">
        <f ca="1">IFERROR(IF(BB145&lt;&gt;"",INDEX('M04-S02'!$BF$18:$BF$199,2*(ROWS(AZ$116:AZ145)-1)+1),""),"")</f>
        <v/>
      </c>
      <c r="BA145" s="32" t="str">
        <f ca="1">IFERROR(IF(BB145&lt;&gt;"",INDEX('M04-S02'!$BG$18:$BG$199,2*(ROWS(BA$116:BA145)-1)+1),""),"")</f>
        <v/>
      </c>
      <c r="BB145" t="str">
        <f ca="1">IFERROR(INDEX('M04-S02'!$BY$18:$BY$199,2*(ROWS(BB$116:BB145)-1)+1),"")</f>
        <v>Enter Utility Rate</v>
      </c>
    </row>
    <row r="146" spans="1:54">
      <c r="A146" s="477" t="str">
        <f>"Custom "&amp;M4S3</f>
        <v>Custom Lighting Controls</v>
      </c>
      <c r="B146" s="31"/>
      <c r="C146" s="31"/>
      <c r="D146" s="31"/>
      <c r="E146" s="31"/>
      <c r="F146" s="31"/>
      <c r="G146" s="31"/>
      <c r="H146" s="31"/>
      <c r="I146" s="31"/>
      <c r="J146" s="181"/>
      <c r="K146" s="181"/>
      <c r="L146" s="31"/>
      <c r="M146" s="31"/>
      <c r="N146" s="31"/>
      <c r="O146" s="98"/>
      <c r="P146" s="31"/>
      <c r="Q146" s="31"/>
      <c r="R146" s="31"/>
      <c r="S146" s="31"/>
      <c r="T146" s="187"/>
      <c r="U146" s="187"/>
      <c r="V146" s="185"/>
      <c r="W146" s="185"/>
      <c r="X146" s="185"/>
      <c r="Y146" s="185"/>
      <c r="Z146" s="185"/>
      <c r="AA146" s="181"/>
      <c r="AB146" s="31"/>
      <c r="AC146" s="181"/>
      <c r="AD146" s="181"/>
      <c r="AE146" s="181"/>
      <c r="AF146" s="31"/>
      <c r="AG146" s="181"/>
      <c r="AH146" s="31"/>
      <c r="AI146" s="189"/>
      <c r="AJ146" s="189"/>
      <c r="AK146" s="189"/>
      <c r="AL146" s="189"/>
      <c r="AM146" s="189"/>
      <c r="AN146" s="189"/>
      <c r="AO146" s="189"/>
      <c r="AP146" s="181"/>
      <c r="AQ146" s="181"/>
      <c r="AR146" s="181"/>
      <c r="AS146" s="31"/>
      <c r="AT146" s="31"/>
      <c r="AU146" s="31"/>
      <c r="AV146" s="187"/>
      <c r="AW146" s="187"/>
      <c r="AX146" s="185"/>
      <c r="AY146" s="185"/>
      <c r="AZ146" s="189"/>
      <c r="BA146" s="189"/>
      <c r="BB146" s="31"/>
    </row>
    <row r="147" spans="1:54">
      <c r="A147" s="10">
        <f t="shared" ref="A147:A161" si="16">PROJID</f>
        <v>0</v>
      </c>
      <c r="B147" t="str">
        <f t="shared" ref="B147:B161" si="17">IF(C147="","",CONCATENATE(ROW(),"-",C147))</f>
        <v/>
      </c>
      <c r="C147" t="str" cm="1">
        <f t="array" ref="C147">IFERROR(_xlfn.VALUETOTEXT(INDEX('M04-S03'!$BW$18:$BW$199,2*(ROWS($C$147:C147)-1)+1)),"")</f>
        <v/>
      </c>
      <c r="D147">
        <f>IFERROR(INDEX('M04-S03'!$B$18:$B$199,2*(ROWS(D$147:D147)-1)+1),"")</f>
        <v>1</v>
      </c>
      <c r="E147" s="51" t="str" cm="1">
        <f t="array" ref="E147">IFERROR(_xlfn.VALUETOTEXT(INDEX('M04-S03'!$BX$18:$BX$199,2*(ROWS($E$147:E147)-1)+1)),"")</f>
        <v/>
      </c>
      <c r="F147" t="str" cm="1">
        <f t="array" ref="F147">IF(C147&lt;&gt;"", _xlfn.SWITCH(Program_Banner, "Small Business / Non-Profit", "Hard-To-Reach Business", "Business Energy Savings", "Whole Business Efficiency", ""), "")</f>
        <v/>
      </c>
      <c r="G147" t="s">
        <v>135</v>
      </c>
      <c r="H147" t="str">
        <f>IFERROR(INDEX('M04-S03'!$BC$18:$BC$199,2*(ROWS(H$147:H147)-1)+1),"")</f>
        <v/>
      </c>
      <c r="I147" t="str">
        <f>IFERROR(INDEX('M04-S03'!$BJ$18:$BJ$199,2*(ROWS(I$147:I147)-1)+1),"")</f>
        <v/>
      </c>
      <c r="J147" s="9" t="str">
        <f>IFERROR(INDEX('M04-S03'!$BN$18:$BN$199,2*(ROWS(J$147:J147)-1)+1),"")</f>
        <v/>
      </c>
      <c r="K147" s="9" t="str">
        <f>IFERROR(INDEX('M04-S03'!$BO$18:$BO$199,2*(ROWS(K$147:K147)-1)+1),"")</f>
        <v/>
      </c>
      <c r="L147" s="51" t="str">
        <f>IFERROR(INDEX('M04-S03'!$BD$18:$BD$199,2*(ROWS(L$147:L147)-1)+1),"")</f>
        <v/>
      </c>
      <c r="M147">
        <f>IFERROR(INDEX('M04-S03'!$AE$18:$AE$199,2*(ROWS(M$147:M147)-1)+1),"")</f>
        <v>0</v>
      </c>
      <c r="N147" s="171"/>
      <c r="O147">
        <f>IFERROR(INDEX('M04-S03'!$G$18:$G$199,2*(ROWS(O$147:O147)-1)+1),"")</f>
        <v>0</v>
      </c>
      <c r="P147" s="171"/>
      <c r="Q147">
        <f>IFERROR(INDEX('M04-S03'!$AA$18:$AA$199,2*(ROWS(Q$147:Q147)-1)+1),"")</f>
        <v>0</v>
      </c>
      <c r="S147" t="str">
        <f>IFERROR(INDEX('M04-S03'!$AX$18:$AX$199,2*(ROWS(S$147:S147)-1)+1),"")</f>
        <v/>
      </c>
      <c r="T147" s="545" t="str">
        <f>IFERROR(ROUND(INDEX('M04-S03'!$AY$18:$AY$199,2*(ROWS(T$147:T147)-1)+1),3),"")</f>
        <v/>
      </c>
      <c r="U147" s="545" t="str">
        <f>IFERROR(ROUND(INDEX('M04-S03'!$AZ$18:$AZ$199,2*(ROWS(U$147:U147)-1)+1),3),"")</f>
        <v/>
      </c>
      <c r="V147" s="26">
        <f>IFERROR(INDEX('M04-S03'!$T$18:$T$199,2*(ROWS(W$147:W147)-1)+1),"")</f>
        <v>0</v>
      </c>
      <c r="W147" s="184"/>
      <c r="X147" s="184"/>
      <c r="Y147" s="26">
        <f>IFERROR(INDEX('M04-S03'!$Q$18:$Q$199,2*(ROWS(Y$147:Y147)-1)+1),"")</f>
        <v>0</v>
      </c>
      <c r="Z147" s="26"/>
      <c r="AA147" s="9" t="str" cm="1">
        <f t="array" ref="AA147">IFERROR(ROUND(INDEX('M04-S03'!$AR$18:$AR$199,2*(ROWS(AA$147:AA147)-1)+1), 2),"")</f>
        <v/>
      </c>
      <c r="AB147" s="164"/>
      <c r="AC147" s="9" t="str" cm="1">
        <f t="array" aca="1" ref="AC147" ca="1">IFERROR(ROUND(IF(BB147&lt;&gt;"","",INDEX('M04-S03'!$AH$18:$AH$199,2*(ROWS(AC$147:AC147)-1)+1)),2),"")</f>
        <v/>
      </c>
      <c r="AD147" s="9" t="str" cm="1">
        <f t="array" aca="1" ref="AD147" ca="1">IFERROR(ROUND(IF(BB147&lt;&gt;"","",INDEX('M04-S03'!$AJ$18:$AJ$199,2*(ROWS(AD$147:AD147)-1)+1)),2),"")</f>
        <v/>
      </c>
      <c r="AE147" s="9" t="str">
        <f ca="1">IF(BB147&lt;&gt;"", "", IF(AF147="Total", AG147, ""))</f>
        <v/>
      </c>
      <c r="AF147" t="str">
        <f ca="1">IFERROR(IF(BB147&lt;&gt;"","","Total"),"")</f>
        <v/>
      </c>
      <c r="AG147" s="9" t="str" cm="1">
        <f t="array" aca="1" ref="AG147" ca="1">IFERROR(ROUND(IF(BB147&lt;&gt;"","",INDEX('M04-S03'!$AL$18:$AL$199,2*(ROWS(AG$147:AG147)-1)+1)),2),"")</f>
        <v/>
      </c>
      <c r="AH147" s="184"/>
      <c r="AI147" s="191"/>
      <c r="AJ147" s="32" t="str">
        <f ca="1">IFERROR(ROUND(IF(BA147&lt;&gt;"","",INDEX('M04-S03'!$AO$18:$AO$199,2*(ROWS(AJ$147:AJ147)-1)+1)),4),"")</f>
        <v/>
      </c>
      <c r="AK147" s="32" t="str">
        <f ca="1">IFERROR(ROUND(IF(BA147&lt;&gt;"","",INDEX('M04-S03'!$BF$18:$BF$199,2*(ROWS(AK$147:AK147)-1)+1)),4),"")</f>
        <v/>
      </c>
      <c r="AL147" s="32" t="str">
        <f ca="1">IFERROR(ROUND(IF(BA147&lt;&gt;"","",INDEX('M04-S03'!$BG$18:$BG$199,2*(ROWS(AL$147:AL147)-1)+1)),4),"")</f>
        <v/>
      </c>
      <c r="AM147" s="32" t="str" cm="1">
        <f t="array" ref="AM147">IFERROR(ROUND(INDEX('M04-S03'!$BA$18:$BA$199,2*(ROWS(AM$147:AM147)-1)+1),4),"")</f>
        <v/>
      </c>
      <c r="AN147" s="32" t="str" cm="1">
        <f t="array" ref="AN147">IFERROR(ROUND(INDEX('M04-S03'!$BB$18:$BB$199,2*(ROWS(AN$147:AN147)-1)+1),4),"")</f>
        <v/>
      </c>
      <c r="AO147" s="32"/>
      <c r="AP147" s="9">
        <f ca="1">IFERROR(ROUND(IF(BB147&lt;&gt;"",INDEX('M04-S03'!$AH$18:$AH$199,2*(ROWS(AP$147:AP147)-1)+1),""),2),"")</f>
        <v>0</v>
      </c>
      <c r="AQ147" s="9">
        <f ca="1">IFERROR(ROUND(IF(BB147&lt;&gt;"",INDEX('M04-S03'!$AJ$18:$AJ$199,2*(ROWS(AQ$147:AQ147)-1)+1),""),2),"")</f>
        <v>0</v>
      </c>
      <c r="AR147" s="9" t="str">
        <f ca="1">IF(BB147&lt;&gt;"", "", IF(AS147="Total", AT147, ""))</f>
        <v/>
      </c>
      <c r="AS147" t="str">
        <f t="shared" ref="AS147:AS161" ca="1" si="18">IFERROR(IF(BB147&lt;&gt;"","Total",""),"")</f>
        <v>Total</v>
      </c>
      <c r="AT147" s="9" t="str" cm="1">
        <f t="array" aca="1" ref="AT147" ca="1">IFERROR(ROUND(IF(BB147&lt;&gt;"", INDEX('M04-S03'!$AL$18:$AL$199,2*(ROWS(AT$147:AT147)-1)+1), ""),2),"")</f>
        <v/>
      </c>
      <c r="AU147" s="184"/>
      <c r="AV147" s="5">
        <f ca="1">IFERROR(IF(BB147&lt;&gt;"",ROUND(INDEX('M04-S03'!$O$18:$O$199,2*(ROWS(AV$147:AV147)-1)+1),3),""),"")</f>
        <v>0</v>
      </c>
      <c r="AW147" s="5">
        <f ca="1">IFERROR(IF(BB147&lt;&gt;"",ROUND(INDEX('M04-S03'!$O$18:$O$199,2*(ROWS(AW$147:AW147)-1)+1),3),""),"")</f>
        <v>0</v>
      </c>
      <c r="AX147" s="184"/>
      <c r="AY147" s="26" t="str">
        <f ca="1">IFERROR(IF(BB147&lt;&gt;"",INDEX('M04-S03'!$AO$18:$AO$199,2*(ROWS(AY$147:AY147)-1)+1),""),"")</f>
        <v/>
      </c>
      <c r="AZ147" s="32" t="str">
        <f ca="1">IFERROR(IF(BB147&lt;&gt;"",INDEX('M04-S03'!$BF$18:$BF$199,2*(ROWS(AZ$147:AZ147)-1)+1),""),"")</f>
        <v/>
      </c>
      <c r="BA147" s="32" t="str">
        <f ca="1">IFERROR(IF(BB147&lt;&gt;"",INDEX('M04-S03'!$BG$18:$BG$199,2*(ROWS(BA$147:BA147)-1)+1),""),"")</f>
        <v/>
      </c>
      <c r="BB147" t="str">
        <f ca="1">IFERROR(INDEX('M04-S03'!$BY$18:$BY$199,2*(ROWS(BB$147:BB147)-1)+1),"")</f>
        <v>Enter Utility Rate</v>
      </c>
    </row>
    <row r="148" spans="1:54">
      <c r="A148" s="10">
        <f t="shared" si="16"/>
        <v>0</v>
      </c>
      <c r="B148" t="str">
        <f t="shared" si="17"/>
        <v/>
      </c>
      <c r="C148" t="str" cm="1">
        <f t="array" ref="C148">IFERROR(_xlfn.VALUETOTEXT(INDEX('M04-S03'!$BW$18:$BW$199,2*(ROWS($C$147:C148)-1)+1)),"")</f>
        <v/>
      </c>
      <c r="D148">
        <f>IFERROR(INDEX('M04-S03'!$B$18:$B$199,2*(ROWS(D$147:D148)-1)+1),"")</f>
        <v>2</v>
      </c>
      <c r="E148" s="51" t="str" cm="1">
        <f t="array" ref="E148">IFERROR(_xlfn.VALUETOTEXT(INDEX('M04-S03'!$BX$18:$BX$199,2*(ROWS($E$147:E148)-1)+1)),"")</f>
        <v/>
      </c>
      <c r="F148" t="str" cm="1">
        <f t="array" ref="F148">IF(C148&lt;&gt;"", _xlfn.SWITCH(Program_Banner, "Small Business / Non-Profit", "Hard-To-Reach Business", "Business Energy Savings", "Whole Business Efficiency", ""), "")</f>
        <v/>
      </c>
      <c r="G148" t="s">
        <v>135</v>
      </c>
      <c r="H148" t="str">
        <f>IFERROR(INDEX('M04-S03'!$BC$18:$BC$199,2*(ROWS(H$147:H148)-1)+1),"")</f>
        <v/>
      </c>
      <c r="I148" t="str">
        <f>IFERROR(INDEX('M04-S03'!$BJ$18:$BJ$199,2*(ROWS(I$147:I148)-1)+1),"")</f>
        <v/>
      </c>
      <c r="J148" s="9" t="str">
        <f>IFERROR(INDEX('M04-S03'!$BN$18:$BN$199,2*(ROWS(J$147:J148)-1)+1),"")</f>
        <v/>
      </c>
      <c r="K148" s="9" t="str">
        <f>IFERROR(INDEX('M04-S03'!$BO$18:$BO$199,2*(ROWS(K$147:K148)-1)+1),"")</f>
        <v/>
      </c>
      <c r="L148" s="51" t="str">
        <f>IFERROR(INDEX('M04-S03'!$BD$18:$BD$199,2*(ROWS(L$147:L148)-1)+1),"")</f>
        <v/>
      </c>
      <c r="M148">
        <f>IFERROR(INDEX('M04-S03'!$AE$18:$AE$199,2*(ROWS(M$147:M148)-1)+1),"")</f>
        <v>0</v>
      </c>
      <c r="N148" s="171"/>
      <c r="O148">
        <f>IFERROR(INDEX('M04-S03'!$G$18:$G$199,2*(ROWS(O$147:O148)-1)+1),"")</f>
        <v>0</v>
      </c>
      <c r="P148" s="171"/>
      <c r="Q148">
        <f>IFERROR(INDEX('M04-S03'!$AA$18:$AA$199,2*(ROWS(Q$147:Q148)-1)+1),"")</f>
        <v>0</v>
      </c>
      <c r="S148" t="str">
        <f>IFERROR(INDEX('M04-S03'!$AX$18:$AX$199,2*(ROWS(S$147:S148)-1)+1),"")</f>
        <v/>
      </c>
      <c r="T148" s="545" t="str">
        <f>IFERROR(ROUND(INDEX('M04-S03'!$AY$18:$AY$199,2*(ROWS(T$147:T148)-1)+1),3),"")</f>
        <v/>
      </c>
      <c r="U148" s="545" t="str">
        <f>IFERROR(ROUND(INDEX('M04-S03'!$AZ$18:$AZ$199,2*(ROWS(U$147:U148)-1)+1),3),"")</f>
        <v/>
      </c>
      <c r="V148" s="26">
        <f>IFERROR(INDEX('M04-S03'!$T$18:$T$199,2*(ROWS(W$147:W148)-1)+1),"")</f>
        <v>0</v>
      </c>
      <c r="W148" s="184"/>
      <c r="X148" s="184"/>
      <c r="Y148" s="26">
        <f>IFERROR(INDEX('M04-S03'!$Q$18:$Q$199,2*(ROWS(Y$147:Y148)-1)+1),"")</f>
        <v>0</v>
      </c>
      <c r="Z148" s="26"/>
      <c r="AA148" s="9" t="str" cm="1">
        <f t="array" ref="AA148">IFERROR(ROUND(INDEX('M04-S03'!$AR$18:$AR$199,2*(ROWS(AA$147:AA148)-1)+1), 2),"")</f>
        <v/>
      </c>
      <c r="AB148" s="164"/>
      <c r="AC148" s="9" t="str" cm="1">
        <f t="array" aca="1" ref="AC148" ca="1">IFERROR(ROUND(IF(BB148&lt;&gt;"","",INDEX('M04-S03'!$AH$18:$AH$199,2*(ROWS(AC$147:AC148)-1)+1)),2),"")</f>
        <v/>
      </c>
      <c r="AD148" s="9" t="str" cm="1">
        <f t="array" aca="1" ref="AD148" ca="1">IFERROR(ROUND(IF(BB148&lt;&gt;"","",INDEX('M04-S03'!$AJ$18:$AJ$199,2*(ROWS(AD$147:AD148)-1)+1)),2),"")</f>
        <v/>
      </c>
      <c r="AE148" s="9" t="str">
        <f t="shared" ref="AE148:AE211" ca="1" si="19">IF(BB148&lt;&gt;"", "", IF(AF148="Total", AG148, ""))</f>
        <v/>
      </c>
      <c r="AF148" t="str">
        <f t="shared" ref="AF148:AF161" ca="1" si="20">IFERROR(IF(BB148&lt;&gt;"","","Total"),"")</f>
        <v/>
      </c>
      <c r="AG148" s="9" t="str" cm="1">
        <f t="array" aca="1" ref="AG148" ca="1">IFERROR(ROUND(IF(BB148&lt;&gt;"","",INDEX('M04-S03'!$AL$18:$AL$199,2*(ROWS(AG$147:AG148)-1)+1)),2),"")</f>
        <v/>
      </c>
      <c r="AH148" s="184"/>
      <c r="AI148" s="191"/>
      <c r="AJ148" s="32" t="str">
        <f ca="1">IFERROR(ROUND(IF(BA148&lt;&gt;"","",INDEX('M04-S03'!$AO$18:$AO$199,2*(ROWS(AJ$147:AJ148)-1)+1)),4),"")</f>
        <v/>
      </c>
      <c r="AK148" s="32" t="str">
        <f ca="1">IFERROR(ROUND(IF(BA148&lt;&gt;"","",INDEX('M04-S03'!$BF$18:$BF$199,2*(ROWS(AK$147:AK148)-1)+1)),4),"")</f>
        <v/>
      </c>
      <c r="AL148" s="32" t="str">
        <f ca="1">IFERROR(ROUND(IF(BA148&lt;&gt;"","",INDEX('M04-S03'!$BG$18:$BG$199,2*(ROWS(AL$147:AL148)-1)+1)),4),"")</f>
        <v/>
      </c>
      <c r="AM148" s="32" t="str" cm="1">
        <f t="array" ref="AM148">IFERROR(ROUND(INDEX('M04-S03'!$BA$18:$BA$199,2*(ROWS(AM$147:AM148)-1)+1),4),"")</f>
        <v/>
      </c>
      <c r="AN148" s="32" t="str" cm="1">
        <f t="array" ref="AN148">IFERROR(ROUND(INDEX('M04-S03'!$BB$18:$BB$199,2*(ROWS(AN$147:AN148)-1)+1),4),"")</f>
        <v/>
      </c>
      <c r="AO148" s="32"/>
      <c r="AP148" s="9">
        <f ca="1">IFERROR(ROUND(IF(BB148&lt;&gt;"",INDEX('M04-S03'!$AH$18:$AH$199,2*(ROWS(AP$147:AP148)-1)+1),""),2),"")</f>
        <v>0</v>
      </c>
      <c r="AQ148" s="9">
        <f ca="1">IFERROR(ROUND(IF(BB148&lt;&gt;"",INDEX('M04-S03'!$AJ$18:$AJ$199,2*(ROWS(AQ$147:AQ148)-1)+1),""),2),"")</f>
        <v>0</v>
      </c>
      <c r="AR148" s="9" t="str">
        <f t="shared" ref="AR148:AR161" ca="1" si="21">IF(BB148&lt;&gt;"", "", IF(AS148="Total", AT148, ""))</f>
        <v/>
      </c>
      <c r="AS148" t="str">
        <f t="shared" ca="1" si="18"/>
        <v>Total</v>
      </c>
      <c r="AT148" s="9" t="str" cm="1">
        <f t="array" aca="1" ref="AT148" ca="1">IFERROR(ROUND(IF(BB148&lt;&gt;"", INDEX('M04-S03'!$AL$18:$AL$199,2*(ROWS(AT$147:AT148)-1)+1), ""),2),"")</f>
        <v/>
      </c>
      <c r="AU148" s="184"/>
      <c r="AV148" s="5">
        <f ca="1">IFERROR(IF(BB148&lt;&gt;"",ROUND(INDEX('M04-S03'!$O$18:$O$199,2*(ROWS(AV$147:AV148)-1)+1),3),""),"")</f>
        <v>0</v>
      </c>
      <c r="AW148" s="5">
        <f ca="1">IFERROR(IF(BB148&lt;&gt;"",ROUND(INDEX('M04-S03'!$O$18:$O$199,2*(ROWS(AW$147:AW148)-1)+1),3),""),"")</f>
        <v>0</v>
      </c>
      <c r="AX148" s="184"/>
      <c r="AY148" s="26" t="str">
        <f ca="1">IFERROR(IF(BB148&lt;&gt;"",INDEX('M04-S03'!$AO$18:$AO$199,2*(ROWS(AY$147:AY148)-1)+1),""),"")</f>
        <v/>
      </c>
      <c r="AZ148" s="32" t="str">
        <f ca="1">IFERROR(IF(BB148&lt;&gt;"",INDEX('M04-S03'!$BF$18:$BF$199,2*(ROWS(AZ$147:AZ148)-1)+1),""),"")</f>
        <v/>
      </c>
      <c r="BA148" s="32" t="str">
        <f ca="1">IFERROR(IF(BB148&lt;&gt;"",INDEX('M04-S03'!$BG$18:$BG$199,2*(ROWS(BA$147:BA148)-1)+1),""),"")</f>
        <v/>
      </c>
      <c r="BB148" t="str">
        <f ca="1">IFERROR(INDEX('M04-S03'!$BY$18:$BY$199,2*(ROWS(BB$147:BB148)-1)+1),"")</f>
        <v>Enter Utility Rate</v>
      </c>
    </row>
    <row r="149" spans="1:54">
      <c r="A149" s="10">
        <f t="shared" si="16"/>
        <v>0</v>
      </c>
      <c r="B149" t="str">
        <f t="shared" si="17"/>
        <v/>
      </c>
      <c r="C149" t="str" cm="1">
        <f t="array" ref="C149">IFERROR(_xlfn.VALUETOTEXT(INDEX('M04-S03'!$BW$18:$BW$199,2*(ROWS($C$147:C149)-1)+1)),"")</f>
        <v/>
      </c>
      <c r="D149">
        <f>IFERROR(INDEX('M04-S03'!$B$18:$B$199,2*(ROWS(D$147:D149)-1)+1),"")</f>
        <v>3</v>
      </c>
      <c r="E149" s="51" t="str" cm="1">
        <f t="array" ref="E149">IFERROR(_xlfn.VALUETOTEXT(INDEX('M04-S03'!$BX$18:$BX$199,2*(ROWS($E$147:E149)-1)+1)),"")</f>
        <v/>
      </c>
      <c r="F149" t="str" cm="1">
        <f t="array" ref="F149">IF(C149&lt;&gt;"", _xlfn.SWITCH(Program_Banner, "Small Business / Non-Profit", "Hard-To-Reach Business", "Business Energy Savings", "Whole Business Efficiency", ""), "")</f>
        <v/>
      </c>
      <c r="G149" t="s">
        <v>135</v>
      </c>
      <c r="H149" t="str">
        <f>IFERROR(INDEX('M04-S03'!$BC$18:$BC$199,2*(ROWS(H$147:H149)-1)+1),"")</f>
        <v/>
      </c>
      <c r="I149" t="str">
        <f>IFERROR(INDEX('M04-S03'!$BJ$18:$BJ$199,2*(ROWS(I$147:I149)-1)+1),"")</f>
        <v/>
      </c>
      <c r="J149" s="9" t="str">
        <f>IFERROR(INDEX('M04-S03'!$BN$18:$BN$199,2*(ROWS(J$147:J149)-1)+1),"")</f>
        <v/>
      </c>
      <c r="K149" s="9" t="str">
        <f>IFERROR(INDEX('M04-S03'!$BO$18:$BO$199,2*(ROWS(K$147:K149)-1)+1),"")</f>
        <v/>
      </c>
      <c r="L149" s="51" t="str">
        <f>IFERROR(INDEX('M04-S03'!$BD$18:$BD$199,2*(ROWS(L$147:L149)-1)+1),"")</f>
        <v/>
      </c>
      <c r="M149">
        <f>IFERROR(INDEX('M04-S03'!$AE$18:$AE$199,2*(ROWS(M$147:M149)-1)+1),"")</f>
        <v>0</v>
      </c>
      <c r="N149" s="171"/>
      <c r="O149">
        <f>IFERROR(INDEX('M04-S03'!$G$18:$G$199,2*(ROWS(O$147:O149)-1)+1),"")</f>
        <v>0</v>
      </c>
      <c r="P149" s="171"/>
      <c r="Q149">
        <f>IFERROR(INDEX('M04-S03'!$AA$18:$AA$199,2*(ROWS(Q$147:Q149)-1)+1),"")</f>
        <v>0</v>
      </c>
      <c r="S149" t="str">
        <f>IFERROR(INDEX('M04-S03'!$AX$18:$AX$199,2*(ROWS(S$147:S149)-1)+1),"")</f>
        <v/>
      </c>
      <c r="T149" s="545" t="str">
        <f>IFERROR(ROUND(INDEX('M04-S03'!$AY$18:$AY$199,2*(ROWS(T$147:T149)-1)+1),3),"")</f>
        <v/>
      </c>
      <c r="U149" s="545" t="str">
        <f>IFERROR(ROUND(INDEX('M04-S03'!$AZ$18:$AZ$199,2*(ROWS(U$147:U149)-1)+1),3),"")</f>
        <v/>
      </c>
      <c r="V149" s="26">
        <f>IFERROR(INDEX('M04-S03'!$T$18:$T$199,2*(ROWS(W$147:W149)-1)+1),"")</f>
        <v>0</v>
      </c>
      <c r="W149" s="184"/>
      <c r="X149" s="184"/>
      <c r="Y149" s="26">
        <f>IFERROR(INDEX('M04-S03'!$Q$18:$Q$199,2*(ROWS(Y$147:Y149)-1)+1),"")</f>
        <v>0</v>
      </c>
      <c r="Z149" s="26"/>
      <c r="AA149" s="9" t="str" cm="1">
        <f t="array" ref="AA149">IFERROR(ROUND(INDEX('M04-S03'!$AR$18:$AR$199,2*(ROWS(AA$147:AA149)-1)+1), 2),"")</f>
        <v/>
      </c>
      <c r="AB149" s="164"/>
      <c r="AC149" s="9" t="str" cm="1">
        <f t="array" aca="1" ref="AC149" ca="1">IFERROR(ROUND(IF(BB149&lt;&gt;"","",INDEX('M04-S03'!$AH$18:$AH$199,2*(ROWS(AC$147:AC149)-1)+1)),2),"")</f>
        <v/>
      </c>
      <c r="AD149" s="9" t="str" cm="1">
        <f t="array" aca="1" ref="AD149" ca="1">IFERROR(ROUND(IF(BB149&lt;&gt;"","",INDEX('M04-S03'!$AJ$18:$AJ$199,2*(ROWS(AD$147:AD149)-1)+1)),2),"")</f>
        <v/>
      </c>
      <c r="AE149" s="9" t="str">
        <f t="shared" ca="1" si="19"/>
        <v/>
      </c>
      <c r="AF149" t="str">
        <f t="shared" ca="1" si="20"/>
        <v/>
      </c>
      <c r="AG149" s="9" t="str" cm="1">
        <f t="array" aca="1" ref="AG149" ca="1">IFERROR(ROUND(IF(BB149&lt;&gt;"","",INDEX('M04-S03'!$AL$18:$AL$199,2*(ROWS(AG$147:AG149)-1)+1)),2),"")</f>
        <v/>
      </c>
      <c r="AH149" s="184"/>
      <c r="AI149" s="191"/>
      <c r="AJ149" s="32" t="str">
        <f ca="1">IFERROR(ROUND(IF(BA149&lt;&gt;"","",INDEX('M04-S03'!$AO$18:$AO$199,2*(ROWS(AJ$147:AJ149)-1)+1)),4),"")</f>
        <v/>
      </c>
      <c r="AK149" s="32" t="str">
        <f ca="1">IFERROR(ROUND(IF(BA149&lt;&gt;"","",INDEX('M04-S03'!$BF$18:$BF$199,2*(ROWS(AK$147:AK149)-1)+1)),4),"")</f>
        <v/>
      </c>
      <c r="AL149" s="32" t="str">
        <f ca="1">IFERROR(ROUND(IF(BA149&lt;&gt;"","",INDEX('M04-S03'!$BG$18:$BG$199,2*(ROWS(AL$147:AL149)-1)+1)),4),"")</f>
        <v/>
      </c>
      <c r="AM149" s="32" t="str" cm="1">
        <f t="array" ref="AM149">IFERROR(ROUND(INDEX('M04-S03'!$BA$18:$BA$199,2*(ROWS(AM$147:AM149)-1)+1),4),"")</f>
        <v/>
      </c>
      <c r="AN149" s="32" t="str" cm="1">
        <f t="array" ref="AN149">IFERROR(ROUND(INDEX('M04-S03'!$BB$18:$BB$199,2*(ROWS(AN$147:AN149)-1)+1),4),"")</f>
        <v/>
      </c>
      <c r="AO149" s="32"/>
      <c r="AP149" s="9">
        <f ca="1">IFERROR(ROUND(IF(BB149&lt;&gt;"",INDEX('M04-S03'!$AH$18:$AH$199,2*(ROWS(AP$147:AP149)-1)+1),""),2),"")</f>
        <v>0</v>
      </c>
      <c r="AQ149" s="9">
        <f ca="1">IFERROR(ROUND(IF(BB149&lt;&gt;"",INDEX('M04-S03'!$AJ$18:$AJ$199,2*(ROWS(AQ$147:AQ149)-1)+1),""),2),"")</f>
        <v>0</v>
      </c>
      <c r="AR149" s="9" t="str">
        <f t="shared" ca="1" si="21"/>
        <v/>
      </c>
      <c r="AS149" t="str">
        <f t="shared" ca="1" si="18"/>
        <v>Total</v>
      </c>
      <c r="AT149" s="9" t="str" cm="1">
        <f t="array" aca="1" ref="AT149" ca="1">IFERROR(ROUND(IF(BB149&lt;&gt;"", INDEX('M04-S03'!$AL$18:$AL$199,2*(ROWS(AT$147:AT149)-1)+1), ""),2),"")</f>
        <v/>
      </c>
      <c r="AU149" s="184"/>
      <c r="AV149" s="5">
        <f ca="1">IFERROR(IF(BB149&lt;&gt;"",ROUND(INDEX('M04-S03'!$O$18:$O$199,2*(ROWS(AV$147:AV149)-1)+1),3),""),"")</f>
        <v>0</v>
      </c>
      <c r="AW149" s="5">
        <f ca="1">IFERROR(IF(BB149&lt;&gt;"",ROUND(INDEX('M04-S03'!$O$18:$O$199,2*(ROWS(AW$147:AW149)-1)+1),3),""),"")</f>
        <v>0</v>
      </c>
      <c r="AX149" s="184"/>
      <c r="AY149" s="26" t="str">
        <f ca="1">IFERROR(IF(BB149&lt;&gt;"",INDEX('M04-S03'!$AO$18:$AO$199,2*(ROWS(AY$147:AY149)-1)+1),""),"")</f>
        <v/>
      </c>
      <c r="AZ149" s="32" t="str">
        <f ca="1">IFERROR(IF(BB149&lt;&gt;"",INDEX('M04-S03'!$BF$18:$BF$199,2*(ROWS(AZ$147:AZ149)-1)+1),""),"")</f>
        <v/>
      </c>
      <c r="BA149" s="32" t="str">
        <f ca="1">IFERROR(IF(BB149&lt;&gt;"",INDEX('M04-S03'!$BG$18:$BG$199,2*(ROWS(BA$147:BA149)-1)+1),""),"")</f>
        <v/>
      </c>
      <c r="BB149" t="str">
        <f ca="1">IFERROR(INDEX('M04-S03'!$BY$18:$BY$199,2*(ROWS(BB$147:BB149)-1)+1),"")</f>
        <v>Enter Utility Rate</v>
      </c>
    </row>
    <row r="150" spans="1:54">
      <c r="A150" s="10">
        <f t="shared" si="16"/>
        <v>0</v>
      </c>
      <c r="B150" t="str">
        <f t="shared" si="17"/>
        <v/>
      </c>
      <c r="C150" t="str" cm="1">
        <f t="array" ref="C150">IFERROR(_xlfn.VALUETOTEXT(INDEX('M04-S03'!$BW$18:$BW$199,2*(ROWS($C$147:C150)-1)+1)),"")</f>
        <v/>
      </c>
      <c r="D150">
        <f>IFERROR(INDEX('M04-S03'!$B$18:$B$199,2*(ROWS(D$147:D150)-1)+1),"")</f>
        <v>4</v>
      </c>
      <c r="E150" s="51" t="str" cm="1">
        <f t="array" ref="E150">IFERROR(_xlfn.VALUETOTEXT(INDEX('M04-S03'!$BX$18:$BX$199,2*(ROWS($E$147:E150)-1)+1)),"")</f>
        <v/>
      </c>
      <c r="F150" t="str" cm="1">
        <f t="array" ref="F150">IF(C150&lt;&gt;"", _xlfn.SWITCH(Program_Banner, "Small Business / Non-Profit", "Hard-To-Reach Business", "Business Energy Savings", "Whole Business Efficiency", ""), "")</f>
        <v/>
      </c>
      <c r="G150" t="s">
        <v>135</v>
      </c>
      <c r="H150" t="str">
        <f>IFERROR(INDEX('M04-S03'!$BC$18:$BC$199,2*(ROWS(H$147:H150)-1)+1),"")</f>
        <v/>
      </c>
      <c r="I150" t="str">
        <f>IFERROR(INDEX('M04-S03'!$BJ$18:$BJ$199,2*(ROWS(I$147:I150)-1)+1),"")</f>
        <v/>
      </c>
      <c r="J150" s="9" t="str">
        <f>IFERROR(INDEX('M04-S03'!$BN$18:$BN$199,2*(ROWS(J$147:J150)-1)+1),"")</f>
        <v/>
      </c>
      <c r="K150" s="9" t="str">
        <f>IFERROR(INDEX('M04-S03'!$BO$18:$BO$199,2*(ROWS(K$147:K150)-1)+1),"")</f>
        <v/>
      </c>
      <c r="L150" s="51" t="str">
        <f>IFERROR(INDEX('M04-S03'!$BD$18:$BD$199,2*(ROWS(L$147:L150)-1)+1),"")</f>
        <v/>
      </c>
      <c r="M150">
        <f>IFERROR(INDEX('M04-S03'!$AE$18:$AE$199,2*(ROWS(M$147:M150)-1)+1),"")</f>
        <v>0</v>
      </c>
      <c r="N150" s="171"/>
      <c r="O150">
        <f>IFERROR(INDEX('M04-S03'!$G$18:$G$199,2*(ROWS(O$147:O150)-1)+1),"")</f>
        <v>0</v>
      </c>
      <c r="P150" s="171"/>
      <c r="Q150">
        <f>IFERROR(INDEX('M04-S03'!$AA$18:$AA$199,2*(ROWS(Q$147:Q150)-1)+1),"")</f>
        <v>0</v>
      </c>
      <c r="S150" t="str">
        <f>IFERROR(INDEX('M04-S03'!$AX$18:$AX$199,2*(ROWS(S$147:S150)-1)+1),"")</f>
        <v/>
      </c>
      <c r="T150" s="545" t="str">
        <f>IFERROR(ROUND(INDEX('M04-S03'!$AY$18:$AY$199,2*(ROWS(T$147:T150)-1)+1),3),"")</f>
        <v/>
      </c>
      <c r="U150" s="545" t="str">
        <f>IFERROR(ROUND(INDEX('M04-S03'!$AZ$18:$AZ$199,2*(ROWS(U$147:U150)-1)+1),3),"")</f>
        <v/>
      </c>
      <c r="V150" s="26">
        <f>IFERROR(INDEX('M04-S03'!$T$18:$T$199,2*(ROWS(W$147:W150)-1)+1),"")</f>
        <v>0</v>
      </c>
      <c r="W150" s="184"/>
      <c r="X150" s="184"/>
      <c r="Y150" s="26">
        <f>IFERROR(INDEX('M04-S03'!$Q$18:$Q$199,2*(ROWS(Y$147:Y150)-1)+1),"")</f>
        <v>0</v>
      </c>
      <c r="Z150" s="26"/>
      <c r="AA150" s="9" t="str" cm="1">
        <f t="array" ref="AA150">IFERROR(ROUND(INDEX('M04-S03'!$AR$18:$AR$199,2*(ROWS(AA$147:AA150)-1)+1), 2),"")</f>
        <v/>
      </c>
      <c r="AB150" s="164"/>
      <c r="AC150" s="9" t="str" cm="1">
        <f t="array" aca="1" ref="AC150" ca="1">IFERROR(ROUND(IF(BB150&lt;&gt;"","",INDEX('M04-S03'!$AH$18:$AH$199,2*(ROWS(AC$147:AC150)-1)+1)),2),"")</f>
        <v/>
      </c>
      <c r="AD150" s="9" t="str" cm="1">
        <f t="array" aca="1" ref="AD150" ca="1">IFERROR(ROUND(IF(BB150&lt;&gt;"","",INDEX('M04-S03'!$AJ$18:$AJ$199,2*(ROWS(AD$147:AD150)-1)+1)),2),"")</f>
        <v/>
      </c>
      <c r="AE150" s="9" t="str">
        <f t="shared" ca="1" si="19"/>
        <v/>
      </c>
      <c r="AF150" t="str">
        <f t="shared" ca="1" si="20"/>
        <v/>
      </c>
      <c r="AG150" s="9" t="str" cm="1">
        <f t="array" aca="1" ref="AG150" ca="1">IFERROR(ROUND(IF(BB150&lt;&gt;"","",INDEX('M04-S03'!$AL$18:$AL$199,2*(ROWS(AG$147:AG150)-1)+1)),2),"")</f>
        <v/>
      </c>
      <c r="AH150" s="184"/>
      <c r="AI150" s="191"/>
      <c r="AJ150" s="32" t="str">
        <f ca="1">IFERROR(ROUND(IF(BA150&lt;&gt;"","",INDEX('M04-S03'!$AO$18:$AO$199,2*(ROWS(AJ$147:AJ150)-1)+1)),4),"")</f>
        <v/>
      </c>
      <c r="AK150" s="32" t="str">
        <f ca="1">IFERROR(ROUND(IF(BA150&lt;&gt;"","",INDEX('M04-S03'!$BF$18:$BF$199,2*(ROWS(AK$147:AK150)-1)+1)),4),"")</f>
        <v/>
      </c>
      <c r="AL150" s="32" t="str">
        <f ca="1">IFERROR(ROUND(IF(BA150&lt;&gt;"","",INDEX('M04-S03'!$BG$18:$BG$199,2*(ROWS(AL$147:AL150)-1)+1)),4),"")</f>
        <v/>
      </c>
      <c r="AM150" s="32" t="str" cm="1">
        <f t="array" ref="AM150">IFERROR(ROUND(INDEX('M04-S03'!$BA$18:$BA$199,2*(ROWS(AM$147:AM150)-1)+1),4),"")</f>
        <v/>
      </c>
      <c r="AN150" s="32" t="str" cm="1">
        <f t="array" ref="AN150">IFERROR(ROUND(INDEX('M04-S03'!$BB$18:$BB$199,2*(ROWS(AN$147:AN150)-1)+1),4),"")</f>
        <v/>
      </c>
      <c r="AO150" s="32"/>
      <c r="AP150" s="9">
        <f ca="1">IFERROR(ROUND(IF(BB150&lt;&gt;"",INDEX('M04-S03'!$AH$18:$AH$199,2*(ROWS(AP$147:AP150)-1)+1),""),2),"")</f>
        <v>0</v>
      </c>
      <c r="AQ150" s="9">
        <f ca="1">IFERROR(ROUND(IF(BB150&lt;&gt;"",INDEX('M04-S03'!$AJ$18:$AJ$199,2*(ROWS(AQ$147:AQ150)-1)+1),""),2),"")</f>
        <v>0</v>
      </c>
      <c r="AR150" s="9" t="str">
        <f t="shared" ca="1" si="21"/>
        <v/>
      </c>
      <c r="AS150" t="str">
        <f t="shared" ca="1" si="18"/>
        <v>Total</v>
      </c>
      <c r="AT150" s="9" t="str" cm="1">
        <f t="array" aca="1" ref="AT150" ca="1">IFERROR(ROUND(IF(BB150&lt;&gt;"", INDEX('M04-S03'!$AL$18:$AL$199,2*(ROWS(AT$147:AT150)-1)+1), ""),2),"")</f>
        <v/>
      </c>
      <c r="AU150" s="184"/>
      <c r="AV150" s="5">
        <f ca="1">IFERROR(IF(BB150&lt;&gt;"",ROUND(INDEX('M04-S03'!$O$18:$O$199,2*(ROWS(AV$147:AV150)-1)+1),3),""),"")</f>
        <v>0</v>
      </c>
      <c r="AW150" s="5">
        <f ca="1">IFERROR(IF(BB150&lt;&gt;"",ROUND(INDEX('M04-S03'!$O$18:$O$199,2*(ROWS(AW$147:AW150)-1)+1),3),""),"")</f>
        <v>0</v>
      </c>
      <c r="AX150" s="184"/>
      <c r="AY150" s="26" t="str">
        <f ca="1">IFERROR(IF(BB150&lt;&gt;"",INDEX('M04-S03'!$AO$18:$AO$199,2*(ROWS(AY$147:AY150)-1)+1),""),"")</f>
        <v/>
      </c>
      <c r="AZ150" s="32" t="str">
        <f ca="1">IFERROR(IF(BB150&lt;&gt;"",INDEX('M04-S03'!$BF$18:$BF$199,2*(ROWS(AZ$147:AZ150)-1)+1),""),"")</f>
        <v/>
      </c>
      <c r="BA150" s="32" t="str">
        <f ca="1">IFERROR(IF(BB150&lt;&gt;"",INDEX('M04-S03'!$BG$18:$BG$199,2*(ROWS(BA$147:BA150)-1)+1),""),"")</f>
        <v/>
      </c>
      <c r="BB150" t="str">
        <f ca="1">IFERROR(INDEX('M04-S03'!$BY$18:$BY$199,2*(ROWS(BB$147:BB150)-1)+1),"")</f>
        <v>Enter Utility Rate</v>
      </c>
    </row>
    <row r="151" spans="1:54">
      <c r="A151" s="10">
        <f t="shared" si="16"/>
        <v>0</v>
      </c>
      <c r="B151" t="str">
        <f t="shared" si="17"/>
        <v/>
      </c>
      <c r="C151" t="str" cm="1">
        <f t="array" ref="C151">IFERROR(_xlfn.VALUETOTEXT(INDEX('M04-S03'!$BW$18:$BW$199,2*(ROWS($C$147:C151)-1)+1)),"")</f>
        <v/>
      </c>
      <c r="D151">
        <f>IFERROR(INDEX('M04-S03'!$B$18:$B$199,2*(ROWS(D$147:D151)-1)+1),"")</f>
        <v>5</v>
      </c>
      <c r="E151" s="51" t="str" cm="1">
        <f t="array" ref="E151">IFERROR(_xlfn.VALUETOTEXT(INDEX('M04-S03'!$BX$18:$BX$199,2*(ROWS($E$147:E151)-1)+1)),"")</f>
        <v/>
      </c>
      <c r="F151" t="str" cm="1">
        <f t="array" ref="F151">IF(C151&lt;&gt;"", _xlfn.SWITCH(Program_Banner, "Small Business / Non-Profit", "Hard-To-Reach Business", "Business Energy Savings", "Whole Business Efficiency", ""), "")</f>
        <v/>
      </c>
      <c r="G151" t="s">
        <v>135</v>
      </c>
      <c r="H151" t="str">
        <f>IFERROR(INDEX('M04-S03'!$BC$18:$BC$199,2*(ROWS(H$147:H151)-1)+1),"")</f>
        <v/>
      </c>
      <c r="I151" t="str">
        <f>IFERROR(INDEX('M04-S03'!$BJ$18:$BJ$199,2*(ROWS(I$147:I151)-1)+1),"")</f>
        <v/>
      </c>
      <c r="J151" s="9" t="str">
        <f>IFERROR(INDEX('M04-S03'!$BN$18:$BN$199,2*(ROWS(J$147:J151)-1)+1),"")</f>
        <v/>
      </c>
      <c r="K151" s="9" t="str">
        <f>IFERROR(INDEX('M04-S03'!$BO$18:$BO$199,2*(ROWS(K$147:K151)-1)+1),"")</f>
        <v/>
      </c>
      <c r="L151" s="51" t="str">
        <f>IFERROR(INDEX('M04-S03'!$BD$18:$BD$199,2*(ROWS(L$147:L151)-1)+1),"")</f>
        <v/>
      </c>
      <c r="M151">
        <f>IFERROR(INDEX('M04-S03'!$AE$18:$AE$199,2*(ROWS(M$147:M151)-1)+1),"")</f>
        <v>0</v>
      </c>
      <c r="N151" s="171"/>
      <c r="O151">
        <f>IFERROR(INDEX('M04-S03'!$G$18:$G$199,2*(ROWS(O$147:O151)-1)+1),"")</f>
        <v>0</v>
      </c>
      <c r="P151" s="171"/>
      <c r="Q151">
        <f>IFERROR(INDEX('M04-S03'!$AA$18:$AA$199,2*(ROWS(Q$147:Q151)-1)+1),"")</f>
        <v>0</v>
      </c>
      <c r="S151" t="str">
        <f>IFERROR(INDEX('M04-S03'!$AX$18:$AX$199,2*(ROWS(S$147:S151)-1)+1),"")</f>
        <v/>
      </c>
      <c r="T151" s="545" t="str">
        <f>IFERROR(ROUND(INDEX('M04-S03'!$AY$18:$AY$199,2*(ROWS(T$147:T151)-1)+1),3),"")</f>
        <v/>
      </c>
      <c r="U151" s="545" t="str">
        <f>IFERROR(ROUND(INDEX('M04-S03'!$AZ$18:$AZ$199,2*(ROWS(U$147:U151)-1)+1),3),"")</f>
        <v/>
      </c>
      <c r="V151" s="26">
        <f>IFERROR(INDEX('M04-S03'!$T$18:$T$199,2*(ROWS(W$147:W151)-1)+1),"")</f>
        <v>0</v>
      </c>
      <c r="W151" s="184"/>
      <c r="X151" s="184"/>
      <c r="Y151" s="26">
        <f>IFERROR(INDEX('M04-S03'!$Q$18:$Q$199,2*(ROWS(Y$147:Y151)-1)+1),"")</f>
        <v>0</v>
      </c>
      <c r="Z151" s="26"/>
      <c r="AA151" s="9" t="str" cm="1">
        <f t="array" ref="AA151">IFERROR(ROUND(INDEX('M04-S03'!$AR$18:$AR$199,2*(ROWS(AA$147:AA151)-1)+1), 2),"")</f>
        <v/>
      </c>
      <c r="AB151" s="164"/>
      <c r="AC151" s="9" t="str" cm="1">
        <f t="array" aca="1" ref="AC151" ca="1">IFERROR(ROUND(IF(BB151&lt;&gt;"","",INDEX('M04-S03'!$AH$18:$AH$199,2*(ROWS(AC$147:AC151)-1)+1)),2),"")</f>
        <v/>
      </c>
      <c r="AD151" s="9" t="str" cm="1">
        <f t="array" aca="1" ref="AD151" ca="1">IFERROR(ROUND(IF(BB151&lt;&gt;"","",INDEX('M04-S03'!$AJ$18:$AJ$199,2*(ROWS(AD$147:AD151)-1)+1)),2),"")</f>
        <v/>
      </c>
      <c r="AE151" s="9" t="str">
        <f t="shared" ca="1" si="19"/>
        <v/>
      </c>
      <c r="AF151" t="str">
        <f t="shared" ca="1" si="20"/>
        <v/>
      </c>
      <c r="AG151" s="9" t="str" cm="1">
        <f t="array" aca="1" ref="AG151" ca="1">IFERROR(ROUND(IF(BB151&lt;&gt;"","",INDEX('M04-S03'!$AL$18:$AL$199,2*(ROWS(AG$147:AG151)-1)+1)),2),"")</f>
        <v/>
      </c>
      <c r="AH151" s="184"/>
      <c r="AI151" s="191"/>
      <c r="AJ151" s="32" t="str">
        <f ca="1">IFERROR(ROUND(IF(BA151&lt;&gt;"","",INDEX('M04-S03'!$AO$18:$AO$199,2*(ROWS(AJ$147:AJ151)-1)+1)),4),"")</f>
        <v/>
      </c>
      <c r="AK151" s="32" t="str">
        <f ca="1">IFERROR(ROUND(IF(BA151&lt;&gt;"","",INDEX('M04-S03'!$BF$18:$BF$199,2*(ROWS(AK$147:AK151)-1)+1)),4),"")</f>
        <v/>
      </c>
      <c r="AL151" s="32" t="str">
        <f ca="1">IFERROR(ROUND(IF(BA151&lt;&gt;"","",INDEX('M04-S03'!$BG$18:$BG$199,2*(ROWS(AL$147:AL151)-1)+1)),4),"")</f>
        <v/>
      </c>
      <c r="AM151" s="32" t="str" cm="1">
        <f t="array" ref="AM151">IFERROR(ROUND(INDEX('M04-S03'!$BA$18:$BA$199,2*(ROWS(AM$147:AM151)-1)+1),4),"")</f>
        <v/>
      </c>
      <c r="AN151" s="32" t="str" cm="1">
        <f t="array" ref="AN151">IFERROR(ROUND(INDEX('M04-S03'!$BB$18:$BB$199,2*(ROWS(AN$147:AN151)-1)+1),4),"")</f>
        <v/>
      </c>
      <c r="AO151" s="32"/>
      <c r="AP151" s="9">
        <f ca="1">IFERROR(ROUND(IF(BB151&lt;&gt;"",INDEX('M04-S03'!$AH$18:$AH$199,2*(ROWS(AP$147:AP151)-1)+1),""),2),"")</f>
        <v>0</v>
      </c>
      <c r="AQ151" s="9">
        <f ca="1">IFERROR(ROUND(IF(BB151&lt;&gt;"",INDEX('M04-S03'!$AJ$18:$AJ$199,2*(ROWS(AQ$147:AQ151)-1)+1),""),2),"")</f>
        <v>0</v>
      </c>
      <c r="AR151" s="9" t="str">
        <f t="shared" ca="1" si="21"/>
        <v/>
      </c>
      <c r="AS151" t="str">
        <f t="shared" ca="1" si="18"/>
        <v>Total</v>
      </c>
      <c r="AT151" s="9" t="str" cm="1">
        <f t="array" aca="1" ref="AT151" ca="1">IFERROR(ROUND(IF(BB151&lt;&gt;"", INDEX('M04-S03'!$AL$18:$AL$199,2*(ROWS(AT$147:AT151)-1)+1), ""),2),"")</f>
        <v/>
      </c>
      <c r="AU151" s="184"/>
      <c r="AV151" s="5">
        <f ca="1">IFERROR(IF(BB151&lt;&gt;"",ROUND(INDEX('M04-S03'!$O$18:$O$199,2*(ROWS(AV$147:AV151)-1)+1),3),""),"")</f>
        <v>0</v>
      </c>
      <c r="AW151" s="5">
        <f ca="1">IFERROR(IF(BB151&lt;&gt;"",ROUND(INDEX('M04-S03'!$O$18:$O$199,2*(ROWS(AW$147:AW151)-1)+1),3),""),"")</f>
        <v>0</v>
      </c>
      <c r="AX151" s="184"/>
      <c r="AY151" s="26" t="str">
        <f ca="1">IFERROR(IF(BB151&lt;&gt;"",INDEX('M04-S03'!$AO$18:$AO$199,2*(ROWS(AY$147:AY151)-1)+1),""),"")</f>
        <v/>
      </c>
      <c r="AZ151" s="32" t="str">
        <f ca="1">IFERROR(IF(BB151&lt;&gt;"",INDEX('M04-S03'!$BF$18:$BF$199,2*(ROWS(AZ$147:AZ151)-1)+1),""),"")</f>
        <v/>
      </c>
      <c r="BA151" s="32" t="str">
        <f ca="1">IFERROR(IF(BB151&lt;&gt;"",INDEX('M04-S03'!$BG$18:$BG$199,2*(ROWS(BA$147:BA151)-1)+1),""),"")</f>
        <v/>
      </c>
      <c r="BB151" t="str">
        <f ca="1">IFERROR(INDEX('M04-S03'!$BY$18:$BY$199,2*(ROWS(BB$147:BB151)-1)+1),"")</f>
        <v>Enter Utility Rate</v>
      </c>
    </row>
    <row r="152" spans="1:54">
      <c r="A152" s="10">
        <f t="shared" si="16"/>
        <v>0</v>
      </c>
      <c r="B152" t="str">
        <f t="shared" si="17"/>
        <v/>
      </c>
      <c r="C152" t="str" cm="1">
        <f t="array" ref="C152">IFERROR(_xlfn.VALUETOTEXT(INDEX('M04-S03'!$BW$18:$BW$199,2*(ROWS($C$147:C152)-1)+1)),"")</f>
        <v/>
      </c>
      <c r="D152">
        <f>IFERROR(INDEX('M04-S03'!$B$18:$B$199,2*(ROWS(D$147:D152)-1)+1),"")</f>
        <v>6</v>
      </c>
      <c r="E152" s="51" t="str" cm="1">
        <f t="array" ref="E152">IFERROR(_xlfn.VALUETOTEXT(INDEX('M04-S03'!$BX$18:$BX$199,2*(ROWS($E$147:E152)-1)+1)),"")</f>
        <v/>
      </c>
      <c r="F152" t="str" cm="1">
        <f t="array" ref="F152">IF(C152&lt;&gt;"", _xlfn.SWITCH(Program_Banner, "Small Business / Non-Profit", "Hard-To-Reach Business", "Business Energy Savings", "Whole Business Efficiency", ""), "")</f>
        <v/>
      </c>
      <c r="G152" t="s">
        <v>135</v>
      </c>
      <c r="H152" t="str">
        <f>IFERROR(INDEX('M04-S03'!$BC$18:$BC$199,2*(ROWS(H$147:H152)-1)+1),"")</f>
        <v/>
      </c>
      <c r="I152" t="str">
        <f>IFERROR(INDEX('M04-S03'!$BJ$18:$BJ$199,2*(ROWS(I$147:I152)-1)+1),"")</f>
        <v/>
      </c>
      <c r="J152" s="9" t="str">
        <f>IFERROR(INDEX('M04-S03'!$BN$18:$BN$199,2*(ROWS(J$147:J152)-1)+1),"")</f>
        <v/>
      </c>
      <c r="K152" s="9" t="str">
        <f>IFERROR(INDEX('M04-S03'!$BO$18:$BO$199,2*(ROWS(K$147:K152)-1)+1),"")</f>
        <v/>
      </c>
      <c r="L152" s="51" t="str">
        <f>IFERROR(INDEX('M04-S03'!$BD$18:$BD$199,2*(ROWS(L$147:L152)-1)+1),"")</f>
        <v/>
      </c>
      <c r="M152">
        <f>IFERROR(INDEX('M04-S03'!$AE$18:$AE$199,2*(ROWS(M$147:M152)-1)+1),"")</f>
        <v>0</v>
      </c>
      <c r="N152" s="171"/>
      <c r="O152">
        <f>IFERROR(INDEX('M04-S03'!$G$18:$G$199,2*(ROWS(O$147:O152)-1)+1),"")</f>
        <v>0</v>
      </c>
      <c r="P152" s="171"/>
      <c r="Q152">
        <f>IFERROR(INDEX('M04-S03'!$AA$18:$AA$199,2*(ROWS(Q$147:Q152)-1)+1),"")</f>
        <v>0</v>
      </c>
      <c r="S152" t="str">
        <f>IFERROR(INDEX('M04-S03'!$AX$18:$AX$199,2*(ROWS(S$147:S152)-1)+1),"")</f>
        <v/>
      </c>
      <c r="T152" s="545" t="str">
        <f>IFERROR(ROUND(INDEX('M04-S03'!$AY$18:$AY$199,2*(ROWS(T$147:T152)-1)+1),3),"")</f>
        <v/>
      </c>
      <c r="U152" s="545" t="str">
        <f>IFERROR(ROUND(INDEX('M04-S03'!$AZ$18:$AZ$199,2*(ROWS(U$147:U152)-1)+1),3),"")</f>
        <v/>
      </c>
      <c r="V152" s="26">
        <f>IFERROR(INDEX('M04-S03'!$T$18:$T$199,2*(ROWS(W$147:W152)-1)+1),"")</f>
        <v>0</v>
      </c>
      <c r="W152" s="184"/>
      <c r="X152" s="184"/>
      <c r="Y152" s="26">
        <f>IFERROR(INDEX('M04-S03'!$Q$18:$Q$199,2*(ROWS(Y$147:Y152)-1)+1),"")</f>
        <v>0</v>
      </c>
      <c r="Z152" s="26"/>
      <c r="AA152" s="9" t="str" cm="1">
        <f t="array" ref="AA152">IFERROR(ROUND(INDEX('M04-S03'!$AR$18:$AR$199,2*(ROWS(AA$147:AA152)-1)+1), 2),"")</f>
        <v/>
      </c>
      <c r="AB152" s="164"/>
      <c r="AC152" s="9" t="str" cm="1">
        <f t="array" aca="1" ref="AC152" ca="1">IFERROR(ROUND(IF(BB152&lt;&gt;"","",INDEX('M04-S03'!$AH$18:$AH$199,2*(ROWS(AC$147:AC152)-1)+1)),2),"")</f>
        <v/>
      </c>
      <c r="AD152" s="9" t="str" cm="1">
        <f t="array" aca="1" ref="AD152" ca="1">IFERROR(ROUND(IF(BB152&lt;&gt;"","",INDEX('M04-S03'!$AJ$18:$AJ$199,2*(ROWS(AD$147:AD152)-1)+1)),2),"")</f>
        <v/>
      </c>
      <c r="AE152" s="9" t="str">
        <f t="shared" ca="1" si="19"/>
        <v/>
      </c>
      <c r="AF152" t="str">
        <f t="shared" ca="1" si="20"/>
        <v/>
      </c>
      <c r="AG152" s="9" t="str" cm="1">
        <f t="array" aca="1" ref="AG152" ca="1">IFERROR(ROUND(IF(BB152&lt;&gt;"","",INDEX('M04-S03'!$AL$18:$AL$199,2*(ROWS(AG$147:AG152)-1)+1)),2),"")</f>
        <v/>
      </c>
      <c r="AH152" s="184"/>
      <c r="AI152" s="191"/>
      <c r="AJ152" s="32" t="str">
        <f ca="1">IFERROR(ROUND(IF(BA152&lt;&gt;"","",INDEX('M04-S03'!$AO$18:$AO$199,2*(ROWS(AJ$147:AJ152)-1)+1)),4),"")</f>
        <v/>
      </c>
      <c r="AK152" s="32" t="str">
        <f ca="1">IFERROR(ROUND(IF(BA152&lt;&gt;"","",INDEX('M04-S03'!$BF$18:$BF$199,2*(ROWS(AK$147:AK152)-1)+1)),4),"")</f>
        <v/>
      </c>
      <c r="AL152" s="32" t="str">
        <f ca="1">IFERROR(ROUND(IF(BA152&lt;&gt;"","",INDEX('M04-S03'!$BG$18:$BG$199,2*(ROWS(AL$147:AL152)-1)+1)),4),"")</f>
        <v/>
      </c>
      <c r="AM152" s="32" t="str" cm="1">
        <f t="array" ref="AM152">IFERROR(ROUND(INDEX('M04-S03'!$BA$18:$BA$199,2*(ROWS(AM$147:AM152)-1)+1),4),"")</f>
        <v/>
      </c>
      <c r="AN152" s="32" t="str" cm="1">
        <f t="array" ref="AN152">IFERROR(ROUND(INDEX('M04-S03'!$BB$18:$BB$199,2*(ROWS(AN$147:AN152)-1)+1),4),"")</f>
        <v/>
      </c>
      <c r="AO152" s="32"/>
      <c r="AP152" s="9">
        <f ca="1">IFERROR(ROUND(IF(BB152&lt;&gt;"",INDEX('M04-S03'!$AH$18:$AH$199,2*(ROWS(AP$147:AP152)-1)+1),""),2),"")</f>
        <v>0</v>
      </c>
      <c r="AQ152" s="9">
        <f ca="1">IFERROR(ROUND(IF(BB152&lt;&gt;"",INDEX('M04-S03'!$AJ$18:$AJ$199,2*(ROWS(AQ$147:AQ152)-1)+1),""),2),"")</f>
        <v>0</v>
      </c>
      <c r="AR152" s="9" t="str">
        <f t="shared" ca="1" si="21"/>
        <v/>
      </c>
      <c r="AS152" t="str">
        <f t="shared" ca="1" si="18"/>
        <v>Total</v>
      </c>
      <c r="AT152" s="9" t="str" cm="1">
        <f t="array" aca="1" ref="AT152" ca="1">IFERROR(ROUND(IF(BB152&lt;&gt;"", INDEX('M04-S03'!$AL$18:$AL$199,2*(ROWS(AT$147:AT152)-1)+1), ""),2),"")</f>
        <v/>
      </c>
      <c r="AU152" s="184"/>
      <c r="AV152" s="5">
        <f ca="1">IFERROR(IF(BB152&lt;&gt;"",ROUND(INDEX('M04-S03'!$O$18:$O$199,2*(ROWS(AV$147:AV152)-1)+1),3),""),"")</f>
        <v>0</v>
      </c>
      <c r="AW152" s="5">
        <f ca="1">IFERROR(IF(BB152&lt;&gt;"",ROUND(INDEX('M04-S03'!$O$18:$O$199,2*(ROWS(AW$147:AW152)-1)+1),3),""),"")</f>
        <v>0</v>
      </c>
      <c r="AX152" s="184"/>
      <c r="AY152" s="26" t="str">
        <f ca="1">IFERROR(IF(BB152&lt;&gt;"",INDEX('M04-S03'!$AO$18:$AO$199,2*(ROWS(AY$147:AY152)-1)+1),""),"")</f>
        <v/>
      </c>
      <c r="AZ152" s="32" t="str">
        <f ca="1">IFERROR(IF(BB152&lt;&gt;"",INDEX('M04-S03'!$BF$18:$BF$199,2*(ROWS(AZ$147:AZ152)-1)+1),""),"")</f>
        <v/>
      </c>
      <c r="BA152" s="32" t="str">
        <f ca="1">IFERROR(IF(BB152&lt;&gt;"",INDEX('M04-S03'!$BG$18:$BG$199,2*(ROWS(BA$147:BA152)-1)+1),""),"")</f>
        <v/>
      </c>
      <c r="BB152" t="str">
        <f ca="1">IFERROR(INDEX('M04-S03'!$BY$18:$BY$199,2*(ROWS(BB$147:BB152)-1)+1),"")</f>
        <v>Enter Utility Rate</v>
      </c>
    </row>
    <row r="153" spans="1:54">
      <c r="A153" s="10">
        <f t="shared" si="16"/>
        <v>0</v>
      </c>
      <c r="B153" t="str">
        <f t="shared" si="17"/>
        <v/>
      </c>
      <c r="C153" t="str" cm="1">
        <f t="array" ref="C153">IFERROR(_xlfn.VALUETOTEXT(INDEX('M04-S03'!$BW$18:$BW$199,2*(ROWS($C$147:C153)-1)+1)),"")</f>
        <v/>
      </c>
      <c r="D153">
        <f>IFERROR(INDEX('M04-S03'!$B$18:$B$199,2*(ROWS(D$147:D153)-1)+1),"")</f>
        <v>7</v>
      </c>
      <c r="E153" s="51" t="str" cm="1">
        <f t="array" ref="E153">IFERROR(_xlfn.VALUETOTEXT(INDEX('M04-S03'!$BX$18:$BX$199,2*(ROWS($E$147:E153)-1)+1)),"")</f>
        <v/>
      </c>
      <c r="F153" t="str" cm="1">
        <f t="array" ref="F153">IF(C153&lt;&gt;"", _xlfn.SWITCH(Program_Banner, "Small Business / Non-Profit", "Hard-To-Reach Business", "Business Energy Savings", "Whole Business Efficiency", ""), "")</f>
        <v/>
      </c>
      <c r="G153" t="s">
        <v>135</v>
      </c>
      <c r="H153" t="str">
        <f>IFERROR(INDEX('M04-S03'!$BC$18:$BC$199,2*(ROWS(H$147:H153)-1)+1),"")</f>
        <v/>
      </c>
      <c r="I153" t="str">
        <f>IFERROR(INDEX('M04-S03'!$BJ$18:$BJ$199,2*(ROWS(I$147:I153)-1)+1),"")</f>
        <v/>
      </c>
      <c r="J153" s="9" t="str">
        <f>IFERROR(INDEX('M04-S03'!$BN$18:$BN$199,2*(ROWS(J$147:J153)-1)+1),"")</f>
        <v/>
      </c>
      <c r="K153" s="9" t="str">
        <f>IFERROR(INDEX('M04-S03'!$BO$18:$BO$199,2*(ROWS(K$147:K153)-1)+1),"")</f>
        <v/>
      </c>
      <c r="L153" s="51" t="str">
        <f>IFERROR(INDEX('M04-S03'!$BD$18:$BD$199,2*(ROWS(L$147:L153)-1)+1),"")</f>
        <v/>
      </c>
      <c r="M153">
        <f>IFERROR(INDEX('M04-S03'!$AE$18:$AE$199,2*(ROWS(M$147:M153)-1)+1),"")</f>
        <v>0</v>
      </c>
      <c r="N153" s="171"/>
      <c r="O153">
        <f>IFERROR(INDEX('M04-S03'!$G$18:$G$199,2*(ROWS(O$147:O153)-1)+1),"")</f>
        <v>0</v>
      </c>
      <c r="P153" s="171"/>
      <c r="Q153">
        <f>IFERROR(INDEX('M04-S03'!$AA$18:$AA$199,2*(ROWS(Q$147:Q153)-1)+1),"")</f>
        <v>0</v>
      </c>
      <c r="S153" t="str">
        <f>IFERROR(INDEX('M04-S03'!$AX$18:$AX$199,2*(ROWS(S$147:S153)-1)+1),"")</f>
        <v/>
      </c>
      <c r="T153" s="545" t="str">
        <f>IFERROR(ROUND(INDEX('M04-S03'!$AY$18:$AY$199,2*(ROWS(T$147:T153)-1)+1),3),"")</f>
        <v/>
      </c>
      <c r="U153" s="545" t="str">
        <f>IFERROR(ROUND(INDEX('M04-S03'!$AZ$18:$AZ$199,2*(ROWS(U$147:U153)-1)+1),3),"")</f>
        <v/>
      </c>
      <c r="V153" s="26">
        <f>IFERROR(INDEX('M04-S03'!$T$18:$T$199,2*(ROWS(W$147:W153)-1)+1),"")</f>
        <v>0</v>
      </c>
      <c r="W153" s="184"/>
      <c r="X153" s="184"/>
      <c r="Y153" s="26">
        <f>IFERROR(INDEX('M04-S03'!$Q$18:$Q$199,2*(ROWS(Y$147:Y153)-1)+1),"")</f>
        <v>0</v>
      </c>
      <c r="Z153" s="26"/>
      <c r="AA153" s="9" t="str" cm="1">
        <f t="array" ref="AA153">IFERROR(ROUND(INDEX('M04-S03'!$AR$18:$AR$199,2*(ROWS(AA$147:AA153)-1)+1), 2),"")</f>
        <v/>
      </c>
      <c r="AB153" s="164"/>
      <c r="AC153" s="9" t="str" cm="1">
        <f t="array" aca="1" ref="AC153" ca="1">IFERROR(ROUND(IF(BB153&lt;&gt;"","",INDEX('M04-S03'!$AH$18:$AH$199,2*(ROWS(AC$147:AC153)-1)+1)),2),"")</f>
        <v/>
      </c>
      <c r="AD153" s="9" t="str" cm="1">
        <f t="array" aca="1" ref="AD153" ca="1">IFERROR(ROUND(IF(BB153&lt;&gt;"","",INDEX('M04-S03'!$AJ$18:$AJ$199,2*(ROWS(AD$147:AD153)-1)+1)),2),"")</f>
        <v/>
      </c>
      <c r="AE153" s="9" t="str">
        <f t="shared" ca="1" si="19"/>
        <v/>
      </c>
      <c r="AF153" t="str">
        <f t="shared" ca="1" si="20"/>
        <v/>
      </c>
      <c r="AG153" s="9" t="str" cm="1">
        <f t="array" aca="1" ref="AG153" ca="1">IFERROR(ROUND(IF(BB153&lt;&gt;"","",INDEX('M04-S03'!$AL$18:$AL$199,2*(ROWS(AG$147:AG153)-1)+1)),2),"")</f>
        <v/>
      </c>
      <c r="AH153" s="184"/>
      <c r="AI153" s="191"/>
      <c r="AJ153" s="32" t="str">
        <f ca="1">IFERROR(ROUND(IF(BA153&lt;&gt;"","",INDEX('M04-S03'!$AO$18:$AO$199,2*(ROWS(AJ$147:AJ153)-1)+1)),4),"")</f>
        <v/>
      </c>
      <c r="AK153" s="32" t="str">
        <f ca="1">IFERROR(ROUND(IF(BA153&lt;&gt;"","",INDEX('M04-S03'!$BF$18:$BF$199,2*(ROWS(AK$147:AK153)-1)+1)),4),"")</f>
        <v/>
      </c>
      <c r="AL153" s="32" t="str">
        <f ca="1">IFERROR(ROUND(IF(BA153&lt;&gt;"","",INDEX('M04-S03'!$BG$18:$BG$199,2*(ROWS(AL$147:AL153)-1)+1)),4),"")</f>
        <v/>
      </c>
      <c r="AM153" s="32" t="str" cm="1">
        <f t="array" ref="AM153">IFERROR(ROUND(INDEX('M04-S03'!$BA$18:$BA$199,2*(ROWS(AM$147:AM153)-1)+1),4),"")</f>
        <v/>
      </c>
      <c r="AN153" s="32" t="str" cm="1">
        <f t="array" ref="AN153">IFERROR(ROUND(INDEX('M04-S03'!$BB$18:$BB$199,2*(ROWS(AN$147:AN153)-1)+1),4),"")</f>
        <v/>
      </c>
      <c r="AO153" s="32"/>
      <c r="AP153" s="9">
        <f ca="1">IFERROR(ROUND(IF(BB153&lt;&gt;"",INDEX('M04-S03'!$AH$18:$AH$199,2*(ROWS(AP$147:AP153)-1)+1),""),2),"")</f>
        <v>0</v>
      </c>
      <c r="AQ153" s="9">
        <f ca="1">IFERROR(ROUND(IF(BB153&lt;&gt;"",INDEX('M04-S03'!$AJ$18:$AJ$199,2*(ROWS(AQ$147:AQ153)-1)+1),""),2),"")</f>
        <v>0</v>
      </c>
      <c r="AR153" s="9" t="str">
        <f t="shared" ca="1" si="21"/>
        <v/>
      </c>
      <c r="AS153" t="str">
        <f t="shared" ca="1" si="18"/>
        <v>Total</v>
      </c>
      <c r="AT153" s="9" t="str" cm="1">
        <f t="array" aca="1" ref="AT153" ca="1">IFERROR(ROUND(IF(BB153&lt;&gt;"", INDEX('M04-S03'!$AL$18:$AL$199,2*(ROWS(AT$147:AT153)-1)+1), ""),2),"")</f>
        <v/>
      </c>
      <c r="AU153" s="184"/>
      <c r="AV153" s="5">
        <f ca="1">IFERROR(IF(BB153&lt;&gt;"",ROUND(INDEX('M04-S03'!$O$18:$O$199,2*(ROWS(AV$147:AV153)-1)+1),3),""),"")</f>
        <v>0</v>
      </c>
      <c r="AW153" s="5">
        <f ca="1">IFERROR(IF(BB153&lt;&gt;"",ROUND(INDEX('M04-S03'!$O$18:$O$199,2*(ROWS(AW$147:AW153)-1)+1),3),""),"")</f>
        <v>0</v>
      </c>
      <c r="AX153" s="184"/>
      <c r="AY153" s="26" t="str">
        <f ca="1">IFERROR(IF(BB153&lt;&gt;"",INDEX('M04-S03'!$AO$18:$AO$199,2*(ROWS(AY$147:AY153)-1)+1),""),"")</f>
        <v/>
      </c>
      <c r="AZ153" s="32" t="str">
        <f ca="1">IFERROR(IF(BB153&lt;&gt;"",INDEX('M04-S03'!$BF$18:$BF$199,2*(ROWS(AZ$147:AZ153)-1)+1),""),"")</f>
        <v/>
      </c>
      <c r="BA153" s="32" t="str">
        <f ca="1">IFERROR(IF(BB153&lt;&gt;"",INDEX('M04-S03'!$BG$18:$BG$199,2*(ROWS(BA$147:BA153)-1)+1),""),"")</f>
        <v/>
      </c>
      <c r="BB153" t="str">
        <f ca="1">IFERROR(INDEX('M04-S03'!$BY$18:$BY$199,2*(ROWS(BB$147:BB153)-1)+1),"")</f>
        <v>Enter Utility Rate</v>
      </c>
    </row>
    <row r="154" spans="1:54">
      <c r="A154" s="10">
        <f t="shared" si="16"/>
        <v>0</v>
      </c>
      <c r="B154" t="str">
        <f t="shared" si="17"/>
        <v/>
      </c>
      <c r="C154" t="str" cm="1">
        <f t="array" ref="C154">IFERROR(_xlfn.VALUETOTEXT(INDEX('M04-S03'!$BW$18:$BW$199,2*(ROWS($C$147:C154)-1)+1)),"")</f>
        <v/>
      </c>
      <c r="D154">
        <f>IFERROR(INDEX('M04-S03'!$B$18:$B$199,2*(ROWS(D$147:D154)-1)+1),"")</f>
        <v>8</v>
      </c>
      <c r="E154" s="51" t="str" cm="1">
        <f t="array" ref="E154">IFERROR(_xlfn.VALUETOTEXT(INDEX('M04-S03'!$BX$18:$BX$199,2*(ROWS($E$147:E154)-1)+1)),"")</f>
        <v/>
      </c>
      <c r="F154" t="str" cm="1">
        <f t="array" ref="F154">IF(C154&lt;&gt;"", _xlfn.SWITCH(Program_Banner, "Small Business / Non-Profit", "Hard-To-Reach Business", "Business Energy Savings", "Whole Business Efficiency", ""), "")</f>
        <v/>
      </c>
      <c r="G154" t="s">
        <v>135</v>
      </c>
      <c r="H154" t="str">
        <f>IFERROR(INDEX('M04-S03'!$BC$18:$BC$199,2*(ROWS(H$147:H154)-1)+1),"")</f>
        <v/>
      </c>
      <c r="I154" t="str">
        <f>IFERROR(INDEX('M04-S03'!$BJ$18:$BJ$199,2*(ROWS(I$147:I154)-1)+1),"")</f>
        <v/>
      </c>
      <c r="J154" s="9" t="str">
        <f>IFERROR(INDEX('M04-S03'!$BN$18:$BN$199,2*(ROWS(J$147:J154)-1)+1),"")</f>
        <v/>
      </c>
      <c r="K154" s="9" t="str">
        <f>IFERROR(INDEX('M04-S03'!$BO$18:$BO$199,2*(ROWS(K$147:K154)-1)+1),"")</f>
        <v/>
      </c>
      <c r="L154" s="51" t="str">
        <f>IFERROR(INDEX('M04-S03'!$BD$18:$BD$199,2*(ROWS(L$147:L154)-1)+1),"")</f>
        <v/>
      </c>
      <c r="M154">
        <f>IFERROR(INDEX('M04-S03'!$AE$18:$AE$199,2*(ROWS(M$147:M154)-1)+1),"")</f>
        <v>0</v>
      </c>
      <c r="N154" s="171"/>
      <c r="O154">
        <f>IFERROR(INDEX('M04-S03'!$G$18:$G$199,2*(ROWS(O$147:O154)-1)+1),"")</f>
        <v>0</v>
      </c>
      <c r="P154" s="171"/>
      <c r="Q154">
        <f>IFERROR(INDEX('M04-S03'!$AA$18:$AA$199,2*(ROWS(Q$147:Q154)-1)+1),"")</f>
        <v>0</v>
      </c>
      <c r="S154" t="str">
        <f>IFERROR(INDEX('M04-S03'!$AX$18:$AX$199,2*(ROWS(S$147:S154)-1)+1),"")</f>
        <v/>
      </c>
      <c r="T154" s="545" t="str">
        <f>IFERROR(ROUND(INDEX('M04-S03'!$AY$18:$AY$199,2*(ROWS(T$147:T154)-1)+1),3),"")</f>
        <v/>
      </c>
      <c r="U154" s="545" t="str">
        <f>IFERROR(ROUND(INDEX('M04-S03'!$AZ$18:$AZ$199,2*(ROWS(U$147:U154)-1)+1),3),"")</f>
        <v/>
      </c>
      <c r="V154" s="26">
        <f>IFERROR(INDEX('M04-S03'!$T$18:$T$199,2*(ROWS(W$147:W154)-1)+1),"")</f>
        <v>0</v>
      </c>
      <c r="W154" s="184"/>
      <c r="X154" s="184"/>
      <c r="Y154" s="26">
        <f>IFERROR(INDEX('M04-S03'!$Q$18:$Q$199,2*(ROWS(Y$147:Y154)-1)+1),"")</f>
        <v>0</v>
      </c>
      <c r="Z154" s="26"/>
      <c r="AA154" s="9" t="str" cm="1">
        <f t="array" ref="AA154">IFERROR(ROUND(INDEX('M04-S03'!$AR$18:$AR$199,2*(ROWS(AA$147:AA154)-1)+1), 2),"")</f>
        <v/>
      </c>
      <c r="AB154" s="164"/>
      <c r="AC154" s="9" t="str" cm="1">
        <f t="array" aca="1" ref="AC154" ca="1">IFERROR(ROUND(IF(BB154&lt;&gt;"","",INDEX('M04-S03'!$AH$18:$AH$199,2*(ROWS(AC$147:AC154)-1)+1)),2),"")</f>
        <v/>
      </c>
      <c r="AD154" s="9" t="str" cm="1">
        <f t="array" aca="1" ref="AD154" ca="1">IFERROR(ROUND(IF(BB154&lt;&gt;"","",INDEX('M04-S03'!$AJ$18:$AJ$199,2*(ROWS(AD$147:AD154)-1)+1)),2),"")</f>
        <v/>
      </c>
      <c r="AE154" s="9" t="str">
        <f t="shared" ca="1" si="19"/>
        <v/>
      </c>
      <c r="AF154" t="str">
        <f t="shared" ca="1" si="20"/>
        <v/>
      </c>
      <c r="AG154" s="9" t="str" cm="1">
        <f t="array" aca="1" ref="AG154" ca="1">IFERROR(ROUND(IF(BB154&lt;&gt;"","",INDEX('M04-S03'!$AL$18:$AL$199,2*(ROWS(AG$147:AG154)-1)+1)),2),"")</f>
        <v/>
      </c>
      <c r="AH154" s="184"/>
      <c r="AI154" s="191"/>
      <c r="AJ154" s="32" t="str">
        <f ca="1">IFERROR(ROUND(IF(BA154&lt;&gt;"","",INDEX('M04-S03'!$AO$18:$AO$199,2*(ROWS(AJ$147:AJ154)-1)+1)),4),"")</f>
        <v/>
      </c>
      <c r="AK154" s="32" t="str">
        <f ca="1">IFERROR(ROUND(IF(BA154&lt;&gt;"","",INDEX('M04-S03'!$BF$18:$BF$199,2*(ROWS(AK$147:AK154)-1)+1)),4),"")</f>
        <v/>
      </c>
      <c r="AL154" s="32" t="str">
        <f ca="1">IFERROR(ROUND(IF(BA154&lt;&gt;"","",INDEX('M04-S03'!$BG$18:$BG$199,2*(ROWS(AL$147:AL154)-1)+1)),4),"")</f>
        <v/>
      </c>
      <c r="AM154" s="32" t="str" cm="1">
        <f t="array" ref="AM154">IFERROR(ROUND(INDEX('M04-S03'!$BA$18:$BA$199,2*(ROWS(AM$147:AM154)-1)+1),4),"")</f>
        <v/>
      </c>
      <c r="AN154" s="32" t="str" cm="1">
        <f t="array" ref="AN154">IFERROR(ROUND(INDEX('M04-S03'!$BB$18:$BB$199,2*(ROWS(AN$147:AN154)-1)+1),4),"")</f>
        <v/>
      </c>
      <c r="AO154" s="32"/>
      <c r="AP154" s="9">
        <f ca="1">IFERROR(ROUND(IF(BB154&lt;&gt;"",INDEX('M04-S03'!$AH$18:$AH$199,2*(ROWS(AP$147:AP154)-1)+1),""),2),"")</f>
        <v>0</v>
      </c>
      <c r="AQ154" s="9">
        <f ca="1">IFERROR(ROUND(IF(BB154&lt;&gt;"",INDEX('M04-S03'!$AJ$18:$AJ$199,2*(ROWS(AQ$147:AQ154)-1)+1),""),2),"")</f>
        <v>0</v>
      </c>
      <c r="AR154" s="9" t="str">
        <f t="shared" ca="1" si="21"/>
        <v/>
      </c>
      <c r="AS154" t="str">
        <f t="shared" ca="1" si="18"/>
        <v>Total</v>
      </c>
      <c r="AT154" s="9" t="str" cm="1">
        <f t="array" aca="1" ref="AT154" ca="1">IFERROR(ROUND(IF(BB154&lt;&gt;"", INDEX('M04-S03'!$AL$18:$AL$199,2*(ROWS(AT$147:AT154)-1)+1), ""),2),"")</f>
        <v/>
      </c>
      <c r="AU154" s="184"/>
      <c r="AV154" s="5">
        <f ca="1">IFERROR(IF(BB154&lt;&gt;"",ROUND(INDEX('M04-S03'!$O$18:$O$199,2*(ROWS(AV$147:AV154)-1)+1),3),""),"")</f>
        <v>0</v>
      </c>
      <c r="AW154" s="5">
        <f ca="1">IFERROR(IF(BB154&lt;&gt;"",ROUND(INDEX('M04-S03'!$O$18:$O$199,2*(ROWS(AW$147:AW154)-1)+1),3),""),"")</f>
        <v>0</v>
      </c>
      <c r="AX154" s="184"/>
      <c r="AY154" s="26" t="str">
        <f ca="1">IFERROR(IF(BB154&lt;&gt;"",INDEX('M04-S03'!$AO$18:$AO$199,2*(ROWS(AY$147:AY154)-1)+1),""),"")</f>
        <v/>
      </c>
      <c r="AZ154" s="32" t="str">
        <f ca="1">IFERROR(IF(BB154&lt;&gt;"",INDEX('M04-S03'!$BF$18:$BF$199,2*(ROWS(AZ$147:AZ154)-1)+1),""),"")</f>
        <v/>
      </c>
      <c r="BA154" s="32" t="str">
        <f ca="1">IFERROR(IF(BB154&lt;&gt;"",INDEX('M04-S03'!$BG$18:$BG$199,2*(ROWS(BA$147:BA154)-1)+1),""),"")</f>
        <v/>
      </c>
      <c r="BB154" t="str">
        <f ca="1">IFERROR(INDEX('M04-S03'!$BY$18:$BY$199,2*(ROWS(BB$147:BB154)-1)+1),"")</f>
        <v>Enter Utility Rate</v>
      </c>
    </row>
    <row r="155" spans="1:54">
      <c r="A155" s="10">
        <f t="shared" si="16"/>
        <v>0</v>
      </c>
      <c r="B155" t="str">
        <f t="shared" si="17"/>
        <v/>
      </c>
      <c r="C155" t="str" cm="1">
        <f t="array" ref="C155">IFERROR(_xlfn.VALUETOTEXT(INDEX('M04-S03'!$BW$18:$BW$199,2*(ROWS($C$147:C155)-1)+1)),"")</f>
        <v/>
      </c>
      <c r="D155">
        <f>IFERROR(INDEX('M04-S03'!$B$18:$B$199,2*(ROWS(D$147:D155)-1)+1),"")</f>
        <v>9</v>
      </c>
      <c r="E155" s="51" t="str" cm="1">
        <f t="array" ref="E155">IFERROR(_xlfn.VALUETOTEXT(INDEX('M04-S03'!$BX$18:$BX$199,2*(ROWS($E$147:E155)-1)+1)),"")</f>
        <v/>
      </c>
      <c r="F155" t="str" cm="1">
        <f t="array" ref="F155">IF(C155&lt;&gt;"", _xlfn.SWITCH(Program_Banner, "Small Business / Non-Profit", "Hard-To-Reach Business", "Business Energy Savings", "Whole Business Efficiency", ""), "")</f>
        <v/>
      </c>
      <c r="G155" t="s">
        <v>135</v>
      </c>
      <c r="H155" t="str">
        <f>IFERROR(INDEX('M04-S03'!$BC$18:$BC$199,2*(ROWS(H$147:H155)-1)+1),"")</f>
        <v/>
      </c>
      <c r="I155" t="str">
        <f>IFERROR(INDEX('M04-S03'!$BJ$18:$BJ$199,2*(ROWS(I$147:I155)-1)+1),"")</f>
        <v/>
      </c>
      <c r="J155" s="9" t="str">
        <f>IFERROR(INDEX('M04-S03'!$BN$18:$BN$199,2*(ROWS(J$147:J155)-1)+1),"")</f>
        <v/>
      </c>
      <c r="K155" s="9" t="str">
        <f>IFERROR(INDEX('M04-S03'!$BO$18:$BO$199,2*(ROWS(K$147:K155)-1)+1),"")</f>
        <v/>
      </c>
      <c r="L155" s="51" t="str">
        <f>IFERROR(INDEX('M04-S03'!$BD$18:$BD$199,2*(ROWS(L$147:L155)-1)+1),"")</f>
        <v/>
      </c>
      <c r="M155">
        <f>IFERROR(INDEX('M04-S03'!$AE$18:$AE$199,2*(ROWS(M$147:M155)-1)+1),"")</f>
        <v>0</v>
      </c>
      <c r="N155" s="171"/>
      <c r="O155">
        <f>IFERROR(INDEX('M04-S03'!$G$18:$G$199,2*(ROWS(O$147:O155)-1)+1),"")</f>
        <v>0</v>
      </c>
      <c r="P155" s="171"/>
      <c r="Q155">
        <f>IFERROR(INDEX('M04-S03'!$AA$18:$AA$199,2*(ROWS(Q$147:Q155)-1)+1),"")</f>
        <v>0</v>
      </c>
      <c r="S155" t="str">
        <f>IFERROR(INDEX('M04-S03'!$AX$18:$AX$199,2*(ROWS(S$147:S155)-1)+1),"")</f>
        <v/>
      </c>
      <c r="T155" s="545" t="str">
        <f>IFERROR(ROUND(INDEX('M04-S03'!$AY$18:$AY$199,2*(ROWS(T$147:T155)-1)+1),3),"")</f>
        <v/>
      </c>
      <c r="U155" s="545" t="str">
        <f>IFERROR(ROUND(INDEX('M04-S03'!$AZ$18:$AZ$199,2*(ROWS(U$147:U155)-1)+1),3),"")</f>
        <v/>
      </c>
      <c r="V155" s="26">
        <f>IFERROR(INDEX('M04-S03'!$T$18:$T$199,2*(ROWS(W$147:W155)-1)+1),"")</f>
        <v>0</v>
      </c>
      <c r="W155" s="184"/>
      <c r="X155" s="184"/>
      <c r="Y155" s="26">
        <f>IFERROR(INDEX('M04-S03'!$Q$18:$Q$199,2*(ROWS(Y$147:Y155)-1)+1),"")</f>
        <v>0</v>
      </c>
      <c r="Z155" s="26"/>
      <c r="AA155" s="9" t="str" cm="1">
        <f t="array" ref="AA155">IFERROR(ROUND(INDEX('M04-S03'!$AR$18:$AR$199,2*(ROWS(AA$147:AA155)-1)+1), 2),"")</f>
        <v/>
      </c>
      <c r="AB155" s="164"/>
      <c r="AC155" s="9" t="str" cm="1">
        <f t="array" aca="1" ref="AC155" ca="1">IFERROR(ROUND(IF(BB155&lt;&gt;"","",INDEX('M04-S03'!$AH$18:$AH$199,2*(ROWS(AC$147:AC155)-1)+1)),2),"")</f>
        <v/>
      </c>
      <c r="AD155" s="9" t="str" cm="1">
        <f t="array" aca="1" ref="AD155" ca="1">IFERROR(ROUND(IF(BB155&lt;&gt;"","",INDEX('M04-S03'!$AJ$18:$AJ$199,2*(ROWS(AD$147:AD155)-1)+1)),2),"")</f>
        <v/>
      </c>
      <c r="AE155" s="9" t="str">
        <f t="shared" ca="1" si="19"/>
        <v/>
      </c>
      <c r="AF155" t="str">
        <f t="shared" ca="1" si="20"/>
        <v/>
      </c>
      <c r="AG155" s="9" t="str" cm="1">
        <f t="array" aca="1" ref="AG155" ca="1">IFERROR(ROUND(IF(BB155&lt;&gt;"","",INDEX('M04-S03'!$AL$18:$AL$199,2*(ROWS(AG$147:AG155)-1)+1)),2),"")</f>
        <v/>
      </c>
      <c r="AH155" s="184"/>
      <c r="AI155" s="191"/>
      <c r="AJ155" s="32" t="str">
        <f ca="1">IFERROR(ROUND(IF(BA155&lt;&gt;"","",INDEX('M04-S03'!$AO$18:$AO$199,2*(ROWS(AJ$147:AJ155)-1)+1)),4),"")</f>
        <v/>
      </c>
      <c r="AK155" s="32" t="str">
        <f ca="1">IFERROR(ROUND(IF(BA155&lt;&gt;"","",INDEX('M04-S03'!$BF$18:$BF$199,2*(ROWS(AK$147:AK155)-1)+1)),4),"")</f>
        <v/>
      </c>
      <c r="AL155" s="32" t="str">
        <f ca="1">IFERROR(ROUND(IF(BA155&lt;&gt;"","",INDEX('M04-S03'!$BG$18:$BG$199,2*(ROWS(AL$147:AL155)-1)+1)),4),"")</f>
        <v/>
      </c>
      <c r="AM155" s="32" t="str" cm="1">
        <f t="array" ref="AM155">IFERROR(ROUND(INDEX('M04-S03'!$BA$18:$BA$199,2*(ROWS(AM$147:AM155)-1)+1),4),"")</f>
        <v/>
      </c>
      <c r="AN155" s="32" t="str" cm="1">
        <f t="array" ref="AN155">IFERROR(ROUND(INDEX('M04-S03'!$BB$18:$BB$199,2*(ROWS(AN$147:AN155)-1)+1),4),"")</f>
        <v/>
      </c>
      <c r="AO155" s="32"/>
      <c r="AP155" s="9">
        <f ca="1">IFERROR(ROUND(IF(BB155&lt;&gt;"",INDEX('M04-S03'!$AH$18:$AH$199,2*(ROWS(AP$147:AP155)-1)+1),""),2),"")</f>
        <v>0</v>
      </c>
      <c r="AQ155" s="9">
        <f ca="1">IFERROR(ROUND(IF(BB155&lt;&gt;"",INDEX('M04-S03'!$AJ$18:$AJ$199,2*(ROWS(AQ$147:AQ155)-1)+1),""),2),"")</f>
        <v>0</v>
      </c>
      <c r="AR155" s="9" t="str">
        <f t="shared" ca="1" si="21"/>
        <v/>
      </c>
      <c r="AS155" t="str">
        <f t="shared" ca="1" si="18"/>
        <v>Total</v>
      </c>
      <c r="AT155" s="9" t="str" cm="1">
        <f t="array" aca="1" ref="AT155" ca="1">IFERROR(ROUND(IF(BB155&lt;&gt;"", INDEX('M04-S03'!$AL$18:$AL$199,2*(ROWS(AT$147:AT155)-1)+1), ""),2),"")</f>
        <v/>
      </c>
      <c r="AU155" s="184"/>
      <c r="AV155" s="5">
        <f ca="1">IFERROR(IF(BB155&lt;&gt;"",ROUND(INDEX('M04-S03'!$O$18:$O$199,2*(ROWS(AV$147:AV155)-1)+1),3),""),"")</f>
        <v>0</v>
      </c>
      <c r="AW155" s="5">
        <f ca="1">IFERROR(IF(BB155&lt;&gt;"",ROUND(INDEX('M04-S03'!$O$18:$O$199,2*(ROWS(AW$147:AW155)-1)+1),3),""),"")</f>
        <v>0</v>
      </c>
      <c r="AX155" s="184"/>
      <c r="AY155" s="26" t="str">
        <f ca="1">IFERROR(IF(BB155&lt;&gt;"",INDEX('M04-S03'!$AO$18:$AO$199,2*(ROWS(AY$147:AY155)-1)+1),""),"")</f>
        <v/>
      </c>
      <c r="AZ155" s="32" t="str">
        <f ca="1">IFERROR(IF(BB155&lt;&gt;"",INDEX('M04-S03'!$BF$18:$BF$199,2*(ROWS(AZ$147:AZ155)-1)+1),""),"")</f>
        <v/>
      </c>
      <c r="BA155" s="32" t="str">
        <f ca="1">IFERROR(IF(BB155&lt;&gt;"",INDEX('M04-S03'!$BG$18:$BG$199,2*(ROWS(BA$147:BA155)-1)+1),""),"")</f>
        <v/>
      </c>
      <c r="BB155" t="str">
        <f ca="1">IFERROR(INDEX('M04-S03'!$BY$18:$BY$199,2*(ROWS(BB$147:BB155)-1)+1),"")</f>
        <v>Enter Utility Rate</v>
      </c>
    </row>
    <row r="156" spans="1:54">
      <c r="A156" s="10">
        <f t="shared" si="16"/>
        <v>0</v>
      </c>
      <c r="B156" t="str">
        <f t="shared" si="17"/>
        <v/>
      </c>
      <c r="C156" t="str" cm="1">
        <f t="array" ref="C156">IFERROR(_xlfn.VALUETOTEXT(INDEX('M04-S03'!$BW$18:$BW$199,2*(ROWS($C$147:C156)-1)+1)),"")</f>
        <v/>
      </c>
      <c r="D156">
        <f>IFERROR(INDEX('M04-S03'!$B$18:$B$199,2*(ROWS(D$147:D156)-1)+1),"")</f>
        <v>10</v>
      </c>
      <c r="E156" s="51" t="str" cm="1">
        <f t="array" ref="E156">IFERROR(_xlfn.VALUETOTEXT(INDEX('M04-S03'!$BX$18:$BX$199,2*(ROWS($E$147:E156)-1)+1)),"")</f>
        <v/>
      </c>
      <c r="F156" t="str" cm="1">
        <f t="array" ref="F156">IF(C156&lt;&gt;"", _xlfn.SWITCH(Program_Banner, "Small Business / Non-Profit", "Hard-To-Reach Business", "Business Energy Savings", "Whole Business Efficiency", ""), "")</f>
        <v/>
      </c>
      <c r="G156" t="s">
        <v>135</v>
      </c>
      <c r="H156" t="str">
        <f>IFERROR(INDEX('M04-S03'!$BC$18:$BC$199,2*(ROWS(H$147:H156)-1)+1),"")</f>
        <v/>
      </c>
      <c r="I156" t="str">
        <f>IFERROR(INDEX('M04-S03'!$BJ$18:$BJ$199,2*(ROWS(I$147:I156)-1)+1),"")</f>
        <v/>
      </c>
      <c r="J156" s="9" t="str">
        <f>IFERROR(INDEX('M04-S03'!$BN$18:$BN$199,2*(ROWS(J$147:J156)-1)+1),"")</f>
        <v/>
      </c>
      <c r="K156" s="9" t="str">
        <f>IFERROR(INDEX('M04-S03'!$BO$18:$BO$199,2*(ROWS(K$147:K156)-1)+1),"")</f>
        <v/>
      </c>
      <c r="L156" s="51" t="str">
        <f>IFERROR(INDEX('M04-S03'!$BD$18:$BD$199,2*(ROWS(L$147:L156)-1)+1),"")</f>
        <v/>
      </c>
      <c r="M156">
        <f>IFERROR(INDEX('M04-S03'!$AE$18:$AE$199,2*(ROWS(M$147:M156)-1)+1),"")</f>
        <v>0</v>
      </c>
      <c r="N156" s="171"/>
      <c r="O156">
        <f>IFERROR(INDEX('M04-S03'!$G$18:$G$199,2*(ROWS(O$147:O156)-1)+1),"")</f>
        <v>0</v>
      </c>
      <c r="P156" s="171"/>
      <c r="Q156">
        <f>IFERROR(INDEX('M04-S03'!$AA$18:$AA$199,2*(ROWS(Q$147:Q156)-1)+1),"")</f>
        <v>0</v>
      </c>
      <c r="S156" t="str">
        <f>IFERROR(INDEX('M04-S03'!$AX$18:$AX$199,2*(ROWS(S$147:S156)-1)+1),"")</f>
        <v/>
      </c>
      <c r="T156" s="545" t="str">
        <f>IFERROR(ROUND(INDEX('M04-S03'!$AY$18:$AY$199,2*(ROWS(T$147:T156)-1)+1),3),"")</f>
        <v/>
      </c>
      <c r="U156" s="545" t="str">
        <f>IFERROR(ROUND(INDEX('M04-S03'!$AZ$18:$AZ$199,2*(ROWS(U$147:U156)-1)+1),3),"")</f>
        <v/>
      </c>
      <c r="V156" s="26">
        <f>IFERROR(INDEX('M04-S03'!$T$18:$T$199,2*(ROWS(W$147:W156)-1)+1),"")</f>
        <v>0</v>
      </c>
      <c r="W156" s="184"/>
      <c r="X156" s="184"/>
      <c r="Y156" s="26">
        <f>IFERROR(INDEX('M04-S03'!$Q$18:$Q$199,2*(ROWS(Y$147:Y156)-1)+1),"")</f>
        <v>0</v>
      </c>
      <c r="Z156" s="26"/>
      <c r="AA156" s="9" t="str" cm="1">
        <f t="array" ref="AA156">IFERROR(ROUND(INDEX('M04-S03'!$AR$18:$AR$199,2*(ROWS(AA$147:AA156)-1)+1), 2),"")</f>
        <v/>
      </c>
      <c r="AB156" s="164"/>
      <c r="AC156" s="9" t="str" cm="1">
        <f t="array" aca="1" ref="AC156" ca="1">IFERROR(ROUND(IF(BB156&lt;&gt;"","",INDEX('M04-S03'!$AH$18:$AH$199,2*(ROWS(AC$147:AC156)-1)+1)),2),"")</f>
        <v/>
      </c>
      <c r="AD156" s="9" t="str" cm="1">
        <f t="array" aca="1" ref="AD156" ca="1">IFERROR(ROUND(IF(BB156&lt;&gt;"","",INDEX('M04-S03'!$AJ$18:$AJ$199,2*(ROWS(AD$147:AD156)-1)+1)),2),"")</f>
        <v/>
      </c>
      <c r="AE156" s="9" t="str">
        <f t="shared" ca="1" si="19"/>
        <v/>
      </c>
      <c r="AF156" t="str">
        <f t="shared" ca="1" si="20"/>
        <v/>
      </c>
      <c r="AG156" s="9" t="str" cm="1">
        <f t="array" aca="1" ref="AG156" ca="1">IFERROR(ROUND(IF(BB156&lt;&gt;"","",INDEX('M04-S03'!$AL$18:$AL$199,2*(ROWS(AG$147:AG156)-1)+1)),2),"")</f>
        <v/>
      </c>
      <c r="AH156" s="184"/>
      <c r="AI156" s="191"/>
      <c r="AJ156" s="32" t="str">
        <f ca="1">IFERROR(ROUND(IF(BA156&lt;&gt;"","",INDEX('M04-S03'!$AO$18:$AO$199,2*(ROWS(AJ$147:AJ156)-1)+1)),4),"")</f>
        <v/>
      </c>
      <c r="AK156" s="32" t="str">
        <f ca="1">IFERROR(ROUND(IF(BA156&lt;&gt;"","",INDEX('M04-S03'!$BF$18:$BF$199,2*(ROWS(AK$147:AK156)-1)+1)),4),"")</f>
        <v/>
      </c>
      <c r="AL156" s="32" t="str">
        <f ca="1">IFERROR(ROUND(IF(BA156&lt;&gt;"","",INDEX('M04-S03'!$BG$18:$BG$199,2*(ROWS(AL$147:AL156)-1)+1)),4),"")</f>
        <v/>
      </c>
      <c r="AM156" s="32" t="str" cm="1">
        <f t="array" ref="AM156">IFERROR(ROUND(INDEX('M04-S03'!$BA$18:$BA$199,2*(ROWS(AM$147:AM156)-1)+1),4),"")</f>
        <v/>
      </c>
      <c r="AN156" s="32" t="str" cm="1">
        <f t="array" ref="AN156">IFERROR(ROUND(INDEX('M04-S03'!$BB$18:$BB$199,2*(ROWS(AN$147:AN156)-1)+1),4),"")</f>
        <v/>
      </c>
      <c r="AO156" s="32"/>
      <c r="AP156" s="9">
        <f ca="1">IFERROR(ROUND(IF(BB156&lt;&gt;"",INDEX('M04-S03'!$AH$18:$AH$199,2*(ROWS(AP$147:AP156)-1)+1),""),2),"")</f>
        <v>0</v>
      </c>
      <c r="AQ156" s="9">
        <f ca="1">IFERROR(ROUND(IF(BB156&lt;&gt;"",INDEX('M04-S03'!$AJ$18:$AJ$199,2*(ROWS(AQ$147:AQ156)-1)+1),""),2),"")</f>
        <v>0</v>
      </c>
      <c r="AR156" s="9" t="str">
        <f t="shared" ca="1" si="21"/>
        <v/>
      </c>
      <c r="AS156" t="str">
        <f t="shared" ca="1" si="18"/>
        <v>Total</v>
      </c>
      <c r="AT156" s="9" t="str" cm="1">
        <f t="array" aca="1" ref="AT156" ca="1">IFERROR(ROUND(IF(BB156&lt;&gt;"", INDEX('M04-S03'!$AL$18:$AL$199,2*(ROWS(AT$147:AT156)-1)+1), ""),2),"")</f>
        <v/>
      </c>
      <c r="AU156" s="184"/>
      <c r="AV156" s="5">
        <f ca="1">IFERROR(IF(BB156&lt;&gt;"",ROUND(INDEX('M04-S03'!$O$18:$O$199,2*(ROWS(AV$147:AV156)-1)+1),3),""),"")</f>
        <v>0</v>
      </c>
      <c r="AW156" s="5">
        <f ca="1">IFERROR(IF(BB156&lt;&gt;"",ROUND(INDEX('M04-S03'!$O$18:$O$199,2*(ROWS(AW$147:AW156)-1)+1),3),""),"")</f>
        <v>0</v>
      </c>
      <c r="AX156" s="184"/>
      <c r="AY156" s="26" t="str">
        <f ca="1">IFERROR(IF(BB156&lt;&gt;"",INDEX('M04-S03'!$AO$18:$AO$199,2*(ROWS(AY$147:AY156)-1)+1),""),"")</f>
        <v/>
      </c>
      <c r="AZ156" s="32" t="str">
        <f ca="1">IFERROR(IF(BB156&lt;&gt;"",INDEX('M04-S03'!$BF$18:$BF$199,2*(ROWS(AZ$147:AZ156)-1)+1),""),"")</f>
        <v/>
      </c>
      <c r="BA156" s="32" t="str">
        <f ca="1">IFERROR(IF(BB156&lt;&gt;"",INDEX('M04-S03'!$BG$18:$BG$199,2*(ROWS(BA$147:BA156)-1)+1),""),"")</f>
        <v/>
      </c>
      <c r="BB156" t="str">
        <f ca="1">IFERROR(INDEX('M04-S03'!$BY$18:$BY$199,2*(ROWS(BB$147:BB156)-1)+1),"")</f>
        <v>Enter Utility Rate</v>
      </c>
    </row>
    <row r="157" spans="1:54">
      <c r="A157" s="10">
        <f t="shared" si="16"/>
        <v>0</v>
      </c>
      <c r="B157" t="str">
        <f t="shared" si="17"/>
        <v/>
      </c>
      <c r="C157" t="str" cm="1">
        <f t="array" ref="C157">IFERROR(_xlfn.VALUETOTEXT(INDEX('M04-S03'!$BW$18:$BW$199,2*(ROWS($C$147:C157)-1)+1)),"")</f>
        <v/>
      </c>
      <c r="D157">
        <f>IFERROR(INDEX('M04-S03'!$B$18:$B$199,2*(ROWS(D$147:D157)-1)+1),"")</f>
        <v>0</v>
      </c>
      <c r="E157" s="51" t="str" cm="1">
        <f t="array" ref="E157">IFERROR(_xlfn.VALUETOTEXT(INDEX('M04-S03'!$BX$18:$BX$199,2*(ROWS($E$147:E157)-1)+1)),"")</f>
        <v/>
      </c>
      <c r="F157" t="str" cm="1">
        <f t="array" ref="F157">IF(C157&lt;&gt;"", _xlfn.SWITCH(Program_Banner, "Small Business / Non-Profit", "Hard-To-Reach Business", "Business Energy Savings", "Whole Business Efficiency", ""), "")</f>
        <v/>
      </c>
      <c r="G157" t="s">
        <v>135</v>
      </c>
      <c r="H157">
        <f>IFERROR(INDEX('M04-S03'!$BC$18:$BC$199,2*(ROWS(H$147:H157)-1)+1),"")</f>
        <v>0</v>
      </c>
      <c r="I157">
        <f>IFERROR(INDEX('M04-S03'!$BJ$18:$BJ$199,2*(ROWS(I$147:I157)-1)+1),"")</f>
        <v>0</v>
      </c>
      <c r="J157" s="9">
        <f>IFERROR(INDEX('M04-S03'!$BN$18:$BN$199,2*(ROWS(J$147:J157)-1)+1),"")</f>
        <v>0</v>
      </c>
      <c r="K157" s="9">
        <f>IFERROR(INDEX('M04-S03'!$BO$18:$BO$199,2*(ROWS(K$147:K157)-1)+1),"")</f>
        <v>0</v>
      </c>
      <c r="L157" s="51">
        <f>IFERROR(INDEX('M04-S03'!$BD$18:$BD$199,2*(ROWS(L$147:L157)-1)+1),"")</f>
        <v>0</v>
      </c>
      <c r="M157">
        <f>IFERROR(INDEX('M04-S03'!$AE$18:$AE$199,2*(ROWS(M$147:M157)-1)+1),"")</f>
        <v>0</v>
      </c>
      <c r="N157" s="171"/>
      <c r="O157">
        <f>IFERROR(INDEX('M04-S03'!$G$18:$G$199,2*(ROWS(O$147:O157)-1)+1),"")</f>
        <v>0</v>
      </c>
      <c r="P157" s="171"/>
      <c r="Q157">
        <f>IFERROR(INDEX('M04-S03'!$AA$18:$AA$199,2*(ROWS(Q$147:Q157)-1)+1),"")</f>
        <v>0</v>
      </c>
      <c r="S157">
        <f>IFERROR(INDEX('M04-S03'!$AX$18:$AX$199,2*(ROWS(S$147:S157)-1)+1),"")</f>
        <v>0</v>
      </c>
      <c r="T157" s="545">
        <f>IFERROR(ROUND(INDEX('M04-S03'!$AY$18:$AY$199,2*(ROWS(T$147:T157)-1)+1),3),"")</f>
        <v>0</v>
      </c>
      <c r="U157" s="545">
        <f>IFERROR(ROUND(INDEX('M04-S03'!$AZ$18:$AZ$199,2*(ROWS(U$147:U157)-1)+1),3),"")</f>
        <v>0</v>
      </c>
      <c r="V157" s="26">
        <f>IFERROR(INDEX('M04-S03'!$T$18:$T$199,2*(ROWS(W$147:W157)-1)+1),"")</f>
        <v>0</v>
      </c>
      <c r="W157" s="184"/>
      <c r="X157" s="184"/>
      <c r="Y157" s="26">
        <f>IFERROR(INDEX('M04-S03'!$Q$18:$Q$199,2*(ROWS(Y$147:Y157)-1)+1),"")</f>
        <v>0</v>
      </c>
      <c r="Z157" s="26"/>
      <c r="AA157" s="9" cm="1">
        <f t="array" ref="AA157">IFERROR(ROUND(INDEX('M04-S03'!$AR$18:$AR$199,2*(ROWS(AA$147:AA157)-1)+1), 2),"")</f>
        <v>0</v>
      </c>
      <c r="AB157" s="164"/>
      <c r="AC157" s="9" t="str" cm="1">
        <f t="array" ref="AC157">IFERROR(ROUND(IF(BB157&lt;&gt;"","",INDEX('M04-S03'!$AH$18:$AH$199,2*(ROWS(AC$147:AC157)-1)+1)),2),"")</f>
        <v/>
      </c>
      <c r="AD157" s="9" t="str" cm="1">
        <f t="array" ref="AD157">IFERROR(ROUND(IF(BB157&lt;&gt;"","",INDEX('M04-S03'!$AJ$18:$AJ$199,2*(ROWS(AD$147:AD157)-1)+1)),2),"")</f>
        <v/>
      </c>
      <c r="AE157" s="9" t="str">
        <f t="shared" si="19"/>
        <v/>
      </c>
      <c r="AF157" t="str">
        <f t="shared" si="20"/>
        <v/>
      </c>
      <c r="AG157" s="9" t="str" cm="1">
        <f t="array" ref="AG157">IFERROR(ROUND(IF(BB157&lt;&gt;"","",INDEX('M04-S03'!$AL$18:$AL$199,2*(ROWS(AG$147:AG157)-1)+1)),2),"")</f>
        <v/>
      </c>
      <c r="AH157" s="184"/>
      <c r="AI157" s="191"/>
      <c r="AJ157" s="32" t="str">
        <f>IFERROR(ROUND(IF(BA157&lt;&gt;"","",INDEX('M04-S03'!$AO$18:$AO$199,2*(ROWS(AJ$147:AJ157)-1)+1)),4),"")</f>
        <v/>
      </c>
      <c r="AK157" s="32" t="str">
        <f>IFERROR(ROUND(IF(BA157&lt;&gt;"","",INDEX('M04-S03'!$BF$18:$BF$199,2*(ROWS(AK$147:AK157)-1)+1)),4),"")</f>
        <v/>
      </c>
      <c r="AL157" s="32" t="str">
        <f>IFERROR(ROUND(IF(BA157&lt;&gt;"","",INDEX('M04-S03'!$BG$18:$BG$199,2*(ROWS(AL$147:AL157)-1)+1)),4),"")</f>
        <v/>
      </c>
      <c r="AM157" s="32" cm="1">
        <f t="array" ref="AM157">IFERROR(ROUND(INDEX('M04-S03'!$BA$18:$BA$199,2*(ROWS(AM$147:AM157)-1)+1),4),"")</f>
        <v>0</v>
      </c>
      <c r="AN157" s="32" cm="1">
        <f t="array" ref="AN157">IFERROR(ROUND(INDEX('M04-S03'!$BB$18:$BB$199,2*(ROWS(AN$147:AN157)-1)+1),4),"")</f>
        <v>0</v>
      </c>
      <c r="AO157" s="32"/>
      <c r="AP157" s="9">
        <f>IFERROR(ROUND(IF(BB157&lt;&gt;"",INDEX('M04-S03'!$AH$18:$AH$199,2*(ROWS(AP$147:AP157)-1)+1),""),2),"")</f>
        <v>0</v>
      </c>
      <c r="AQ157" s="9">
        <f>IFERROR(ROUND(IF(BB157&lt;&gt;"",INDEX('M04-S03'!$AJ$18:$AJ$199,2*(ROWS(AQ$147:AQ157)-1)+1),""),2),"")</f>
        <v>0</v>
      </c>
      <c r="AR157" s="9" t="str">
        <f t="shared" si="21"/>
        <v/>
      </c>
      <c r="AS157" t="str">
        <f t="shared" si="18"/>
        <v>Total</v>
      </c>
      <c r="AT157" s="9" cm="1">
        <f t="array" ref="AT157">IFERROR(ROUND(IF(BB157&lt;&gt;"", INDEX('M04-S03'!$AL$18:$AL$199,2*(ROWS(AT$147:AT157)-1)+1), ""),2),"")</f>
        <v>0</v>
      </c>
      <c r="AU157" s="184"/>
      <c r="AV157" s="5">
        <f>IFERROR(IF(BB157&lt;&gt;"",ROUND(INDEX('M04-S03'!$O$18:$O$199,2*(ROWS(AV$147:AV157)-1)+1),3),""),"")</f>
        <v>0</v>
      </c>
      <c r="AW157" s="5">
        <f>IFERROR(IF(BB157&lt;&gt;"",ROUND(INDEX('M04-S03'!$O$18:$O$199,2*(ROWS(AW$147:AW157)-1)+1),3),""),"")</f>
        <v>0</v>
      </c>
      <c r="AX157" s="184"/>
      <c r="AY157" s="26">
        <f>IFERROR(IF(BB157&lt;&gt;"",INDEX('M04-S03'!$AO$18:$AO$199,2*(ROWS(AY$147:AY157)-1)+1),""),"")</f>
        <v>0</v>
      </c>
      <c r="AZ157" s="32">
        <f>IFERROR(IF(BB157&lt;&gt;"",INDEX('M04-S03'!$BF$18:$BF$199,2*(ROWS(AZ$147:AZ157)-1)+1),""),"")</f>
        <v>0</v>
      </c>
      <c r="BA157" s="32">
        <f>IFERROR(IF(BB157&lt;&gt;"",INDEX('M04-S03'!$BG$18:$BG$199,2*(ROWS(BA$147:BA157)-1)+1),""),"")</f>
        <v>0</v>
      </c>
      <c r="BB157">
        <f>IFERROR(INDEX('M04-S03'!$BY$18:$BY$199,2*(ROWS(BB$147:BB157)-1)+1),"")</f>
        <v>0</v>
      </c>
    </row>
    <row r="158" spans="1:54">
      <c r="A158" s="10">
        <f t="shared" si="16"/>
        <v>0</v>
      </c>
      <c r="B158" t="str">
        <f t="shared" si="17"/>
        <v/>
      </c>
      <c r="C158" t="str" cm="1">
        <f t="array" ref="C158">IFERROR(_xlfn.VALUETOTEXT(INDEX('M04-S03'!$BW$18:$BW$199,2*(ROWS($C$147:C158)-1)+1)),"")</f>
        <v/>
      </c>
      <c r="D158">
        <f>IFERROR(INDEX('M04-S03'!$B$18:$B$199,2*(ROWS(D$147:D158)-1)+1),"")</f>
        <v>0</v>
      </c>
      <c r="E158" s="51" t="str" cm="1">
        <f t="array" ref="E158">IFERROR(_xlfn.VALUETOTEXT(INDEX('M04-S03'!$BX$18:$BX$199,2*(ROWS($E$147:E158)-1)+1)),"")</f>
        <v/>
      </c>
      <c r="F158" t="str" cm="1">
        <f t="array" ref="F158">IF(C158&lt;&gt;"", _xlfn.SWITCH(Program_Banner, "Small Business / Non-Profit", "Hard-To-Reach Business", "Business Energy Savings", "Whole Business Efficiency", ""), "")</f>
        <v/>
      </c>
      <c r="G158" t="s">
        <v>135</v>
      </c>
      <c r="H158">
        <f>IFERROR(INDEX('M04-S03'!$BC$18:$BC$199,2*(ROWS(H$147:H158)-1)+1),"")</f>
        <v>0</v>
      </c>
      <c r="I158">
        <f>IFERROR(INDEX('M04-S03'!$BJ$18:$BJ$199,2*(ROWS(I$147:I158)-1)+1),"")</f>
        <v>0</v>
      </c>
      <c r="J158" s="9">
        <f>IFERROR(INDEX('M04-S03'!$BN$18:$BN$199,2*(ROWS(J$147:J158)-1)+1),"")</f>
        <v>0</v>
      </c>
      <c r="K158" s="9">
        <f>IFERROR(INDEX('M04-S03'!$BO$18:$BO$199,2*(ROWS(K$147:K158)-1)+1),"")</f>
        <v>0</v>
      </c>
      <c r="L158" s="51">
        <f>IFERROR(INDEX('M04-S03'!$BD$18:$BD$199,2*(ROWS(L$147:L158)-1)+1),"")</f>
        <v>0</v>
      </c>
      <c r="M158">
        <f>IFERROR(INDEX('M04-S03'!$AE$18:$AE$199,2*(ROWS(M$147:M158)-1)+1),"")</f>
        <v>0</v>
      </c>
      <c r="N158" s="171"/>
      <c r="O158">
        <f>IFERROR(INDEX('M04-S03'!$G$18:$G$199,2*(ROWS(O$147:O158)-1)+1),"")</f>
        <v>0</v>
      </c>
      <c r="P158" s="171"/>
      <c r="Q158">
        <f>IFERROR(INDEX('M04-S03'!$AA$18:$AA$199,2*(ROWS(Q$147:Q158)-1)+1),"")</f>
        <v>0</v>
      </c>
      <c r="S158">
        <f>IFERROR(INDEX('M04-S03'!$AX$18:$AX$199,2*(ROWS(S$147:S158)-1)+1),"")</f>
        <v>0</v>
      </c>
      <c r="T158" s="545">
        <f>IFERROR(ROUND(INDEX('M04-S03'!$AY$18:$AY$199,2*(ROWS(T$147:T158)-1)+1),3),"")</f>
        <v>0</v>
      </c>
      <c r="U158" s="545">
        <f>IFERROR(ROUND(INDEX('M04-S03'!$AZ$18:$AZ$199,2*(ROWS(U$147:U158)-1)+1),3),"")</f>
        <v>0</v>
      </c>
      <c r="V158" s="26">
        <f>IFERROR(INDEX('M04-S03'!$T$18:$T$199,2*(ROWS(W$147:W158)-1)+1),"")</f>
        <v>0</v>
      </c>
      <c r="W158" s="184"/>
      <c r="X158" s="184"/>
      <c r="Y158" s="26">
        <f>IFERROR(INDEX('M04-S03'!$Q$18:$Q$199,2*(ROWS(Y$147:Y158)-1)+1),"")</f>
        <v>0</v>
      </c>
      <c r="Z158" s="26"/>
      <c r="AA158" s="9" cm="1">
        <f t="array" ref="AA158">IFERROR(ROUND(INDEX('M04-S03'!$AR$18:$AR$199,2*(ROWS(AA$147:AA158)-1)+1), 2),"")</f>
        <v>0</v>
      </c>
      <c r="AB158" s="164"/>
      <c r="AC158" s="9" t="str" cm="1">
        <f t="array" ref="AC158">IFERROR(ROUND(IF(BB158&lt;&gt;"","",INDEX('M04-S03'!$AH$18:$AH$199,2*(ROWS(AC$147:AC158)-1)+1)),2),"")</f>
        <v/>
      </c>
      <c r="AD158" s="9" t="str" cm="1">
        <f t="array" ref="AD158">IFERROR(ROUND(IF(BB158&lt;&gt;"","",INDEX('M04-S03'!$AJ$18:$AJ$199,2*(ROWS(AD$147:AD158)-1)+1)),2),"")</f>
        <v/>
      </c>
      <c r="AE158" s="9" t="str">
        <f t="shared" si="19"/>
        <v/>
      </c>
      <c r="AF158" t="str">
        <f t="shared" si="20"/>
        <v/>
      </c>
      <c r="AG158" s="9" t="str" cm="1">
        <f t="array" ref="AG158">IFERROR(ROUND(IF(BB158&lt;&gt;"","",INDEX('M04-S03'!$AL$18:$AL$199,2*(ROWS(AG$147:AG158)-1)+1)),2),"")</f>
        <v/>
      </c>
      <c r="AH158" s="184"/>
      <c r="AI158" s="191"/>
      <c r="AJ158" s="32" t="str">
        <f>IFERROR(ROUND(IF(BA158&lt;&gt;"","",INDEX('M04-S03'!$AO$18:$AO$199,2*(ROWS(AJ$147:AJ158)-1)+1)),4),"")</f>
        <v/>
      </c>
      <c r="AK158" s="32" t="str">
        <f>IFERROR(ROUND(IF(BA158&lt;&gt;"","",INDEX('M04-S03'!$BF$18:$BF$199,2*(ROWS(AK$147:AK158)-1)+1)),4),"")</f>
        <v/>
      </c>
      <c r="AL158" s="32" t="str">
        <f>IFERROR(ROUND(IF(BA158&lt;&gt;"","",INDEX('M04-S03'!$BG$18:$BG$199,2*(ROWS(AL$147:AL158)-1)+1)),4),"")</f>
        <v/>
      </c>
      <c r="AM158" s="32" cm="1">
        <f t="array" ref="AM158">IFERROR(ROUND(INDEX('M04-S03'!$BA$18:$BA$199,2*(ROWS(AM$147:AM158)-1)+1),4),"")</f>
        <v>0</v>
      </c>
      <c r="AN158" s="32" cm="1">
        <f t="array" ref="AN158">IFERROR(ROUND(INDEX('M04-S03'!$BB$18:$BB$199,2*(ROWS(AN$147:AN158)-1)+1),4),"")</f>
        <v>0</v>
      </c>
      <c r="AO158" s="32"/>
      <c r="AP158" s="9">
        <f>IFERROR(ROUND(IF(BB158&lt;&gt;"",INDEX('M04-S03'!$AH$18:$AH$199,2*(ROWS(AP$147:AP158)-1)+1),""),2),"")</f>
        <v>0</v>
      </c>
      <c r="AQ158" s="9">
        <f>IFERROR(ROUND(IF(BB158&lt;&gt;"",INDEX('M04-S03'!$AJ$18:$AJ$199,2*(ROWS(AQ$147:AQ158)-1)+1),""),2),"")</f>
        <v>0</v>
      </c>
      <c r="AR158" s="9" t="str">
        <f t="shared" si="21"/>
        <v/>
      </c>
      <c r="AS158" t="str">
        <f t="shared" si="18"/>
        <v>Total</v>
      </c>
      <c r="AT158" s="9" cm="1">
        <f t="array" ref="AT158">IFERROR(ROUND(IF(BB158&lt;&gt;"", INDEX('M04-S03'!$AL$18:$AL$199,2*(ROWS(AT$147:AT158)-1)+1), ""),2),"")</f>
        <v>0</v>
      </c>
      <c r="AU158" s="184"/>
      <c r="AV158" s="5">
        <f>IFERROR(IF(BB158&lt;&gt;"",ROUND(INDEX('M04-S03'!$O$18:$O$199,2*(ROWS(AV$147:AV158)-1)+1),3),""),"")</f>
        <v>0</v>
      </c>
      <c r="AW158" s="5">
        <f>IFERROR(IF(BB158&lt;&gt;"",ROUND(INDEX('M04-S03'!$O$18:$O$199,2*(ROWS(AW$147:AW158)-1)+1),3),""),"")</f>
        <v>0</v>
      </c>
      <c r="AX158" s="184"/>
      <c r="AY158" s="26">
        <f>IFERROR(IF(BB158&lt;&gt;"",INDEX('M04-S03'!$AO$18:$AO$199,2*(ROWS(AY$147:AY158)-1)+1),""),"")</f>
        <v>0</v>
      </c>
      <c r="AZ158" s="32">
        <f>IFERROR(IF(BB158&lt;&gt;"",INDEX('M04-S03'!$BF$18:$BF$199,2*(ROWS(AZ$147:AZ158)-1)+1),""),"")</f>
        <v>0</v>
      </c>
      <c r="BA158" s="32">
        <f>IFERROR(IF(BB158&lt;&gt;"",INDEX('M04-S03'!$BG$18:$BG$199,2*(ROWS(BA$147:BA158)-1)+1),""),"")</f>
        <v>0</v>
      </c>
      <c r="BB158">
        <f>IFERROR(INDEX('M04-S03'!$BY$18:$BY$199,2*(ROWS(BB$147:BB158)-1)+1),"")</f>
        <v>0</v>
      </c>
    </row>
    <row r="159" spans="1:54">
      <c r="A159" s="10">
        <f t="shared" si="16"/>
        <v>0</v>
      </c>
      <c r="B159" t="str">
        <f t="shared" si="17"/>
        <v/>
      </c>
      <c r="C159" t="str" cm="1">
        <f t="array" ref="C159">IFERROR(_xlfn.VALUETOTEXT(INDEX('M04-S03'!$BW$18:$BW$199,2*(ROWS($C$147:C159)-1)+1)),"")</f>
        <v/>
      </c>
      <c r="D159">
        <f>IFERROR(INDEX('M04-S03'!$B$18:$B$199,2*(ROWS(D$147:D159)-1)+1),"")</f>
        <v>0</v>
      </c>
      <c r="E159" s="51" t="str" cm="1">
        <f t="array" ref="E159">IFERROR(_xlfn.VALUETOTEXT(INDEX('M04-S03'!$BX$18:$BX$199,2*(ROWS($E$147:E159)-1)+1)),"")</f>
        <v/>
      </c>
      <c r="F159" t="str" cm="1">
        <f t="array" ref="F159">IF(C159&lt;&gt;"", _xlfn.SWITCH(Program_Banner, "Small Business / Non-Profit", "Hard-To-Reach Business", "Business Energy Savings", "Whole Business Efficiency", ""), "")</f>
        <v/>
      </c>
      <c r="G159" t="s">
        <v>135</v>
      </c>
      <c r="H159">
        <f>IFERROR(INDEX('M04-S03'!$BC$18:$BC$199,2*(ROWS(H$147:H159)-1)+1),"")</f>
        <v>0</v>
      </c>
      <c r="I159">
        <f>IFERROR(INDEX('M04-S03'!$BJ$18:$BJ$199,2*(ROWS(I$147:I159)-1)+1),"")</f>
        <v>0</v>
      </c>
      <c r="J159" s="9">
        <f>IFERROR(INDEX('M04-S03'!$BN$18:$BN$199,2*(ROWS(J$147:J159)-1)+1),"")</f>
        <v>0</v>
      </c>
      <c r="K159" s="9">
        <f>IFERROR(INDEX('M04-S03'!$BO$18:$BO$199,2*(ROWS(K$147:K159)-1)+1),"")</f>
        <v>0</v>
      </c>
      <c r="L159" s="51">
        <f>IFERROR(INDEX('M04-S03'!$BD$18:$BD$199,2*(ROWS(L$147:L159)-1)+1),"")</f>
        <v>0</v>
      </c>
      <c r="M159">
        <f>IFERROR(INDEX('M04-S03'!$AE$18:$AE$199,2*(ROWS(M$147:M159)-1)+1),"")</f>
        <v>0</v>
      </c>
      <c r="N159" s="171"/>
      <c r="O159">
        <f>IFERROR(INDEX('M04-S03'!$G$18:$G$199,2*(ROWS(O$147:O159)-1)+1),"")</f>
        <v>0</v>
      </c>
      <c r="P159" s="171"/>
      <c r="Q159">
        <f>IFERROR(INDEX('M04-S03'!$AA$18:$AA$199,2*(ROWS(Q$147:Q159)-1)+1),"")</f>
        <v>0</v>
      </c>
      <c r="S159">
        <f>IFERROR(INDEX('M04-S03'!$AX$18:$AX$199,2*(ROWS(S$147:S159)-1)+1),"")</f>
        <v>0</v>
      </c>
      <c r="T159" s="545">
        <f>IFERROR(ROUND(INDEX('M04-S03'!$AY$18:$AY$199,2*(ROWS(T$147:T159)-1)+1),3),"")</f>
        <v>0</v>
      </c>
      <c r="U159" s="545">
        <f>IFERROR(ROUND(INDEX('M04-S03'!$AZ$18:$AZ$199,2*(ROWS(U$147:U159)-1)+1),3),"")</f>
        <v>0</v>
      </c>
      <c r="V159" s="26">
        <f>IFERROR(INDEX('M04-S03'!$T$18:$T$199,2*(ROWS(W$147:W159)-1)+1),"")</f>
        <v>0</v>
      </c>
      <c r="W159" s="184"/>
      <c r="X159" s="184"/>
      <c r="Y159" s="26">
        <f>IFERROR(INDEX('M04-S03'!$Q$18:$Q$199,2*(ROWS(Y$147:Y159)-1)+1),"")</f>
        <v>0</v>
      </c>
      <c r="Z159" s="26"/>
      <c r="AA159" s="9" cm="1">
        <f t="array" ref="AA159">IFERROR(ROUND(INDEX('M04-S03'!$AR$18:$AR$199,2*(ROWS(AA$147:AA159)-1)+1), 2),"")</f>
        <v>0</v>
      </c>
      <c r="AB159" s="164"/>
      <c r="AC159" s="9" t="str" cm="1">
        <f t="array" ref="AC159">IFERROR(ROUND(IF(BB159&lt;&gt;"","",INDEX('M04-S03'!$AH$18:$AH$199,2*(ROWS(AC$147:AC159)-1)+1)),2),"")</f>
        <v/>
      </c>
      <c r="AD159" s="9" t="str" cm="1">
        <f t="array" ref="AD159">IFERROR(ROUND(IF(BB159&lt;&gt;"","",INDEX('M04-S03'!$AJ$18:$AJ$199,2*(ROWS(AD$147:AD159)-1)+1)),2),"")</f>
        <v/>
      </c>
      <c r="AE159" s="9" t="str">
        <f t="shared" si="19"/>
        <v/>
      </c>
      <c r="AF159" t="str">
        <f t="shared" si="20"/>
        <v/>
      </c>
      <c r="AG159" s="9" t="str" cm="1">
        <f t="array" ref="AG159">IFERROR(ROUND(IF(BB159&lt;&gt;"","",INDEX('M04-S03'!$AL$18:$AL$199,2*(ROWS(AG$147:AG159)-1)+1)),2),"")</f>
        <v/>
      </c>
      <c r="AH159" s="184"/>
      <c r="AI159" s="191"/>
      <c r="AJ159" s="32" t="str">
        <f>IFERROR(ROUND(IF(BA159&lt;&gt;"","",INDEX('M04-S03'!$AO$18:$AO$199,2*(ROWS(AJ$147:AJ159)-1)+1)),4),"")</f>
        <v/>
      </c>
      <c r="AK159" s="32" t="str">
        <f>IFERROR(ROUND(IF(BA159&lt;&gt;"","",INDEX('M04-S03'!$BF$18:$BF$199,2*(ROWS(AK$147:AK159)-1)+1)),4),"")</f>
        <v/>
      </c>
      <c r="AL159" s="32" t="str">
        <f>IFERROR(ROUND(IF(BA159&lt;&gt;"","",INDEX('M04-S03'!$BG$18:$BG$199,2*(ROWS(AL$147:AL159)-1)+1)),4),"")</f>
        <v/>
      </c>
      <c r="AM159" s="32" cm="1">
        <f t="array" ref="AM159">IFERROR(ROUND(INDEX('M04-S03'!$BA$18:$BA$199,2*(ROWS(AM$147:AM159)-1)+1),4),"")</f>
        <v>0</v>
      </c>
      <c r="AN159" s="32" cm="1">
        <f t="array" ref="AN159">IFERROR(ROUND(INDEX('M04-S03'!$BB$18:$BB$199,2*(ROWS(AN$147:AN159)-1)+1),4),"")</f>
        <v>0</v>
      </c>
      <c r="AO159" s="32"/>
      <c r="AP159" s="9">
        <f>IFERROR(ROUND(IF(BB159&lt;&gt;"",INDEX('M04-S03'!$AH$18:$AH$199,2*(ROWS(AP$147:AP159)-1)+1),""),2),"")</f>
        <v>0</v>
      </c>
      <c r="AQ159" s="9">
        <f>IFERROR(ROUND(IF(BB159&lt;&gt;"",INDEX('M04-S03'!$AJ$18:$AJ$199,2*(ROWS(AQ$147:AQ159)-1)+1),""),2),"")</f>
        <v>0</v>
      </c>
      <c r="AR159" s="9" t="str">
        <f t="shared" si="21"/>
        <v/>
      </c>
      <c r="AS159" t="str">
        <f t="shared" si="18"/>
        <v>Total</v>
      </c>
      <c r="AT159" s="9" cm="1">
        <f t="array" ref="AT159">IFERROR(ROUND(IF(BB159&lt;&gt;"", INDEX('M04-S03'!$AL$18:$AL$199,2*(ROWS(AT$147:AT159)-1)+1), ""),2),"")</f>
        <v>0</v>
      </c>
      <c r="AU159" s="184"/>
      <c r="AV159" s="5">
        <f>IFERROR(IF(BB159&lt;&gt;"",ROUND(INDEX('M04-S03'!$O$18:$O$199,2*(ROWS(AV$147:AV159)-1)+1),3),""),"")</f>
        <v>0</v>
      </c>
      <c r="AW159" s="5">
        <f>IFERROR(IF(BB159&lt;&gt;"",ROUND(INDEX('M04-S03'!$O$18:$O$199,2*(ROWS(AW$147:AW159)-1)+1),3),""),"")</f>
        <v>0</v>
      </c>
      <c r="AX159" s="184"/>
      <c r="AY159" s="26">
        <f>IFERROR(IF(BB159&lt;&gt;"",INDEX('M04-S03'!$AO$18:$AO$199,2*(ROWS(AY$147:AY159)-1)+1),""),"")</f>
        <v>0</v>
      </c>
      <c r="AZ159" s="32">
        <f>IFERROR(IF(BB159&lt;&gt;"",INDEX('M04-S03'!$BF$18:$BF$199,2*(ROWS(AZ$147:AZ159)-1)+1),""),"")</f>
        <v>0</v>
      </c>
      <c r="BA159" s="32">
        <f>IFERROR(IF(BB159&lt;&gt;"",INDEX('M04-S03'!$BG$18:$BG$199,2*(ROWS(BA$147:BA159)-1)+1),""),"")</f>
        <v>0</v>
      </c>
      <c r="BB159">
        <f>IFERROR(INDEX('M04-S03'!$BY$18:$BY$199,2*(ROWS(BB$147:BB159)-1)+1),"")</f>
        <v>0</v>
      </c>
    </row>
    <row r="160" spans="1:54">
      <c r="A160" s="10">
        <f t="shared" si="16"/>
        <v>0</v>
      </c>
      <c r="B160" t="str">
        <f t="shared" si="17"/>
        <v/>
      </c>
      <c r="C160" t="str" cm="1">
        <f t="array" ref="C160">IFERROR(_xlfn.VALUETOTEXT(INDEX('M04-S03'!$BW$18:$BW$199,2*(ROWS($C$147:C160)-1)+1)),"")</f>
        <v/>
      </c>
      <c r="D160">
        <f>IFERROR(INDEX('M04-S03'!$B$18:$B$199,2*(ROWS(D$147:D160)-1)+1),"")</f>
        <v>0</v>
      </c>
      <c r="E160" s="51" t="str" cm="1">
        <f t="array" ref="E160">IFERROR(_xlfn.VALUETOTEXT(INDEX('M04-S03'!$BX$18:$BX$199,2*(ROWS($E$147:E160)-1)+1)),"")</f>
        <v/>
      </c>
      <c r="F160" t="str" cm="1">
        <f t="array" ref="F160">IF(C160&lt;&gt;"", _xlfn.SWITCH(Program_Banner, "Small Business / Non-Profit", "Hard-To-Reach Business", "Business Energy Savings", "Whole Business Efficiency", ""), "")</f>
        <v/>
      </c>
      <c r="G160" t="s">
        <v>135</v>
      </c>
      <c r="H160">
        <f>IFERROR(INDEX('M04-S03'!$BC$18:$BC$199,2*(ROWS(H$147:H160)-1)+1),"")</f>
        <v>0</v>
      </c>
      <c r="I160">
        <f>IFERROR(INDEX('M04-S03'!$BJ$18:$BJ$199,2*(ROWS(I$147:I160)-1)+1),"")</f>
        <v>0</v>
      </c>
      <c r="J160" s="9">
        <f>IFERROR(INDEX('M04-S03'!$BN$18:$BN$199,2*(ROWS(J$147:J160)-1)+1),"")</f>
        <v>0</v>
      </c>
      <c r="K160" s="9">
        <f>IFERROR(INDEX('M04-S03'!$BO$18:$BO$199,2*(ROWS(K$147:K160)-1)+1),"")</f>
        <v>0</v>
      </c>
      <c r="L160" s="51">
        <f>IFERROR(INDEX('M04-S03'!$BD$18:$BD$199,2*(ROWS(L$147:L160)-1)+1),"")</f>
        <v>0</v>
      </c>
      <c r="M160">
        <f>IFERROR(INDEX('M04-S03'!$AE$18:$AE$199,2*(ROWS(M$147:M160)-1)+1),"")</f>
        <v>0</v>
      </c>
      <c r="N160" s="171"/>
      <c r="O160">
        <f>IFERROR(INDEX('M04-S03'!$G$18:$G$199,2*(ROWS(O$147:O160)-1)+1),"")</f>
        <v>0</v>
      </c>
      <c r="P160" s="171"/>
      <c r="Q160">
        <f>IFERROR(INDEX('M04-S03'!$AA$18:$AA$199,2*(ROWS(Q$147:Q160)-1)+1),"")</f>
        <v>0</v>
      </c>
      <c r="S160">
        <f>IFERROR(INDEX('M04-S03'!$AX$18:$AX$199,2*(ROWS(S$147:S160)-1)+1),"")</f>
        <v>0</v>
      </c>
      <c r="T160" s="545">
        <f>IFERROR(ROUND(INDEX('M04-S03'!$AY$18:$AY$199,2*(ROWS(T$147:T160)-1)+1),3),"")</f>
        <v>0</v>
      </c>
      <c r="U160" s="545">
        <f>IFERROR(ROUND(INDEX('M04-S03'!$AZ$18:$AZ$199,2*(ROWS(U$147:U160)-1)+1),3),"")</f>
        <v>0</v>
      </c>
      <c r="V160" s="26">
        <f>IFERROR(INDEX('M04-S03'!$T$18:$T$199,2*(ROWS(W$147:W160)-1)+1),"")</f>
        <v>0</v>
      </c>
      <c r="W160" s="184"/>
      <c r="X160" s="184"/>
      <c r="Y160" s="26">
        <f>IFERROR(INDEX('M04-S03'!$Q$18:$Q$199,2*(ROWS(Y$147:Y160)-1)+1),"")</f>
        <v>0</v>
      </c>
      <c r="Z160" s="26"/>
      <c r="AA160" s="9" cm="1">
        <f t="array" ref="AA160">IFERROR(ROUND(INDEX('M04-S03'!$AR$18:$AR$199,2*(ROWS(AA$147:AA160)-1)+1), 2),"")</f>
        <v>0</v>
      </c>
      <c r="AB160" s="164"/>
      <c r="AC160" s="9" t="str" cm="1">
        <f t="array" ref="AC160">IFERROR(ROUND(IF(BB160&lt;&gt;"","",INDEX('M04-S03'!$AH$18:$AH$199,2*(ROWS(AC$147:AC160)-1)+1)),2),"")</f>
        <v/>
      </c>
      <c r="AD160" s="9" t="str" cm="1">
        <f t="array" ref="AD160">IFERROR(ROUND(IF(BB160&lt;&gt;"","",INDEX('M04-S03'!$AJ$18:$AJ$199,2*(ROWS(AD$147:AD160)-1)+1)),2),"")</f>
        <v/>
      </c>
      <c r="AE160" s="9" t="str">
        <f t="shared" si="19"/>
        <v/>
      </c>
      <c r="AF160" t="str">
        <f t="shared" si="20"/>
        <v/>
      </c>
      <c r="AG160" s="9" t="str" cm="1">
        <f t="array" ref="AG160">IFERROR(ROUND(IF(BB160&lt;&gt;"","",INDEX('M04-S03'!$AL$18:$AL$199,2*(ROWS(AG$147:AG160)-1)+1)),2),"")</f>
        <v/>
      </c>
      <c r="AH160" s="184"/>
      <c r="AI160" s="191"/>
      <c r="AJ160" s="32" t="str">
        <f>IFERROR(ROUND(IF(BA160&lt;&gt;"","",INDEX('M04-S03'!$AO$18:$AO$199,2*(ROWS(AJ$147:AJ160)-1)+1)),4),"")</f>
        <v/>
      </c>
      <c r="AK160" s="32" t="str">
        <f>IFERROR(ROUND(IF(BA160&lt;&gt;"","",INDEX('M04-S03'!$BF$18:$BF$199,2*(ROWS(AK$147:AK160)-1)+1)),4),"")</f>
        <v/>
      </c>
      <c r="AL160" s="32" t="str">
        <f>IFERROR(ROUND(IF(BA160&lt;&gt;"","",INDEX('M04-S03'!$BG$18:$BG$199,2*(ROWS(AL$147:AL160)-1)+1)),4),"")</f>
        <v/>
      </c>
      <c r="AM160" s="32" cm="1">
        <f t="array" ref="AM160">IFERROR(ROUND(INDEX('M04-S03'!$BA$18:$BA$199,2*(ROWS(AM$147:AM160)-1)+1),4),"")</f>
        <v>0</v>
      </c>
      <c r="AN160" s="32" cm="1">
        <f t="array" ref="AN160">IFERROR(ROUND(INDEX('M04-S03'!$BB$18:$BB$199,2*(ROWS(AN$147:AN160)-1)+1),4),"")</f>
        <v>0</v>
      </c>
      <c r="AO160" s="32"/>
      <c r="AP160" s="9">
        <f>IFERROR(ROUND(IF(BB160&lt;&gt;"",INDEX('M04-S03'!$AH$18:$AH$199,2*(ROWS(AP$147:AP160)-1)+1),""),2),"")</f>
        <v>0</v>
      </c>
      <c r="AQ160" s="9">
        <f>IFERROR(ROUND(IF(BB160&lt;&gt;"",INDEX('M04-S03'!$AJ$18:$AJ$199,2*(ROWS(AQ$147:AQ160)-1)+1),""),2),"")</f>
        <v>0</v>
      </c>
      <c r="AR160" s="9" t="str">
        <f t="shared" si="21"/>
        <v/>
      </c>
      <c r="AS160" t="str">
        <f t="shared" si="18"/>
        <v>Total</v>
      </c>
      <c r="AT160" s="9" cm="1">
        <f t="array" ref="AT160">IFERROR(ROUND(IF(BB160&lt;&gt;"", INDEX('M04-S03'!$AL$18:$AL$199,2*(ROWS(AT$147:AT160)-1)+1), ""),2),"")</f>
        <v>0</v>
      </c>
      <c r="AU160" s="184"/>
      <c r="AV160" s="5">
        <f>IFERROR(IF(BB160&lt;&gt;"",ROUND(INDEX('M04-S03'!$O$18:$O$199,2*(ROWS(AV$147:AV160)-1)+1),3),""),"")</f>
        <v>0</v>
      </c>
      <c r="AW160" s="5">
        <f>IFERROR(IF(BB160&lt;&gt;"",ROUND(INDEX('M04-S03'!$O$18:$O$199,2*(ROWS(AW$147:AW160)-1)+1),3),""),"")</f>
        <v>0</v>
      </c>
      <c r="AX160" s="184"/>
      <c r="AY160" s="26">
        <f>IFERROR(IF(BB160&lt;&gt;"",INDEX('M04-S03'!$AO$18:$AO$199,2*(ROWS(AY$147:AY160)-1)+1),""),"")</f>
        <v>0</v>
      </c>
      <c r="AZ160" s="32">
        <f>IFERROR(IF(BB160&lt;&gt;"",INDEX('M04-S03'!$BF$18:$BF$199,2*(ROWS(AZ$147:AZ160)-1)+1),""),"")</f>
        <v>0</v>
      </c>
      <c r="BA160" s="32">
        <f>IFERROR(IF(BB160&lt;&gt;"",INDEX('M04-S03'!$BG$18:$BG$199,2*(ROWS(BA$147:BA160)-1)+1),""),"")</f>
        <v>0</v>
      </c>
      <c r="BB160">
        <f>IFERROR(INDEX('M04-S03'!$BY$18:$BY$199,2*(ROWS(BB$147:BB160)-1)+1),"")</f>
        <v>0</v>
      </c>
    </row>
    <row r="161" spans="1:54">
      <c r="A161" s="10">
        <f t="shared" si="16"/>
        <v>0</v>
      </c>
      <c r="B161" t="str">
        <f t="shared" si="17"/>
        <v/>
      </c>
      <c r="C161" t="str" cm="1">
        <f t="array" ref="C161">IFERROR(_xlfn.VALUETOTEXT(INDEX('M04-S03'!$BW$18:$BW$199,2*(ROWS($C$147:C161)-1)+1)),"")</f>
        <v/>
      </c>
      <c r="D161">
        <f>IFERROR(INDEX('M04-S03'!$B$18:$B$199,2*(ROWS(D$147:D161)-1)+1),"")</f>
        <v>0</v>
      </c>
      <c r="E161" s="51" t="str" cm="1">
        <f t="array" ref="E161">IFERROR(_xlfn.VALUETOTEXT(INDEX('M04-S03'!$BX$18:$BX$199,2*(ROWS($E$147:E161)-1)+1)),"")</f>
        <v/>
      </c>
      <c r="F161" t="str" cm="1">
        <f t="array" ref="F161">IF(C161&lt;&gt;"", _xlfn.SWITCH(Program_Banner, "Small Business / Non-Profit", "Hard-To-Reach Business", "Business Energy Savings", "Whole Business Efficiency", ""), "")</f>
        <v/>
      </c>
      <c r="G161" t="s">
        <v>135</v>
      </c>
      <c r="H161">
        <f>IFERROR(INDEX('M04-S03'!$BC$18:$BC$199,2*(ROWS(H$147:H161)-1)+1),"")</f>
        <v>0</v>
      </c>
      <c r="I161">
        <f>IFERROR(INDEX('M04-S03'!$BJ$18:$BJ$199,2*(ROWS(I$147:I161)-1)+1),"")</f>
        <v>0</v>
      </c>
      <c r="J161" s="9">
        <f>IFERROR(INDEX('M04-S03'!$BN$18:$BN$199,2*(ROWS(J$147:J161)-1)+1),"")</f>
        <v>0</v>
      </c>
      <c r="K161" s="9">
        <f>IFERROR(INDEX('M04-S03'!$BO$18:$BO$199,2*(ROWS(K$147:K161)-1)+1),"")</f>
        <v>0</v>
      </c>
      <c r="L161" s="51">
        <f>IFERROR(INDEX('M04-S03'!$BD$18:$BD$199,2*(ROWS(L$147:L161)-1)+1),"")</f>
        <v>0</v>
      </c>
      <c r="M161">
        <f>IFERROR(INDEX('M04-S03'!$AE$18:$AE$199,2*(ROWS(M$147:M161)-1)+1),"")</f>
        <v>0</v>
      </c>
      <c r="N161" s="171"/>
      <c r="O161">
        <f>IFERROR(INDEX('M04-S03'!$G$18:$G$199,2*(ROWS(O$147:O161)-1)+1),"")</f>
        <v>0</v>
      </c>
      <c r="P161" s="171"/>
      <c r="Q161">
        <f>IFERROR(INDEX('M04-S03'!$AA$18:$AA$199,2*(ROWS(Q$147:Q161)-1)+1),"")</f>
        <v>0</v>
      </c>
      <c r="S161">
        <f>IFERROR(INDEX('M04-S03'!$AX$18:$AX$199,2*(ROWS(S$147:S161)-1)+1),"")</f>
        <v>0</v>
      </c>
      <c r="T161" s="545">
        <f>IFERROR(ROUND(INDEX('M04-S03'!$AY$18:$AY$199,2*(ROWS(T$147:T161)-1)+1),3),"")</f>
        <v>0</v>
      </c>
      <c r="U161" s="545">
        <f>IFERROR(ROUND(INDEX('M04-S03'!$AZ$18:$AZ$199,2*(ROWS(U$147:U161)-1)+1),3),"")</f>
        <v>0</v>
      </c>
      <c r="V161" s="26">
        <f>IFERROR(INDEX('M04-S03'!$T$18:$T$199,2*(ROWS(W$147:W161)-1)+1),"")</f>
        <v>0</v>
      </c>
      <c r="W161" s="184"/>
      <c r="X161" s="184"/>
      <c r="Y161" s="26">
        <f>IFERROR(INDEX('M04-S03'!$Q$18:$Q$199,2*(ROWS(Y$147:Y161)-1)+1),"")</f>
        <v>0</v>
      </c>
      <c r="Z161" s="26"/>
      <c r="AA161" s="9" cm="1">
        <f t="array" ref="AA161">IFERROR(ROUND(INDEX('M04-S03'!$AR$18:$AR$199,2*(ROWS(AA$147:AA161)-1)+1), 2),"")</f>
        <v>0</v>
      </c>
      <c r="AB161" s="164"/>
      <c r="AC161" s="9" t="str" cm="1">
        <f t="array" ref="AC161">IFERROR(ROUND(IF(BB161&lt;&gt;"","",INDEX('M04-S03'!$AH$18:$AH$199,2*(ROWS(AC$147:AC161)-1)+1)),2),"")</f>
        <v/>
      </c>
      <c r="AD161" s="9" t="str" cm="1">
        <f t="array" ref="AD161">IFERROR(ROUND(IF(BB161&lt;&gt;"","",INDEX('M04-S03'!$AJ$18:$AJ$199,2*(ROWS(AD$147:AD161)-1)+1)),2),"")</f>
        <v/>
      </c>
      <c r="AE161" s="9" t="str">
        <f t="shared" si="19"/>
        <v/>
      </c>
      <c r="AF161" t="str">
        <f t="shared" si="20"/>
        <v/>
      </c>
      <c r="AG161" s="9" t="str" cm="1">
        <f t="array" ref="AG161">IFERROR(ROUND(IF(BB161&lt;&gt;"","",INDEX('M04-S03'!$AL$18:$AL$199,2*(ROWS(AG$147:AG161)-1)+1)),2),"")</f>
        <v/>
      </c>
      <c r="AH161" s="184"/>
      <c r="AI161" s="191"/>
      <c r="AJ161" s="32" t="str">
        <f>IFERROR(ROUND(IF(BA161&lt;&gt;"","",INDEX('M04-S03'!$AO$18:$AO$199,2*(ROWS(AJ$147:AJ161)-1)+1)),4),"")</f>
        <v/>
      </c>
      <c r="AK161" s="32" t="str">
        <f>IFERROR(ROUND(IF(BA161&lt;&gt;"","",INDEX('M04-S03'!$BF$18:$BF$199,2*(ROWS(AK$147:AK161)-1)+1)),4),"")</f>
        <v/>
      </c>
      <c r="AL161" s="32" t="str">
        <f>IFERROR(ROUND(IF(BA161&lt;&gt;"","",INDEX('M04-S03'!$BG$18:$BG$199,2*(ROWS(AL$147:AL161)-1)+1)),4),"")</f>
        <v/>
      </c>
      <c r="AM161" s="32" cm="1">
        <f t="array" ref="AM161">IFERROR(ROUND(INDEX('M04-S03'!$BA$18:$BA$199,2*(ROWS(AM$147:AM161)-1)+1),4),"")</f>
        <v>0</v>
      </c>
      <c r="AN161" s="32" cm="1">
        <f t="array" ref="AN161">IFERROR(ROUND(INDEX('M04-S03'!$BB$18:$BB$199,2*(ROWS(AN$147:AN161)-1)+1),4),"")</f>
        <v>0</v>
      </c>
      <c r="AO161" s="32"/>
      <c r="AP161" s="9">
        <f>IFERROR(ROUND(IF(BB161&lt;&gt;"",INDEX('M04-S03'!$AH$18:$AH$199,2*(ROWS(AP$147:AP161)-1)+1),""),2),"")</f>
        <v>0</v>
      </c>
      <c r="AQ161" s="9">
        <f>IFERROR(ROUND(IF(BB161&lt;&gt;"",INDEX('M04-S03'!$AJ$18:$AJ$199,2*(ROWS(AQ$147:AQ161)-1)+1),""),2),"")</f>
        <v>0</v>
      </c>
      <c r="AR161" s="9" t="str">
        <f t="shared" si="21"/>
        <v/>
      </c>
      <c r="AS161" t="str">
        <f t="shared" si="18"/>
        <v>Total</v>
      </c>
      <c r="AT161" s="9" cm="1">
        <f t="array" ref="AT161">IFERROR(ROUND(IF(BB161&lt;&gt;"", INDEX('M04-S03'!$AL$18:$AL$199,2*(ROWS(AT$147:AT161)-1)+1), ""),2),"")</f>
        <v>0</v>
      </c>
      <c r="AU161" s="184"/>
      <c r="AV161" s="5">
        <f>IFERROR(IF(BB161&lt;&gt;"",ROUND(INDEX('M04-S03'!$O$18:$O$199,2*(ROWS(AV$147:AV161)-1)+1),3),""),"")</f>
        <v>0</v>
      </c>
      <c r="AW161" s="5">
        <f>IFERROR(IF(BB161&lt;&gt;"",ROUND(INDEX('M04-S03'!$O$18:$O$199,2*(ROWS(AW$147:AW161)-1)+1),3),""),"")</f>
        <v>0</v>
      </c>
      <c r="AX161" s="184"/>
      <c r="AY161" s="26">
        <f>IFERROR(IF(BB161&lt;&gt;"",INDEX('M04-S03'!$AO$18:$AO$199,2*(ROWS(AY$147:AY161)-1)+1),""),"")</f>
        <v>0</v>
      </c>
      <c r="AZ161" s="32">
        <f>IFERROR(IF(BB161&lt;&gt;"",INDEX('M04-S03'!$BF$18:$BF$199,2*(ROWS(AZ$147:AZ161)-1)+1),""),"")</f>
        <v>0</v>
      </c>
      <c r="BA161" s="32">
        <f>IFERROR(IF(BB161&lt;&gt;"",INDEX('M04-S03'!$BG$18:$BG$199,2*(ROWS(BA$147:BA161)-1)+1),""),"")</f>
        <v>0</v>
      </c>
      <c r="BB161">
        <f>IFERROR(INDEX('M04-S03'!$BY$18:$BY$199,2*(ROWS(BB$147:BB161)-1)+1),"")</f>
        <v>0</v>
      </c>
    </row>
    <row r="162" spans="1:54">
      <c r="A162" s="477" t="str">
        <f>"Custom "&amp;M4S4</f>
        <v>Custom Refrigeration</v>
      </c>
      <c r="B162" s="31"/>
      <c r="C162" s="31"/>
      <c r="D162" s="31"/>
      <c r="E162" s="31"/>
      <c r="F162" s="31"/>
      <c r="G162" s="31"/>
      <c r="H162" s="31"/>
      <c r="I162" s="31"/>
      <c r="J162" s="181"/>
      <c r="K162" s="181"/>
      <c r="L162" s="31"/>
      <c r="M162" s="31"/>
      <c r="N162" s="31"/>
      <c r="O162" s="98"/>
      <c r="P162" s="31"/>
      <c r="Q162" s="31"/>
      <c r="R162" s="31"/>
      <c r="S162" s="31"/>
      <c r="T162" s="187"/>
      <c r="U162" s="187"/>
      <c r="V162" s="185"/>
      <c r="W162" s="185"/>
      <c r="X162" s="185"/>
      <c r="Y162" s="185"/>
      <c r="Z162" s="185"/>
      <c r="AA162" s="181"/>
      <c r="AB162" s="31"/>
      <c r="AC162" s="181"/>
      <c r="AD162" s="181"/>
      <c r="AE162" s="181"/>
      <c r="AF162" s="31"/>
      <c r="AG162" s="181"/>
      <c r="AH162" s="31"/>
      <c r="AI162" s="189"/>
      <c r="AJ162" s="189"/>
      <c r="AK162" s="189"/>
      <c r="AL162" s="189"/>
      <c r="AM162" s="189"/>
      <c r="AN162" s="189"/>
      <c r="AO162" s="189"/>
      <c r="AP162" s="181"/>
      <c r="AQ162" s="181"/>
      <c r="AR162" s="181"/>
      <c r="AS162" s="31"/>
      <c r="AT162" s="31"/>
      <c r="AU162" s="31"/>
      <c r="AV162" s="187"/>
      <c r="AW162" s="187"/>
      <c r="AX162" s="185"/>
      <c r="AY162" s="185"/>
      <c r="AZ162" s="189"/>
      <c r="BA162" s="189"/>
      <c r="BB162" s="31"/>
    </row>
    <row r="163" spans="1:54">
      <c r="A163" s="10">
        <f t="shared" ref="A163:A177" si="22">PROJID</f>
        <v>0</v>
      </c>
      <c r="B163" t="str">
        <f t="shared" ref="B163:B177" si="23">IF(C163="","",CONCATENATE(ROW(),"-",C163))</f>
        <v/>
      </c>
      <c r="C163" t="str" cm="1">
        <f t="array" ref="C163">IFERROR(_xlfn.VALUETOTEXT(INDEX('M04-S04'!$BW$18:$BW$199,2*(ROWS($C$163:C163)-1)+1)),"")</f>
        <v/>
      </c>
      <c r="D163">
        <f>IFERROR(INDEX('M04-S04'!$B$18:$B$199,2*(ROWS(D$163:D163)-1)+1),"")</f>
        <v>1</v>
      </c>
      <c r="E163" s="51" t="str" cm="1">
        <f t="array" ref="E163">IFERROR(_xlfn.VALUETOTEXT(INDEX('M04-S04'!$BX$18:$BX$199,2*(ROWS($E$163:E163)-1)+1)),"")</f>
        <v/>
      </c>
      <c r="F163" t="str" cm="1">
        <f t="array" ref="F163">IF(C163&lt;&gt;"", _xlfn.SWITCH(Program_Banner, "Small Business / Non-Profit", "Hard-To-Reach Business", "Business Energy Savings", "Whole Business Efficiency", ""), "")</f>
        <v/>
      </c>
      <c r="G163" t="s">
        <v>135</v>
      </c>
      <c r="H163" t="str">
        <f>IFERROR(INDEX('M04-S04'!$BC$18:$BC$199,2*(ROWS(H$163:H163)-1)+1),"")</f>
        <v/>
      </c>
      <c r="I163" t="str">
        <f>IFERROR(INDEX('M04-S04'!$BJ$18:$BJ$199,2*(ROWS(I$163:I163)-1)+1),"")</f>
        <v/>
      </c>
      <c r="J163" s="9" t="str">
        <f>IFERROR(INDEX('M04-S04'!$BN$18:$BN$199,2*(ROWS(J$163:J163)-1)+1),"")</f>
        <v/>
      </c>
      <c r="K163" s="9" t="str">
        <f>IFERROR(INDEX('M04-S04'!$BO$18:$BO$199,2*(ROWS(K$163:K163)-1)+1),"")</f>
        <v/>
      </c>
      <c r="L163" s="51" t="str">
        <f>IFERROR(INDEX('M04-S04'!$BD$18:$BD$199,2*(ROWS(L$163:L163)-1)+1),"")</f>
        <v/>
      </c>
      <c r="M163" s="171"/>
      <c r="N163" s="171"/>
      <c r="O163">
        <f>IFERROR(INDEX('M04-S04'!$H$18:$H$199,2*(ROWS(O$163:O163)-1)+1),"")</f>
        <v>0</v>
      </c>
      <c r="P163">
        <f>IFERROR(INDEX('M04-S04'!$N$18:$N$199,2*(ROWS(P$163:P163)-1)+1),"")</f>
        <v>0</v>
      </c>
      <c r="Q163">
        <f>IFERROR(INDEX('M04-S04'!$W$18:$W$199,2*(ROWS(Q$163:Q163)-1)+1),"")</f>
        <v>0</v>
      </c>
      <c r="S163" t="str">
        <f>IFERROR(INDEX('M04-S04'!$AX$18:$AX$199,2*(ROWS(S$163:S163)-1)+1),"")</f>
        <v/>
      </c>
      <c r="T163" s="5" t="str">
        <f>IFERROR(ROUND(INDEX('M04-S04'!$AY$18:$AY$199,2*(ROWS(T$163:T163)-1)+1),3),"")</f>
        <v/>
      </c>
      <c r="U163" s="5" t="str">
        <f>IFERROR(ROUND(INDEX('M04-S04'!$AZ$18:$AZ$199,2*(ROWS(U$163:U163)-1)+1),3),"")</f>
        <v/>
      </c>
      <c r="V163" s="184"/>
      <c r="W163" s="184"/>
      <c r="X163" s="184"/>
      <c r="Y163" s="184"/>
      <c r="Z163" s="184"/>
      <c r="AA163" s="9" t="str" cm="1">
        <f t="array" ref="AA163">IFERROR(ROUND(INDEX('M04-S04'!$AR$18:$AR$199,2*(ROWS(AA$163:AA163)-1)+1), 2),"")</f>
        <v/>
      </c>
      <c r="AB163" s="164"/>
      <c r="AC163" s="9" t="str" cm="1">
        <f t="array" aca="1" ref="AC163" ca="1">IFERROR(ROUND(IF(BB163&lt;&gt;"","",INDEX('M04-S04'!$AH$18:$AH$199,2*(ROWS(AC$163:AC163)-1)+1)),2),"")</f>
        <v/>
      </c>
      <c r="AD163" s="9" t="str" cm="1">
        <f t="array" aca="1" ref="AD163" ca="1">IFERROR(ROUND(IF(BB163&lt;&gt;"","",INDEX('M04-S04'!$AJ$18:$AJ$199,2*(ROWS(AD$163:AD163)-1)+1)),2),"")</f>
        <v/>
      </c>
      <c r="AE163" s="9" t="str">
        <f t="shared" ca="1" si="19"/>
        <v/>
      </c>
      <c r="AF163" t="str">
        <f ca="1">IFERROR(IF(BB163&lt;&gt;"","",INDEX('M04-S04'!$AF$18:$AF$199,2*(ROWS(AG$163:AG163)-1)+1)),"")</f>
        <v/>
      </c>
      <c r="AG163" s="9" t="str" cm="1">
        <f t="array" aca="1" ref="AG163" ca="1">IFERROR(ROUND(IF(BB163&lt;&gt;"","",INDEX('M04-S04'!$AL$18:$AL$199,2*(ROWS(AG$163:AG163)-1)+1)),2),"")</f>
        <v/>
      </c>
      <c r="AH163" s="184"/>
      <c r="AI163" s="191"/>
      <c r="AJ163" s="32" t="str">
        <f ca="1">IFERROR(ROUND(IF(BA163&lt;&gt;"","",INDEX('M04-S04'!$AO$18:$AO$199,2*(ROWS(AJ$163:AJ163)-1)+1)),4),"")</f>
        <v/>
      </c>
      <c r="AK163" s="32">
        <f ca="1">IFERROR(ROUND(IF(BA163&lt;&gt;"","",INDEX('M04-S04'!$BF$18:$BF$199,2*(ROWS(AK$163:AK163)-1)+1)),4),"")</f>
        <v>0</v>
      </c>
      <c r="AL163" s="32" t="str">
        <f ca="1">IFERROR(ROUND(IF(BA163&lt;&gt;"","",INDEX('M04-S04'!$BG$18:$BG$199,2*(ROWS(AL$163:AL163)-1)+1)),4),"")</f>
        <v/>
      </c>
      <c r="AM163" s="32" t="str" cm="1">
        <f t="array" ref="AM163">IFERROR(ROUND(INDEX('M04-S04'!$BA$18:$BA$199,2*(ROWS(AM$163:AM163)-1)+1),4),"")</f>
        <v/>
      </c>
      <c r="AN163" s="32" t="str" cm="1">
        <f t="array" ref="AN163">IFERROR(ROUND(INDEX('M04-S04'!$BB$18:$BB$199,2*(ROWS(AN$163:AN163)-1)+1),4),"")</f>
        <v/>
      </c>
      <c r="AO163" s="32"/>
      <c r="AP163" s="9">
        <f ca="1">IFERROR(ROUND(IF(BB163&lt;&gt;"",INDEX('M04-S04'!$AH$18:$AH$199,2*(ROWS(AP$163:AP163)-1)+1),""),2),"")</f>
        <v>0</v>
      </c>
      <c r="AQ163" s="9" t="str">
        <f ca="1">IFERROR(ROUND(IF(BB163&lt;&gt;"",INDEX('M04-S04'!$AJ$18:$AJ$199,2*(ROWS(AQ$163:AQ163)-1)+1),""),2),"")</f>
        <v/>
      </c>
      <c r="AR163" s="9" t="str">
        <f ca="1">IF(BB163&lt;&gt;"", "", IF(AS163="Total", AT163, ""))</f>
        <v/>
      </c>
      <c r="AS163" t="str">
        <f ca="1">IFERROR(IF(BB163&lt;&gt;"",INDEX('M04-S04'!$AF$18:$AF$199,2*(ROWS(AS$163:AS163)-1)+1),""),"")</f>
        <v/>
      </c>
      <c r="AT163" s="9" t="str" cm="1">
        <f t="array" aca="1" ref="AT163" ca="1">IFERROR(ROUND(IF(BB163&lt;&gt;"", INDEX('M04-S04'!$AL$18:$AL$199,2*(ROWS(AG$163:AG163)-1)+1), ""),2),"")</f>
        <v/>
      </c>
      <c r="AU163" s="184"/>
      <c r="AV163" s="5" t="str">
        <f ca="1">IFERROR(IF(BB163&lt;&gt;"",ROUND(INDEX('M04-S04'!$AY$18:$AY$199,2*(ROWS(AV$163:AV163)-1)+1),3),""),"")</f>
        <v/>
      </c>
      <c r="AW163" s="5" t="str">
        <f ca="1">IFERROR(IF(BB163&lt;&gt;"",ROUND(INDEX('M04-S04'!$AZ$18:$AZ$199,2*(ROWS(AW$163:AW163)-1)+1),3),""),"")</f>
        <v/>
      </c>
      <c r="AX163" s="184"/>
      <c r="AY163" s="26" t="str">
        <f ca="1">IFERROR(IF(BB163&lt;&gt;"",INDEX('M04-S04'!$AO$18:$AO$199,2*(ROWS(AY$163:AY163)-1)+1),""),"")</f>
        <v/>
      </c>
      <c r="AZ163" s="32">
        <f ca="1">IFERROR(IF(BB163&lt;&gt;"",INDEX('M04-S04'!$BF$18:$BF$199,2*(ROWS(AZ$163:AZ163)-1)+1),""),"")</f>
        <v>0</v>
      </c>
      <c r="BA163" s="32" t="str">
        <f ca="1">IFERROR(IF(BB163&lt;&gt;"",INDEX('M04-S04'!$BG$18:$BG$199,2*(ROWS(BA$163:BA163)-1)+1),""),"")</f>
        <v/>
      </c>
      <c r="BB163" t="str">
        <f ca="1">IFERROR(INDEX('M04-S04'!$BY$18:$BY$199,2*(ROWS(BB$163:BB163)-1)+1),"")</f>
        <v>Submit for Review</v>
      </c>
    </row>
    <row r="164" spans="1:54">
      <c r="A164" s="10">
        <f t="shared" si="22"/>
        <v>0</v>
      </c>
      <c r="B164" t="str">
        <f t="shared" si="23"/>
        <v/>
      </c>
      <c r="C164" t="str" cm="1">
        <f t="array" ref="C164">IFERROR(_xlfn.VALUETOTEXT(INDEX('M04-S04'!$BW$18:$BW$199,2*(ROWS($C$163:C164)-1)+1)),"")</f>
        <v/>
      </c>
      <c r="D164">
        <f>IFERROR(INDEX('M04-S04'!$B$18:$B$199,2*(ROWS(D$163:D164)-1)+1),"")</f>
        <v>2</v>
      </c>
      <c r="E164" s="51" t="str" cm="1">
        <f t="array" ref="E164">IFERROR(_xlfn.VALUETOTEXT(INDEX('M04-S04'!$BX$18:$BX$199,2*(ROWS($E$163:E164)-1)+1)),"")</f>
        <v/>
      </c>
      <c r="F164" t="str" cm="1">
        <f t="array" ref="F164">IF(C164&lt;&gt;"", _xlfn.SWITCH(Program_Banner, "Small Business / Non-Profit", "Hard-To-Reach Business", "Business Energy Savings", "Whole Business Efficiency", ""), "")</f>
        <v/>
      </c>
      <c r="G164" t="s">
        <v>135</v>
      </c>
      <c r="H164" t="str">
        <f>IFERROR(INDEX('M04-S04'!$BC$18:$BC$199,2*(ROWS(H$163:H164)-1)+1),"")</f>
        <v/>
      </c>
      <c r="I164" t="str">
        <f>IFERROR(INDEX('M04-S04'!$BJ$18:$BJ$199,2*(ROWS(I$163:I164)-1)+1),"")</f>
        <v/>
      </c>
      <c r="J164" s="9" t="str">
        <f>IFERROR(INDEX('M04-S04'!$BN$18:$BN$199,2*(ROWS(J$163:J164)-1)+1),"")</f>
        <v/>
      </c>
      <c r="K164" s="9" t="str">
        <f>IFERROR(INDEX('M04-S04'!$BO$18:$BO$199,2*(ROWS(K$163:K164)-1)+1),"")</f>
        <v/>
      </c>
      <c r="L164" s="51" t="str">
        <f>IFERROR(INDEX('M04-S04'!$BD$18:$BD$199,2*(ROWS(L$163:L164)-1)+1),"")</f>
        <v/>
      </c>
      <c r="M164" s="171"/>
      <c r="N164" s="171"/>
      <c r="O164">
        <f>IFERROR(INDEX('M04-S04'!$H$18:$H$199,2*(ROWS(O$163:O164)-1)+1),"")</f>
        <v>0</v>
      </c>
      <c r="P164">
        <f>IFERROR(INDEX('M04-S04'!$N$18:$N$199,2*(ROWS(P$163:P164)-1)+1),"")</f>
        <v>0</v>
      </c>
      <c r="Q164">
        <f>IFERROR(INDEX('M04-S04'!$W$18:$W$199,2*(ROWS(Q$163:Q164)-1)+1),"")</f>
        <v>0</v>
      </c>
      <c r="S164" t="str">
        <f>IFERROR(INDEX('M04-S04'!$AX$18:$AX$199,2*(ROWS(S$163:S164)-1)+1),"")</f>
        <v/>
      </c>
      <c r="T164" s="5" t="str">
        <f>IFERROR(ROUND(INDEX('M04-S04'!$AY$18:$AY$199,2*(ROWS(T$163:T164)-1)+1),3),"")</f>
        <v/>
      </c>
      <c r="U164" s="5" t="str">
        <f>IFERROR(ROUND(INDEX('M04-S04'!$AZ$18:$AZ$199,2*(ROWS(U$163:U164)-1)+1),3),"")</f>
        <v/>
      </c>
      <c r="V164" s="184"/>
      <c r="W164" s="184"/>
      <c r="X164" s="184"/>
      <c r="Y164" s="184"/>
      <c r="Z164" s="184"/>
      <c r="AA164" s="9" t="str" cm="1">
        <f t="array" ref="AA164">IFERROR(ROUND(INDEX('M04-S04'!$AR$18:$AR$199,2*(ROWS(AA$163:AA164)-1)+1), 2),"")</f>
        <v/>
      </c>
      <c r="AB164" s="164"/>
      <c r="AC164" s="9" t="str" cm="1">
        <f t="array" aca="1" ref="AC164" ca="1">IFERROR(ROUND(IF(BB164&lt;&gt;"","",INDEX('M04-S04'!$AH$18:$AH$199,2*(ROWS(AC$163:AC164)-1)+1)),2),"")</f>
        <v/>
      </c>
      <c r="AD164" s="9" t="str" cm="1">
        <f t="array" aca="1" ref="AD164" ca="1">IFERROR(ROUND(IF(BB164&lt;&gt;"","",INDEX('M04-S04'!$AJ$18:$AJ$199,2*(ROWS(AD$163:AD164)-1)+1)),2),"")</f>
        <v/>
      </c>
      <c r="AE164" s="9" t="str">
        <f t="shared" ca="1" si="19"/>
        <v/>
      </c>
      <c r="AF164" t="str">
        <f ca="1">IFERROR(IF(BB164&lt;&gt;"","",INDEX('M04-S04'!$AF$18:$AF$199,2*(ROWS(AG$163:AG164)-1)+1)),"")</f>
        <v/>
      </c>
      <c r="AG164" s="9" t="str" cm="1">
        <f t="array" aca="1" ref="AG164" ca="1">IFERROR(ROUND(IF(BB164&lt;&gt;"","",INDEX('M04-S04'!$AL$18:$AL$199,2*(ROWS(AG$163:AG164)-1)+1)),2),"")</f>
        <v/>
      </c>
      <c r="AH164" s="184"/>
      <c r="AI164" s="191"/>
      <c r="AJ164" s="32" t="str">
        <f ca="1">IFERROR(ROUND(IF(BA164&lt;&gt;"","",INDEX('M04-S04'!$AO$18:$AO$199,2*(ROWS(AJ$163:AJ164)-1)+1)),4),"")</f>
        <v/>
      </c>
      <c r="AK164" s="32">
        <f ca="1">IFERROR(ROUND(IF(BA164&lt;&gt;"","",INDEX('M04-S04'!$BF$18:$BF$199,2*(ROWS(AK$163:AK164)-1)+1)),4),"")</f>
        <v>0</v>
      </c>
      <c r="AL164" s="32" t="str">
        <f ca="1">IFERROR(ROUND(IF(BA164&lt;&gt;"","",INDEX('M04-S04'!$BG$18:$BG$199,2*(ROWS(AL$163:AL164)-1)+1)),4),"")</f>
        <v/>
      </c>
      <c r="AM164" s="32" t="str" cm="1">
        <f t="array" ref="AM164">IFERROR(ROUND(INDEX('M04-S04'!$BA$18:$BA$199,2*(ROWS(AM$163:AM164)-1)+1),4),"")</f>
        <v/>
      </c>
      <c r="AN164" s="32" t="str" cm="1">
        <f t="array" ref="AN164">IFERROR(ROUND(INDEX('M04-S04'!$BB$18:$BB$199,2*(ROWS(AN$163:AN164)-1)+1),4),"")</f>
        <v/>
      </c>
      <c r="AO164" s="32"/>
      <c r="AP164" s="9">
        <f ca="1">IFERROR(ROUND(IF(BB164&lt;&gt;"",INDEX('M04-S04'!$AH$18:$AH$199,2*(ROWS(AP$163:AP164)-1)+1),""),2),"")</f>
        <v>0</v>
      </c>
      <c r="AQ164" s="9" t="str">
        <f ca="1">IFERROR(ROUND(IF(BB164&lt;&gt;"",INDEX('M04-S04'!$AJ$18:$AJ$199,2*(ROWS(AQ$163:AQ164)-1)+1),""),2),"")</f>
        <v/>
      </c>
      <c r="AR164" s="9" t="str">
        <f t="shared" ref="AR164:AR177" ca="1" si="24">IF(BB164&lt;&gt;"", "", IF(AS164="Total", AT164, ""))</f>
        <v/>
      </c>
      <c r="AS164" t="str">
        <f ca="1">IFERROR(IF(BB164&lt;&gt;"",INDEX('M04-S04'!$AF$18:$AF$199,2*(ROWS(AS$163:AS164)-1)+1),""),"")</f>
        <v/>
      </c>
      <c r="AT164" s="9" t="str" cm="1">
        <f t="array" aca="1" ref="AT164" ca="1">IFERROR(ROUND(IF(BB164&lt;&gt;"", INDEX('M04-S04'!$AL$18:$AL$199,2*(ROWS(AG$163:AG164)-1)+1), ""),2),"")</f>
        <v/>
      </c>
      <c r="AU164" s="184"/>
      <c r="AV164" s="5" t="str">
        <f ca="1">IFERROR(IF(BB164&lt;&gt;"",ROUND(INDEX('M04-S04'!$AY$18:$AY$199,2*(ROWS(AV$163:AV164)-1)+1),3),""),"")</f>
        <v/>
      </c>
      <c r="AW164" s="5" t="str">
        <f ca="1">IFERROR(IF(BB164&lt;&gt;"",ROUND(INDEX('M04-S04'!$AZ$18:$AZ$199,2*(ROWS(AW$163:AW164)-1)+1),3),""),"")</f>
        <v/>
      </c>
      <c r="AX164" s="184"/>
      <c r="AY164" s="26" t="str">
        <f ca="1">IFERROR(IF(BB164&lt;&gt;"",INDEX('M04-S04'!$AO$18:$AO$199,2*(ROWS(AY$163:AY164)-1)+1),""),"")</f>
        <v/>
      </c>
      <c r="AZ164" s="32">
        <f ca="1">IFERROR(IF(BB164&lt;&gt;"",INDEX('M04-S04'!$BF$18:$BF$199,2*(ROWS(AZ$163:AZ164)-1)+1),""),"")</f>
        <v>0</v>
      </c>
      <c r="BA164" s="32" t="str">
        <f ca="1">IFERROR(IF(BB164&lt;&gt;"",INDEX('M04-S04'!$BG$18:$BG$199,2*(ROWS(BA$163:BA164)-1)+1),""),"")</f>
        <v/>
      </c>
      <c r="BB164" t="str">
        <f ca="1">IFERROR(INDEX('M04-S04'!$BY$18:$BY$199,2*(ROWS(BB$163:BB164)-1)+1),"")</f>
        <v>Submit for Review</v>
      </c>
    </row>
    <row r="165" spans="1:54">
      <c r="A165" s="10">
        <f t="shared" si="22"/>
        <v>0</v>
      </c>
      <c r="B165" t="str">
        <f t="shared" si="23"/>
        <v/>
      </c>
      <c r="C165" t="str" cm="1">
        <f t="array" ref="C165">IFERROR(_xlfn.VALUETOTEXT(INDEX('M04-S04'!$BW$18:$BW$199,2*(ROWS($C$163:C165)-1)+1)),"")</f>
        <v/>
      </c>
      <c r="D165">
        <f>IFERROR(INDEX('M04-S04'!$B$18:$B$199,2*(ROWS(D$163:D165)-1)+1),"")</f>
        <v>3</v>
      </c>
      <c r="E165" s="51" t="str" cm="1">
        <f t="array" ref="E165">IFERROR(_xlfn.VALUETOTEXT(INDEX('M04-S04'!$BX$18:$BX$199,2*(ROWS($E$163:E165)-1)+1)),"")</f>
        <v/>
      </c>
      <c r="F165" t="str" cm="1">
        <f t="array" ref="F165">IF(C165&lt;&gt;"", _xlfn.SWITCH(Program_Banner, "Small Business / Non-Profit", "Hard-To-Reach Business", "Business Energy Savings", "Whole Business Efficiency", ""), "")</f>
        <v/>
      </c>
      <c r="G165" t="s">
        <v>135</v>
      </c>
      <c r="H165" t="str">
        <f>IFERROR(INDEX('M04-S04'!$BC$18:$BC$199,2*(ROWS(H$163:H165)-1)+1),"")</f>
        <v/>
      </c>
      <c r="I165" t="str">
        <f>IFERROR(INDEX('M04-S04'!$BJ$18:$BJ$199,2*(ROWS(I$163:I165)-1)+1),"")</f>
        <v/>
      </c>
      <c r="J165" s="9" t="str">
        <f>IFERROR(INDEX('M04-S04'!$BN$18:$BN$199,2*(ROWS(J$163:J165)-1)+1),"")</f>
        <v/>
      </c>
      <c r="K165" s="9" t="str">
        <f>IFERROR(INDEX('M04-S04'!$BO$18:$BO$199,2*(ROWS(K$163:K165)-1)+1),"")</f>
        <v/>
      </c>
      <c r="L165" s="51" t="str">
        <f>IFERROR(INDEX('M04-S04'!$BD$18:$BD$199,2*(ROWS(L$163:L165)-1)+1),"")</f>
        <v/>
      </c>
      <c r="M165" s="171"/>
      <c r="N165" s="171"/>
      <c r="O165">
        <f>IFERROR(INDEX('M04-S04'!$H$18:$H$199,2*(ROWS(O$163:O165)-1)+1),"")</f>
        <v>0</v>
      </c>
      <c r="P165">
        <f>IFERROR(INDEX('M04-S04'!$N$18:$N$199,2*(ROWS(P$163:P165)-1)+1),"")</f>
        <v>0</v>
      </c>
      <c r="Q165">
        <f>IFERROR(INDEX('M04-S04'!$W$18:$W$199,2*(ROWS(Q$163:Q165)-1)+1),"")</f>
        <v>0</v>
      </c>
      <c r="S165" t="str">
        <f>IFERROR(INDEX('M04-S04'!$AX$18:$AX$199,2*(ROWS(S$163:S165)-1)+1),"")</f>
        <v/>
      </c>
      <c r="T165" s="5" t="str">
        <f>IFERROR(ROUND(INDEX('M04-S04'!$AY$18:$AY$199,2*(ROWS(T$163:T165)-1)+1),3),"")</f>
        <v/>
      </c>
      <c r="U165" s="5" t="str">
        <f>IFERROR(ROUND(INDEX('M04-S04'!$AZ$18:$AZ$199,2*(ROWS(U$163:U165)-1)+1),3),"")</f>
        <v/>
      </c>
      <c r="V165" s="184"/>
      <c r="W165" s="184"/>
      <c r="X165" s="184"/>
      <c r="Y165" s="184"/>
      <c r="Z165" s="184"/>
      <c r="AA165" s="9" t="str" cm="1">
        <f t="array" ref="AA165">IFERROR(ROUND(INDEX('M04-S04'!$AR$18:$AR$199,2*(ROWS(AA$163:AA165)-1)+1), 2),"")</f>
        <v/>
      </c>
      <c r="AB165" s="164"/>
      <c r="AC165" s="9" t="str" cm="1">
        <f t="array" aca="1" ref="AC165" ca="1">IFERROR(ROUND(IF(BB165&lt;&gt;"","",INDEX('M04-S04'!$AH$18:$AH$199,2*(ROWS(AC$163:AC165)-1)+1)),2),"")</f>
        <v/>
      </c>
      <c r="AD165" s="9" t="str" cm="1">
        <f t="array" aca="1" ref="AD165" ca="1">IFERROR(ROUND(IF(BB165&lt;&gt;"","",INDEX('M04-S04'!$AJ$18:$AJ$199,2*(ROWS(AD$163:AD165)-1)+1)),2),"")</f>
        <v/>
      </c>
      <c r="AE165" s="9" t="str">
        <f t="shared" ca="1" si="19"/>
        <v/>
      </c>
      <c r="AF165" t="str">
        <f ca="1">IFERROR(IF(BB165&lt;&gt;"","",INDEX('M04-S04'!$AF$18:$AF$199,2*(ROWS(AG$163:AG165)-1)+1)),"")</f>
        <v/>
      </c>
      <c r="AG165" s="9" t="str" cm="1">
        <f t="array" aca="1" ref="AG165" ca="1">IFERROR(ROUND(IF(BB165&lt;&gt;"","",INDEX('M04-S04'!$AL$18:$AL$199,2*(ROWS(AG$163:AG165)-1)+1)),2),"")</f>
        <v/>
      </c>
      <c r="AH165" s="184"/>
      <c r="AI165" s="191"/>
      <c r="AJ165" s="32" t="str">
        <f ca="1">IFERROR(ROUND(IF(BA165&lt;&gt;"","",INDEX('M04-S04'!$AO$18:$AO$199,2*(ROWS(AJ$163:AJ165)-1)+1)),4),"")</f>
        <v/>
      </c>
      <c r="AK165" s="32">
        <f ca="1">IFERROR(ROUND(IF(BA165&lt;&gt;"","",INDEX('M04-S04'!$BF$18:$BF$199,2*(ROWS(AK$163:AK165)-1)+1)),4),"")</f>
        <v>0</v>
      </c>
      <c r="AL165" s="32" t="str">
        <f ca="1">IFERROR(ROUND(IF(BA165&lt;&gt;"","",INDEX('M04-S04'!$BG$18:$BG$199,2*(ROWS(AL$163:AL165)-1)+1)),4),"")</f>
        <v/>
      </c>
      <c r="AM165" s="32" t="str" cm="1">
        <f t="array" ref="AM165">IFERROR(ROUND(INDEX('M04-S04'!$BA$18:$BA$199,2*(ROWS(AM$163:AM165)-1)+1),4),"")</f>
        <v/>
      </c>
      <c r="AN165" s="32" t="str" cm="1">
        <f t="array" ref="AN165">IFERROR(ROUND(INDEX('M04-S04'!$BB$18:$BB$199,2*(ROWS(AN$163:AN165)-1)+1),4),"")</f>
        <v/>
      </c>
      <c r="AO165" s="32"/>
      <c r="AP165" s="9">
        <f ca="1">IFERROR(ROUND(IF(BB165&lt;&gt;"",INDEX('M04-S04'!$AH$18:$AH$199,2*(ROWS(AP$163:AP165)-1)+1),""),2),"")</f>
        <v>0</v>
      </c>
      <c r="AQ165" s="9" t="str">
        <f ca="1">IFERROR(ROUND(IF(BB165&lt;&gt;"",INDEX('M04-S04'!$AJ$18:$AJ$199,2*(ROWS(AQ$163:AQ165)-1)+1),""),2),"")</f>
        <v/>
      </c>
      <c r="AR165" s="9" t="str">
        <f t="shared" ca="1" si="24"/>
        <v/>
      </c>
      <c r="AS165" t="str">
        <f ca="1">IFERROR(IF(BB165&lt;&gt;"",INDEX('M04-S04'!$AF$18:$AF$199,2*(ROWS(AS$163:AS165)-1)+1),""),"")</f>
        <v/>
      </c>
      <c r="AT165" s="9" t="str" cm="1">
        <f t="array" aca="1" ref="AT165" ca="1">IFERROR(ROUND(IF(BB165&lt;&gt;"", INDEX('M04-S04'!$AL$18:$AL$199,2*(ROWS(AG$163:AG165)-1)+1), ""),2),"")</f>
        <v/>
      </c>
      <c r="AU165" s="184"/>
      <c r="AV165" s="5" t="str">
        <f ca="1">IFERROR(IF(BB165&lt;&gt;"",ROUND(INDEX('M04-S04'!$AY$18:$AY$199,2*(ROWS(AV$163:AV165)-1)+1),3),""),"")</f>
        <v/>
      </c>
      <c r="AW165" s="5" t="str">
        <f ca="1">IFERROR(IF(BB165&lt;&gt;"",ROUND(INDEX('M04-S04'!$AZ$18:$AZ$199,2*(ROWS(AW$163:AW165)-1)+1),3),""),"")</f>
        <v/>
      </c>
      <c r="AX165" s="184"/>
      <c r="AY165" s="26" t="str">
        <f ca="1">IFERROR(IF(BB165&lt;&gt;"",INDEX('M04-S04'!$AO$18:$AO$199,2*(ROWS(AY$163:AY165)-1)+1),""),"")</f>
        <v/>
      </c>
      <c r="AZ165" s="32">
        <f ca="1">IFERROR(IF(BB165&lt;&gt;"",INDEX('M04-S04'!$BF$18:$BF$199,2*(ROWS(AZ$163:AZ165)-1)+1),""),"")</f>
        <v>0</v>
      </c>
      <c r="BA165" s="32" t="str">
        <f ca="1">IFERROR(IF(BB165&lt;&gt;"",INDEX('M04-S04'!$BG$18:$BG$199,2*(ROWS(BA$163:BA165)-1)+1),""),"")</f>
        <v/>
      </c>
      <c r="BB165" t="str">
        <f ca="1">IFERROR(INDEX('M04-S04'!$BY$18:$BY$199,2*(ROWS(BB$163:BB165)-1)+1),"")</f>
        <v>Submit for Review</v>
      </c>
    </row>
    <row r="166" spans="1:54">
      <c r="A166" s="10">
        <f t="shared" si="22"/>
        <v>0</v>
      </c>
      <c r="B166" t="str">
        <f t="shared" si="23"/>
        <v/>
      </c>
      <c r="C166" t="str" cm="1">
        <f t="array" ref="C166">IFERROR(_xlfn.VALUETOTEXT(INDEX('M04-S04'!$BW$18:$BW$199,2*(ROWS($C$163:C166)-1)+1)),"")</f>
        <v/>
      </c>
      <c r="D166">
        <f>IFERROR(INDEX('M04-S04'!$B$18:$B$199,2*(ROWS(D$163:D166)-1)+1),"")</f>
        <v>4</v>
      </c>
      <c r="E166" s="51" t="str" cm="1">
        <f t="array" ref="E166">IFERROR(_xlfn.VALUETOTEXT(INDEX('M04-S04'!$BX$18:$BX$199,2*(ROWS($E$163:E166)-1)+1)),"")</f>
        <v/>
      </c>
      <c r="F166" t="str" cm="1">
        <f t="array" ref="F166">IF(C166&lt;&gt;"", _xlfn.SWITCH(Program_Banner, "Small Business / Non-Profit", "Hard-To-Reach Business", "Business Energy Savings", "Whole Business Efficiency", ""), "")</f>
        <v/>
      </c>
      <c r="G166" t="s">
        <v>135</v>
      </c>
      <c r="H166" t="str">
        <f>IFERROR(INDEX('M04-S04'!$BC$18:$BC$199,2*(ROWS(H$163:H166)-1)+1),"")</f>
        <v/>
      </c>
      <c r="I166" t="str">
        <f>IFERROR(INDEX('M04-S04'!$BJ$18:$BJ$199,2*(ROWS(I$163:I166)-1)+1),"")</f>
        <v/>
      </c>
      <c r="J166" s="9" t="str">
        <f>IFERROR(INDEX('M04-S04'!$BN$18:$BN$199,2*(ROWS(J$163:J166)-1)+1),"")</f>
        <v/>
      </c>
      <c r="K166" s="9" t="str">
        <f>IFERROR(INDEX('M04-S04'!$BO$18:$BO$199,2*(ROWS(K$163:K166)-1)+1),"")</f>
        <v/>
      </c>
      <c r="L166" s="51" t="str">
        <f>IFERROR(INDEX('M04-S04'!$BD$18:$BD$199,2*(ROWS(L$163:L166)-1)+1),"")</f>
        <v/>
      </c>
      <c r="M166" s="171"/>
      <c r="N166" s="171"/>
      <c r="O166">
        <f>IFERROR(INDEX('M04-S04'!$H$18:$H$199,2*(ROWS(O$163:O166)-1)+1),"")</f>
        <v>0</v>
      </c>
      <c r="P166">
        <f>IFERROR(INDEX('M04-S04'!$N$18:$N$199,2*(ROWS(P$163:P166)-1)+1),"")</f>
        <v>0</v>
      </c>
      <c r="Q166">
        <f>IFERROR(INDEX('M04-S04'!$W$18:$W$199,2*(ROWS(Q$163:Q166)-1)+1),"")</f>
        <v>0</v>
      </c>
      <c r="S166" t="str">
        <f>IFERROR(INDEX('M04-S04'!$AX$18:$AX$199,2*(ROWS(S$163:S166)-1)+1),"")</f>
        <v/>
      </c>
      <c r="T166" s="5" t="str">
        <f>IFERROR(ROUND(INDEX('M04-S04'!$AY$18:$AY$199,2*(ROWS(T$163:T166)-1)+1),3),"")</f>
        <v/>
      </c>
      <c r="U166" s="5" t="str">
        <f>IFERROR(ROUND(INDEX('M04-S04'!$AZ$18:$AZ$199,2*(ROWS(U$163:U166)-1)+1),3),"")</f>
        <v/>
      </c>
      <c r="V166" s="184"/>
      <c r="W166" s="184"/>
      <c r="X166" s="184"/>
      <c r="Y166" s="184"/>
      <c r="Z166" s="184"/>
      <c r="AA166" s="9" t="str" cm="1">
        <f t="array" ref="AA166">IFERROR(ROUND(INDEX('M04-S04'!$AR$18:$AR$199,2*(ROWS(AA$163:AA166)-1)+1), 2),"")</f>
        <v/>
      </c>
      <c r="AB166" s="164"/>
      <c r="AC166" s="9" t="str" cm="1">
        <f t="array" aca="1" ref="AC166" ca="1">IFERROR(ROUND(IF(BB166&lt;&gt;"","",INDEX('M04-S04'!$AH$18:$AH$199,2*(ROWS(AC$163:AC166)-1)+1)),2),"")</f>
        <v/>
      </c>
      <c r="AD166" s="9" t="str" cm="1">
        <f t="array" aca="1" ref="AD166" ca="1">IFERROR(ROUND(IF(BB166&lt;&gt;"","",INDEX('M04-S04'!$AJ$18:$AJ$199,2*(ROWS(AD$163:AD166)-1)+1)),2),"")</f>
        <v/>
      </c>
      <c r="AE166" s="9" t="str">
        <f t="shared" ca="1" si="19"/>
        <v/>
      </c>
      <c r="AF166" t="str">
        <f ca="1">IFERROR(IF(BB166&lt;&gt;"","",INDEX('M04-S04'!$AF$18:$AF$199,2*(ROWS(AG$163:AG166)-1)+1)),"")</f>
        <v/>
      </c>
      <c r="AG166" s="9" t="str" cm="1">
        <f t="array" aca="1" ref="AG166" ca="1">IFERROR(ROUND(IF(BB166&lt;&gt;"","",INDEX('M04-S04'!$AL$18:$AL$199,2*(ROWS(AG$163:AG166)-1)+1)),2),"")</f>
        <v/>
      </c>
      <c r="AH166" s="184"/>
      <c r="AI166" s="191"/>
      <c r="AJ166" s="32" t="str">
        <f ca="1">IFERROR(ROUND(IF(BA166&lt;&gt;"","",INDEX('M04-S04'!$AO$18:$AO$199,2*(ROWS(AJ$163:AJ166)-1)+1)),4),"")</f>
        <v/>
      </c>
      <c r="AK166" s="32">
        <f ca="1">IFERROR(ROUND(IF(BA166&lt;&gt;"","",INDEX('M04-S04'!$BF$18:$BF$199,2*(ROWS(AK$163:AK166)-1)+1)),4),"")</f>
        <v>0</v>
      </c>
      <c r="AL166" s="32" t="str">
        <f ca="1">IFERROR(ROUND(IF(BA166&lt;&gt;"","",INDEX('M04-S04'!$BG$18:$BG$199,2*(ROWS(AL$163:AL166)-1)+1)),4),"")</f>
        <v/>
      </c>
      <c r="AM166" s="32" t="str" cm="1">
        <f t="array" ref="AM166">IFERROR(ROUND(INDEX('M04-S04'!$BA$18:$BA$199,2*(ROWS(AM$163:AM166)-1)+1),4),"")</f>
        <v/>
      </c>
      <c r="AN166" s="32" t="str" cm="1">
        <f t="array" ref="AN166">IFERROR(ROUND(INDEX('M04-S04'!$BB$18:$BB$199,2*(ROWS(AN$163:AN166)-1)+1),4),"")</f>
        <v/>
      </c>
      <c r="AO166" s="32"/>
      <c r="AP166" s="9">
        <f ca="1">IFERROR(ROUND(IF(BB166&lt;&gt;"",INDEX('M04-S04'!$AH$18:$AH$199,2*(ROWS(AP$163:AP166)-1)+1),""),2),"")</f>
        <v>0</v>
      </c>
      <c r="AQ166" s="9" t="str">
        <f ca="1">IFERROR(ROUND(IF(BB166&lt;&gt;"",INDEX('M04-S04'!$AJ$18:$AJ$199,2*(ROWS(AQ$163:AQ166)-1)+1),""),2),"")</f>
        <v/>
      </c>
      <c r="AR166" s="9" t="str">
        <f t="shared" ca="1" si="24"/>
        <v/>
      </c>
      <c r="AS166" t="str">
        <f ca="1">IFERROR(IF(BB166&lt;&gt;"",INDEX('M04-S04'!$AF$18:$AF$199,2*(ROWS(AS$163:AS166)-1)+1),""),"")</f>
        <v/>
      </c>
      <c r="AT166" s="9" t="str" cm="1">
        <f t="array" aca="1" ref="AT166" ca="1">IFERROR(ROUND(IF(BB166&lt;&gt;"", INDEX('M04-S04'!$AL$18:$AL$199,2*(ROWS(AG$163:AG166)-1)+1), ""),2),"")</f>
        <v/>
      </c>
      <c r="AU166" s="184"/>
      <c r="AV166" s="5" t="str">
        <f ca="1">IFERROR(IF(BB166&lt;&gt;"",ROUND(INDEX('M04-S04'!$AY$18:$AY$199,2*(ROWS(AV$163:AV166)-1)+1),3),""),"")</f>
        <v/>
      </c>
      <c r="AW166" s="5" t="str">
        <f ca="1">IFERROR(IF(BB166&lt;&gt;"",ROUND(INDEX('M04-S04'!$AZ$18:$AZ$199,2*(ROWS(AW$163:AW166)-1)+1),3),""),"")</f>
        <v/>
      </c>
      <c r="AX166" s="184"/>
      <c r="AY166" s="26" t="str">
        <f ca="1">IFERROR(IF(BB166&lt;&gt;"",INDEX('M04-S04'!$AO$18:$AO$199,2*(ROWS(AY$163:AY166)-1)+1),""),"")</f>
        <v/>
      </c>
      <c r="AZ166" s="32">
        <f ca="1">IFERROR(IF(BB166&lt;&gt;"",INDEX('M04-S04'!$BF$18:$BF$199,2*(ROWS(AZ$163:AZ166)-1)+1),""),"")</f>
        <v>0</v>
      </c>
      <c r="BA166" s="32" t="str">
        <f ca="1">IFERROR(IF(BB166&lt;&gt;"",INDEX('M04-S04'!$BG$18:$BG$199,2*(ROWS(BA$163:BA166)-1)+1),""),"")</f>
        <v/>
      </c>
      <c r="BB166" t="str">
        <f ca="1">IFERROR(INDEX('M04-S04'!$BY$18:$BY$199,2*(ROWS(BB$163:BB166)-1)+1),"")</f>
        <v>Submit for Review</v>
      </c>
    </row>
    <row r="167" spans="1:54">
      <c r="A167" s="10">
        <f t="shared" si="22"/>
        <v>0</v>
      </c>
      <c r="B167" t="str">
        <f t="shared" si="23"/>
        <v/>
      </c>
      <c r="C167" t="str" cm="1">
        <f t="array" ref="C167">IFERROR(_xlfn.VALUETOTEXT(INDEX('M04-S04'!$BW$18:$BW$199,2*(ROWS($C$163:C167)-1)+1)),"")</f>
        <v/>
      </c>
      <c r="D167">
        <f>IFERROR(INDEX('M04-S04'!$B$18:$B$199,2*(ROWS(D$163:D167)-1)+1),"")</f>
        <v>5</v>
      </c>
      <c r="E167" s="51" t="str" cm="1">
        <f t="array" ref="E167">IFERROR(_xlfn.VALUETOTEXT(INDEX('M04-S04'!$BX$18:$BX$199,2*(ROWS($E$163:E167)-1)+1)),"")</f>
        <v/>
      </c>
      <c r="F167" t="str" cm="1">
        <f t="array" ref="F167">IF(C167&lt;&gt;"", _xlfn.SWITCH(Program_Banner, "Small Business / Non-Profit", "Hard-To-Reach Business", "Business Energy Savings", "Whole Business Efficiency", ""), "")</f>
        <v/>
      </c>
      <c r="G167" t="s">
        <v>135</v>
      </c>
      <c r="H167" t="str">
        <f>IFERROR(INDEX('M04-S04'!$BC$18:$BC$199,2*(ROWS(H$163:H167)-1)+1),"")</f>
        <v/>
      </c>
      <c r="I167" t="str">
        <f>IFERROR(INDEX('M04-S04'!$BJ$18:$BJ$199,2*(ROWS(I$163:I167)-1)+1),"")</f>
        <v/>
      </c>
      <c r="J167" s="9" t="str">
        <f>IFERROR(INDEX('M04-S04'!$BN$18:$BN$199,2*(ROWS(J$163:J167)-1)+1),"")</f>
        <v/>
      </c>
      <c r="K167" s="9" t="str">
        <f>IFERROR(INDEX('M04-S04'!$BO$18:$BO$199,2*(ROWS(K$163:K167)-1)+1),"")</f>
        <v/>
      </c>
      <c r="L167" s="51" t="str">
        <f>IFERROR(INDEX('M04-S04'!$BD$18:$BD$199,2*(ROWS(L$163:L167)-1)+1),"")</f>
        <v/>
      </c>
      <c r="M167" s="171"/>
      <c r="N167" s="171"/>
      <c r="O167">
        <f>IFERROR(INDEX('M04-S04'!$H$18:$H$199,2*(ROWS(O$163:O167)-1)+1),"")</f>
        <v>0</v>
      </c>
      <c r="P167">
        <f>IFERROR(INDEX('M04-S04'!$N$18:$N$199,2*(ROWS(P$163:P167)-1)+1),"")</f>
        <v>0</v>
      </c>
      <c r="Q167">
        <f>IFERROR(INDEX('M04-S04'!$W$18:$W$199,2*(ROWS(Q$163:Q167)-1)+1),"")</f>
        <v>0</v>
      </c>
      <c r="S167" t="str">
        <f>IFERROR(INDEX('M04-S04'!$AX$18:$AX$199,2*(ROWS(S$163:S167)-1)+1),"")</f>
        <v/>
      </c>
      <c r="T167" s="5" t="str">
        <f>IFERROR(ROUND(INDEX('M04-S04'!$AY$18:$AY$199,2*(ROWS(T$163:T167)-1)+1),3),"")</f>
        <v/>
      </c>
      <c r="U167" s="5" t="str">
        <f>IFERROR(ROUND(INDEX('M04-S04'!$AZ$18:$AZ$199,2*(ROWS(U$163:U167)-1)+1),3),"")</f>
        <v/>
      </c>
      <c r="V167" s="184"/>
      <c r="W167" s="184"/>
      <c r="X167" s="184"/>
      <c r="Y167" s="184"/>
      <c r="Z167" s="184"/>
      <c r="AA167" s="9" t="str" cm="1">
        <f t="array" ref="AA167">IFERROR(ROUND(INDEX('M04-S04'!$AR$18:$AR$199,2*(ROWS(AA$163:AA167)-1)+1), 2),"")</f>
        <v/>
      </c>
      <c r="AB167" s="164"/>
      <c r="AC167" s="9" t="str" cm="1">
        <f t="array" aca="1" ref="AC167" ca="1">IFERROR(ROUND(IF(BB167&lt;&gt;"","",INDEX('M04-S04'!$AH$18:$AH$199,2*(ROWS(AC$163:AC167)-1)+1)),2),"")</f>
        <v/>
      </c>
      <c r="AD167" s="9" t="str" cm="1">
        <f t="array" aca="1" ref="AD167" ca="1">IFERROR(ROUND(IF(BB167&lt;&gt;"","",INDEX('M04-S04'!$AJ$18:$AJ$199,2*(ROWS(AD$163:AD167)-1)+1)),2),"")</f>
        <v/>
      </c>
      <c r="AE167" s="9" t="str">
        <f t="shared" ca="1" si="19"/>
        <v/>
      </c>
      <c r="AF167" t="str">
        <f ca="1">IFERROR(IF(BB167&lt;&gt;"","",INDEX('M04-S04'!$AF$18:$AF$199,2*(ROWS(AG$163:AG167)-1)+1)),"")</f>
        <v/>
      </c>
      <c r="AG167" s="9" t="str" cm="1">
        <f t="array" aca="1" ref="AG167" ca="1">IFERROR(ROUND(IF(BB167&lt;&gt;"","",INDEX('M04-S04'!$AL$18:$AL$199,2*(ROWS(AG$163:AG167)-1)+1)),2),"")</f>
        <v/>
      </c>
      <c r="AH167" s="184"/>
      <c r="AI167" s="191"/>
      <c r="AJ167" s="32" t="str">
        <f ca="1">IFERROR(ROUND(IF(BA167&lt;&gt;"","",INDEX('M04-S04'!$AO$18:$AO$199,2*(ROWS(AJ$163:AJ167)-1)+1)),4),"")</f>
        <v/>
      </c>
      <c r="AK167" s="32">
        <f ca="1">IFERROR(ROUND(IF(BA167&lt;&gt;"","",INDEX('M04-S04'!$BF$18:$BF$199,2*(ROWS(AK$163:AK167)-1)+1)),4),"")</f>
        <v>0</v>
      </c>
      <c r="AL167" s="32" t="str">
        <f ca="1">IFERROR(ROUND(IF(BA167&lt;&gt;"","",INDEX('M04-S04'!$BG$18:$BG$199,2*(ROWS(AL$163:AL167)-1)+1)),4),"")</f>
        <v/>
      </c>
      <c r="AM167" s="32" t="str" cm="1">
        <f t="array" ref="AM167">IFERROR(ROUND(INDEX('M04-S04'!$BA$18:$BA$199,2*(ROWS(AM$163:AM167)-1)+1),4),"")</f>
        <v/>
      </c>
      <c r="AN167" s="32" t="str" cm="1">
        <f t="array" ref="AN167">IFERROR(ROUND(INDEX('M04-S04'!$BB$18:$BB$199,2*(ROWS(AN$163:AN167)-1)+1),4),"")</f>
        <v/>
      </c>
      <c r="AO167" s="32"/>
      <c r="AP167" s="9">
        <f ca="1">IFERROR(ROUND(IF(BB167&lt;&gt;"",INDEX('M04-S04'!$AH$18:$AH$199,2*(ROWS(AP$163:AP167)-1)+1),""),2),"")</f>
        <v>0</v>
      </c>
      <c r="AQ167" s="9" t="str">
        <f ca="1">IFERROR(ROUND(IF(BB167&lt;&gt;"",INDEX('M04-S04'!$AJ$18:$AJ$199,2*(ROWS(AQ$163:AQ167)-1)+1),""),2),"")</f>
        <v/>
      </c>
      <c r="AR167" s="9" t="str">
        <f t="shared" ca="1" si="24"/>
        <v/>
      </c>
      <c r="AS167" t="str">
        <f ca="1">IFERROR(IF(BB167&lt;&gt;"",INDEX('M04-S04'!$AF$18:$AF$199,2*(ROWS(AS$163:AS167)-1)+1),""),"")</f>
        <v/>
      </c>
      <c r="AT167" s="9" t="str" cm="1">
        <f t="array" aca="1" ref="AT167" ca="1">IFERROR(ROUND(IF(BB167&lt;&gt;"", INDEX('M04-S04'!$AL$18:$AL$199,2*(ROWS(AG$163:AG167)-1)+1), ""),2),"")</f>
        <v/>
      </c>
      <c r="AU167" s="184"/>
      <c r="AV167" s="5" t="str">
        <f ca="1">IFERROR(IF(BB167&lt;&gt;"",ROUND(INDEX('M04-S04'!$AY$18:$AY$199,2*(ROWS(AV$163:AV167)-1)+1),3),""),"")</f>
        <v/>
      </c>
      <c r="AW167" s="5" t="str">
        <f ca="1">IFERROR(IF(BB167&lt;&gt;"",ROUND(INDEX('M04-S04'!$AZ$18:$AZ$199,2*(ROWS(AW$163:AW167)-1)+1),3),""),"")</f>
        <v/>
      </c>
      <c r="AX167" s="184"/>
      <c r="AY167" s="26" t="str">
        <f ca="1">IFERROR(IF(BB167&lt;&gt;"",INDEX('M04-S04'!$AO$18:$AO$199,2*(ROWS(AY$163:AY167)-1)+1),""),"")</f>
        <v/>
      </c>
      <c r="AZ167" s="32">
        <f ca="1">IFERROR(IF(BB167&lt;&gt;"",INDEX('M04-S04'!$BF$18:$BF$199,2*(ROWS(AZ$163:AZ167)-1)+1),""),"")</f>
        <v>0</v>
      </c>
      <c r="BA167" s="32" t="str">
        <f ca="1">IFERROR(IF(BB167&lt;&gt;"",INDEX('M04-S04'!$BG$18:$BG$199,2*(ROWS(BA$163:BA167)-1)+1),""),"")</f>
        <v/>
      </c>
      <c r="BB167" t="str">
        <f ca="1">IFERROR(INDEX('M04-S04'!$BY$18:$BY$199,2*(ROWS(BB$163:BB167)-1)+1),"")</f>
        <v>Submit for Review</v>
      </c>
    </row>
    <row r="168" spans="1:54">
      <c r="A168" s="10">
        <f t="shared" si="22"/>
        <v>0</v>
      </c>
      <c r="B168" t="str">
        <f t="shared" si="23"/>
        <v/>
      </c>
      <c r="C168" t="str" cm="1">
        <f t="array" ref="C168">IFERROR(_xlfn.VALUETOTEXT(INDEX('M04-S04'!$BW$18:$BW$199,2*(ROWS($C$163:C168)-1)+1)),"")</f>
        <v/>
      </c>
      <c r="D168">
        <f>IFERROR(INDEX('M04-S04'!$B$18:$B$199,2*(ROWS(D$163:D168)-1)+1),"")</f>
        <v>6</v>
      </c>
      <c r="E168" s="51" t="str" cm="1">
        <f t="array" ref="E168">IFERROR(_xlfn.VALUETOTEXT(INDEX('M04-S04'!$BX$18:$BX$199,2*(ROWS($E$163:E168)-1)+1)),"")</f>
        <v/>
      </c>
      <c r="F168" t="str" cm="1">
        <f t="array" ref="F168">IF(C168&lt;&gt;"", _xlfn.SWITCH(Program_Banner, "Small Business / Non-Profit", "Hard-To-Reach Business", "Business Energy Savings", "Whole Business Efficiency", ""), "")</f>
        <v/>
      </c>
      <c r="G168" t="s">
        <v>135</v>
      </c>
      <c r="H168" t="str">
        <f>IFERROR(INDEX('M04-S04'!$BC$18:$BC$199,2*(ROWS(H$163:H168)-1)+1),"")</f>
        <v/>
      </c>
      <c r="I168" t="str">
        <f>IFERROR(INDEX('M04-S04'!$BJ$18:$BJ$199,2*(ROWS(I$163:I168)-1)+1),"")</f>
        <v/>
      </c>
      <c r="J168" s="9" t="str">
        <f>IFERROR(INDEX('M04-S04'!$BN$18:$BN$199,2*(ROWS(J$163:J168)-1)+1),"")</f>
        <v/>
      </c>
      <c r="K168" s="9" t="str">
        <f>IFERROR(INDEX('M04-S04'!$BO$18:$BO$199,2*(ROWS(K$163:K168)-1)+1),"")</f>
        <v/>
      </c>
      <c r="L168" s="51" t="str">
        <f>IFERROR(INDEX('M04-S04'!$BD$18:$BD$199,2*(ROWS(L$163:L168)-1)+1),"")</f>
        <v/>
      </c>
      <c r="M168" s="171"/>
      <c r="N168" s="171"/>
      <c r="O168">
        <f>IFERROR(INDEX('M04-S04'!$H$18:$H$199,2*(ROWS(O$163:O168)-1)+1),"")</f>
        <v>0</v>
      </c>
      <c r="P168">
        <f>IFERROR(INDEX('M04-S04'!$N$18:$N$199,2*(ROWS(P$163:P168)-1)+1),"")</f>
        <v>0</v>
      </c>
      <c r="Q168">
        <f>IFERROR(INDEX('M04-S04'!$W$18:$W$199,2*(ROWS(Q$163:Q168)-1)+1),"")</f>
        <v>0</v>
      </c>
      <c r="S168" t="str">
        <f>IFERROR(INDEX('M04-S04'!$AX$18:$AX$199,2*(ROWS(S$163:S168)-1)+1),"")</f>
        <v/>
      </c>
      <c r="T168" s="5" t="str">
        <f>IFERROR(ROUND(INDEX('M04-S04'!$AY$18:$AY$199,2*(ROWS(T$163:T168)-1)+1),3),"")</f>
        <v/>
      </c>
      <c r="U168" s="5" t="str">
        <f>IFERROR(ROUND(INDEX('M04-S04'!$AZ$18:$AZ$199,2*(ROWS(U$163:U168)-1)+1),3),"")</f>
        <v/>
      </c>
      <c r="V168" s="184"/>
      <c r="W168" s="184"/>
      <c r="X168" s="184"/>
      <c r="Y168" s="184"/>
      <c r="Z168" s="184"/>
      <c r="AA168" s="9" t="str" cm="1">
        <f t="array" ref="AA168">IFERROR(ROUND(INDEX('M04-S04'!$AR$18:$AR$199,2*(ROWS(AA$163:AA168)-1)+1), 2),"")</f>
        <v/>
      </c>
      <c r="AB168" s="164"/>
      <c r="AC168" s="9" t="str" cm="1">
        <f t="array" aca="1" ref="AC168" ca="1">IFERROR(ROUND(IF(BB168&lt;&gt;"","",INDEX('M04-S04'!$AH$18:$AH$199,2*(ROWS(AC$163:AC168)-1)+1)),2),"")</f>
        <v/>
      </c>
      <c r="AD168" s="9" t="str" cm="1">
        <f t="array" aca="1" ref="AD168" ca="1">IFERROR(ROUND(IF(BB168&lt;&gt;"","",INDEX('M04-S04'!$AJ$18:$AJ$199,2*(ROWS(AD$163:AD168)-1)+1)),2),"")</f>
        <v/>
      </c>
      <c r="AE168" s="9" t="str">
        <f t="shared" ca="1" si="19"/>
        <v/>
      </c>
      <c r="AF168" t="str">
        <f ca="1">IFERROR(IF(BB168&lt;&gt;"","",INDEX('M04-S04'!$AF$18:$AF$199,2*(ROWS(AG$163:AG168)-1)+1)),"")</f>
        <v/>
      </c>
      <c r="AG168" s="9" t="str" cm="1">
        <f t="array" aca="1" ref="AG168" ca="1">IFERROR(ROUND(IF(BB168&lt;&gt;"","",INDEX('M04-S04'!$AL$18:$AL$199,2*(ROWS(AG$163:AG168)-1)+1)),2),"")</f>
        <v/>
      </c>
      <c r="AH168" s="184"/>
      <c r="AI168" s="191"/>
      <c r="AJ168" s="32" t="str">
        <f ca="1">IFERROR(ROUND(IF(BA168&lt;&gt;"","",INDEX('M04-S04'!$AO$18:$AO$199,2*(ROWS(AJ$163:AJ168)-1)+1)),4),"")</f>
        <v/>
      </c>
      <c r="AK168" s="32">
        <f ca="1">IFERROR(ROUND(IF(BA168&lt;&gt;"","",INDEX('M04-S04'!$BF$18:$BF$199,2*(ROWS(AK$163:AK168)-1)+1)),4),"")</f>
        <v>0</v>
      </c>
      <c r="AL168" s="32" t="str">
        <f ca="1">IFERROR(ROUND(IF(BA168&lt;&gt;"","",INDEX('M04-S04'!$BG$18:$BG$199,2*(ROWS(AL$163:AL168)-1)+1)),4),"")</f>
        <v/>
      </c>
      <c r="AM168" s="32" t="str" cm="1">
        <f t="array" ref="AM168">IFERROR(ROUND(INDEX('M04-S04'!$BA$18:$BA$199,2*(ROWS(AM$163:AM168)-1)+1),4),"")</f>
        <v/>
      </c>
      <c r="AN168" s="32" t="str" cm="1">
        <f t="array" ref="AN168">IFERROR(ROUND(INDEX('M04-S04'!$BB$18:$BB$199,2*(ROWS(AN$163:AN168)-1)+1),4),"")</f>
        <v/>
      </c>
      <c r="AO168" s="32"/>
      <c r="AP168" s="9">
        <f ca="1">IFERROR(ROUND(IF(BB168&lt;&gt;"",INDEX('M04-S04'!$AH$18:$AH$199,2*(ROWS(AP$163:AP168)-1)+1),""),2),"")</f>
        <v>0</v>
      </c>
      <c r="AQ168" s="9" t="str">
        <f ca="1">IFERROR(ROUND(IF(BB168&lt;&gt;"",INDEX('M04-S04'!$AJ$18:$AJ$199,2*(ROWS(AQ$163:AQ168)-1)+1),""),2),"")</f>
        <v/>
      </c>
      <c r="AR168" s="9" t="str">
        <f t="shared" ca="1" si="24"/>
        <v/>
      </c>
      <c r="AS168" t="str">
        <f ca="1">IFERROR(IF(BB168&lt;&gt;"",INDEX('M04-S04'!$AF$18:$AF$199,2*(ROWS(AS$163:AS168)-1)+1),""),"")</f>
        <v/>
      </c>
      <c r="AT168" s="9" t="str" cm="1">
        <f t="array" aca="1" ref="AT168" ca="1">IFERROR(ROUND(IF(BB168&lt;&gt;"", INDEX('M04-S04'!$AL$18:$AL$199,2*(ROWS(AG$163:AG168)-1)+1), ""),2),"")</f>
        <v/>
      </c>
      <c r="AU168" s="184"/>
      <c r="AV168" s="5" t="str">
        <f ca="1">IFERROR(IF(BB168&lt;&gt;"",ROUND(INDEX('M04-S04'!$AY$18:$AY$199,2*(ROWS(AV$163:AV168)-1)+1),3),""),"")</f>
        <v/>
      </c>
      <c r="AW168" s="5" t="str">
        <f ca="1">IFERROR(IF(BB168&lt;&gt;"",ROUND(INDEX('M04-S04'!$AZ$18:$AZ$199,2*(ROWS(AW$163:AW168)-1)+1),3),""),"")</f>
        <v/>
      </c>
      <c r="AX168" s="184"/>
      <c r="AY168" s="26" t="str">
        <f ca="1">IFERROR(IF(BB168&lt;&gt;"",INDEX('M04-S04'!$AO$18:$AO$199,2*(ROWS(AY$163:AY168)-1)+1),""),"")</f>
        <v/>
      </c>
      <c r="AZ168" s="32">
        <f ca="1">IFERROR(IF(BB168&lt;&gt;"",INDEX('M04-S04'!$BF$18:$BF$199,2*(ROWS(AZ$163:AZ168)-1)+1),""),"")</f>
        <v>0</v>
      </c>
      <c r="BA168" s="32" t="str">
        <f ca="1">IFERROR(IF(BB168&lt;&gt;"",INDEX('M04-S04'!$BG$18:$BG$199,2*(ROWS(BA$163:BA168)-1)+1),""),"")</f>
        <v/>
      </c>
      <c r="BB168" t="str">
        <f ca="1">IFERROR(INDEX('M04-S04'!$BY$18:$BY$199,2*(ROWS(BB$163:BB168)-1)+1),"")</f>
        <v>Submit for Review</v>
      </c>
    </row>
    <row r="169" spans="1:54">
      <c r="A169" s="10">
        <f t="shared" si="22"/>
        <v>0</v>
      </c>
      <c r="B169" t="str">
        <f t="shared" si="23"/>
        <v/>
      </c>
      <c r="C169" t="str" cm="1">
        <f t="array" ref="C169">IFERROR(_xlfn.VALUETOTEXT(INDEX('M04-S04'!$BW$18:$BW$199,2*(ROWS($C$163:C169)-1)+1)),"")</f>
        <v/>
      </c>
      <c r="D169">
        <f>IFERROR(INDEX('M04-S04'!$B$18:$B$199,2*(ROWS(D$163:D169)-1)+1),"")</f>
        <v>7</v>
      </c>
      <c r="E169" s="51" t="str" cm="1">
        <f t="array" ref="E169">IFERROR(_xlfn.VALUETOTEXT(INDEX('M04-S04'!$BX$18:$BX$199,2*(ROWS($E$163:E169)-1)+1)),"")</f>
        <v/>
      </c>
      <c r="F169" t="str" cm="1">
        <f t="array" ref="F169">IF(C169&lt;&gt;"", _xlfn.SWITCH(Program_Banner, "Small Business / Non-Profit", "Hard-To-Reach Business", "Business Energy Savings", "Whole Business Efficiency", ""), "")</f>
        <v/>
      </c>
      <c r="G169" t="s">
        <v>135</v>
      </c>
      <c r="H169" t="str">
        <f>IFERROR(INDEX('M04-S04'!$BC$18:$BC$199,2*(ROWS(H$163:H169)-1)+1),"")</f>
        <v/>
      </c>
      <c r="I169" t="str">
        <f>IFERROR(INDEX('M04-S04'!$BJ$18:$BJ$199,2*(ROWS(I$163:I169)-1)+1),"")</f>
        <v/>
      </c>
      <c r="J169" s="9" t="str">
        <f>IFERROR(INDEX('M04-S04'!$BN$18:$BN$199,2*(ROWS(J$163:J169)-1)+1),"")</f>
        <v/>
      </c>
      <c r="K169" s="9" t="str">
        <f>IFERROR(INDEX('M04-S04'!$BO$18:$BO$199,2*(ROWS(K$163:K169)-1)+1),"")</f>
        <v/>
      </c>
      <c r="L169" s="51" t="str">
        <f>IFERROR(INDEX('M04-S04'!$BD$18:$BD$199,2*(ROWS(L$163:L169)-1)+1),"")</f>
        <v/>
      </c>
      <c r="M169" s="171"/>
      <c r="N169" s="171"/>
      <c r="O169">
        <f>IFERROR(INDEX('M04-S04'!$H$18:$H$199,2*(ROWS(O$163:O169)-1)+1),"")</f>
        <v>0</v>
      </c>
      <c r="P169">
        <f>IFERROR(INDEX('M04-S04'!$N$18:$N$199,2*(ROWS(P$163:P169)-1)+1),"")</f>
        <v>0</v>
      </c>
      <c r="Q169">
        <f>IFERROR(INDEX('M04-S04'!$W$18:$W$199,2*(ROWS(Q$163:Q169)-1)+1),"")</f>
        <v>0</v>
      </c>
      <c r="S169" t="str">
        <f>IFERROR(INDEX('M04-S04'!$AX$18:$AX$199,2*(ROWS(S$163:S169)-1)+1),"")</f>
        <v/>
      </c>
      <c r="T169" s="5" t="str">
        <f>IFERROR(ROUND(INDEX('M04-S04'!$AY$18:$AY$199,2*(ROWS(T$163:T169)-1)+1),3),"")</f>
        <v/>
      </c>
      <c r="U169" s="5" t="str">
        <f>IFERROR(ROUND(INDEX('M04-S04'!$AZ$18:$AZ$199,2*(ROWS(U$163:U169)-1)+1),3),"")</f>
        <v/>
      </c>
      <c r="V169" s="184"/>
      <c r="W169" s="184"/>
      <c r="X169" s="184"/>
      <c r="Y169" s="184"/>
      <c r="Z169" s="184"/>
      <c r="AA169" s="9" t="str" cm="1">
        <f t="array" ref="AA169">IFERROR(ROUND(INDEX('M04-S04'!$AR$18:$AR$199,2*(ROWS(AA$163:AA169)-1)+1), 2),"")</f>
        <v/>
      </c>
      <c r="AB169" s="164"/>
      <c r="AC169" s="9" t="str" cm="1">
        <f t="array" aca="1" ref="AC169" ca="1">IFERROR(ROUND(IF(BB169&lt;&gt;"","",INDEX('M04-S04'!$AH$18:$AH$199,2*(ROWS(AC$163:AC169)-1)+1)),2),"")</f>
        <v/>
      </c>
      <c r="AD169" s="9" t="str" cm="1">
        <f t="array" aca="1" ref="AD169" ca="1">IFERROR(ROUND(IF(BB169&lt;&gt;"","",INDEX('M04-S04'!$AJ$18:$AJ$199,2*(ROWS(AD$163:AD169)-1)+1)),2),"")</f>
        <v/>
      </c>
      <c r="AE169" s="9" t="str">
        <f t="shared" ca="1" si="19"/>
        <v/>
      </c>
      <c r="AF169" t="str">
        <f ca="1">IFERROR(IF(BB169&lt;&gt;"","",INDEX('M04-S04'!$AF$18:$AF$199,2*(ROWS(AG$163:AG169)-1)+1)),"")</f>
        <v/>
      </c>
      <c r="AG169" s="9" t="str" cm="1">
        <f t="array" aca="1" ref="AG169" ca="1">IFERROR(ROUND(IF(BB169&lt;&gt;"","",INDEX('M04-S04'!$AL$18:$AL$199,2*(ROWS(AG$163:AG169)-1)+1)),2),"")</f>
        <v/>
      </c>
      <c r="AH169" s="184"/>
      <c r="AI169" s="191"/>
      <c r="AJ169" s="32" t="str">
        <f ca="1">IFERROR(ROUND(IF(BA169&lt;&gt;"","",INDEX('M04-S04'!$AO$18:$AO$199,2*(ROWS(AJ$163:AJ169)-1)+1)),4),"")</f>
        <v/>
      </c>
      <c r="AK169" s="32">
        <f ca="1">IFERROR(ROUND(IF(BA169&lt;&gt;"","",INDEX('M04-S04'!$BF$18:$BF$199,2*(ROWS(AK$163:AK169)-1)+1)),4),"")</f>
        <v>0</v>
      </c>
      <c r="AL169" s="32" t="str">
        <f ca="1">IFERROR(ROUND(IF(BA169&lt;&gt;"","",INDEX('M04-S04'!$BG$18:$BG$199,2*(ROWS(AL$163:AL169)-1)+1)),4),"")</f>
        <v/>
      </c>
      <c r="AM169" s="32" t="str" cm="1">
        <f t="array" ref="AM169">IFERROR(ROUND(INDEX('M04-S04'!$BA$18:$BA$199,2*(ROWS(AM$163:AM169)-1)+1),4),"")</f>
        <v/>
      </c>
      <c r="AN169" s="32" t="str" cm="1">
        <f t="array" ref="AN169">IFERROR(ROUND(INDEX('M04-S04'!$BB$18:$BB$199,2*(ROWS(AN$163:AN169)-1)+1),4),"")</f>
        <v/>
      </c>
      <c r="AO169" s="32"/>
      <c r="AP169" s="9">
        <f ca="1">IFERROR(ROUND(IF(BB169&lt;&gt;"",INDEX('M04-S04'!$AH$18:$AH$199,2*(ROWS(AP$163:AP169)-1)+1),""),2),"")</f>
        <v>0</v>
      </c>
      <c r="AQ169" s="9" t="str">
        <f ca="1">IFERROR(ROUND(IF(BB169&lt;&gt;"",INDEX('M04-S04'!$AJ$18:$AJ$199,2*(ROWS(AQ$163:AQ169)-1)+1),""),2),"")</f>
        <v/>
      </c>
      <c r="AR169" s="9" t="str">
        <f t="shared" ca="1" si="24"/>
        <v/>
      </c>
      <c r="AS169" t="str">
        <f ca="1">IFERROR(IF(BB169&lt;&gt;"",INDEX('M04-S04'!$AF$18:$AF$199,2*(ROWS(AS$163:AS169)-1)+1),""),"")</f>
        <v/>
      </c>
      <c r="AT169" s="9" t="str" cm="1">
        <f t="array" aca="1" ref="AT169" ca="1">IFERROR(ROUND(IF(BB169&lt;&gt;"", INDEX('M04-S04'!$AL$18:$AL$199,2*(ROWS(AG$163:AG169)-1)+1), ""),2),"")</f>
        <v/>
      </c>
      <c r="AU169" s="184"/>
      <c r="AV169" s="5" t="str">
        <f ca="1">IFERROR(IF(BB169&lt;&gt;"",ROUND(INDEX('M04-S04'!$AY$18:$AY$199,2*(ROWS(AV$163:AV169)-1)+1),3),""),"")</f>
        <v/>
      </c>
      <c r="AW169" s="5" t="str">
        <f ca="1">IFERROR(IF(BB169&lt;&gt;"",ROUND(INDEX('M04-S04'!$AZ$18:$AZ$199,2*(ROWS(AW$163:AW169)-1)+1),3),""),"")</f>
        <v/>
      </c>
      <c r="AX169" s="184"/>
      <c r="AY169" s="26" t="str">
        <f ca="1">IFERROR(IF(BB169&lt;&gt;"",INDEX('M04-S04'!$AO$18:$AO$199,2*(ROWS(AY$163:AY169)-1)+1),""),"")</f>
        <v/>
      </c>
      <c r="AZ169" s="32">
        <f ca="1">IFERROR(IF(BB169&lt;&gt;"",INDEX('M04-S04'!$BF$18:$BF$199,2*(ROWS(AZ$163:AZ169)-1)+1),""),"")</f>
        <v>0</v>
      </c>
      <c r="BA169" s="32" t="str">
        <f ca="1">IFERROR(IF(BB169&lt;&gt;"",INDEX('M04-S04'!$BG$18:$BG$199,2*(ROWS(BA$163:BA169)-1)+1),""),"")</f>
        <v/>
      </c>
      <c r="BB169" t="str">
        <f ca="1">IFERROR(INDEX('M04-S04'!$BY$18:$BY$199,2*(ROWS(BB$163:BB169)-1)+1),"")</f>
        <v>Submit for Review</v>
      </c>
    </row>
    <row r="170" spans="1:54">
      <c r="A170" s="10">
        <f t="shared" si="22"/>
        <v>0</v>
      </c>
      <c r="B170" t="str">
        <f t="shared" si="23"/>
        <v/>
      </c>
      <c r="C170" t="str" cm="1">
        <f t="array" ref="C170">IFERROR(_xlfn.VALUETOTEXT(INDEX('M04-S04'!$BW$18:$BW$199,2*(ROWS($C$163:C170)-1)+1)),"")</f>
        <v/>
      </c>
      <c r="D170">
        <f>IFERROR(INDEX('M04-S04'!$B$18:$B$199,2*(ROWS(D$163:D170)-1)+1),"")</f>
        <v>8</v>
      </c>
      <c r="E170" s="51" t="str" cm="1">
        <f t="array" ref="E170">IFERROR(_xlfn.VALUETOTEXT(INDEX('M04-S04'!$BX$18:$BX$199,2*(ROWS($E$163:E170)-1)+1)),"")</f>
        <v/>
      </c>
      <c r="F170" t="str" cm="1">
        <f t="array" ref="F170">IF(C170&lt;&gt;"", _xlfn.SWITCH(Program_Banner, "Small Business / Non-Profit", "Hard-To-Reach Business", "Business Energy Savings", "Whole Business Efficiency", ""), "")</f>
        <v/>
      </c>
      <c r="G170" t="s">
        <v>135</v>
      </c>
      <c r="H170" t="str">
        <f>IFERROR(INDEX('M04-S04'!$BC$18:$BC$199,2*(ROWS(H$163:H170)-1)+1),"")</f>
        <v/>
      </c>
      <c r="I170" t="str">
        <f>IFERROR(INDEX('M04-S04'!$BJ$18:$BJ$199,2*(ROWS(I$163:I170)-1)+1),"")</f>
        <v/>
      </c>
      <c r="J170" s="9" t="str">
        <f>IFERROR(INDEX('M04-S04'!$BN$18:$BN$199,2*(ROWS(J$163:J170)-1)+1),"")</f>
        <v/>
      </c>
      <c r="K170" s="9" t="str">
        <f>IFERROR(INDEX('M04-S04'!$BO$18:$BO$199,2*(ROWS(K$163:K170)-1)+1),"")</f>
        <v/>
      </c>
      <c r="L170" s="51" t="str">
        <f>IFERROR(INDEX('M04-S04'!$BD$18:$BD$199,2*(ROWS(L$163:L170)-1)+1),"")</f>
        <v/>
      </c>
      <c r="M170" s="171"/>
      <c r="N170" s="171"/>
      <c r="O170">
        <f>IFERROR(INDEX('M04-S04'!$H$18:$H$199,2*(ROWS(O$163:O170)-1)+1),"")</f>
        <v>0</v>
      </c>
      <c r="P170">
        <f>IFERROR(INDEX('M04-S04'!$N$18:$N$199,2*(ROWS(P$163:P170)-1)+1),"")</f>
        <v>0</v>
      </c>
      <c r="Q170">
        <f>IFERROR(INDEX('M04-S04'!$W$18:$W$199,2*(ROWS(Q$163:Q170)-1)+1),"")</f>
        <v>0</v>
      </c>
      <c r="S170" t="str">
        <f>IFERROR(INDEX('M04-S04'!$AX$18:$AX$199,2*(ROWS(S$163:S170)-1)+1),"")</f>
        <v/>
      </c>
      <c r="T170" s="5" t="str">
        <f>IFERROR(ROUND(INDEX('M04-S04'!$AY$18:$AY$199,2*(ROWS(T$163:T170)-1)+1),3),"")</f>
        <v/>
      </c>
      <c r="U170" s="5" t="str">
        <f>IFERROR(ROUND(INDEX('M04-S04'!$AZ$18:$AZ$199,2*(ROWS(U$163:U170)-1)+1),3),"")</f>
        <v/>
      </c>
      <c r="V170" s="184"/>
      <c r="W170" s="184"/>
      <c r="X170" s="184"/>
      <c r="Y170" s="184"/>
      <c r="Z170" s="184"/>
      <c r="AA170" s="9" t="str" cm="1">
        <f t="array" ref="AA170">IFERROR(ROUND(INDEX('M04-S04'!$AR$18:$AR$199,2*(ROWS(AA$163:AA170)-1)+1), 2),"")</f>
        <v/>
      </c>
      <c r="AB170" s="164"/>
      <c r="AC170" s="9" t="str" cm="1">
        <f t="array" aca="1" ref="AC170" ca="1">IFERROR(ROUND(IF(BB170&lt;&gt;"","",INDEX('M04-S04'!$AH$18:$AH$199,2*(ROWS(AC$163:AC170)-1)+1)),2),"")</f>
        <v/>
      </c>
      <c r="AD170" s="9" t="str" cm="1">
        <f t="array" aca="1" ref="AD170" ca="1">IFERROR(ROUND(IF(BB170&lt;&gt;"","",INDEX('M04-S04'!$AJ$18:$AJ$199,2*(ROWS(AD$163:AD170)-1)+1)),2),"")</f>
        <v/>
      </c>
      <c r="AE170" s="9" t="str">
        <f t="shared" ca="1" si="19"/>
        <v/>
      </c>
      <c r="AF170" t="str">
        <f ca="1">IFERROR(IF(BB170&lt;&gt;"","",INDEX('M04-S04'!$AF$18:$AF$199,2*(ROWS(AG$163:AG170)-1)+1)),"")</f>
        <v/>
      </c>
      <c r="AG170" s="9" t="str" cm="1">
        <f t="array" aca="1" ref="AG170" ca="1">IFERROR(ROUND(IF(BB170&lt;&gt;"","",INDEX('M04-S04'!$AL$18:$AL$199,2*(ROWS(AG$163:AG170)-1)+1)),2),"")</f>
        <v/>
      </c>
      <c r="AH170" s="184"/>
      <c r="AI170" s="191"/>
      <c r="AJ170" s="32" t="str">
        <f ca="1">IFERROR(ROUND(IF(BA170&lt;&gt;"","",INDEX('M04-S04'!$AO$18:$AO$199,2*(ROWS(AJ$163:AJ170)-1)+1)),4),"")</f>
        <v/>
      </c>
      <c r="AK170" s="32">
        <f ca="1">IFERROR(ROUND(IF(BA170&lt;&gt;"","",INDEX('M04-S04'!$BF$18:$BF$199,2*(ROWS(AK$163:AK170)-1)+1)),4),"")</f>
        <v>0</v>
      </c>
      <c r="AL170" s="32" t="str">
        <f ca="1">IFERROR(ROUND(IF(BA170&lt;&gt;"","",INDEX('M04-S04'!$BG$18:$BG$199,2*(ROWS(AL$163:AL170)-1)+1)),4),"")</f>
        <v/>
      </c>
      <c r="AM170" s="32" t="str" cm="1">
        <f t="array" ref="AM170">IFERROR(ROUND(INDEX('M04-S04'!$BA$18:$BA$199,2*(ROWS(AM$163:AM170)-1)+1),4),"")</f>
        <v/>
      </c>
      <c r="AN170" s="32" t="str" cm="1">
        <f t="array" ref="AN170">IFERROR(ROUND(INDEX('M04-S04'!$BB$18:$BB$199,2*(ROWS(AN$163:AN170)-1)+1),4),"")</f>
        <v/>
      </c>
      <c r="AO170" s="32"/>
      <c r="AP170" s="9">
        <f ca="1">IFERROR(ROUND(IF(BB170&lt;&gt;"",INDEX('M04-S04'!$AH$18:$AH$199,2*(ROWS(AP$163:AP170)-1)+1),""),2),"")</f>
        <v>0</v>
      </c>
      <c r="AQ170" s="9" t="str">
        <f ca="1">IFERROR(ROUND(IF(BB170&lt;&gt;"",INDEX('M04-S04'!$AJ$18:$AJ$199,2*(ROWS(AQ$163:AQ170)-1)+1),""),2),"")</f>
        <v/>
      </c>
      <c r="AR170" s="9" t="str">
        <f t="shared" ca="1" si="24"/>
        <v/>
      </c>
      <c r="AS170" t="str">
        <f ca="1">IFERROR(IF(BB170&lt;&gt;"",INDEX('M04-S04'!$AF$18:$AF$199,2*(ROWS(AS$163:AS170)-1)+1),""),"")</f>
        <v/>
      </c>
      <c r="AT170" s="9" t="str" cm="1">
        <f t="array" aca="1" ref="AT170" ca="1">IFERROR(ROUND(IF(BB170&lt;&gt;"", INDEX('M04-S04'!$AL$18:$AL$199,2*(ROWS(AG$163:AG170)-1)+1), ""),2),"")</f>
        <v/>
      </c>
      <c r="AU170" s="184"/>
      <c r="AV170" s="5" t="str">
        <f ca="1">IFERROR(IF(BB170&lt;&gt;"",ROUND(INDEX('M04-S04'!$AY$18:$AY$199,2*(ROWS(AV$163:AV170)-1)+1),3),""),"")</f>
        <v/>
      </c>
      <c r="AW170" s="5" t="str">
        <f ca="1">IFERROR(IF(BB170&lt;&gt;"",ROUND(INDEX('M04-S04'!$AZ$18:$AZ$199,2*(ROWS(AW$163:AW170)-1)+1),3),""),"")</f>
        <v/>
      </c>
      <c r="AX170" s="184"/>
      <c r="AY170" s="26" t="str">
        <f ca="1">IFERROR(IF(BB170&lt;&gt;"",INDEX('M04-S04'!$AO$18:$AO$199,2*(ROWS(AY$163:AY170)-1)+1),""),"")</f>
        <v/>
      </c>
      <c r="AZ170" s="32">
        <f ca="1">IFERROR(IF(BB170&lt;&gt;"",INDEX('M04-S04'!$BF$18:$BF$199,2*(ROWS(AZ$163:AZ170)-1)+1),""),"")</f>
        <v>0</v>
      </c>
      <c r="BA170" s="32" t="str">
        <f ca="1">IFERROR(IF(BB170&lt;&gt;"",INDEX('M04-S04'!$BG$18:$BG$199,2*(ROWS(BA$163:BA170)-1)+1),""),"")</f>
        <v/>
      </c>
      <c r="BB170" t="str">
        <f ca="1">IFERROR(INDEX('M04-S04'!$BY$18:$BY$199,2*(ROWS(BB$163:BB170)-1)+1),"")</f>
        <v>Submit for Review</v>
      </c>
    </row>
    <row r="171" spans="1:54">
      <c r="A171" s="10">
        <f t="shared" si="22"/>
        <v>0</v>
      </c>
      <c r="B171" t="str">
        <f t="shared" si="23"/>
        <v/>
      </c>
      <c r="C171" t="str" cm="1">
        <f t="array" ref="C171">IFERROR(_xlfn.VALUETOTEXT(INDEX('M04-S04'!$BW$18:$BW$199,2*(ROWS($C$163:C171)-1)+1)),"")</f>
        <v/>
      </c>
      <c r="D171">
        <f>IFERROR(INDEX('M04-S04'!$B$18:$B$199,2*(ROWS(D$163:D171)-1)+1),"")</f>
        <v>9</v>
      </c>
      <c r="E171" s="51" t="str" cm="1">
        <f t="array" ref="E171">IFERROR(_xlfn.VALUETOTEXT(INDEX('M04-S04'!$BX$18:$BX$199,2*(ROWS($E$163:E171)-1)+1)),"")</f>
        <v/>
      </c>
      <c r="F171" t="str" cm="1">
        <f t="array" ref="F171">IF(C171&lt;&gt;"", _xlfn.SWITCH(Program_Banner, "Small Business / Non-Profit", "Hard-To-Reach Business", "Business Energy Savings", "Whole Business Efficiency", ""), "")</f>
        <v/>
      </c>
      <c r="G171" t="s">
        <v>135</v>
      </c>
      <c r="H171" t="str">
        <f>IFERROR(INDEX('M04-S04'!$BC$18:$BC$199,2*(ROWS(H$163:H171)-1)+1),"")</f>
        <v/>
      </c>
      <c r="I171" t="str">
        <f>IFERROR(INDEX('M04-S04'!$BJ$18:$BJ$199,2*(ROWS(I$163:I171)-1)+1),"")</f>
        <v/>
      </c>
      <c r="J171" s="9" t="str">
        <f>IFERROR(INDEX('M04-S04'!$BN$18:$BN$199,2*(ROWS(J$163:J171)-1)+1),"")</f>
        <v/>
      </c>
      <c r="K171" s="9" t="str">
        <f>IFERROR(INDEX('M04-S04'!$BO$18:$BO$199,2*(ROWS(K$163:K171)-1)+1),"")</f>
        <v/>
      </c>
      <c r="L171" s="51" t="str">
        <f>IFERROR(INDEX('M04-S04'!$BD$18:$BD$199,2*(ROWS(L$163:L171)-1)+1),"")</f>
        <v/>
      </c>
      <c r="M171" s="171"/>
      <c r="N171" s="171"/>
      <c r="O171">
        <f>IFERROR(INDEX('M04-S04'!$H$18:$H$199,2*(ROWS(O$163:O171)-1)+1),"")</f>
        <v>0</v>
      </c>
      <c r="P171">
        <f>IFERROR(INDEX('M04-S04'!$N$18:$N$199,2*(ROWS(P$163:P171)-1)+1),"")</f>
        <v>0</v>
      </c>
      <c r="Q171">
        <f>IFERROR(INDEX('M04-S04'!$W$18:$W$199,2*(ROWS(Q$163:Q171)-1)+1),"")</f>
        <v>0</v>
      </c>
      <c r="S171" t="str">
        <f>IFERROR(INDEX('M04-S04'!$AX$18:$AX$199,2*(ROWS(S$163:S171)-1)+1),"")</f>
        <v/>
      </c>
      <c r="T171" s="5" t="str">
        <f>IFERROR(ROUND(INDEX('M04-S04'!$AY$18:$AY$199,2*(ROWS(T$163:T171)-1)+1),3),"")</f>
        <v/>
      </c>
      <c r="U171" s="5" t="str">
        <f>IFERROR(ROUND(INDEX('M04-S04'!$AZ$18:$AZ$199,2*(ROWS(U$163:U171)-1)+1),3),"")</f>
        <v/>
      </c>
      <c r="V171" s="184"/>
      <c r="W171" s="184"/>
      <c r="X171" s="184"/>
      <c r="Y171" s="184"/>
      <c r="Z171" s="184"/>
      <c r="AA171" s="9" t="str" cm="1">
        <f t="array" ref="AA171">IFERROR(ROUND(INDEX('M04-S04'!$AR$18:$AR$199,2*(ROWS(AA$163:AA171)-1)+1), 2),"")</f>
        <v/>
      </c>
      <c r="AB171" s="164"/>
      <c r="AC171" s="9" t="str" cm="1">
        <f t="array" aca="1" ref="AC171" ca="1">IFERROR(ROUND(IF(BB171&lt;&gt;"","",INDEX('M04-S04'!$AH$18:$AH$199,2*(ROWS(AC$163:AC171)-1)+1)),2),"")</f>
        <v/>
      </c>
      <c r="AD171" s="9" t="str" cm="1">
        <f t="array" aca="1" ref="AD171" ca="1">IFERROR(ROUND(IF(BB171&lt;&gt;"","",INDEX('M04-S04'!$AJ$18:$AJ$199,2*(ROWS(AD$163:AD171)-1)+1)),2),"")</f>
        <v/>
      </c>
      <c r="AE171" s="9" t="str">
        <f t="shared" ca="1" si="19"/>
        <v/>
      </c>
      <c r="AF171" t="str">
        <f ca="1">IFERROR(IF(BB171&lt;&gt;"","",INDEX('M04-S04'!$AF$18:$AF$199,2*(ROWS(AG$163:AG171)-1)+1)),"")</f>
        <v/>
      </c>
      <c r="AG171" s="9" t="str" cm="1">
        <f t="array" aca="1" ref="AG171" ca="1">IFERROR(ROUND(IF(BB171&lt;&gt;"","",INDEX('M04-S04'!$AL$18:$AL$199,2*(ROWS(AG$163:AG171)-1)+1)),2),"")</f>
        <v/>
      </c>
      <c r="AH171" s="184"/>
      <c r="AI171" s="191"/>
      <c r="AJ171" s="32" t="str">
        <f ca="1">IFERROR(ROUND(IF(BA171&lt;&gt;"","",INDEX('M04-S04'!$AO$18:$AO$199,2*(ROWS(AJ$163:AJ171)-1)+1)),4),"")</f>
        <v/>
      </c>
      <c r="AK171" s="32">
        <f ca="1">IFERROR(ROUND(IF(BA171&lt;&gt;"","",INDEX('M04-S04'!$BF$18:$BF$199,2*(ROWS(AK$163:AK171)-1)+1)),4),"")</f>
        <v>0</v>
      </c>
      <c r="AL171" s="32" t="str">
        <f ca="1">IFERROR(ROUND(IF(BA171&lt;&gt;"","",INDEX('M04-S04'!$BG$18:$BG$199,2*(ROWS(AL$163:AL171)-1)+1)),4),"")</f>
        <v/>
      </c>
      <c r="AM171" s="32" t="str" cm="1">
        <f t="array" ref="AM171">IFERROR(ROUND(INDEX('M04-S04'!$BA$18:$BA$199,2*(ROWS(AM$163:AM171)-1)+1),4),"")</f>
        <v/>
      </c>
      <c r="AN171" s="32" t="str" cm="1">
        <f t="array" ref="AN171">IFERROR(ROUND(INDEX('M04-S04'!$BB$18:$BB$199,2*(ROWS(AN$163:AN171)-1)+1),4),"")</f>
        <v/>
      </c>
      <c r="AO171" s="32"/>
      <c r="AP171" s="9">
        <f ca="1">IFERROR(ROUND(IF(BB171&lt;&gt;"",INDEX('M04-S04'!$AH$18:$AH$199,2*(ROWS(AP$163:AP171)-1)+1),""),2),"")</f>
        <v>0</v>
      </c>
      <c r="AQ171" s="9" t="str">
        <f ca="1">IFERROR(ROUND(IF(BB171&lt;&gt;"",INDEX('M04-S04'!$AJ$18:$AJ$199,2*(ROWS(AQ$163:AQ171)-1)+1),""),2),"")</f>
        <v/>
      </c>
      <c r="AR171" s="9" t="str">
        <f t="shared" ca="1" si="24"/>
        <v/>
      </c>
      <c r="AS171" t="str">
        <f ca="1">IFERROR(IF(BB171&lt;&gt;"",INDEX('M04-S04'!$AF$18:$AF$199,2*(ROWS(AS$163:AS171)-1)+1),""),"")</f>
        <v/>
      </c>
      <c r="AT171" s="9" t="str" cm="1">
        <f t="array" aca="1" ref="AT171" ca="1">IFERROR(ROUND(IF(BB171&lt;&gt;"", INDEX('M04-S04'!$AL$18:$AL$199,2*(ROWS(AG$163:AG171)-1)+1), ""),2),"")</f>
        <v/>
      </c>
      <c r="AU171" s="184"/>
      <c r="AV171" s="5" t="str">
        <f ca="1">IFERROR(IF(BB171&lt;&gt;"",ROUND(INDEX('M04-S04'!$AY$18:$AY$199,2*(ROWS(AV$163:AV171)-1)+1),3),""),"")</f>
        <v/>
      </c>
      <c r="AW171" s="5" t="str">
        <f ca="1">IFERROR(IF(BB171&lt;&gt;"",ROUND(INDEX('M04-S04'!$AZ$18:$AZ$199,2*(ROWS(AW$163:AW171)-1)+1),3),""),"")</f>
        <v/>
      </c>
      <c r="AX171" s="184"/>
      <c r="AY171" s="26" t="str">
        <f ca="1">IFERROR(IF(BB171&lt;&gt;"",INDEX('M04-S04'!$AO$18:$AO$199,2*(ROWS(AY$163:AY171)-1)+1),""),"")</f>
        <v/>
      </c>
      <c r="AZ171" s="32">
        <f ca="1">IFERROR(IF(BB171&lt;&gt;"",INDEX('M04-S04'!$BF$18:$BF$199,2*(ROWS(AZ$163:AZ171)-1)+1),""),"")</f>
        <v>0</v>
      </c>
      <c r="BA171" s="32" t="str">
        <f ca="1">IFERROR(IF(BB171&lt;&gt;"",INDEX('M04-S04'!$BG$18:$BG$199,2*(ROWS(BA$163:BA171)-1)+1),""),"")</f>
        <v/>
      </c>
      <c r="BB171" t="str">
        <f ca="1">IFERROR(INDEX('M04-S04'!$BY$18:$BY$199,2*(ROWS(BB$163:BB171)-1)+1),"")</f>
        <v>Submit for Review</v>
      </c>
    </row>
    <row r="172" spans="1:54">
      <c r="A172" s="10">
        <f t="shared" si="22"/>
        <v>0</v>
      </c>
      <c r="B172" t="str">
        <f t="shared" si="23"/>
        <v/>
      </c>
      <c r="C172" t="str" cm="1">
        <f t="array" ref="C172">IFERROR(_xlfn.VALUETOTEXT(INDEX('M04-S04'!$BW$18:$BW$199,2*(ROWS($C$163:C172)-1)+1)),"")</f>
        <v/>
      </c>
      <c r="D172">
        <f>IFERROR(INDEX('M04-S04'!$B$18:$B$199,2*(ROWS(D$163:D172)-1)+1),"")</f>
        <v>10</v>
      </c>
      <c r="E172" s="51" t="str" cm="1">
        <f t="array" ref="E172">IFERROR(_xlfn.VALUETOTEXT(INDEX('M04-S04'!$BX$18:$BX$199,2*(ROWS($E$163:E172)-1)+1)),"")</f>
        <v/>
      </c>
      <c r="F172" t="str" cm="1">
        <f t="array" ref="F172">IF(C172&lt;&gt;"", _xlfn.SWITCH(Program_Banner, "Small Business / Non-Profit", "Hard-To-Reach Business", "Business Energy Savings", "Whole Business Efficiency", ""), "")</f>
        <v/>
      </c>
      <c r="G172" t="s">
        <v>135</v>
      </c>
      <c r="H172" t="str">
        <f>IFERROR(INDEX('M04-S04'!$BC$18:$BC$199,2*(ROWS(H$163:H172)-1)+1),"")</f>
        <v/>
      </c>
      <c r="I172" t="str">
        <f>IFERROR(INDEX('M04-S04'!$BJ$18:$BJ$199,2*(ROWS(I$163:I172)-1)+1),"")</f>
        <v/>
      </c>
      <c r="J172" s="9" t="str">
        <f>IFERROR(INDEX('M04-S04'!$BN$18:$BN$199,2*(ROWS(J$163:J172)-1)+1),"")</f>
        <v/>
      </c>
      <c r="K172" s="9" t="str">
        <f>IFERROR(INDEX('M04-S04'!$BO$18:$BO$199,2*(ROWS(K$163:K172)-1)+1),"")</f>
        <v/>
      </c>
      <c r="L172" s="51" t="str">
        <f>IFERROR(INDEX('M04-S04'!$BD$18:$BD$199,2*(ROWS(L$163:L172)-1)+1),"")</f>
        <v/>
      </c>
      <c r="M172" s="171"/>
      <c r="N172" s="171"/>
      <c r="O172">
        <f>IFERROR(INDEX('M04-S04'!$H$18:$H$199,2*(ROWS(O$163:O172)-1)+1),"")</f>
        <v>0</v>
      </c>
      <c r="P172">
        <f>IFERROR(INDEX('M04-S04'!$N$18:$N$199,2*(ROWS(P$163:P172)-1)+1),"")</f>
        <v>0</v>
      </c>
      <c r="Q172">
        <f>IFERROR(INDEX('M04-S04'!$W$18:$W$199,2*(ROWS(Q$163:Q172)-1)+1),"")</f>
        <v>0</v>
      </c>
      <c r="S172" t="str">
        <f>IFERROR(INDEX('M04-S04'!$AX$18:$AX$199,2*(ROWS(S$163:S172)-1)+1),"")</f>
        <v/>
      </c>
      <c r="T172" s="5" t="str">
        <f>IFERROR(ROUND(INDEX('M04-S04'!$AY$18:$AY$199,2*(ROWS(T$163:T172)-1)+1),3),"")</f>
        <v/>
      </c>
      <c r="U172" s="5" t="str">
        <f>IFERROR(ROUND(INDEX('M04-S04'!$AZ$18:$AZ$199,2*(ROWS(U$163:U172)-1)+1),3),"")</f>
        <v/>
      </c>
      <c r="V172" s="184"/>
      <c r="W172" s="184"/>
      <c r="X172" s="184"/>
      <c r="Y172" s="184"/>
      <c r="Z172" s="184"/>
      <c r="AA172" s="9" t="str" cm="1">
        <f t="array" ref="AA172">IFERROR(ROUND(INDEX('M04-S04'!$AR$18:$AR$199,2*(ROWS(AA$163:AA172)-1)+1), 2),"")</f>
        <v/>
      </c>
      <c r="AB172" s="164"/>
      <c r="AC172" s="9" t="str" cm="1">
        <f t="array" aca="1" ref="AC172" ca="1">IFERROR(ROUND(IF(BB172&lt;&gt;"","",INDEX('M04-S04'!$AH$18:$AH$199,2*(ROWS(AC$163:AC172)-1)+1)),2),"")</f>
        <v/>
      </c>
      <c r="AD172" s="9" t="str" cm="1">
        <f t="array" aca="1" ref="AD172" ca="1">IFERROR(ROUND(IF(BB172&lt;&gt;"","",INDEX('M04-S04'!$AJ$18:$AJ$199,2*(ROWS(AD$163:AD172)-1)+1)),2),"")</f>
        <v/>
      </c>
      <c r="AE172" s="9" t="str">
        <f t="shared" ca="1" si="19"/>
        <v/>
      </c>
      <c r="AF172" t="str">
        <f ca="1">IFERROR(IF(BB172&lt;&gt;"","",INDEX('M04-S04'!$AF$18:$AF$199,2*(ROWS(AG$163:AG172)-1)+1)),"")</f>
        <v/>
      </c>
      <c r="AG172" s="9" t="str" cm="1">
        <f t="array" aca="1" ref="AG172" ca="1">IFERROR(ROUND(IF(BB172&lt;&gt;"","",INDEX('M04-S04'!$AL$18:$AL$199,2*(ROWS(AG$163:AG172)-1)+1)),2),"")</f>
        <v/>
      </c>
      <c r="AH172" s="184"/>
      <c r="AI172" s="191"/>
      <c r="AJ172" s="32" t="str">
        <f ca="1">IFERROR(ROUND(IF(BA172&lt;&gt;"","",INDEX('M04-S04'!$AO$18:$AO$199,2*(ROWS(AJ$163:AJ172)-1)+1)),4),"")</f>
        <v/>
      </c>
      <c r="AK172" s="32">
        <f ca="1">IFERROR(ROUND(IF(BA172&lt;&gt;"","",INDEX('M04-S04'!$BF$18:$BF$199,2*(ROWS(AK$163:AK172)-1)+1)),4),"")</f>
        <v>0</v>
      </c>
      <c r="AL172" s="32" t="str">
        <f ca="1">IFERROR(ROUND(IF(BA172&lt;&gt;"","",INDEX('M04-S04'!$BG$18:$BG$199,2*(ROWS(AL$163:AL172)-1)+1)),4),"")</f>
        <v/>
      </c>
      <c r="AM172" s="32" t="str" cm="1">
        <f t="array" ref="AM172">IFERROR(ROUND(INDEX('M04-S04'!$BA$18:$BA$199,2*(ROWS(AM$163:AM172)-1)+1),4),"")</f>
        <v/>
      </c>
      <c r="AN172" s="32" t="str" cm="1">
        <f t="array" ref="AN172">IFERROR(ROUND(INDEX('M04-S04'!$BB$18:$BB$199,2*(ROWS(AN$163:AN172)-1)+1),4),"")</f>
        <v/>
      </c>
      <c r="AO172" s="32"/>
      <c r="AP172" s="9">
        <f ca="1">IFERROR(ROUND(IF(BB172&lt;&gt;"",INDEX('M04-S04'!$AH$18:$AH$199,2*(ROWS(AP$163:AP172)-1)+1),""),2),"")</f>
        <v>0</v>
      </c>
      <c r="AQ172" s="9" t="str">
        <f ca="1">IFERROR(ROUND(IF(BB172&lt;&gt;"",INDEX('M04-S04'!$AJ$18:$AJ$199,2*(ROWS(AQ$163:AQ172)-1)+1),""),2),"")</f>
        <v/>
      </c>
      <c r="AR172" s="9" t="str">
        <f t="shared" ca="1" si="24"/>
        <v/>
      </c>
      <c r="AS172" t="str">
        <f ca="1">IFERROR(IF(BB172&lt;&gt;"",INDEX('M04-S04'!$AF$18:$AF$199,2*(ROWS(AS$163:AS172)-1)+1),""),"")</f>
        <v/>
      </c>
      <c r="AT172" s="9" t="str" cm="1">
        <f t="array" aca="1" ref="AT172" ca="1">IFERROR(ROUND(IF(BB172&lt;&gt;"", INDEX('M04-S04'!$AL$18:$AL$199,2*(ROWS(AG$163:AG172)-1)+1), ""),2),"")</f>
        <v/>
      </c>
      <c r="AU172" s="184"/>
      <c r="AV172" s="5" t="str">
        <f ca="1">IFERROR(IF(BB172&lt;&gt;"",ROUND(INDEX('M04-S04'!$AY$18:$AY$199,2*(ROWS(AV$163:AV172)-1)+1),3),""),"")</f>
        <v/>
      </c>
      <c r="AW172" s="5" t="str">
        <f ca="1">IFERROR(IF(BB172&lt;&gt;"",ROUND(INDEX('M04-S04'!$AZ$18:$AZ$199,2*(ROWS(AW$163:AW172)-1)+1),3),""),"")</f>
        <v/>
      </c>
      <c r="AX172" s="184"/>
      <c r="AY172" s="26" t="str">
        <f ca="1">IFERROR(IF(BB172&lt;&gt;"",INDEX('M04-S04'!$AO$18:$AO$199,2*(ROWS(AY$163:AY172)-1)+1),""),"")</f>
        <v/>
      </c>
      <c r="AZ172" s="32">
        <f ca="1">IFERROR(IF(BB172&lt;&gt;"",INDEX('M04-S04'!$BF$18:$BF$199,2*(ROWS(AZ$163:AZ172)-1)+1),""),"")</f>
        <v>0</v>
      </c>
      <c r="BA172" s="32" t="str">
        <f ca="1">IFERROR(IF(BB172&lt;&gt;"",INDEX('M04-S04'!$BG$18:$BG$199,2*(ROWS(BA$163:BA172)-1)+1),""),"")</f>
        <v/>
      </c>
      <c r="BB172" t="str">
        <f ca="1">IFERROR(INDEX('M04-S04'!$BY$18:$BY$199,2*(ROWS(BB$163:BB172)-1)+1),"")</f>
        <v>Submit for Review</v>
      </c>
    </row>
    <row r="173" spans="1:54">
      <c r="A173" s="10">
        <f t="shared" si="22"/>
        <v>0</v>
      </c>
      <c r="B173" t="str">
        <f t="shared" si="23"/>
        <v/>
      </c>
      <c r="C173" t="str" cm="1">
        <f t="array" ref="C173">IFERROR(_xlfn.VALUETOTEXT(INDEX('M04-S04'!$BW$18:$BW$199,2*(ROWS($C$163:C173)-1)+1)),"")</f>
        <v/>
      </c>
      <c r="D173">
        <f>IFERROR(INDEX('M04-S04'!$B$18:$B$199,2*(ROWS(D$163:D173)-1)+1),"")</f>
        <v>0</v>
      </c>
      <c r="E173" s="51" t="str" cm="1">
        <f t="array" ref="E173">IFERROR(_xlfn.VALUETOTEXT(INDEX('M04-S04'!$BX$18:$BX$199,2*(ROWS($E$163:E173)-1)+1)),"")</f>
        <v/>
      </c>
      <c r="F173" t="str" cm="1">
        <f t="array" ref="F173">IF(C173&lt;&gt;"", _xlfn.SWITCH(Program_Banner, "Small Business / Non-Profit", "Hard-To-Reach Business", "Business Energy Savings", "Whole Business Efficiency", ""), "")</f>
        <v/>
      </c>
      <c r="G173" t="s">
        <v>135</v>
      </c>
      <c r="H173">
        <f>IFERROR(INDEX('M04-S04'!$BC$18:$BC$199,2*(ROWS(H$163:H173)-1)+1),"")</f>
        <v>0</v>
      </c>
      <c r="I173">
        <f>IFERROR(INDEX('M04-S04'!$BJ$18:$BJ$199,2*(ROWS(I$163:I173)-1)+1),"")</f>
        <v>0</v>
      </c>
      <c r="J173" s="9">
        <f>IFERROR(INDEX('M04-S04'!$BN$18:$BN$199,2*(ROWS(J$163:J173)-1)+1),"")</f>
        <v>0</v>
      </c>
      <c r="K173" s="9">
        <f>IFERROR(INDEX('M04-S04'!$BO$18:$BO$199,2*(ROWS(K$163:K173)-1)+1),"")</f>
        <v>0</v>
      </c>
      <c r="L173" s="51">
        <f>IFERROR(INDEX('M04-S04'!$BD$18:$BD$199,2*(ROWS(L$163:L173)-1)+1),"")</f>
        <v>0</v>
      </c>
      <c r="M173" s="171"/>
      <c r="N173" s="171"/>
      <c r="O173">
        <f>IFERROR(INDEX('M04-S04'!$H$18:$H$199,2*(ROWS(O$163:O173)-1)+1),"")</f>
        <v>0</v>
      </c>
      <c r="P173">
        <f>IFERROR(INDEX('M04-S04'!$N$18:$N$199,2*(ROWS(P$163:P173)-1)+1),"")</f>
        <v>0</v>
      </c>
      <c r="Q173">
        <f>IFERROR(INDEX('M04-S04'!$W$18:$W$199,2*(ROWS(Q$163:Q173)-1)+1),"")</f>
        <v>0</v>
      </c>
      <c r="S173">
        <f>IFERROR(INDEX('M04-S04'!$AX$18:$AX$199,2*(ROWS(S$163:S173)-1)+1),"")</f>
        <v>0</v>
      </c>
      <c r="T173" s="5">
        <f>IFERROR(ROUND(INDEX('M04-S04'!$AY$18:$AY$199,2*(ROWS(T$163:T173)-1)+1),3),"")</f>
        <v>0</v>
      </c>
      <c r="U173" s="5">
        <f>IFERROR(ROUND(INDEX('M04-S04'!$AZ$18:$AZ$199,2*(ROWS(U$163:U173)-1)+1),3),"")</f>
        <v>0</v>
      </c>
      <c r="V173" s="184"/>
      <c r="W173" s="184"/>
      <c r="X173" s="184"/>
      <c r="Y173" s="184"/>
      <c r="Z173" s="184"/>
      <c r="AA173" s="9" cm="1">
        <f t="array" ref="AA173">IFERROR(ROUND(INDEX('M04-S04'!$AR$18:$AR$199,2*(ROWS(AA$163:AA173)-1)+1), 2),"")</f>
        <v>0</v>
      </c>
      <c r="AB173" s="164"/>
      <c r="AC173" s="9" t="str" cm="1">
        <f t="array" ref="AC173">IFERROR(ROUND(IF(BB173&lt;&gt;"","",INDEX('M04-S04'!$AH$18:$AH$199,2*(ROWS(AC$163:AC173)-1)+1)),2),"")</f>
        <v/>
      </c>
      <c r="AD173" s="9" t="str" cm="1">
        <f t="array" ref="AD173">IFERROR(ROUND(IF(BB173&lt;&gt;"","",INDEX('M04-S04'!$AJ$18:$AJ$199,2*(ROWS(AD$163:AD173)-1)+1)),2),"")</f>
        <v/>
      </c>
      <c r="AE173" s="9" t="str">
        <f t="shared" si="19"/>
        <v/>
      </c>
      <c r="AF173" t="str">
        <f>IFERROR(IF(BB173&lt;&gt;"","",INDEX('M04-S04'!$AF$18:$AF$199,2*(ROWS(AG$163:AG173)-1)+1)),"")</f>
        <v/>
      </c>
      <c r="AG173" s="9" t="str" cm="1">
        <f t="array" ref="AG173">IFERROR(ROUND(IF(BB173&lt;&gt;"","",INDEX('M04-S04'!$AL$18:$AL$199,2*(ROWS(AG$163:AG173)-1)+1)),2),"")</f>
        <v/>
      </c>
      <c r="AH173" s="184"/>
      <c r="AI173" s="191"/>
      <c r="AJ173" s="32" t="str">
        <f>IFERROR(ROUND(IF(BA173&lt;&gt;"","",INDEX('M04-S04'!$AO$18:$AO$199,2*(ROWS(AJ$163:AJ173)-1)+1)),4),"")</f>
        <v/>
      </c>
      <c r="AK173" s="32" t="str">
        <f>IFERROR(ROUND(IF(BA173&lt;&gt;"","",INDEX('M04-S04'!$BF$18:$BF$199,2*(ROWS(AK$163:AK173)-1)+1)),4),"")</f>
        <v/>
      </c>
      <c r="AL173" s="32" t="str">
        <f>IFERROR(ROUND(IF(BA173&lt;&gt;"","",INDEX('M04-S04'!$BG$18:$BG$199,2*(ROWS(AL$163:AL173)-1)+1)),4),"")</f>
        <v/>
      </c>
      <c r="AM173" s="32" cm="1">
        <f t="array" ref="AM173">IFERROR(ROUND(INDEX('M04-S04'!$BA$18:$BA$199,2*(ROWS(AM$163:AM173)-1)+1),4),"")</f>
        <v>0</v>
      </c>
      <c r="AN173" s="32" cm="1">
        <f t="array" ref="AN173">IFERROR(ROUND(INDEX('M04-S04'!$BB$18:$BB$199,2*(ROWS(AN$163:AN173)-1)+1),4),"")</f>
        <v>0</v>
      </c>
      <c r="AO173" s="32"/>
      <c r="AP173" s="9">
        <f>IFERROR(ROUND(IF(BB173&lt;&gt;"",INDEX('M04-S04'!$AH$18:$AH$199,2*(ROWS(AP$163:AP173)-1)+1),""),2),"")</f>
        <v>0</v>
      </c>
      <c r="AQ173" s="9">
        <f>IFERROR(ROUND(IF(BB173&lt;&gt;"",INDEX('M04-S04'!$AJ$18:$AJ$199,2*(ROWS(AQ$163:AQ173)-1)+1),""),2),"")</f>
        <v>0</v>
      </c>
      <c r="AR173" s="9" t="str">
        <f t="shared" si="24"/>
        <v/>
      </c>
      <c r="AS173">
        <f>IFERROR(IF(BB173&lt;&gt;"",INDEX('M04-S04'!$AF$18:$AF$199,2*(ROWS(AS$163:AS173)-1)+1),""),"")</f>
        <v>0</v>
      </c>
      <c r="AT173" s="9" cm="1">
        <f t="array" ref="AT173">IFERROR(ROUND(IF(BB173&lt;&gt;"", INDEX('M04-S04'!$AL$18:$AL$199,2*(ROWS(AG$163:AG173)-1)+1), ""),2),"")</f>
        <v>0</v>
      </c>
      <c r="AU173" s="184"/>
      <c r="AV173" s="5">
        <f>IFERROR(IF(BB173&lt;&gt;"",ROUND(INDEX('M04-S04'!$AY$18:$AY$199,2*(ROWS(AV$163:AV173)-1)+1),3),""),"")</f>
        <v>0</v>
      </c>
      <c r="AW173" s="5">
        <f>IFERROR(IF(BB173&lt;&gt;"",ROUND(INDEX('M04-S04'!$AZ$18:$AZ$199,2*(ROWS(AW$163:AW173)-1)+1),3),""),"")</f>
        <v>0</v>
      </c>
      <c r="AX173" s="184"/>
      <c r="AY173" s="26">
        <f>IFERROR(IF(BB173&lt;&gt;"",INDEX('M04-S04'!$AO$18:$AO$199,2*(ROWS(AY$163:AY173)-1)+1),""),"")</f>
        <v>0</v>
      </c>
      <c r="AZ173" s="32">
        <f>IFERROR(IF(BB173&lt;&gt;"",INDEX('M04-S04'!$BF$18:$BF$199,2*(ROWS(AZ$163:AZ173)-1)+1),""),"")</f>
        <v>0</v>
      </c>
      <c r="BA173" s="32">
        <f>IFERROR(IF(BB173&lt;&gt;"",INDEX('M04-S04'!$BG$18:$BG$199,2*(ROWS(BA$163:BA173)-1)+1),""),"")</f>
        <v>0</v>
      </c>
      <c r="BB173">
        <f>IFERROR(INDEX('M04-S04'!$BY$18:$BY$199,2*(ROWS(BB$163:BB173)-1)+1),"")</f>
        <v>0</v>
      </c>
    </row>
    <row r="174" spans="1:54">
      <c r="A174" s="10">
        <f t="shared" si="22"/>
        <v>0</v>
      </c>
      <c r="B174" t="str">
        <f t="shared" si="23"/>
        <v/>
      </c>
      <c r="C174" t="str" cm="1">
        <f t="array" ref="C174">IFERROR(_xlfn.VALUETOTEXT(INDEX('M04-S04'!$BW$18:$BW$199,2*(ROWS($C$163:C174)-1)+1)),"")</f>
        <v/>
      </c>
      <c r="D174">
        <f>IFERROR(INDEX('M04-S04'!$B$18:$B$199,2*(ROWS(D$163:D174)-1)+1),"")</f>
        <v>0</v>
      </c>
      <c r="E174" s="51" t="str" cm="1">
        <f t="array" ref="E174">IFERROR(_xlfn.VALUETOTEXT(INDEX('M04-S04'!$BX$18:$BX$199,2*(ROWS($E$163:E174)-1)+1)),"")</f>
        <v/>
      </c>
      <c r="F174" t="str" cm="1">
        <f t="array" ref="F174">IF(C174&lt;&gt;"", _xlfn.SWITCH(Program_Banner, "Small Business / Non-Profit", "Hard-To-Reach Business", "Business Energy Savings", "Whole Business Efficiency", ""), "")</f>
        <v/>
      </c>
      <c r="G174" t="s">
        <v>135</v>
      </c>
      <c r="H174">
        <f>IFERROR(INDEX('M04-S04'!$BC$18:$BC$199,2*(ROWS(H$163:H174)-1)+1),"")</f>
        <v>0</v>
      </c>
      <c r="I174">
        <f>IFERROR(INDEX('M04-S04'!$BJ$18:$BJ$199,2*(ROWS(I$163:I174)-1)+1),"")</f>
        <v>0</v>
      </c>
      <c r="J174" s="9">
        <f>IFERROR(INDEX('M04-S04'!$BN$18:$BN$199,2*(ROWS(J$163:J174)-1)+1),"")</f>
        <v>0</v>
      </c>
      <c r="K174" s="9">
        <f>IFERROR(INDEX('M04-S04'!$BO$18:$BO$199,2*(ROWS(K$163:K174)-1)+1),"")</f>
        <v>0</v>
      </c>
      <c r="L174" s="51">
        <f>IFERROR(INDEX('M04-S04'!$BD$18:$BD$199,2*(ROWS(L$163:L174)-1)+1),"")</f>
        <v>0</v>
      </c>
      <c r="M174" s="171"/>
      <c r="N174" s="171"/>
      <c r="O174">
        <f>IFERROR(INDEX('M04-S04'!$H$18:$H$199,2*(ROWS(O$163:O174)-1)+1),"")</f>
        <v>0</v>
      </c>
      <c r="P174">
        <f>IFERROR(INDEX('M04-S04'!$N$18:$N$199,2*(ROWS(P$163:P174)-1)+1),"")</f>
        <v>0</v>
      </c>
      <c r="Q174">
        <f>IFERROR(INDEX('M04-S04'!$W$18:$W$199,2*(ROWS(Q$163:Q174)-1)+1),"")</f>
        <v>0</v>
      </c>
      <c r="S174">
        <f>IFERROR(INDEX('M04-S04'!$AX$18:$AX$199,2*(ROWS(S$163:S174)-1)+1),"")</f>
        <v>0</v>
      </c>
      <c r="T174" s="5">
        <f>IFERROR(ROUND(INDEX('M04-S04'!$AY$18:$AY$199,2*(ROWS(T$163:T174)-1)+1),3),"")</f>
        <v>0</v>
      </c>
      <c r="U174" s="5">
        <f>IFERROR(ROUND(INDEX('M04-S04'!$AZ$18:$AZ$199,2*(ROWS(U$163:U174)-1)+1),3),"")</f>
        <v>0</v>
      </c>
      <c r="V174" s="184"/>
      <c r="W174" s="184"/>
      <c r="X174" s="184"/>
      <c r="Y174" s="184"/>
      <c r="Z174" s="184"/>
      <c r="AA174" s="9" cm="1">
        <f t="array" ref="AA174">IFERROR(ROUND(INDEX('M04-S04'!$AR$18:$AR$199,2*(ROWS(AA$163:AA174)-1)+1), 2),"")</f>
        <v>0</v>
      </c>
      <c r="AB174" s="164"/>
      <c r="AC174" s="9" t="str" cm="1">
        <f t="array" ref="AC174">IFERROR(ROUND(IF(BB174&lt;&gt;"","",INDEX('M04-S04'!$AH$18:$AH$199,2*(ROWS(AC$163:AC174)-1)+1)),2),"")</f>
        <v/>
      </c>
      <c r="AD174" s="9" t="str" cm="1">
        <f t="array" ref="AD174">IFERROR(ROUND(IF(BB174&lt;&gt;"","",INDEX('M04-S04'!$AJ$18:$AJ$199,2*(ROWS(AD$163:AD174)-1)+1)),2),"")</f>
        <v/>
      </c>
      <c r="AE174" s="9" t="str">
        <f t="shared" si="19"/>
        <v/>
      </c>
      <c r="AF174" t="str">
        <f>IFERROR(IF(BB174&lt;&gt;"","",INDEX('M04-S04'!$AF$18:$AF$199,2*(ROWS(AG$163:AG174)-1)+1)),"")</f>
        <v/>
      </c>
      <c r="AG174" s="9" t="str" cm="1">
        <f t="array" ref="AG174">IFERROR(ROUND(IF(BB174&lt;&gt;"","",INDEX('M04-S04'!$AL$18:$AL$199,2*(ROWS(AG$163:AG174)-1)+1)),2),"")</f>
        <v/>
      </c>
      <c r="AH174" s="184"/>
      <c r="AI174" s="191"/>
      <c r="AJ174" s="32" t="str">
        <f>IFERROR(ROUND(IF(BA174&lt;&gt;"","",INDEX('M04-S04'!$AO$18:$AO$199,2*(ROWS(AJ$163:AJ174)-1)+1)),4),"")</f>
        <v/>
      </c>
      <c r="AK174" s="32" t="str">
        <f>IFERROR(ROUND(IF(BA174&lt;&gt;"","",INDEX('M04-S04'!$BF$18:$BF$199,2*(ROWS(AK$163:AK174)-1)+1)),4),"")</f>
        <v/>
      </c>
      <c r="AL174" s="32" t="str">
        <f>IFERROR(ROUND(IF(BA174&lt;&gt;"","",INDEX('M04-S04'!$BG$18:$BG$199,2*(ROWS(AL$163:AL174)-1)+1)),4),"")</f>
        <v/>
      </c>
      <c r="AM174" s="32" cm="1">
        <f t="array" ref="AM174">IFERROR(ROUND(INDEX('M04-S04'!$BA$18:$BA$199,2*(ROWS(AM$163:AM174)-1)+1),4),"")</f>
        <v>0</v>
      </c>
      <c r="AN174" s="32" cm="1">
        <f t="array" ref="AN174">IFERROR(ROUND(INDEX('M04-S04'!$BB$18:$BB$199,2*(ROWS(AN$163:AN174)-1)+1),4),"")</f>
        <v>0</v>
      </c>
      <c r="AO174" s="32"/>
      <c r="AP174" s="9">
        <f>IFERROR(ROUND(IF(BB174&lt;&gt;"",INDEX('M04-S04'!$AH$18:$AH$199,2*(ROWS(AP$163:AP174)-1)+1),""),2),"")</f>
        <v>0</v>
      </c>
      <c r="AQ174" s="9">
        <f>IFERROR(ROUND(IF(BB174&lt;&gt;"",INDEX('M04-S04'!$AJ$18:$AJ$199,2*(ROWS(AQ$163:AQ174)-1)+1),""),2),"")</f>
        <v>0</v>
      </c>
      <c r="AR174" s="9" t="str">
        <f t="shared" si="24"/>
        <v/>
      </c>
      <c r="AS174">
        <f>IFERROR(IF(BB174&lt;&gt;"",INDEX('M04-S04'!$AF$18:$AF$199,2*(ROWS(AS$163:AS174)-1)+1),""),"")</f>
        <v>0</v>
      </c>
      <c r="AT174" s="9" cm="1">
        <f t="array" ref="AT174">IFERROR(ROUND(IF(BB174&lt;&gt;"", INDEX('M04-S04'!$AL$18:$AL$199,2*(ROWS(AG$163:AG174)-1)+1), ""),2),"")</f>
        <v>0</v>
      </c>
      <c r="AU174" s="184"/>
      <c r="AV174" s="5">
        <f>IFERROR(IF(BB174&lt;&gt;"",ROUND(INDEX('M04-S04'!$AY$18:$AY$199,2*(ROWS(AV$163:AV174)-1)+1),3),""),"")</f>
        <v>0</v>
      </c>
      <c r="AW174" s="5">
        <f>IFERROR(IF(BB174&lt;&gt;"",ROUND(INDEX('M04-S04'!$AZ$18:$AZ$199,2*(ROWS(AW$163:AW174)-1)+1),3),""),"")</f>
        <v>0</v>
      </c>
      <c r="AX174" s="184"/>
      <c r="AY174" s="26">
        <f>IFERROR(IF(BB174&lt;&gt;"",INDEX('M04-S04'!$AO$18:$AO$199,2*(ROWS(AY$163:AY174)-1)+1),""),"")</f>
        <v>0</v>
      </c>
      <c r="AZ174" s="32">
        <f>IFERROR(IF(BB174&lt;&gt;"",INDEX('M04-S04'!$BF$18:$BF$199,2*(ROWS(AZ$163:AZ174)-1)+1),""),"")</f>
        <v>0</v>
      </c>
      <c r="BA174" s="32">
        <f>IFERROR(IF(BB174&lt;&gt;"",INDEX('M04-S04'!$BG$18:$BG$199,2*(ROWS(BA$163:BA174)-1)+1),""),"")</f>
        <v>0</v>
      </c>
      <c r="BB174">
        <f>IFERROR(INDEX('M04-S04'!$BY$18:$BY$199,2*(ROWS(BB$163:BB174)-1)+1),"")</f>
        <v>0</v>
      </c>
    </row>
    <row r="175" spans="1:54">
      <c r="A175" s="10">
        <f t="shared" si="22"/>
        <v>0</v>
      </c>
      <c r="B175" t="str">
        <f t="shared" si="23"/>
        <v/>
      </c>
      <c r="C175" t="str" cm="1">
        <f t="array" ref="C175">IFERROR(_xlfn.VALUETOTEXT(INDEX('M04-S04'!$BW$18:$BW$199,2*(ROWS($C$163:C175)-1)+1)),"")</f>
        <v/>
      </c>
      <c r="D175">
        <f>IFERROR(INDEX('M04-S04'!$B$18:$B$199,2*(ROWS(D$163:D175)-1)+1),"")</f>
        <v>0</v>
      </c>
      <c r="E175" s="51" t="str" cm="1">
        <f t="array" ref="E175">IFERROR(_xlfn.VALUETOTEXT(INDEX('M04-S04'!$BX$18:$BX$199,2*(ROWS($E$163:E175)-1)+1)),"")</f>
        <v/>
      </c>
      <c r="F175" t="str" cm="1">
        <f t="array" ref="F175">IF(C175&lt;&gt;"", _xlfn.SWITCH(Program_Banner, "Small Business / Non-Profit", "Hard-To-Reach Business", "Business Energy Savings", "Whole Business Efficiency", ""), "")</f>
        <v/>
      </c>
      <c r="G175" t="s">
        <v>135</v>
      </c>
      <c r="H175">
        <f>IFERROR(INDEX('M04-S04'!$BC$18:$BC$199,2*(ROWS(H$163:H175)-1)+1),"")</f>
        <v>0</v>
      </c>
      <c r="I175">
        <f>IFERROR(INDEX('M04-S04'!$BJ$18:$BJ$199,2*(ROWS(I$163:I175)-1)+1),"")</f>
        <v>0</v>
      </c>
      <c r="J175" s="9">
        <f>IFERROR(INDEX('M04-S04'!$BN$18:$BN$199,2*(ROWS(J$163:J175)-1)+1),"")</f>
        <v>0</v>
      </c>
      <c r="K175" s="9">
        <f>IFERROR(INDEX('M04-S04'!$BO$18:$BO$199,2*(ROWS(K$163:K175)-1)+1),"")</f>
        <v>0</v>
      </c>
      <c r="L175" s="51">
        <f>IFERROR(INDEX('M04-S04'!$BD$18:$BD$199,2*(ROWS(L$163:L175)-1)+1),"")</f>
        <v>0</v>
      </c>
      <c r="M175" s="171"/>
      <c r="N175" s="171"/>
      <c r="O175">
        <f>IFERROR(INDEX('M04-S04'!$H$18:$H$199,2*(ROWS(O$163:O175)-1)+1),"")</f>
        <v>0</v>
      </c>
      <c r="P175">
        <f>IFERROR(INDEX('M04-S04'!$N$18:$N$199,2*(ROWS(P$163:P175)-1)+1),"")</f>
        <v>0</v>
      </c>
      <c r="Q175">
        <f>IFERROR(INDEX('M04-S04'!$W$18:$W$199,2*(ROWS(Q$163:Q175)-1)+1),"")</f>
        <v>0</v>
      </c>
      <c r="S175">
        <f>IFERROR(INDEX('M04-S04'!$AX$18:$AX$199,2*(ROWS(S$163:S175)-1)+1),"")</f>
        <v>0</v>
      </c>
      <c r="T175" s="5">
        <f>IFERROR(ROUND(INDEX('M04-S04'!$AY$18:$AY$199,2*(ROWS(T$163:T175)-1)+1),3),"")</f>
        <v>0</v>
      </c>
      <c r="U175" s="5">
        <f>IFERROR(ROUND(INDEX('M04-S04'!$AZ$18:$AZ$199,2*(ROWS(U$163:U175)-1)+1),3),"")</f>
        <v>0</v>
      </c>
      <c r="V175" s="184"/>
      <c r="W175" s="184"/>
      <c r="X175" s="184"/>
      <c r="Y175" s="184"/>
      <c r="Z175" s="184"/>
      <c r="AA175" s="9" cm="1">
        <f t="array" ref="AA175">IFERROR(ROUND(INDEX('M04-S04'!$AR$18:$AR$199,2*(ROWS(AA$163:AA175)-1)+1), 2),"")</f>
        <v>0</v>
      </c>
      <c r="AB175" s="164"/>
      <c r="AC175" s="9" t="str" cm="1">
        <f t="array" ref="AC175">IFERROR(ROUND(IF(BB175&lt;&gt;"","",INDEX('M04-S04'!$AH$18:$AH$199,2*(ROWS(AC$163:AC175)-1)+1)),2),"")</f>
        <v/>
      </c>
      <c r="AD175" s="9" t="str" cm="1">
        <f t="array" ref="AD175">IFERROR(ROUND(IF(BB175&lt;&gt;"","",INDEX('M04-S04'!$AJ$18:$AJ$199,2*(ROWS(AD$163:AD175)-1)+1)),2),"")</f>
        <v/>
      </c>
      <c r="AE175" s="9" t="str">
        <f t="shared" si="19"/>
        <v/>
      </c>
      <c r="AF175" t="str">
        <f>IFERROR(IF(BB175&lt;&gt;"","",INDEX('M04-S04'!$AF$18:$AF$199,2*(ROWS(AG$163:AG175)-1)+1)),"")</f>
        <v/>
      </c>
      <c r="AG175" s="9" t="str" cm="1">
        <f t="array" ref="AG175">IFERROR(ROUND(IF(BB175&lt;&gt;"","",INDEX('M04-S04'!$AL$18:$AL$199,2*(ROWS(AG$163:AG175)-1)+1)),2),"")</f>
        <v/>
      </c>
      <c r="AH175" s="184"/>
      <c r="AI175" s="191"/>
      <c r="AJ175" s="32" t="str">
        <f>IFERROR(ROUND(IF(BA175&lt;&gt;"","",INDEX('M04-S04'!$AO$18:$AO$199,2*(ROWS(AJ$163:AJ175)-1)+1)),4),"")</f>
        <v/>
      </c>
      <c r="AK175" s="32" t="str">
        <f>IFERROR(ROUND(IF(BA175&lt;&gt;"","",INDEX('M04-S04'!$BF$18:$BF$199,2*(ROWS(AK$163:AK175)-1)+1)),4),"")</f>
        <v/>
      </c>
      <c r="AL175" s="32" t="str">
        <f>IFERROR(ROUND(IF(BA175&lt;&gt;"","",INDEX('M04-S04'!$BG$18:$BG$199,2*(ROWS(AL$163:AL175)-1)+1)),4),"")</f>
        <v/>
      </c>
      <c r="AM175" s="32" cm="1">
        <f t="array" ref="AM175">IFERROR(ROUND(INDEX('M04-S04'!$BA$18:$BA$199,2*(ROWS(AM$163:AM175)-1)+1),4),"")</f>
        <v>0</v>
      </c>
      <c r="AN175" s="32" cm="1">
        <f t="array" ref="AN175">IFERROR(ROUND(INDEX('M04-S04'!$BB$18:$BB$199,2*(ROWS(AN$163:AN175)-1)+1),4),"")</f>
        <v>0</v>
      </c>
      <c r="AO175" s="32"/>
      <c r="AP175" s="9">
        <f>IFERROR(ROUND(IF(BB175&lt;&gt;"",INDEX('M04-S04'!$AH$18:$AH$199,2*(ROWS(AP$163:AP175)-1)+1),""),2),"")</f>
        <v>0</v>
      </c>
      <c r="AQ175" s="9">
        <f>IFERROR(ROUND(IF(BB175&lt;&gt;"",INDEX('M04-S04'!$AJ$18:$AJ$199,2*(ROWS(AQ$163:AQ175)-1)+1),""),2),"")</f>
        <v>0</v>
      </c>
      <c r="AR175" s="9" t="str">
        <f t="shared" si="24"/>
        <v/>
      </c>
      <c r="AS175">
        <f>IFERROR(IF(BB175&lt;&gt;"",INDEX('M04-S04'!$AF$18:$AF$199,2*(ROWS(AS$163:AS175)-1)+1),""),"")</f>
        <v>0</v>
      </c>
      <c r="AT175" s="9" cm="1">
        <f t="array" ref="AT175">IFERROR(ROUND(IF(BB175&lt;&gt;"", INDEX('M04-S04'!$AL$18:$AL$199,2*(ROWS(AG$163:AG175)-1)+1), ""),2),"")</f>
        <v>0</v>
      </c>
      <c r="AU175" s="184"/>
      <c r="AV175" s="5">
        <f>IFERROR(IF(BB175&lt;&gt;"",ROUND(INDEX('M04-S04'!$AY$18:$AY$199,2*(ROWS(AV$163:AV175)-1)+1),3),""),"")</f>
        <v>0</v>
      </c>
      <c r="AW175" s="5">
        <f>IFERROR(IF(BB175&lt;&gt;"",ROUND(INDEX('M04-S04'!$AZ$18:$AZ$199,2*(ROWS(AW$163:AW175)-1)+1),3),""),"")</f>
        <v>0</v>
      </c>
      <c r="AX175" s="184"/>
      <c r="AY175" s="26">
        <f>IFERROR(IF(BB175&lt;&gt;"",INDEX('M04-S04'!$AO$18:$AO$199,2*(ROWS(AY$163:AY175)-1)+1),""),"")</f>
        <v>0</v>
      </c>
      <c r="AZ175" s="32">
        <f>IFERROR(IF(BB175&lt;&gt;"",INDEX('M04-S04'!$BF$18:$BF$199,2*(ROWS(AZ$163:AZ175)-1)+1),""),"")</f>
        <v>0</v>
      </c>
      <c r="BA175" s="32">
        <f>IFERROR(IF(BB175&lt;&gt;"",INDEX('M04-S04'!$BG$18:$BG$199,2*(ROWS(BA$163:BA175)-1)+1),""),"")</f>
        <v>0</v>
      </c>
      <c r="BB175">
        <f>IFERROR(INDEX('M04-S04'!$BY$18:$BY$199,2*(ROWS(BB$163:BB175)-1)+1),"")</f>
        <v>0</v>
      </c>
    </row>
    <row r="176" spans="1:54">
      <c r="A176" s="10">
        <f t="shared" si="22"/>
        <v>0</v>
      </c>
      <c r="B176" t="str">
        <f t="shared" si="23"/>
        <v/>
      </c>
      <c r="C176" t="str" cm="1">
        <f t="array" ref="C176">IFERROR(_xlfn.VALUETOTEXT(INDEX('M04-S04'!$BW$18:$BW$199,2*(ROWS($C$163:C176)-1)+1)),"")</f>
        <v/>
      </c>
      <c r="D176">
        <f>IFERROR(INDEX('M04-S04'!$B$18:$B$199,2*(ROWS(D$163:D176)-1)+1),"")</f>
        <v>0</v>
      </c>
      <c r="E176" s="51" t="str" cm="1">
        <f t="array" ref="E176">IFERROR(_xlfn.VALUETOTEXT(INDEX('M04-S04'!$BX$18:$BX$199,2*(ROWS($E$163:E176)-1)+1)),"")</f>
        <v/>
      </c>
      <c r="F176" t="str" cm="1">
        <f t="array" ref="F176">IF(C176&lt;&gt;"", _xlfn.SWITCH(Program_Banner, "Small Business / Non-Profit", "Hard-To-Reach Business", "Business Energy Savings", "Whole Business Efficiency", ""), "")</f>
        <v/>
      </c>
      <c r="G176" t="s">
        <v>135</v>
      </c>
      <c r="H176">
        <f>IFERROR(INDEX('M04-S04'!$BC$18:$BC$199,2*(ROWS(H$163:H176)-1)+1),"")</f>
        <v>0</v>
      </c>
      <c r="I176">
        <f>IFERROR(INDEX('M04-S04'!$BJ$18:$BJ$199,2*(ROWS(I$163:I176)-1)+1),"")</f>
        <v>0</v>
      </c>
      <c r="J176" s="9">
        <f>IFERROR(INDEX('M04-S04'!$BN$18:$BN$199,2*(ROWS(J$163:J176)-1)+1),"")</f>
        <v>0</v>
      </c>
      <c r="K176" s="9">
        <f>IFERROR(INDEX('M04-S04'!$BO$18:$BO$199,2*(ROWS(K$163:K176)-1)+1),"")</f>
        <v>0</v>
      </c>
      <c r="L176" s="51">
        <f>IFERROR(INDEX('M04-S04'!$BD$18:$BD$199,2*(ROWS(L$163:L176)-1)+1),"")</f>
        <v>0</v>
      </c>
      <c r="M176" s="171"/>
      <c r="N176" s="171"/>
      <c r="O176">
        <f>IFERROR(INDEX('M04-S04'!$H$18:$H$199,2*(ROWS(O$163:O176)-1)+1),"")</f>
        <v>0</v>
      </c>
      <c r="P176">
        <f>IFERROR(INDEX('M04-S04'!$N$18:$N$199,2*(ROWS(P$163:P176)-1)+1),"")</f>
        <v>0</v>
      </c>
      <c r="Q176">
        <f>IFERROR(INDEX('M04-S04'!$W$18:$W$199,2*(ROWS(Q$163:Q176)-1)+1),"")</f>
        <v>0</v>
      </c>
      <c r="S176">
        <f>IFERROR(INDEX('M04-S04'!$AX$18:$AX$199,2*(ROWS(S$163:S176)-1)+1),"")</f>
        <v>0</v>
      </c>
      <c r="T176" s="5">
        <f>IFERROR(ROUND(INDEX('M04-S04'!$AY$18:$AY$199,2*(ROWS(T$163:T176)-1)+1),3),"")</f>
        <v>0</v>
      </c>
      <c r="U176" s="5">
        <f>IFERROR(ROUND(INDEX('M04-S04'!$AZ$18:$AZ$199,2*(ROWS(U$163:U176)-1)+1),3),"")</f>
        <v>0</v>
      </c>
      <c r="V176" s="184"/>
      <c r="W176" s="184"/>
      <c r="X176" s="184"/>
      <c r="Y176" s="184"/>
      <c r="Z176" s="184"/>
      <c r="AA176" s="9" cm="1">
        <f t="array" ref="AA176">IFERROR(ROUND(INDEX('M04-S04'!$AR$18:$AR$199,2*(ROWS(AA$163:AA176)-1)+1), 2),"")</f>
        <v>0</v>
      </c>
      <c r="AB176" s="164"/>
      <c r="AC176" s="9" t="str" cm="1">
        <f t="array" ref="AC176">IFERROR(ROUND(IF(BB176&lt;&gt;"","",INDEX('M04-S04'!$AH$18:$AH$199,2*(ROWS(AC$163:AC176)-1)+1)),2),"")</f>
        <v/>
      </c>
      <c r="AD176" s="9" t="str" cm="1">
        <f t="array" ref="AD176">IFERROR(ROUND(IF(BB176&lt;&gt;"","",INDEX('M04-S04'!$AJ$18:$AJ$199,2*(ROWS(AD$163:AD176)-1)+1)),2),"")</f>
        <v/>
      </c>
      <c r="AE176" s="9" t="str">
        <f t="shared" si="19"/>
        <v/>
      </c>
      <c r="AF176" t="str">
        <f>IFERROR(IF(BB176&lt;&gt;"","",INDEX('M04-S04'!$AF$18:$AF$199,2*(ROWS(AG$163:AG176)-1)+1)),"")</f>
        <v/>
      </c>
      <c r="AG176" s="9" t="str" cm="1">
        <f t="array" ref="AG176">IFERROR(ROUND(IF(BB176&lt;&gt;"","",INDEX('M04-S04'!$AL$18:$AL$199,2*(ROWS(AG$163:AG176)-1)+1)),2),"")</f>
        <v/>
      </c>
      <c r="AH176" s="184"/>
      <c r="AI176" s="191"/>
      <c r="AJ176" s="32" t="str">
        <f>IFERROR(ROUND(IF(BA176&lt;&gt;"","",INDEX('M04-S04'!$AO$18:$AO$199,2*(ROWS(AJ$163:AJ176)-1)+1)),4),"")</f>
        <v/>
      </c>
      <c r="AK176" s="32" t="str">
        <f>IFERROR(ROUND(IF(BA176&lt;&gt;"","",INDEX('M04-S04'!$BF$18:$BF$199,2*(ROWS(AK$163:AK176)-1)+1)),4),"")</f>
        <v/>
      </c>
      <c r="AL176" s="32" t="str">
        <f>IFERROR(ROUND(IF(BA176&lt;&gt;"","",INDEX('M04-S04'!$BG$18:$BG$199,2*(ROWS(AL$163:AL176)-1)+1)),4),"")</f>
        <v/>
      </c>
      <c r="AM176" s="32" cm="1">
        <f t="array" ref="AM176">IFERROR(ROUND(INDEX('M04-S04'!$BA$18:$BA$199,2*(ROWS(AM$163:AM176)-1)+1),4),"")</f>
        <v>0</v>
      </c>
      <c r="AN176" s="32" cm="1">
        <f t="array" ref="AN176">IFERROR(ROUND(INDEX('M04-S04'!$BB$18:$BB$199,2*(ROWS(AN$163:AN176)-1)+1),4),"")</f>
        <v>0</v>
      </c>
      <c r="AO176" s="32"/>
      <c r="AP176" s="9">
        <f>IFERROR(ROUND(IF(BB176&lt;&gt;"",INDEX('M04-S04'!$AH$18:$AH$199,2*(ROWS(AP$163:AP176)-1)+1),""),2),"")</f>
        <v>0</v>
      </c>
      <c r="AQ176" s="9">
        <f>IFERROR(ROUND(IF(BB176&lt;&gt;"",INDEX('M04-S04'!$AJ$18:$AJ$199,2*(ROWS(AQ$163:AQ176)-1)+1),""),2),"")</f>
        <v>0</v>
      </c>
      <c r="AR176" s="9" t="str">
        <f t="shared" si="24"/>
        <v/>
      </c>
      <c r="AS176">
        <f>IFERROR(IF(BB176&lt;&gt;"",INDEX('M04-S04'!$AF$18:$AF$199,2*(ROWS(AS$163:AS176)-1)+1),""),"")</f>
        <v>0</v>
      </c>
      <c r="AT176" s="9" cm="1">
        <f t="array" ref="AT176">IFERROR(ROUND(IF(BB176&lt;&gt;"", INDEX('M04-S04'!$AL$18:$AL$199,2*(ROWS(AG$163:AG176)-1)+1), ""),2),"")</f>
        <v>0</v>
      </c>
      <c r="AU176" s="184"/>
      <c r="AV176" s="5">
        <f>IFERROR(IF(BB176&lt;&gt;"",ROUND(INDEX('M04-S04'!$AY$18:$AY$199,2*(ROWS(AV$163:AV176)-1)+1),3),""),"")</f>
        <v>0</v>
      </c>
      <c r="AW176" s="5">
        <f>IFERROR(IF(BB176&lt;&gt;"",ROUND(INDEX('M04-S04'!$AZ$18:$AZ$199,2*(ROWS(AW$163:AW176)-1)+1),3),""),"")</f>
        <v>0</v>
      </c>
      <c r="AX176" s="184"/>
      <c r="AY176" s="26">
        <f>IFERROR(IF(BB176&lt;&gt;"",INDEX('M04-S04'!$AO$18:$AO$199,2*(ROWS(AY$163:AY176)-1)+1),""),"")</f>
        <v>0</v>
      </c>
      <c r="AZ176" s="32">
        <f>IFERROR(IF(BB176&lt;&gt;"",INDEX('M04-S04'!$BF$18:$BF$199,2*(ROWS(AZ$163:AZ176)-1)+1),""),"")</f>
        <v>0</v>
      </c>
      <c r="BA176" s="32">
        <f>IFERROR(IF(BB176&lt;&gt;"",INDEX('M04-S04'!$BG$18:$BG$199,2*(ROWS(BA$163:BA176)-1)+1),""),"")</f>
        <v>0</v>
      </c>
      <c r="BB176">
        <f>IFERROR(INDEX('M04-S04'!$BY$18:$BY$199,2*(ROWS(BB$163:BB176)-1)+1),"")</f>
        <v>0</v>
      </c>
    </row>
    <row r="177" spans="1:54">
      <c r="A177" s="10">
        <f t="shared" si="22"/>
        <v>0</v>
      </c>
      <c r="B177" t="str">
        <f t="shared" si="23"/>
        <v/>
      </c>
      <c r="C177" t="str" cm="1">
        <f t="array" ref="C177">IFERROR(_xlfn.VALUETOTEXT(INDEX('M04-S04'!$BW$18:$BW$199,2*(ROWS($C$163:C177)-1)+1)),"")</f>
        <v/>
      </c>
      <c r="D177">
        <f>IFERROR(INDEX('M04-S04'!$B$18:$B$199,2*(ROWS(D$163:D177)-1)+1),"")</f>
        <v>0</v>
      </c>
      <c r="E177" s="51" t="str" cm="1">
        <f t="array" ref="E177">IFERROR(_xlfn.VALUETOTEXT(INDEX('M04-S04'!$BX$18:$BX$199,2*(ROWS($E$163:E177)-1)+1)),"")</f>
        <v/>
      </c>
      <c r="F177" t="str" cm="1">
        <f t="array" ref="F177">IF(C177&lt;&gt;"", _xlfn.SWITCH(Program_Banner, "Small Business / Non-Profit", "Hard-To-Reach Business", "Business Energy Savings", "Whole Business Efficiency", ""), "")</f>
        <v/>
      </c>
      <c r="G177" t="s">
        <v>135</v>
      </c>
      <c r="H177">
        <f>IFERROR(INDEX('M04-S04'!$BC$18:$BC$199,2*(ROWS(H$163:H177)-1)+1),"")</f>
        <v>0</v>
      </c>
      <c r="I177">
        <f>IFERROR(INDEX('M04-S04'!$BJ$18:$BJ$199,2*(ROWS(I$163:I177)-1)+1),"")</f>
        <v>0</v>
      </c>
      <c r="J177" s="9">
        <f>IFERROR(INDEX('M04-S04'!$BN$18:$BN$199,2*(ROWS(J$163:J177)-1)+1),"")</f>
        <v>0</v>
      </c>
      <c r="K177" s="9">
        <f>IFERROR(INDEX('M04-S04'!$BO$18:$BO$199,2*(ROWS(K$163:K177)-1)+1),"")</f>
        <v>0</v>
      </c>
      <c r="L177" s="51">
        <f>IFERROR(INDEX('M04-S04'!$BD$18:$BD$199,2*(ROWS(L$163:L177)-1)+1),"")</f>
        <v>0</v>
      </c>
      <c r="M177" s="171"/>
      <c r="N177" s="171"/>
      <c r="O177">
        <f>IFERROR(INDEX('M04-S04'!$H$18:$H$199,2*(ROWS(O$163:O177)-1)+1),"")</f>
        <v>0</v>
      </c>
      <c r="P177">
        <f>IFERROR(INDEX('M04-S04'!$N$18:$N$199,2*(ROWS(P$163:P177)-1)+1),"")</f>
        <v>0</v>
      </c>
      <c r="Q177">
        <f>IFERROR(INDEX('M04-S04'!$W$18:$W$199,2*(ROWS(Q$163:Q177)-1)+1),"")</f>
        <v>0</v>
      </c>
      <c r="S177">
        <f>IFERROR(INDEX('M04-S04'!$AX$18:$AX$199,2*(ROWS(S$163:S177)-1)+1),"")</f>
        <v>0</v>
      </c>
      <c r="T177" s="5">
        <f>IFERROR(ROUND(INDEX('M04-S04'!$AY$18:$AY$199,2*(ROWS(T$163:T177)-1)+1),3),"")</f>
        <v>0</v>
      </c>
      <c r="U177" s="5">
        <f>IFERROR(ROUND(INDEX('M04-S04'!$AZ$18:$AZ$199,2*(ROWS(U$163:U177)-1)+1),3),"")</f>
        <v>0</v>
      </c>
      <c r="V177" s="184"/>
      <c r="W177" s="184"/>
      <c r="X177" s="184"/>
      <c r="Y177" s="184"/>
      <c r="Z177" s="184"/>
      <c r="AA177" s="9" cm="1">
        <f t="array" ref="AA177">IFERROR(ROUND(INDEX('M04-S04'!$AR$18:$AR$199,2*(ROWS(AA$163:AA177)-1)+1), 2),"")</f>
        <v>0</v>
      </c>
      <c r="AB177" s="164"/>
      <c r="AC177" s="9" t="str" cm="1">
        <f t="array" ref="AC177">IFERROR(ROUND(IF(BB177&lt;&gt;"","",INDEX('M04-S04'!$AH$18:$AH$199,2*(ROWS(AC$163:AC177)-1)+1)),2),"")</f>
        <v/>
      </c>
      <c r="AD177" s="9" t="str" cm="1">
        <f t="array" ref="AD177">IFERROR(ROUND(IF(BB177&lt;&gt;"","",INDEX('M04-S04'!$AJ$18:$AJ$199,2*(ROWS(AD$163:AD177)-1)+1)),2),"")</f>
        <v/>
      </c>
      <c r="AE177" s="9" t="str">
        <f t="shared" si="19"/>
        <v/>
      </c>
      <c r="AF177" t="str">
        <f>IFERROR(IF(BB177&lt;&gt;"","",INDEX('M04-S04'!$AF$18:$AF$199,2*(ROWS(AG$163:AG177)-1)+1)),"")</f>
        <v/>
      </c>
      <c r="AG177" s="9" t="str" cm="1">
        <f t="array" ref="AG177">IFERROR(ROUND(IF(BB177&lt;&gt;"","",INDEX('M04-S04'!$AL$18:$AL$199,2*(ROWS(AG$163:AG177)-1)+1)),2),"")</f>
        <v/>
      </c>
      <c r="AH177" s="184"/>
      <c r="AI177" s="191"/>
      <c r="AJ177" s="32" t="str">
        <f>IFERROR(ROUND(IF(BA177&lt;&gt;"","",INDEX('M04-S04'!$AO$18:$AO$199,2*(ROWS(AJ$163:AJ177)-1)+1)),4),"")</f>
        <v/>
      </c>
      <c r="AK177" s="32" t="str">
        <f>IFERROR(ROUND(IF(BA177&lt;&gt;"","",INDEX('M04-S04'!$BF$18:$BF$199,2*(ROWS(AK$163:AK177)-1)+1)),4),"")</f>
        <v/>
      </c>
      <c r="AL177" s="32" t="str">
        <f>IFERROR(ROUND(IF(BA177&lt;&gt;"","",INDEX('M04-S04'!$BG$18:$BG$199,2*(ROWS(AL$163:AL177)-1)+1)),4),"")</f>
        <v/>
      </c>
      <c r="AM177" s="32" cm="1">
        <f t="array" ref="AM177">IFERROR(ROUND(INDEX('M04-S04'!$BA$18:$BA$199,2*(ROWS(AM$163:AM177)-1)+1),4),"")</f>
        <v>0</v>
      </c>
      <c r="AN177" s="32" cm="1">
        <f t="array" ref="AN177">IFERROR(ROUND(INDEX('M04-S04'!$BB$18:$BB$199,2*(ROWS(AN$163:AN177)-1)+1),4),"")</f>
        <v>0</v>
      </c>
      <c r="AO177" s="32"/>
      <c r="AP177" s="9">
        <f>IFERROR(ROUND(IF(BB177&lt;&gt;"",INDEX('M04-S04'!$AH$18:$AH$199,2*(ROWS(AP$163:AP177)-1)+1),""),2),"")</f>
        <v>0</v>
      </c>
      <c r="AQ177" s="9">
        <f>IFERROR(ROUND(IF(BB177&lt;&gt;"",INDEX('M04-S04'!$AJ$18:$AJ$199,2*(ROWS(AQ$163:AQ177)-1)+1),""),2),"")</f>
        <v>0</v>
      </c>
      <c r="AR177" s="9" t="str">
        <f t="shared" si="24"/>
        <v/>
      </c>
      <c r="AS177">
        <f>IFERROR(IF(BB177&lt;&gt;"",INDEX('M04-S04'!$AF$18:$AF$199,2*(ROWS(AS$163:AS177)-1)+1),""),"")</f>
        <v>0</v>
      </c>
      <c r="AT177" s="9" cm="1">
        <f t="array" ref="AT177">IFERROR(ROUND(IF(BB177&lt;&gt;"", INDEX('M04-S04'!$AL$18:$AL$199,2*(ROWS(AG$163:AG177)-1)+1), ""),2),"")</f>
        <v>0</v>
      </c>
      <c r="AU177" s="184"/>
      <c r="AV177" s="5">
        <f>IFERROR(IF(BB177&lt;&gt;"",ROUND(INDEX('M04-S04'!$AY$18:$AY$199,2*(ROWS(AV$163:AV177)-1)+1),3),""),"")</f>
        <v>0</v>
      </c>
      <c r="AW177" s="5">
        <f>IFERROR(IF(BB177&lt;&gt;"",ROUND(INDEX('M04-S04'!$AZ$18:$AZ$199,2*(ROWS(AW$163:AW177)-1)+1),3),""),"")</f>
        <v>0</v>
      </c>
      <c r="AX177" s="184"/>
      <c r="AY177" s="26">
        <f>IFERROR(IF(BB177&lt;&gt;"",INDEX('M04-S04'!$AO$18:$AO$199,2*(ROWS(AY$163:AY177)-1)+1),""),"")</f>
        <v>0</v>
      </c>
      <c r="AZ177" s="32">
        <f>IFERROR(IF(BB177&lt;&gt;"",INDEX('M04-S04'!$BF$18:$BF$199,2*(ROWS(AZ$163:AZ177)-1)+1),""),"")</f>
        <v>0</v>
      </c>
      <c r="BA177" s="32">
        <f>IFERROR(IF(BB177&lt;&gt;"",INDEX('M04-S04'!$BG$18:$BG$199,2*(ROWS(BA$163:BA177)-1)+1),""),"")</f>
        <v>0</v>
      </c>
      <c r="BB177">
        <f>IFERROR(INDEX('M04-S04'!$BY$18:$BY$199,2*(ROWS(BB$163:BB177)-1)+1),"")</f>
        <v>0</v>
      </c>
    </row>
    <row r="178" spans="1:54">
      <c r="A178" s="477" t="str">
        <f>"Custom "&amp;M4S5</f>
        <v>Custom HVAC</v>
      </c>
      <c r="B178" s="31"/>
      <c r="C178" s="31"/>
      <c r="D178" s="31"/>
      <c r="E178" s="31"/>
      <c r="F178" s="31"/>
      <c r="G178" s="31"/>
      <c r="H178" s="31"/>
      <c r="I178" s="31"/>
      <c r="J178" s="181"/>
      <c r="K178" s="181"/>
      <c r="L178" s="31"/>
      <c r="M178" s="31"/>
      <c r="N178" s="31"/>
      <c r="O178" s="98"/>
      <c r="P178" s="31"/>
      <c r="Q178" s="31"/>
      <c r="R178" s="31"/>
      <c r="S178" s="31"/>
      <c r="T178" s="187"/>
      <c r="U178" s="187"/>
      <c r="V178" s="185"/>
      <c r="W178" s="185"/>
      <c r="X178" s="185"/>
      <c r="Y178" s="185"/>
      <c r="Z178" s="185"/>
      <c r="AA178" s="181"/>
      <c r="AB178" s="31"/>
      <c r="AC178" s="181"/>
      <c r="AD178" s="181"/>
      <c r="AE178" s="181"/>
      <c r="AF178" s="31"/>
      <c r="AG178" s="181"/>
      <c r="AH178" s="31"/>
      <c r="AI178" s="189"/>
      <c r="AJ178" s="189"/>
      <c r="AK178" s="189"/>
      <c r="AL178" s="189"/>
      <c r="AM178" s="189"/>
      <c r="AN178" s="189"/>
      <c r="AO178" s="189"/>
      <c r="AP178" s="181"/>
      <c r="AQ178" s="181"/>
      <c r="AR178" s="181"/>
      <c r="AS178" s="31"/>
      <c r="AT178" s="31"/>
      <c r="AU178" s="31"/>
      <c r="AV178" s="187"/>
      <c r="AW178" s="187"/>
      <c r="AX178" s="185"/>
      <c r="AY178" s="185"/>
      <c r="AZ178" s="189"/>
      <c r="BA178" s="189"/>
      <c r="BB178" s="31"/>
    </row>
    <row r="179" spans="1:54">
      <c r="A179" s="10">
        <f t="shared" ref="A179:A193" si="25">PROJID</f>
        <v>0</v>
      </c>
      <c r="B179" t="str">
        <f t="shared" ref="B179:B193" si="26">IF(C179="","",CONCATENATE(ROW(),"-",C179))</f>
        <v/>
      </c>
      <c r="C179" t="str" cm="1">
        <f t="array" ref="C179">IFERROR(_xlfn.VALUETOTEXT(INDEX('M04-S05'!$BW$18:$BW$199,2*(ROWS($C$179:C179)-1)+1)),"")</f>
        <v/>
      </c>
      <c r="D179">
        <f>IFERROR(INDEX('M04-S05'!$B$18:$B$199,2*(ROWS(D$179:D179)-1)+1),"")</f>
        <v>1</v>
      </c>
      <c r="E179" s="51" t="str" cm="1">
        <f t="array" ref="E179">IFERROR(_xlfn.VALUETOTEXT(INDEX('M04-S05'!$BX$18:$BX$199,2*(ROWS($E$179:E179)-1)+1)),"")</f>
        <v/>
      </c>
      <c r="F179" t="str" cm="1">
        <f t="array" ref="F179">IF(C179&lt;&gt;"", _xlfn.SWITCH(Program_Banner, "Small Business / Non-Profit", "Hard-To-Reach Business", "Business Energy Savings", "Whole Business Efficiency", ""), "")</f>
        <v/>
      </c>
      <c r="G179" t="s">
        <v>135</v>
      </c>
      <c r="H179" t="str">
        <f>IFERROR(INDEX('M04-S05'!$BC$18:$BC$199,2*(ROWS(H$179:H179)-1)+1),"")</f>
        <v/>
      </c>
      <c r="I179" t="str">
        <f>IFERROR(INDEX('M04-S05'!$BJ$18:$BJ$199,2*(ROWS(I$179:I179)-1)+1),"")</f>
        <v/>
      </c>
      <c r="J179" s="9" t="str">
        <f>IFERROR(INDEX('M04-S05'!$BN$18:$BN$199,2*(ROWS(J$179:J179)-1)+1),"")</f>
        <v/>
      </c>
      <c r="K179" s="9" t="str">
        <f>IFERROR(INDEX('M04-S05'!$BO$18:$BO$199,2*(ROWS(K$179:K179)-1)+1),"")</f>
        <v/>
      </c>
      <c r="L179" s="51" t="str">
        <f>IFERROR(INDEX('M04-S05'!$BD$18:$BD$199,2*(ROWS(L$179:L179)-1)+1),"")</f>
        <v/>
      </c>
      <c r="M179" s="171"/>
      <c r="N179" s="171"/>
      <c r="O179">
        <f>IFERROR(INDEX('M04-S05'!$H$18:$H$199,2*(ROWS(O$179:O179)-1)+1),"")</f>
        <v>0</v>
      </c>
      <c r="P179">
        <f>IFERROR(INDEX('M04-S05'!$N$18:$N$199,2*(ROWS(P$179:P179)-1)+1),"")</f>
        <v>0</v>
      </c>
      <c r="Q179">
        <f>IFERROR(INDEX('M04-S05'!$W$18:$W$199,2*(ROWS(Q$179:Q179)-1)+1),"")</f>
        <v>0</v>
      </c>
      <c r="S179" t="str">
        <f>IFERROR(INDEX('M04-S05'!$AX$18:$AX$199,2*(ROWS(S$179:S179)-1)+1),"")</f>
        <v/>
      </c>
      <c r="T179" s="5" t="str">
        <f>IFERROR(ROUND(INDEX('M04-S05'!$AY$18:$AY$199,2*(ROWS(T$179:T179)-1)+1),3),"")</f>
        <v/>
      </c>
      <c r="U179" s="5" t="str">
        <f>IFERROR(ROUND(INDEX('M04-S05'!$AZ$18:$AZ$199,2*(ROWS(U$179:U179)-1)+1),3),"")</f>
        <v/>
      </c>
      <c r="V179" s="184"/>
      <c r="W179" s="184"/>
      <c r="X179" s="184"/>
      <c r="Y179" s="184"/>
      <c r="Z179" s="184"/>
      <c r="AA179" s="9" t="str" cm="1">
        <f t="array" ref="AA179">IFERROR(ROUND(INDEX('M04-S05'!$AR$18:$AR$199,2*(ROWS(AA$179:AA179)-1)+1), 2),"")</f>
        <v/>
      </c>
      <c r="AB179" s="164"/>
      <c r="AC179" s="9" t="str" cm="1">
        <f t="array" aca="1" ref="AC179" ca="1">IFERROR(ROUND(IF(BB179&lt;&gt;"","",INDEX('M04-S05'!$AH$18:$AH$199,2*(ROWS(AC$179:AC179)-1)+1)),2),"")</f>
        <v/>
      </c>
      <c r="AD179" s="9" t="str" cm="1">
        <f t="array" aca="1" ref="AD179" ca="1">IFERROR(ROUND(IF(BB179&lt;&gt;"","",INDEX('M04-S05'!$AJ$18:$AJ$199,2*(ROWS(AD$179:AD179)-1)+1)),2),"")</f>
        <v/>
      </c>
      <c r="AE179" s="9" t="str">
        <f t="shared" ca="1" si="19"/>
        <v/>
      </c>
      <c r="AF179" t="str">
        <f ca="1">IFERROR(IF(BB179&lt;&gt;"","",INDEX('M04-S05'!$AF$18:$AF$199,2*(ROWS(AG$179:AG179)-1)+1)),"")</f>
        <v/>
      </c>
      <c r="AG179" s="9" t="str" cm="1">
        <f t="array" aca="1" ref="AG179" ca="1">IFERROR(ROUND(IF(BB179&lt;&gt;"","",INDEX('M04-S05'!$AL$18:$AL$199,2*(ROWS(AG$179:AG179)-1)+1)),2),"")</f>
        <v/>
      </c>
      <c r="AH179" s="184"/>
      <c r="AI179" s="191"/>
      <c r="AJ179" s="32" t="str">
        <f ca="1">IFERROR(ROUND(IF(BA179&lt;&gt;"","",INDEX('M04-S05'!$AO$18:$AO$199,2*(ROWS(AJ$179:AJ179)-1)+1)),4),"")</f>
        <v/>
      </c>
      <c r="AK179" s="32">
        <f ca="1">IFERROR(ROUND(IF(BA179&lt;&gt;"","",INDEX('M04-S05'!$BF$18:$BF$199,2*(ROWS(AK$179:AK179)-1)+1)),4),"")</f>
        <v>0</v>
      </c>
      <c r="AL179" s="32" t="str">
        <f ca="1">IFERROR(ROUND(IF(BA179&lt;&gt;"","",INDEX('M04-S05'!$BG$18:$BG$199,2*(ROWS(AL$179:AL179)-1)+1)),4),"")</f>
        <v/>
      </c>
      <c r="AM179" s="32" t="str" cm="1">
        <f t="array" ref="AM179">IFERROR(ROUND(INDEX('M04-S05'!$BA$18:$BA$199,2*(ROWS(AM$179:AM179)-1)+1),4),"")</f>
        <v/>
      </c>
      <c r="AN179" s="32" t="str" cm="1">
        <f t="array" ref="AN179">IFERROR(ROUND(INDEX('M04-S05'!$BB$18:$BB$199,2*(ROWS(AN$179:AN179)-1)+1),4),"")</f>
        <v/>
      </c>
      <c r="AO179" s="32"/>
      <c r="AP179" s="9">
        <f ca="1">IFERROR(ROUND(IF(BB179&lt;&gt;"",INDEX('M04-S05'!$AH$18:$AH$199,2*(ROWS(AP$179:AP179)-1)+1),""),2),"")</f>
        <v>0</v>
      </c>
      <c r="AQ179" s="9" t="str">
        <f ca="1">IFERROR(ROUND(IF(BB179&lt;&gt;"",INDEX('M04-S05'!$AJ$18:$AJ$199,2*(ROWS(AQ$179:AQ179)-1)+1),""),2),"")</f>
        <v/>
      </c>
      <c r="AR179" s="9" t="str">
        <f ca="1">IF(BB179&lt;&gt;"", "", IF(AS179="Total", AT179, ""))</f>
        <v/>
      </c>
      <c r="AS179" t="str">
        <f ca="1">IFERROR(IF(BB179&lt;&gt;"",INDEX('M04-S05'!$AF$18:$AF$199,2*(ROWS(AS$179:AS179)-1)+1),""),"")</f>
        <v/>
      </c>
      <c r="AT179" s="9" t="str" cm="1">
        <f t="array" aca="1" ref="AT179" ca="1">IFERROR(ROUND(IF(BB179&lt;&gt;"", INDEX('M04-S05'!$AL$18:$AL$199,2*(ROWS(AG$179:AG179)-1)+1), ""),2),"")</f>
        <v/>
      </c>
      <c r="AU179" s="184"/>
      <c r="AV179" s="5" t="str">
        <f ca="1">IFERROR(IF(BB179&lt;&gt;"",ROUND(INDEX('M04-S05'!$AY$18:$AY$199,2*(ROWS(AV$179:AV179)-1)+1),3),""),"")</f>
        <v/>
      </c>
      <c r="AW179" s="5" t="str">
        <f ca="1">IFERROR(IF(BB179&lt;&gt;"",ROUND(INDEX('M04-S05'!$AZ$18:$AZ$199,2*(ROWS(AW$179:AW179)-1)+1),3),""),"")</f>
        <v/>
      </c>
      <c r="AX179" s="184"/>
      <c r="AY179" s="26" t="str">
        <f ca="1">IFERROR(IF(BB179&lt;&gt;"",INDEX('M04-S05'!$AO$18:$AO$199,2*(ROWS(AY$179:AY179)-1)+1),""),"")</f>
        <v/>
      </c>
      <c r="AZ179" s="32">
        <f ca="1">IFERROR(IF(BB179&lt;&gt;"",INDEX('M04-S05'!$BF$18:$BF$199,2*(ROWS(AZ$179:AZ179)-1)+1),""),"")</f>
        <v>0</v>
      </c>
      <c r="BA179" s="32" t="str">
        <f ca="1">IFERROR(IF(BB179&lt;&gt;"",INDEX('M04-S05'!$BG$18:$BG$199,2*(ROWS(BA$179:BA179)-1)+1),""),"")</f>
        <v/>
      </c>
      <c r="BB179" t="str">
        <f ca="1">IFERROR(INDEX('M04-S05'!$BY$18:$BY$199,2*(ROWS(BB$179:BB179)-1)+1),"")</f>
        <v>Submit for Review</v>
      </c>
    </row>
    <row r="180" spans="1:54">
      <c r="A180" s="10">
        <f t="shared" si="25"/>
        <v>0</v>
      </c>
      <c r="B180" t="str">
        <f t="shared" si="26"/>
        <v/>
      </c>
      <c r="C180" t="str" cm="1">
        <f t="array" ref="C180">IFERROR(_xlfn.VALUETOTEXT(INDEX('M04-S05'!$BW$18:$BW$199,2*(ROWS($C$179:C180)-1)+1)),"")</f>
        <v/>
      </c>
      <c r="D180">
        <f>IFERROR(INDEX('M04-S05'!$B$18:$B$199,2*(ROWS(D$179:D180)-1)+1),"")</f>
        <v>2</v>
      </c>
      <c r="E180" s="51" t="str" cm="1">
        <f t="array" ref="E180">IFERROR(_xlfn.VALUETOTEXT(INDEX('M04-S05'!$BX$18:$BX$199,2*(ROWS($E$179:E180)-1)+1)),"")</f>
        <v/>
      </c>
      <c r="F180" t="str" cm="1">
        <f t="array" ref="F180">IF(C180&lt;&gt;"", _xlfn.SWITCH(Program_Banner, "Small Business / Non-Profit", "Hard-To-Reach Business", "Business Energy Savings", "Whole Business Efficiency", ""), "")</f>
        <v/>
      </c>
      <c r="G180" t="s">
        <v>135</v>
      </c>
      <c r="H180" t="str">
        <f>IFERROR(INDEX('M04-S05'!$BC$18:$BC$199,2*(ROWS(H$179:H180)-1)+1),"")</f>
        <v/>
      </c>
      <c r="I180" t="str">
        <f>IFERROR(INDEX('M04-S05'!$BJ$18:$BJ$199,2*(ROWS(I$179:I180)-1)+1),"")</f>
        <v/>
      </c>
      <c r="J180" s="9" t="str">
        <f>IFERROR(INDEX('M04-S05'!$BN$18:$BN$199,2*(ROWS(J$179:J180)-1)+1),"")</f>
        <v/>
      </c>
      <c r="K180" s="9" t="str">
        <f>IFERROR(INDEX('M04-S05'!$BO$18:$BO$199,2*(ROWS(K$179:K180)-1)+1),"")</f>
        <v/>
      </c>
      <c r="L180" s="51" t="str">
        <f>IFERROR(INDEX('M04-S05'!$BD$18:$BD$199,2*(ROWS(L$179:L180)-1)+1),"")</f>
        <v/>
      </c>
      <c r="M180" s="171"/>
      <c r="N180" s="171"/>
      <c r="O180">
        <f>IFERROR(INDEX('M04-S05'!$H$18:$H$199,2*(ROWS(O$179:O180)-1)+1),"")</f>
        <v>0</v>
      </c>
      <c r="P180">
        <f>IFERROR(INDEX('M04-S05'!$N$18:$N$199,2*(ROWS(P$179:P180)-1)+1),"")</f>
        <v>0</v>
      </c>
      <c r="Q180">
        <f>IFERROR(INDEX('M04-S05'!$W$18:$W$199,2*(ROWS(Q$179:Q180)-1)+1),"")</f>
        <v>0</v>
      </c>
      <c r="S180" t="str">
        <f>IFERROR(INDEX('M04-S05'!$AX$18:$AX$199,2*(ROWS(S$179:S180)-1)+1),"")</f>
        <v/>
      </c>
      <c r="T180" s="5" t="str">
        <f>IFERROR(ROUND(INDEX('M04-S05'!$AY$18:$AY$199,2*(ROWS(T$179:T180)-1)+1),3),"")</f>
        <v/>
      </c>
      <c r="U180" s="5" t="str">
        <f>IFERROR(ROUND(INDEX('M04-S05'!$AZ$18:$AZ$199,2*(ROWS(U$179:U180)-1)+1),3),"")</f>
        <v/>
      </c>
      <c r="V180" s="184"/>
      <c r="W180" s="184"/>
      <c r="X180" s="184"/>
      <c r="Y180" s="184"/>
      <c r="Z180" s="184"/>
      <c r="AA180" s="9" t="str" cm="1">
        <f t="array" ref="AA180">IFERROR(ROUND(INDEX('M04-S05'!$AR$18:$AR$199,2*(ROWS(AA$179:AA180)-1)+1), 2),"")</f>
        <v/>
      </c>
      <c r="AB180" s="164"/>
      <c r="AC180" s="9" t="str" cm="1">
        <f t="array" aca="1" ref="AC180" ca="1">IFERROR(ROUND(IF(BB180&lt;&gt;"","",INDEX('M04-S05'!$AH$18:$AH$199,2*(ROWS(AC$179:AC180)-1)+1)),2),"")</f>
        <v/>
      </c>
      <c r="AD180" s="9" t="str" cm="1">
        <f t="array" aca="1" ref="AD180" ca="1">IFERROR(ROUND(IF(BB180&lt;&gt;"","",INDEX('M04-S05'!$AJ$18:$AJ$199,2*(ROWS(AD$179:AD180)-1)+1)),2),"")</f>
        <v/>
      </c>
      <c r="AE180" s="9" t="str">
        <f t="shared" ca="1" si="19"/>
        <v/>
      </c>
      <c r="AF180" t="str">
        <f ca="1">IFERROR(IF(BB180&lt;&gt;"","",INDEX('M04-S05'!$AF$18:$AF$199,2*(ROWS(AG$179:AG180)-1)+1)),"")</f>
        <v/>
      </c>
      <c r="AG180" s="9" t="str" cm="1">
        <f t="array" aca="1" ref="AG180" ca="1">IFERROR(ROUND(IF(BB180&lt;&gt;"","",INDEX('M04-S05'!$AL$18:$AL$199,2*(ROWS(AG$179:AG180)-1)+1)),2),"")</f>
        <v/>
      </c>
      <c r="AH180" s="184"/>
      <c r="AI180" s="191"/>
      <c r="AJ180" s="32" t="str">
        <f ca="1">IFERROR(ROUND(IF(BA180&lt;&gt;"","",INDEX('M04-S05'!$AO$18:$AO$199,2*(ROWS(AJ$179:AJ180)-1)+1)),4),"")</f>
        <v/>
      </c>
      <c r="AK180" s="32">
        <f ca="1">IFERROR(ROUND(IF(BA180&lt;&gt;"","",INDEX('M04-S05'!$BF$18:$BF$199,2*(ROWS(AK$179:AK180)-1)+1)),4),"")</f>
        <v>0</v>
      </c>
      <c r="AL180" s="32" t="str">
        <f ca="1">IFERROR(ROUND(IF(BA180&lt;&gt;"","",INDEX('M04-S05'!$BG$18:$BG$199,2*(ROWS(AL$179:AL180)-1)+1)),4),"")</f>
        <v/>
      </c>
      <c r="AM180" s="32" t="str" cm="1">
        <f t="array" ref="AM180">IFERROR(ROUND(INDEX('M04-S05'!$BA$18:$BA$199,2*(ROWS(AM$179:AM180)-1)+1),4),"")</f>
        <v/>
      </c>
      <c r="AN180" s="32" t="str" cm="1">
        <f t="array" ref="AN180">IFERROR(ROUND(INDEX('M04-S05'!$BB$18:$BB$199,2*(ROWS(AN$179:AN180)-1)+1),4),"")</f>
        <v/>
      </c>
      <c r="AO180" s="32"/>
      <c r="AP180" s="9">
        <f ca="1">IFERROR(ROUND(IF(BB180&lt;&gt;"",INDEX('M04-S05'!$AH$18:$AH$199,2*(ROWS(AP$179:AP180)-1)+1),""),2),"")</f>
        <v>0</v>
      </c>
      <c r="AQ180" s="9" t="str">
        <f ca="1">IFERROR(ROUND(IF(BB180&lt;&gt;"",INDEX('M04-S05'!$AJ$18:$AJ$199,2*(ROWS(AQ$179:AQ180)-1)+1),""),2),"")</f>
        <v/>
      </c>
      <c r="AR180" s="9" t="str">
        <f t="shared" ref="AR180:AR193" ca="1" si="27">IF(BB180&lt;&gt;"", "", IF(AS180="Total", AT180, ""))</f>
        <v/>
      </c>
      <c r="AS180" t="str">
        <f ca="1">IFERROR(IF(BB180&lt;&gt;"",INDEX('M04-S05'!$AF$18:$AF$199,2*(ROWS(AS$179:AS180)-1)+1),""),"")</f>
        <v/>
      </c>
      <c r="AT180" s="9" t="str" cm="1">
        <f t="array" aca="1" ref="AT180" ca="1">IFERROR(ROUND(IF(BB180&lt;&gt;"", INDEX('M04-S05'!$AL$18:$AL$199,2*(ROWS(AG$179:AG180)-1)+1), ""),2),"")</f>
        <v/>
      </c>
      <c r="AU180" s="184"/>
      <c r="AV180" s="5" t="str">
        <f ca="1">IFERROR(IF(BB180&lt;&gt;"",ROUND(INDEX('M04-S05'!$AY$18:$AY$199,2*(ROWS(AV$179:AV180)-1)+1),3),""),"")</f>
        <v/>
      </c>
      <c r="AW180" s="5" t="str">
        <f ca="1">IFERROR(IF(BB180&lt;&gt;"",ROUND(INDEX('M04-S05'!$AZ$18:$AZ$199,2*(ROWS(AW$179:AW180)-1)+1),3),""),"")</f>
        <v/>
      </c>
      <c r="AX180" s="184"/>
      <c r="AY180" s="26" t="str">
        <f ca="1">IFERROR(IF(BB180&lt;&gt;"",INDEX('M04-S05'!$AO$18:$AO$199,2*(ROWS(AY$179:AY180)-1)+1),""),"")</f>
        <v/>
      </c>
      <c r="AZ180" s="32">
        <f ca="1">IFERROR(IF(BB180&lt;&gt;"",INDEX('M04-S05'!$BF$18:$BF$199,2*(ROWS(AZ$179:AZ180)-1)+1),""),"")</f>
        <v>0</v>
      </c>
      <c r="BA180" s="32" t="str">
        <f ca="1">IFERROR(IF(BB180&lt;&gt;"",INDEX('M04-S05'!$BG$18:$BG$199,2*(ROWS(BA$179:BA180)-1)+1),""),"")</f>
        <v/>
      </c>
      <c r="BB180" t="str">
        <f ca="1">IFERROR(INDEX('M04-S05'!$BY$18:$BY$199,2*(ROWS(BB$179:BB180)-1)+1),"")</f>
        <v>Submit for Review</v>
      </c>
    </row>
    <row r="181" spans="1:54">
      <c r="A181" s="10">
        <f t="shared" si="25"/>
        <v>0</v>
      </c>
      <c r="B181" t="str">
        <f t="shared" si="26"/>
        <v/>
      </c>
      <c r="C181" t="str" cm="1">
        <f t="array" ref="C181">IFERROR(_xlfn.VALUETOTEXT(INDEX('M04-S05'!$BW$18:$BW$199,2*(ROWS($C$179:C181)-1)+1)),"")</f>
        <v/>
      </c>
      <c r="D181">
        <f>IFERROR(INDEX('M04-S05'!$B$18:$B$199,2*(ROWS(D$179:D181)-1)+1),"")</f>
        <v>3</v>
      </c>
      <c r="E181" s="51" t="str" cm="1">
        <f t="array" ref="E181">IFERROR(_xlfn.VALUETOTEXT(INDEX('M04-S05'!$BX$18:$BX$199,2*(ROWS($E$179:E181)-1)+1)),"")</f>
        <v/>
      </c>
      <c r="F181" t="str" cm="1">
        <f t="array" ref="F181">IF(C181&lt;&gt;"", _xlfn.SWITCH(Program_Banner, "Small Business / Non-Profit", "Hard-To-Reach Business", "Business Energy Savings", "Whole Business Efficiency", ""), "")</f>
        <v/>
      </c>
      <c r="G181" t="s">
        <v>135</v>
      </c>
      <c r="H181" t="str">
        <f>IFERROR(INDEX('M04-S05'!$BC$18:$BC$199,2*(ROWS(H$179:H181)-1)+1),"")</f>
        <v/>
      </c>
      <c r="I181" t="str">
        <f>IFERROR(INDEX('M04-S05'!$BJ$18:$BJ$199,2*(ROWS(I$179:I181)-1)+1),"")</f>
        <v/>
      </c>
      <c r="J181" s="9" t="str">
        <f>IFERROR(INDEX('M04-S05'!$BN$18:$BN$199,2*(ROWS(J$179:J181)-1)+1),"")</f>
        <v/>
      </c>
      <c r="K181" s="9" t="str">
        <f>IFERROR(INDEX('M04-S05'!$BO$18:$BO$199,2*(ROWS(K$179:K181)-1)+1),"")</f>
        <v/>
      </c>
      <c r="L181" s="51" t="str">
        <f>IFERROR(INDEX('M04-S05'!$BD$18:$BD$199,2*(ROWS(L$179:L181)-1)+1),"")</f>
        <v/>
      </c>
      <c r="M181" s="171"/>
      <c r="N181" s="171"/>
      <c r="O181">
        <f>IFERROR(INDEX('M04-S05'!$H$18:$H$199,2*(ROWS(O$179:O181)-1)+1),"")</f>
        <v>0</v>
      </c>
      <c r="P181">
        <f>IFERROR(INDEX('M04-S05'!$N$18:$N$199,2*(ROWS(P$179:P181)-1)+1),"")</f>
        <v>0</v>
      </c>
      <c r="Q181">
        <f>IFERROR(INDEX('M04-S05'!$W$18:$W$199,2*(ROWS(Q$179:Q181)-1)+1),"")</f>
        <v>0</v>
      </c>
      <c r="S181" t="str">
        <f>IFERROR(INDEX('M04-S05'!$AX$18:$AX$199,2*(ROWS(S$179:S181)-1)+1),"")</f>
        <v/>
      </c>
      <c r="T181" s="5" t="str">
        <f>IFERROR(ROUND(INDEX('M04-S05'!$AY$18:$AY$199,2*(ROWS(T$179:T181)-1)+1),3),"")</f>
        <v/>
      </c>
      <c r="U181" s="5" t="str">
        <f>IFERROR(ROUND(INDEX('M04-S05'!$AZ$18:$AZ$199,2*(ROWS(U$179:U181)-1)+1),3),"")</f>
        <v/>
      </c>
      <c r="V181" s="184"/>
      <c r="W181" s="184"/>
      <c r="X181" s="184"/>
      <c r="Y181" s="184"/>
      <c r="Z181" s="184"/>
      <c r="AA181" s="9" t="str" cm="1">
        <f t="array" ref="AA181">IFERROR(ROUND(INDEX('M04-S05'!$AR$18:$AR$199,2*(ROWS(AA$179:AA181)-1)+1), 2),"")</f>
        <v/>
      </c>
      <c r="AB181" s="164"/>
      <c r="AC181" s="9" t="str" cm="1">
        <f t="array" aca="1" ref="AC181" ca="1">IFERROR(ROUND(IF(BB181&lt;&gt;"","",INDEX('M04-S05'!$AH$18:$AH$199,2*(ROWS(AC$179:AC181)-1)+1)),2),"")</f>
        <v/>
      </c>
      <c r="AD181" s="9" t="str" cm="1">
        <f t="array" aca="1" ref="AD181" ca="1">IFERROR(ROUND(IF(BB181&lt;&gt;"","",INDEX('M04-S05'!$AJ$18:$AJ$199,2*(ROWS(AD$179:AD181)-1)+1)),2),"")</f>
        <v/>
      </c>
      <c r="AE181" s="9" t="str">
        <f t="shared" ca="1" si="19"/>
        <v/>
      </c>
      <c r="AF181" t="str">
        <f ca="1">IFERROR(IF(BB181&lt;&gt;"","",INDEX('M04-S05'!$AF$18:$AF$199,2*(ROWS(AG$179:AG181)-1)+1)),"")</f>
        <v/>
      </c>
      <c r="AG181" s="9" t="str" cm="1">
        <f t="array" aca="1" ref="AG181" ca="1">IFERROR(ROUND(IF(BB181&lt;&gt;"","",INDEX('M04-S05'!$AL$18:$AL$199,2*(ROWS(AG$179:AG181)-1)+1)),2),"")</f>
        <v/>
      </c>
      <c r="AH181" s="184"/>
      <c r="AI181" s="191"/>
      <c r="AJ181" s="32" t="str">
        <f ca="1">IFERROR(ROUND(IF(BA181&lt;&gt;"","",INDEX('M04-S05'!$AO$18:$AO$199,2*(ROWS(AJ$179:AJ181)-1)+1)),4),"")</f>
        <v/>
      </c>
      <c r="AK181" s="32">
        <f ca="1">IFERROR(ROUND(IF(BA181&lt;&gt;"","",INDEX('M04-S05'!$BF$18:$BF$199,2*(ROWS(AK$179:AK181)-1)+1)),4),"")</f>
        <v>0</v>
      </c>
      <c r="AL181" s="32" t="str">
        <f ca="1">IFERROR(ROUND(IF(BA181&lt;&gt;"","",INDEX('M04-S05'!$BG$18:$BG$199,2*(ROWS(AL$179:AL181)-1)+1)),4),"")</f>
        <v/>
      </c>
      <c r="AM181" s="32" t="str" cm="1">
        <f t="array" ref="AM181">IFERROR(ROUND(INDEX('M04-S05'!$BA$18:$BA$199,2*(ROWS(AM$179:AM181)-1)+1),4),"")</f>
        <v/>
      </c>
      <c r="AN181" s="32" t="str" cm="1">
        <f t="array" ref="AN181">IFERROR(ROUND(INDEX('M04-S05'!$BB$18:$BB$199,2*(ROWS(AN$179:AN181)-1)+1),4),"")</f>
        <v/>
      </c>
      <c r="AO181" s="32"/>
      <c r="AP181" s="9">
        <f ca="1">IFERROR(ROUND(IF(BB181&lt;&gt;"",INDEX('M04-S05'!$AH$18:$AH$199,2*(ROWS(AP$179:AP181)-1)+1),""),2),"")</f>
        <v>0</v>
      </c>
      <c r="AQ181" s="9" t="str">
        <f ca="1">IFERROR(ROUND(IF(BB181&lt;&gt;"",INDEX('M04-S05'!$AJ$18:$AJ$199,2*(ROWS(AQ$179:AQ181)-1)+1),""),2),"")</f>
        <v/>
      </c>
      <c r="AR181" s="9" t="str">
        <f t="shared" ca="1" si="27"/>
        <v/>
      </c>
      <c r="AS181" t="str">
        <f ca="1">IFERROR(IF(BB181&lt;&gt;"",INDEX('M04-S05'!$AF$18:$AF$199,2*(ROWS(AS$179:AS181)-1)+1),""),"")</f>
        <v/>
      </c>
      <c r="AT181" s="9" t="str" cm="1">
        <f t="array" aca="1" ref="AT181" ca="1">IFERROR(ROUND(IF(BB181&lt;&gt;"", INDEX('M04-S05'!$AL$18:$AL$199,2*(ROWS(AG$179:AG181)-1)+1), ""),2),"")</f>
        <v/>
      </c>
      <c r="AU181" s="184"/>
      <c r="AV181" s="5" t="str">
        <f ca="1">IFERROR(IF(BB181&lt;&gt;"",ROUND(INDEX('M04-S05'!$AY$18:$AY$199,2*(ROWS(AV$179:AV181)-1)+1),3),""),"")</f>
        <v/>
      </c>
      <c r="AW181" s="5" t="str">
        <f ca="1">IFERROR(IF(BB181&lt;&gt;"",ROUND(INDEX('M04-S05'!$AZ$18:$AZ$199,2*(ROWS(AW$179:AW181)-1)+1),3),""),"")</f>
        <v/>
      </c>
      <c r="AX181" s="184"/>
      <c r="AY181" s="26" t="str">
        <f ca="1">IFERROR(IF(BB181&lt;&gt;"",INDEX('M04-S05'!$AO$18:$AO$199,2*(ROWS(AY$179:AY181)-1)+1),""),"")</f>
        <v/>
      </c>
      <c r="AZ181" s="32">
        <f ca="1">IFERROR(IF(BB181&lt;&gt;"",INDEX('M04-S05'!$BF$18:$BF$199,2*(ROWS(AZ$179:AZ181)-1)+1),""),"")</f>
        <v>0</v>
      </c>
      <c r="BA181" s="32" t="str">
        <f ca="1">IFERROR(IF(BB181&lt;&gt;"",INDEX('M04-S05'!$BG$18:$BG$199,2*(ROWS(BA$179:BA181)-1)+1),""),"")</f>
        <v/>
      </c>
      <c r="BB181" t="str">
        <f ca="1">IFERROR(INDEX('M04-S05'!$BY$18:$BY$199,2*(ROWS(BB$179:BB181)-1)+1),"")</f>
        <v>Submit for Review</v>
      </c>
    </row>
    <row r="182" spans="1:54">
      <c r="A182" s="10">
        <f t="shared" si="25"/>
        <v>0</v>
      </c>
      <c r="B182" t="str">
        <f t="shared" si="26"/>
        <v/>
      </c>
      <c r="C182" t="str" cm="1">
        <f t="array" ref="C182">IFERROR(_xlfn.VALUETOTEXT(INDEX('M04-S05'!$BW$18:$BW$199,2*(ROWS($C$179:C182)-1)+1)),"")</f>
        <v/>
      </c>
      <c r="D182">
        <f>IFERROR(INDEX('M04-S05'!$B$18:$B$199,2*(ROWS(D$179:D182)-1)+1),"")</f>
        <v>4</v>
      </c>
      <c r="E182" s="51" t="str" cm="1">
        <f t="array" ref="E182">IFERROR(_xlfn.VALUETOTEXT(INDEX('M04-S05'!$BX$18:$BX$199,2*(ROWS($E$179:E182)-1)+1)),"")</f>
        <v/>
      </c>
      <c r="F182" t="str" cm="1">
        <f t="array" ref="F182">IF(C182&lt;&gt;"", _xlfn.SWITCH(Program_Banner, "Small Business / Non-Profit", "Hard-To-Reach Business", "Business Energy Savings", "Whole Business Efficiency", ""), "")</f>
        <v/>
      </c>
      <c r="G182" t="s">
        <v>135</v>
      </c>
      <c r="H182" t="str">
        <f>IFERROR(INDEX('M04-S05'!$BC$18:$BC$199,2*(ROWS(H$179:H182)-1)+1),"")</f>
        <v/>
      </c>
      <c r="I182" t="str">
        <f>IFERROR(INDEX('M04-S05'!$BJ$18:$BJ$199,2*(ROWS(I$179:I182)-1)+1),"")</f>
        <v/>
      </c>
      <c r="J182" s="9" t="str">
        <f>IFERROR(INDEX('M04-S05'!$BN$18:$BN$199,2*(ROWS(J$179:J182)-1)+1),"")</f>
        <v/>
      </c>
      <c r="K182" s="9" t="str">
        <f>IFERROR(INDEX('M04-S05'!$BO$18:$BO$199,2*(ROWS(K$179:K182)-1)+1),"")</f>
        <v/>
      </c>
      <c r="L182" s="51" t="str">
        <f>IFERROR(INDEX('M04-S05'!$BD$18:$BD$199,2*(ROWS(L$179:L182)-1)+1),"")</f>
        <v/>
      </c>
      <c r="M182" s="171"/>
      <c r="N182" s="171"/>
      <c r="O182">
        <f>IFERROR(INDEX('M04-S05'!$H$18:$H$199,2*(ROWS(O$179:O182)-1)+1),"")</f>
        <v>0</v>
      </c>
      <c r="P182">
        <f>IFERROR(INDEX('M04-S05'!$N$18:$N$199,2*(ROWS(P$179:P182)-1)+1),"")</f>
        <v>0</v>
      </c>
      <c r="Q182">
        <f>IFERROR(INDEX('M04-S05'!$W$18:$W$199,2*(ROWS(Q$179:Q182)-1)+1),"")</f>
        <v>0</v>
      </c>
      <c r="S182" t="str">
        <f>IFERROR(INDEX('M04-S05'!$AX$18:$AX$199,2*(ROWS(S$179:S182)-1)+1),"")</f>
        <v/>
      </c>
      <c r="T182" s="5" t="str">
        <f>IFERROR(ROUND(INDEX('M04-S05'!$AY$18:$AY$199,2*(ROWS(T$179:T182)-1)+1),3),"")</f>
        <v/>
      </c>
      <c r="U182" s="5" t="str">
        <f>IFERROR(ROUND(INDEX('M04-S05'!$AZ$18:$AZ$199,2*(ROWS(U$179:U182)-1)+1),3),"")</f>
        <v/>
      </c>
      <c r="V182" s="184"/>
      <c r="W182" s="184"/>
      <c r="X182" s="184"/>
      <c r="Y182" s="184"/>
      <c r="Z182" s="184"/>
      <c r="AA182" s="9" t="str" cm="1">
        <f t="array" ref="AA182">IFERROR(ROUND(INDEX('M04-S05'!$AR$18:$AR$199,2*(ROWS(AA$179:AA182)-1)+1), 2),"")</f>
        <v/>
      </c>
      <c r="AB182" s="164"/>
      <c r="AC182" s="9" t="str" cm="1">
        <f t="array" aca="1" ref="AC182" ca="1">IFERROR(ROUND(IF(BB182&lt;&gt;"","",INDEX('M04-S05'!$AH$18:$AH$199,2*(ROWS(AC$179:AC182)-1)+1)),2),"")</f>
        <v/>
      </c>
      <c r="AD182" s="9" t="str" cm="1">
        <f t="array" aca="1" ref="AD182" ca="1">IFERROR(ROUND(IF(BB182&lt;&gt;"","",INDEX('M04-S05'!$AJ$18:$AJ$199,2*(ROWS(AD$179:AD182)-1)+1)),2),"")</f>
        <v/>
      </c>
      <c r="AE182" s="9" t="str">
        <f t="shared" ca="1" si="19"/>
        <v/>
      </c>
      <c r="AF182" t="str">
        <f ca="1">IFERROR(IF(BB182&lt;&gt;"","",INDEX('M04-S05'!$AF$18:$AF$199,2*(ROWS(AG$179:AG182)-1)+1)),"")</f>
        <v/>
      </c>
      <c r="AG182" s="9" t="str" cm="1">
        <f t="array" aca="1" ref="AG182" ca="1">IFERROR(ROUND(IF(BB182&lt;&gt;"","",INDEX('M04-S05'!$AL$18:$AL$199,2*(ROWS(AG$179:AG182)-1)+1)),2),"")</f>
        <v/>
      </c>
      <c r="AH182" s="184"/>
      <c r="AI182" s="191"/>
      <c r="AJ182" s="32" t="str">
        <f ca="1">IFERROR(ROUND(IF(BA182&lt;&gt;"","",INDEX('M04-S05'!$AO$18:$AO$199,2*(ROWS(AJ$179:AJ182)-1)+1)),4),"")</f>
        <v/>
      </c>
      <c r="AK182" s="32">
        <f ca="1">IFERROR(ROUND(IF(BA182&lt;&gt;"","",INDEX('M04-S05'!$BF$18:$BF$199,2*(ROWS(AK$179:AK182)-1)+1)),4),"")</f>
        <v>0</v>
      </c>
      <c r="AL182" s="32" t="str">
        <f ca="1">IFERROR(ROUND(IF(BA182&lt;&gt;"","",INDEX('M04-S05'!$BG$18:$BG$199,2*(ROWS(AL$179:AL182)-1)+1)),4),"")</f>
        <v/>
      </c>
      <c r="AM182" s="32" t="str" cm="1">
        <f t="array" ref="AM182">IFERROR(ROUND(INDEX('M04-S05'!$BA$18:$BA$199,2*(ROWS(AM$179:AM182)-1)+1),4),"")</f>
        <v/>
      </c>
      <c r="AN182" s="32" t="str" cm="1">
        <f t="array" ref="AN182">IFERROR(ROUND(INDEX('M04-S05'!$BB$18:$BB$199,2*(ROWS(AN$179:AN182)-1)+1),4),"")</f>
        <v/>
      </c>
      <c r="AO182" s="32"/>
      <c r="AP182" s="9">
        <f ca="1">IFERROR(ROUND(IF(BB182&lt;&gt;"",INDEX('M04-S05'!$AH$18:$AH$199,2*(ROWS(AP$179:AP182)-1)+1),""),2),"")</f>
        <v>0</v>
      </c>
      <c r="AQ182" s="9" t="str">
        <f ca="1">IFERROR(ROUND(IF(BB182&lt;&gt;"",INDEX('M04-S05'!$AJ$18:$AJ$199,2*(ROWS(AQ$179:AQ182)-1)+1),""),2),"")</f>
        <v/>
      </c>
      <c r="AR182" s="9" t="str">
        <f t="shared" ca="1" si="27"/>
        <v/>
      </c>
      <c r="AS182" t="str">
        <f ca="1">IFERROR(IF(BB182&lt;&gt;"",INDEX('M04-S05'!$AF$18:$AF$199,2*(ROWS(AS$179:AS182)-1)+1),""),"")</f>
        <v/>
      </c>
      <c r="AT182" s="9" t="str" cm="1">
        <f t="array" aca="1" ref="AT182" ca="1">IFERROR(ROUND(IF(BB182&lt;&gt;"", INDEX('M04-S05'!$AL$18:$AL$199,2*(ROWS(AG$179:AG182)-1)+1), ""),2),"")</f>
        <v/>
      </c>
      <c r="AU182" s="184"/>
      <c r="AV182" s="5" t="str">
        <f ca="1">IFERROR(IF(BB182&lt;&gt;"",ROUND(INDEX('M04-S05'!$AY$18:$AY$199,2*(ROWS(AV$179:AV182)-1)+1),3),""),"")</f>
        <v/>
      </c>
      <c r="AW182" s="5" t="str">
        <f ca="1">IFERROR(IF(BB182&lt;&gt;"",ROUND(INDEX('M04-S05'!$AZ$18:$AZ$199,2*(ROWS(AW$179:AW182)-1)+1),3),""),"")</f>
        <v/>
      </c>
      <c r="AX182" s="184"/>
      <c r="AY182" s="26" t="str">
        <f ca="1">IFERROR(IF(BB182&lt;&gt;"",INDEX('M04-S05'!$AO$18:$AO$199,2*(ROWS(AY$179:AY182)-1)+1),""),"")</f>
        <v/>
      </c>
      <c r="AZ182" s="32">
        <f ca="1">IFERROR(IF(BB182&lt;&gt;"",INDEX('M04-S05'!$BF$18:$BF$199,2*(ROWS(AZ$179:AZ182)-1)+1),""),"")</f>
        <v>0</v>
      </c>
      <c r="BA182" s="32" t="str">
        <f ca="1">IFERROR(IF(BB182&lt;&gt;"",INDEX('M04-S05'!$BG$18:$BG$199,2*(ROWS(BA$179:BA182)-1)+1),""),"")</f>
        <v/>
      </c>
      <c r="BB182" t="str">
        <f ca="1">IFERROR(INDEX('M04-S05'!$BY$18:$BY$199,2*(ROWS(BB$179:BB182)-1)+1),"")</f>
        <v>Submit for Review</v>
      </c>
    </row>
    <row r="183" spans="1:54">
      <c r="A183" s="10">
        <f t="shared" si="25"/>
        <v>0</v>
      </c>
      <c r="B183" t="str">
        <f t="shared" si="26"/>
        <v/>
      </c>
      <c r="C183" t="str" cm="1">
        <f t="array" ref="C183">IFERROR(_xlfn.VALUETOTEXT(INDEX('M04-S05'!$BW$18:$BW$199,2*(ROWS($C$179:C183)-1)+1)),"")</f>
        <v/>
      </c>
      <c r="D183">
        <f>IFERROR(INDEX('M04-S05'!$B$18:$B$199,2*(ROWS(D$179:D183)-1)+1),"")</f>
        <v>5</v>
      </c>
      <c r="E183" s="51" t="str" cm="1">
        <f t="array" ref="E183">IFERROR(_xlfn.VALUETOTEXT(INDEX('M04-S05'!$BX$18:$BX$199,2*(ROWS($E$179:E183)-1)+1)),"")</f>
        <v/>
      </c>
      <c r="F183" t="str" cm="1">
        <f t="array" ref="F183">IF(C183&lt;&gt;"", _xlfn.SWITCH(Program_Banner, "Small Business / Non-Profit", "Hard-To-Reach Business", "Business Energy Savings", "Whole Business Efficiency", ""), "")</f>
        <v/>
      </c>
      <c r="G183" t="s">
        <v>135</v>
      </c>
      <c r="H183" t="str">
        <f>IFERROR(INDEX('M04-S05'!$BC$18:$BC$199,2*(ROWS(H$179:H183)-1)+1),"")</f>
        <v/>
      </c>
      <c r="I183" t="str">
        <f>IFERROR(INDEX('M04-S05'!$BJ$18:$BJ$199,2*(ROWS(I$179:I183)-1)+1),"")</f>
        <v/>
      </c>
      <c r="J183" s="9" t="str">
        <f>IFERROR(INDEX('M04-S05'!$BN$18:$BN$199,2*(ROWS(J$179:J183)-1)+1),"")</f>
        <v/>
      </c>
      <c r="K183" s="9" t="str">
        <f>IFERROR(INDEX('M04-S05'!$BO$18:$BO$199,2*(ROWS(K$179:K183)-1)+1),"")</f>
        <v/>
      </c>
      <c r="L183" s="51" t="str">
        <f>IFERROR(INDEX('M04-S05'!$BD$18:$BD$199,2*(ROWS(L$179:L183)-1)+1),"")</f>
        <v/>
      </c>
      <c r="M183" s="171"/>
      <c r="N183" s="171"/>
      <c r="O183">
        <f>IFERROR(INDEX('M04-S05'!$H$18:$H$199,2*(ROWS(O$179:O183)-1)+1),"")</f>
        <v>0</v>
      </c>
      <c r="P183">
        <f>IFERROR(INDEX('M04-S05'!$N$18:$N$199,2*(ROWS(P$179:P183)-1)+1),"")</f>
        <v>0</v>
      </c>
      <c r="Q183">
        <f>IFERROR(INDEX('M04-S05'!$W$18:$W$199,2*(ROWS(Q$179:Q183)-1)+1),"")</f>
        <v>0</v>
      </c>
      <c r="S183" t="str">
        <f>IFERROR(INDEX('M04-S05'!$AX$18:$AX$199,2*(ROWS(S$179:S183)-1)+1),"")</f>
        <v/>
      </c>
      <c r="T183" s="5" t="str">
        <f>IFERROR(ROUND(INDEX('M04-S05'!$AY$18:$AY$199,2*(ROWS(T$179:T183)-1)+1),3),"")</f>
        <v/>
      </c>
      <c r="U183" s="5" t="str">
        <f>IFERROR(ROUND(INDEX('M04-S05'!$AZ$18:$AZ$199,2*(ROWS(U$179:U183)-1)+1),3),"")</f>
        <v/>
      </c>
      <c r="V183" s="184"/>
      <c r="W183" s="184"/>
      <c r="X183" s="184"/>
      <c r="Y183" s="184"/>
      <c r="Z183" s="184"/>
      <c r="AA183" s="9" t="str" cm="1">
        <f t="array" ref="AA183">IFERROR(ROUND(INDEX('M04-S05'!$AR$18:$AR$199,2*(ROWS(AA$179:AA183)-1)+1), 2),"")</f>
        <v/>
      </c>
      <c r="AB183" s="164"/>
      <c r="AC183" s="9" t="str" cm="1">
        <f t="array" aca="1" ref="AC183" ca="1">IFERROR(ROUND(IF(BB183&lt;&gt;"","",INDEX('M04-S05'!$AH$18:$AH$199,2*(ROWS(AC$179:AC183)-1)+1)),2),"")</f>
        <v/>
      </c>
      <c r="AD183" s="9" t="str" cm="1">
        <f t="array" aca="1" ref="AD183" ca="1">IFERROR(ROUND(IF(BB183&lt;&gt;"","",INDEX('M04-S05'!$AJ$18:$AJ$199,2*(ROWS(AD$179:AD183)-1)+1)),2),"")</f>
        <v/>
      </c>
      <c r="AE183" s="9" t="str">
        <f t="shared" ca="1" si="19"/>
        <v/>
      </c>
      <c r="AF183" t="str">
        <f ca="1">IFERROR(IF(BB183&lt;&gt;"","",INDEX('M04-S05'!$AF$18:$AF$199,2*(ROWS(AG$179:AG183)-1)+1)),"")</f>
        <v/>
      </c>
      <c r="AG183" s="9" t="str" cm="1">
        <f t="array" aca="1" ref="AG183" ca="1">IFERROR(ROUND(IF(BB183&lt;&gt;"","",INDEX('M04-S05'!$AL$18:$AL$199,2*(ROWS(AG$179:AG183)-1)+1)),2),"")</f>
        <v/>
      </c>
      <c r="AH183" s="184"/>
      <c r="AI183" s="191"/>
      <c r="AJ183" s="32" t="str">
        <f ca="1">IFERROR(ROUND(IF(BA183&lt;&gt;"","",INDEX('M04-S05'!$AO$18:$AO$199,2*(ROWS(AJ$179:AJ183)-1)+1)),4),"")</f>
        <v/>
      </c>
      <c r="AK183" s="32">
        <f ca="1">IFERROR(ROUND(IF(BA183&lt;&gt;"","",INDEX('M04-S05'!$BF$18:$BF$199,2*(ROWS(AK$179:AK183)-1)+1)),4),"")</f>
        <v>0</v>
      </c>
      <c r="AL183" s="32" t="str">
        <f ca="1">IFERROR(ROUND(IF(BA183&lt;&gt;"","",INDEX('M04-S05'!$BG$18:$BG$199,2*(ROWS(AL$179:AL183)-1)+1)),4),"")</f>
        <v/>
      </c>
      <c r="AM183" s="32" t="str" cm="1">
        <f t="array" ref="AM183">IFERROR(ROUND(INDEX('M04-S05'!$BA$18:$BA$199,2*(ROWS(AM$179:AM183)-1)+1),4),"")</f>
        <v/>
      </c>
      <c r="AN183" s="32" t="str" cm="1">
        <f t="array" ref="AN183">IFERROR(ROUND(INDEX('M04-S05'!$BB$18:$BB$199,2*(ROWS(AN$179:AN183)-1)+1),4),"")</f>
        <v/>
      </c>
      <c r="AO183" s="32"/>
      <c r="AP183" s="9">
        <f ca="1">IFERROR(ROUND(IF(BB183&lt;&gt;"",INDEX('M04-S05'!$AH$18:$AH$199,2*(ROWS(AP$179:AP183)-1)+1),""),2),"")</f>
        <v>0</v>
      </c>
      <c r="AQ183" s="9" t="str">
        <f ca="1">IFERROR(ROUND(IF(BB183&lt;&gt;"",INDEX('M04-S05'!$AJ$18:$AJ$199,2*(ROWS(AQ$179:AQ183)-1)+1),""),2),"")</f>
        <v/>
      </c>
      <c r="AR183" s="9" t="str">
        <f t="shared" ca="1" si="27"/>
        <v/>
      </c>
      <c r="AS183" t="str">
        <f ca="1">IFERROR(IF(BB183&lt;&gt;"",INDEX('M04-S05'!$AF$18:$AF$199,2*(ROWS(AS$179:AS183)-1)+1),""),"")</f>
        <v/>
      </c>
      <c r="AT183" s="9" t="str" cm="1">
        <f t="array" aca="1" ref="AT183" ca="1">IFERROR(ROUND(IF(BB183&lt;&gt;"", INDEX('M04-S05'!$AL$18:$AL$199,2*(ROWS(AG$179:AG183)-1)+1), ""),2),"")</f>
        <v/>
      </c>
      <c r="AU183" s="184"/>
      <c r="AV183" s="5" t="str">
        <f ca="1">IFERROR(IF(BB183&lt;&gt;"",ROUND(INDEX('M04-S05'!$AY$18:$AY$199,2*(ROWS(AV$179:AV183)-1)+1),3),""),"")</f>
        <v/>
      </c>
      <c r="AW183" s="5" t="str">
        <f ca="1">IFERROR(IF(BB183&lt;&gt;"",ROUND(INDEX('M04-S05'!$AZ$18:$AZ$199,2*(ROWS(AW$179:AW183)-1)+1),3),""),"")</f>
        <v/>
      </c>
      <c r="AX183" s="184"/>
      <c r="AY183" s="26" t="str">
        <f ca="1">IFERROR(IF(BB183&lt;&gt;"",INDEX('M04-S05'!$AO$18:$AO$199,2*(ROWS(AY$179:AY183)-1)+1),""),"")</f>
        <v/>
      </c>
      <c r="AZ183" s="32">
        <f ca="1">IFERROR(IF(BB183&lt;&gt;"",INDEX('M04-S05'!$BF$18:$BF$199,2*(ROWS(AZ$179:AZ183)-1)+1),""),"")</f>
        <v>0</v>
      </c>
      <c r="BA183" s="32" t="str">
        <f ca="1">IFERROR(IF(BB183&lt;&gt;"",INDEX('M04-S05'!$BG$18:$BG$199,2*(ROWS(BA$179:BA183)-1)+1),""),"")</f>
        <v/>
      </c>
      <c r="BB183" t="str">
        <f ca="1">IFERROR(INDEX('M04-S05'!$BY$18:$BY$199,2*(ROWS(BB$179:BB183)-1)+1),"")</f>
        <v>Submit for Review</v>
      </c>
    </row>
    <row r="184" spans="1:54">
      <c r="A184" s="10">
        <f t="shared" si="25"/>
        <v>0</v>
      </c>
      <c r="B184" t="str">
        <f t="shared" si="26"/>
        <v/>
      </c>
      <c r="C184" t="str" cm="1">
        <f t="array" ref="C184">IFERROR(_xlfn.VALUETOTEXT(INDEX('M04-S05'!$BW$18:$BW$199,2*(ROWS($C$179:C184)-1)+1)),"")</f>
        <v/>
      </c>
      <c r="D184">
        <f>IFERROR(INDEX('M04-S05'!$B$18:$B$199,2*(ROWS(D$179:D184)-1)+1),"")</f>
        <v>6</v>
      </c>
      <c r="E184" s="51" t="str" cm="1">
        <f t="array" ref="E184">IFERROR(_xlfn.VALUETOTEXT(INDEX('M04-S05'!$BX$18:$BX$199,2*(ROWS($E$179:E184)-1)+1)),"")</f>
        <v/>
      </c>
      <c r="F184" t="str" cm="1">
        <f t="array" ref="F184">IF(C184&lt;&gt;"", _xlfn.SWITCH(Program_Banner, "Small Business / Non-Profit", "Hard-To-Reach Business", "Business Energy Savings", "Whole Business Efficiency", ""), "")</f>
        <v/>
      </c>
      <c r="G184" t="s">
        <v>135</v>
      </c>
      <c r="H184" t="str">
        <f>IFERROR(INDEX('M04-S05'!$BC$18:$BC$199,2*(ROWS(H$179:H184)-1)+1),"")</f>
        <v/>
      </c>
      <c r="I184" t="str">
        <f>IFERROR(INDEX('M04-S05'!$BJ$18:$BJ$199,2*(ROWS(I$179:I184)-1)+1),"")</f>
        <v/>
      </c>
      <c r="J184" s="9" t="str">
        <f>IFERROR(INDEX('M04-S05'!$BN$18:$BN$199,2*(ROWS(J$179:J184)-1)+1),"")</f>
        <v/>
      </c>
      <c r="K184" s="9" t="str">
        <f>IFERROR(INDEX('M04-S05'!$BO$18:$BO$199,2*(ROWS(K$179:K184)-1)+1),"")</f>
        <v/>
      </c>
      <c r="L184" s="51" t="str">
        <f>IFERROR(INDEX('M04-S05'!$BD$18:$BD$199,2*(ROWS(L$179:L184)-1)+1),"")</f>
        <v/>
      </c>
      <c r="M184" s="171"/>
      <c r="N184" s="171"/>
      <c r="O184">
        <f>IFERROR(INDEX('M04-S05'!$H$18:$H$199,2*(ROWS(O$179:O184)-1)+1),"")</f>
        <v>0</v>
      </c>
      <c r="P184">
        <f>IFERROR(INDEX('M04-S05'!$N$18:$N$199,2*(ROWS(P$179:P184)-1)+1),"")</f>
        <v>0</v>
      </c>
      <c r="Q184">
        <f>IFERROR(INDEX('M04-S05'!$W$18:$W$199,2*(ROWS(Q$179:Q184)-1)+1),"")</f>
        <v>0</v>
      </c>
      <c r="S184" t="str">
        <f>IFERROR(INDEX('M04-S05'!$AX$18:$AX$199,2*(ROWS(S$179:S184)-1)+1),"")</f>
        <v/>
      </c>
      <c r="T184" s="5" t="str">
        <f>IFERROR(ROUND(INDEX('M04-S05'!$AY$18:$AY$199,2*(ROWS(T$179:T184)-1)+1),3),"")</f>
        <v/>
      </c>
      <c r="U184" s="5" t="str">
        <f>IFERROR(ROUND(INDEX('M04-S05'!$AZ$18:$AZ$199,2*(ROWS(U$179:U184)-1)+1),3),"")</f>
        <v/>
      </c>
      <c r="V184" s="184"/>
      <c r="W184" s="184"/>
      <c r="X184" s="184"/>
      <c r="Y184" s="184"/>
      <c r="Z184" s="184"/>
      <c r="AA184" s="9" t="str" cm="1">
        <f t="array" ref="AA184">IFERROR(ROUND(INDEX('M04-S05'!$AR$18:$AR$199,2*(ROWS(AA$179:AA184)-1)+1), 2),"")</f>
        <v/>
      </c>
      <c r="AB184" s="164"/>
      <c r="AC184" s="9" t="str" cm="1">
        <f t="array" aca="1" ref="AC184" ca="1">IFERROR(ROUND(IF(BB184&lt;&gt;"","",INDEX('M04-S05'!$AH$18:$AH$199,2*(ROWS(AC$179:AC184)-1)+1)),2),"")</f>
        <v/>
      </c>
      <c r="AD184" s="9" t="str" cm="1">
        <f t="array" aca="1" ref="AD184" ca="1">IFERROR(ROUND(IF(BB184&lt;&gt;"","",INDEX('M04-S05'!$AJ$18:$AJ$199,2*(ROWS(AD$179:AD184)-1)+1)),2),"")</f>
        <v/>
      </c>
      <c r="AE184" s="9" t="str">
        <f t="shared" ca="1" si="19"/>
        <v/>
      </c>
      <c r="AF184" t="str">
        <f ca="1">IFERROR(IF(BB184&lt;&gt;"","",INDEX('M04-S05'!$AF$18:$AF$199,2*(ROWS(AG$179:AG184)-1)+1)),"")</f>
        <v/>
      </c>
      <c r="AG184" s="9" t="str" cm="1">
        <f t="array" aca="1" ref="AG184" ca="1">IFERROR(ROUND(IF(BB184&lt;&gt;"","",INDEX('M04-S05'!$AL$18:$AL$199,2*(ROWS(AG$179:AG184)-1)+1)),2),"")</f>
        <v/>
      </c>
      <c r="AH184" s="184"/>
      <c r="AI184" s="191"/>
      <c r="AJ184" s="32" t="str">
        <f ca="1">IFERROR(ROUND(IF(BA184&lt;&gt;"","",INDEX('M04-S05'!$AO$18:$AO$199,2*(ROWS(AJ$179:AJ184)-1)+1)),4),"")</f>
        <v/>
      </c>
      <c r="AK184" s="32">
        <f ca="1">IFERROR(ROUND(IF(BA184&lt;&gt;"","",INDEX('M04-S05'!$BF$18:$BF$199,2*(ROWS(AK$179:AK184)-1)+1)),4),"")</f>
        <v>0</v>
      </c>
      <c r="AL184" s="32" t="str">
        <f ca="1">IFERROR(ROUND(IF(BA184&lt;&gt;"","",INDEX('M04-S05'!$BG$18:$BG$199,2*(ROWS(AL$179:AL184)-1)+1)),4),"")</f>
        <v/>
      </c>
      <c r="AM184" s="32" t="str" cm="1">
        <f t="array" ref="AM184">IFERROR(ROUND(INDEX('M04-S05'!$BA$18:$BA$199,2*(ROWS(AM$179:AM184)-1)+1),4),"")</f>
        <v/>
      </c>
      <c r="AN184" s="32" t="str" cm="1">
        <f t="array" ref="AN184">IFERROR(ROUND(INDEX('M04-S05'!$BB$18:$BB$199,2*(ROWS(AN$179:AN184)-1)+1),4),"")</f>
        <v/>
      </c>
      <c r="AO184" s="32"/>
      <c r="AP184" s="9">
        <f ca="1">IFERROR(ROUND(IF(BB184&lt;&gt;"",INDEX('M04-S05'!$AH$18:$AH$199,2*(ROWS(AP$179:AP184)-1)+1),""),2),"")</f>
        <v>0</v>
      </c>
      <c r="AQ184" s="9" t="str">
        <f ca="1">IFERROR(ROUND(IF(BB184&lt;&gt;"",INDEX('M04-S05'!$AJ$18:$AJ$199,2*(ROWS(AQ$179:AQ184)-1)+1),""),2),"")</f>
        <v/>
      </c>
      <c r="AR184" s="9" t="str">
        <f t="shared" ca="1" si="27"/>
        <v/>
      </c>
      <c r="AS184" t="str">
        <f ca="1">IFERROR(IF(BB184&lt;&gt;"",INDEX('M04-S05'!$AF$18:$AF$199,2*(ROWS(AS$179:AS184)-1)+1),""),"")</f>
        <v/>
      </c>
      <c r="AT184" s="9" t="str" cm="1">
        <f t="array" aca="1" ref="AT184" ca="1">IFERROR(ROUND(IF(BB184&lt;&gt;"", INDEX('M04-S05'!$AL$18:$AL$199,2*(ROWS(AG$179:AG184)-1)+1), ""),2),"")</f>
        <v/>
      </c>
      <c r="AU184" s="184"/>
      <c r="AV184" s="5" t="str">
        <f ca="1">IFERROR(IF(BB184&lt;&gt;"",ROUND(INDEX('M04-S05'!$AY$18:$AY$199,2*(ROWS(AV$179:AV184)-1)+1),3),""),"")</f>
        <v/>
      </c>
      <c r="AW184" s="5" t="str">
        <f ca="1">IFERROR(IF(BB184&lt;&gt;"",ROUND(INDEX('M04-S05'!$AZ$18:$AZ$199,2*(ROWS(AW$179:AW184)-1)+1),3),""),"")</f>
        <v/>
      </c>
      <c r="AX184" s="184"/>
      <c r="AY184" s="26" t="str">
        <f ca="1">IFERROR(IF(BB184&lt;&gt;"",INDEX('M04-S05'!$AO$18:$AO$199,2*(ROWS(AY$179:AY184)-1)+1),""),"")</f>
        <v/>
      </c>
      <c r="AZ184" s="32">
        <f ca="1">IFERROR(IF(BB184&lt;&gt;"",INDEX('M04-S05'!$BF$18:$BF$199,2*(ROWS(AZ$179:AZ184)-1)+1),""),"")</f>
        <v>0</v>
      </c>
      <c r="BA184" s="32" t="str">
        <f ca="1">IFERROR(IF(BB184&lt;&gt;"",INDEX('M04-S05'!$BG$18:$BG$199,2*(ROWS(BA$179:BA184)-1)+1),""),"")</f>
        <v/>
      </c>
      <c r="BB184" t="str">
        <f ca="1">IFERROR(INDEX('M04-S05'!$BY$18:$BY$199,2*(ROWS(BB$179:BB184)-1)+1),"")</f>
        <v>Submit for Review</v>
      </c>
    </row>
    <row r="185" spans="1:54">
      <c r="A185" s="10">
        <f t="shared" si="25"/>
        <v>0</v>
      </c>
      <c r="B185" t="str">
        <f t="shared" si="26"/>
        <v/>
      </c>
      <c r="C185" t="str" cm="1">
        <f t="array" ref="C185">IFERROR(_xlfn.VALUETOTEXT(INDEX('M04-S05'!$BW$18:$BW$199,2*(ROWS($C$179:C185)-1)+1)),"")</f>
        <v/>
      </c>
      <c r="D185">
        <f>IFERROR(INDEX('M04-S05'!$B$18:$B$199,2*(ROWS(D$179:D185)-1)+1),"")</f>
        <v>7</v>
      </c>
      <c r="E185" s="51" t="str" cm="1">
        <f t="array" ref="E185">IFERROR(_xlfn.VALUETOTEXT(INDEX('M04-S05'!$BX$18:$BX$199,2*(ROWS($E$179:E185)-1)+1)),"")</f>
        <v/>
      </c>
      <c r="F185" t="str" cm="1">
        <f t="array" ref="F185">IF(C185&lt;&gt;"", _xlfn.SWITCH(Program_Banner, "Small Business / Non-Profit", "Hard-To-Reach Business", "Business Energy Savings", "Whole Business Efficiency", ""), "")</f>
        <v/>
      </c>
      <c r="G185" t="s">
        <v>135</v>
      </c>
      <c r="H185" t="str">
        <f>IFERROR(INDEX('M04-S05'!$BC$18:$BC$199,2*(ROWS(H$179:H185)-1)+1),"")</f>
        <v/>
      </c>
      <c r="I185" t="str">
        <f>IFERROR(INDEX('M04-S05'!$BJ$18:$BJ$199,2*(ROWS(I$179:I185)-1)+1),"")</f>
        <v/>
      </c>
      <c r="J185" s="9" t="str">
        <f>IFERROR(INDEX('M04-S05'!$BN$18:$BN$199,2*(ROWS(J$179:J185)-1)+1),"")</f>
        <v/>
      </c>
      <c r="K185" s="9" t="str">
        <f>IFERROR(INDEX('M04-S05'!$BO$18:$BO$199,2*(ROWS(K$179:K185)-1)+1),"")</f>
        <v/>
      </c>
      <c r="L185" s="51" t="str">
        <f>IFERROR(INDEX('M04-S05'!$BD$18:$BD$199,2*(ROWS(L$179:L185)-1)+1),"")</f>
        <v/>
      </c>
      <c r="M185" s="171"/>
      <c r="N185" s="171"/>
      <c r="O185">
        <f>IFERROR(INDEX('M04-S05'!$H$18:$H$199,2*(ROWS(O$179:O185)-1)+1),"")</f>
        <v>0</v>
      </c>
      <c r="P185">
        <f>IFERROR(INDEX('M04-S05'!$N$18:$N$199,2*(ROWS(P$179:P185)-1)+1),"")</f>
        <v>0</v>
      </c>
      <c r="Q185">
        <f>IFERROR(INDEX('M04-S05'!$W$18:$W$199,2*(ROWS(Q$179:Q185)-1)+1),"")</f>
        <v>0</v>
      </c>
      <c r="S185" t="str">
        <f>IFERROR(INDEX('M04-S05'!$AX$18:$AX$199,2*(ROWS(S$179:S185)-1)+1),"")</f>
        <v/>
      </c>
      <c r="T185" s="5" t="str">
        <f>IFERROR(ROUND(INDEX('M04-S05'!$AY$18:$AY$199,2*(ROWS(T$179:T185)-1)+1),3),"")</f>
        <v/>
      </c>
      <c r="U185" s="5" t="str">
        <f>IFERROR(ROUND(INDEX('M04-S05'!$AZ$18:$AZ$199,2*(ROWS(U$179:U185)-1)+1),3),"")</f>
        <v/>
      </c>
      <c r="V185" s="184"/>
      <c r="W185" s="184"/>
      <c r="X185" s="184"/>
      <c r="Y185" s="184"/>
      <c r="Z185" s="184"/>
      <c r="AA185" s="9" t="str" cm="1">
        <f t="array" ref="AA185">IFERROR(ROUND(INDEX('M04-S05'!$AR$18:$AR$199,2*(ROWS(AA$179:AA185)-1)+1), 2),"")</f>
        <v/>
      </c>
      <c r="AB185" s="164"/>
      <c r="AC185" s="9" t="str" cm="1">
        <f t="array" aca="1" ref="AC185" ca="1">IFERROR(ROUND(IF(BB185&lt;&gt;"","",INDEX('M04-S05'!$AH$18:$AH$199,2*(ROWS(AC$179:AC185)-1)+1)),2),"")</f>
        <v/>
      </c>
      <c r="AD185" s="9" t="str" cm="1">
        <f t="array" aca="1" ref="AD185" ca="1">IFERROR(ROUND(IF(BB185&lt;&gt;"","",INDEX('M04-S05'!$AJ$18:$AJ$199,2*(ROWS(AD$179:AD185)-1)+1)),2),"")</f>
        <v/>
      </c>
      <c r="AE185" s="9" t="str">
        <f t="shared" ca="1" si="19"/>
        <v/>
      </c>
      <c r="AF185" t="str">
        <f ca="1">IFERROR(IF(BB185&lt;&gt;"","",INDEX('M04-S05'!$AF$18:$AF$199,2*(ROWS(AG$179:AG185)-1)+1)),"")</f>
        <v/>
      </c>
      <c r="AG185" s="9" t="str" cm="1">
        <f t="array" aca="1" ref="AG185" ca="1">IFERROR(ROUND(IF(BB185&lt;&gt;"","",INDEX('M04-S05'!$AL$18:$AL$199,2*(ROWS(AG$179:AG185)-1)+1)),2),"")</f>
        <v/>
      </c>
      <c r="AH185" s="184"/>
      <c r="AI185" s="191"/>
      <c r="AJ185" s="32" t="str">
        <f ca="1">IFERROR(ROUND(IF(BA185&lt;&gt;"","",INDEX('M04-S05'!$AO$18:$AO$199,2*(ROWS(AJ$179:AJ185)-1)+1)),4),"")</f>
        <v/>
      </c>
      <c r="AK185" s="32">
        <f ca="1">IFERROR(ROUND(IF(BA185&lt;&gt;"","",INDEX('M04-S05'!$BF$18:$BF$199,2*(ROWS(AK$179:AK185)-1)+1)),4),"")</f>
        <v>0</v>
      </c>
      <c r="AL185" s="32" t="str">
        <f ca="1">IFERROR(ROUND(IF(BA185&lt;&gt;"","",INDEX('M04-S05'!$BG$18:$BG$199,2*(ROWS(AL$179:AL185)-1)+1)),4),"")</f>
        <v/>
      </c>
      <c r="AM185" s="32" t="str" cm="1">
        <f t="array" ref="AM185">IFERROR(ROUND(INDEX('M04-S05'!$BA$18:$BA$199,2*(ROWS(AM$179:AM185)-1)+1),4),"")</f>
        <v/>
      </c>
      <c r="AN185" s="32" t="str" cm="1">
        <f t="array" ref="AN185">IFERROR(ROUND(INDEX('M04-S05'!$BB$18:$BB$199,2*(ROWS(AN$179:AN185)-1)+1),4),"")</f>
        <v/>
      </c>
      <c r="AO185" s="32"/>
      <c r="AP185" s="9">
        <f ca="1">IFERROR(ROUND(IF(BB185&lt;&gt;"",INDEX('M04-S05'!$AH$18:$AH$199,2*(ROWS(AP$179:AP185)-1)+1),""),2),"")</f>
        <v>0</v>
      </c>
      <c r="AQ185" s="9" t="str">
        <f ca="1">IFERROR(ROUND(IF(BB185&lt;&gt;"",INDEX('M04-S05'!$AJ$18:$AJ$199,2*(ROWS(AQ$179:AQ185)-1)+1),""),2),"")</f>
        <v/>
      </c>
      <c r="AR185" s="9" t="str">
        <f t="shared" ca="1" si="27"/>
        <v/>
      </c>
      <c r="AS185" t="str">
        <f ca="1">IFERROR(IF(BB185&lt;&gt;"",INDEX('M04-S05'!$AF$18:$AF$199,2*(ROWS(AS$179:AS185)-1)+1),""),"")</f>
        <v/>
      </c>
      <c r="AT185" s="9" t="str" cm="1">
        <f t="array" aca="1" ref="AT185" ca="1">IFERROR(ROUND(IF(BB185&lt;&gt;"", INDEX('M04-S05'!$AL$18:$AL$199,2*(ROWS(AG$179:AG185)-1)+1), ""),2),"")</f>
        <v/>
      </c>
      <c r="AU185" s="184"/>
      <c r="AV185" s="5" t="str">
        <f ca="1">IFERROR(IF(BB185&lt;&gt;"",ROUND(INDEX('M04-S05'!$AY$18:$AY$199,2*(ROWS(AV$179:AV185)-1)+1),3),""),"")</f>
        <v/>
      </c>
      <c r="AW185" s="5" t="str">
        <f ca="1">IFERROR(IF(BB185&lt;&gt;"",ROUND(INDEX('M04-S05'!$AZ$18:$AZ$199,2*(ROWS(AW$179:AW185)-1)+1),3),""),"")</f>
        <v/>
      </c>
      <c r="AX185" s="184"/>
      <c r="AY185" s="26" t="str">
        <f ca="1">IFERROR(IF(BB185&lt;&gt;"",INDEX('M04-S05'!$AO$18:$AO$199,2*(ROWS(AY$179:AY185)-1)+1),""),"")</f>
        <v/>
      </c>
      <c r="AZ185" s="32">
        <f ca="1">IFERROR(IF(BB185&lt;&gt;"",INDEX('M04-S05'!$BF$18:$BF$199,2*(ROWS(AZ$179:AZ185)-1)+1),""),"")</f>
        <v>0</v>
      </c>
      <c r="BA185" s="32" t="str">
        <f ca="1">IFERROR(IF(BB185&lt;&gt;"",INDEX('M04-S05'!$BG$18:$BG$199,2*(ROWS(BA$179:BA185)-1)+1),""),"")</f>
        <v/>
      </c>
      <c r="BB185" t="str">
        <f ca="1">IFERROR(INDEX('M04-S05'!$BY$18:$BY$199,2*(ROWS(BB$179:BB185)-1)+1),"")</f>
        <v>Submit for Review</v>
      </c>
    </row>
    <row r="186" spans="1:54">
      <c r="A186" s="10">
        <f t="shared" si="25"/>
        <v>0</v>
      </c>
      <c r="B186" t="str">
        <f t="shared" si="26"/>
        <v/>
      </c>
      <c r="C186" t="str" cm="1">
        <f t="array" ref="C186">IFERROR(_xlfn.VALUETOTEXT(INDEX('M04-S05'!$BW$18:$BW$199,2*(ROWS($C$179:C186)-1)+1)),"")</f>
        <v/>
      </c>
      <c r="D186">
        <f>IFERROR(INDEX('M04-S05'!$B$18:$B$199,2*(ROWS(D$179:D186)-1)+1),"")</f>
        <v>8</v>
      </c>
      <c r="E186" s="51" t="str" cm="1">
        <f t="array" ref="E186">IFERROR(_xlfn.VALUETOTEXT(INDEX('M04-S05'!$BX$18:$BX$199,2*(ROWS($E$179:E186)-1)+1)),"")</f>
        <v/>
      </c>
      <c r="F186" t="str" cm="1">
        <f t="array" ref="F186">IF(C186&lt;&gt;"", _xlfn.SWITCH(Program_Banner, "Small Business / Non-Profit", "Hard-To-Reach Business", "Business Energy Savings", "Whole Business Efficiency", ""), "")</f>
        <v/>
      </c>
      <c r="G186" t="s">
        <v>135</v>
      </c>
      <c r="H186" t="str">
        <f>IFERROR(INDEX('M04-S05'!$BC$18:$BC$199,2*(ROWS(H$179:H186)-1)+1),"")</f>
        <v/>
      </c>
      <c r="I186" t="str">
        <f>IFERROR(INDEX('M04-S05'!$BJ$18:$BJ$199,2*(ROWS(I$179:I186)-1)+1),"")</f>
        <v/>
      </c>
      <c r="J186" s="9" t="str">
        <f>IFERROR(INDEX('M04-S05'!$BN$18:$BN$199,2*(ROWS(J$179:J186)-1)+1),"")</f>
        <v/>
      </c>
      <c r="K186" s="9" t="str">
        <f>IFERROR(INDEX('M04-S05'!$BO$18:$BO$199,2*(ROWS(K$179:K186)-1)+1),"")</f>
        <v/>
      </c>
      <c r="L186" s="51" t="str">
        <f>IFERROR(INDEX('M04-S05'!$BD$18:$BD$199,2*(ROWS(L$179:L186)-1)+1),"")</f>
        <v/>
      </c>
      <c r="M186" s="171"/>
      <c r="N186" s="171"/>
      <c r="O186">
        <f>IFERROR(INDEX('M04-S05'!$H$18:$H$199,2*(ROWS(O$179:O186)-1)+1),"")</f>
        <v>0</v>
      </c>
      <c r="P186">
        <f>IFERROR(INDEX('M04-S05'!$N$18:$N$199,2*(ROWS(P$179:P186)-1)+1),"")</f>
        <v>0</v>
      </c>
      <c r="Q186">
        <f>IFERROR(INDEX('M04-S05'!$W$18:$W$199,2*(ROWS(Q$179:Q186)-1)+1),"")</f>
        <v>0</v>
      </c>
      <c r="S186" t="str">
        <f>IFERROR(INDEX('M04-S05'!$AX$18:$AX$199,2*(ROWS(S$179:S186)-1)+1),"")</f>
        <v/>
      </c>
      <c r="T186" s="5" t="str">
        <f>IFERROR(ROUND(INDEX('M04-S05'!$AY$18:$AY$199,2*(ROWS(T$179:T186)-1)+1),3),"")</f>
        <v/>
      </c>
      <c r="U186" s="5" t="str">
        <f>IFERROR(ROUND(INDEX('M04-S05'!$AZ$18:$AZ$199,2*(ROWS(U$179:U186)-1)+1),3),"")</f>
        <v/>
      </c>
      <c r="V186" s="184"/>
      <c r="W186" s="184"/>
      <c r="X186" s="184"/>
      <c r="Y186" s="184"/>
      <c r="Z186" s="184"/>
      <c r="AA186" s="9" t="str" cm="1">
        <f t="array" ref="AA186">IFERROR(ROUND(INDEX('M04-S05'!$AR$18:$AR$199,2*(ROWS(AA$179:AA186)-1)+1), 2),"")</f>
        <v/>
      </c>
      <c r="AB186" s="164"/>
      <c r="AC186" s="9" t="str" cm="1">
        <f t="array" aca="1" ref="AC186" ca="1">IFERROR(ROUND(IF(BB186&lt;&gt;"","",INDEX('M04-S05'!$AH$18:$AH$199,2*(ROWS(AC$179:AC186)-1)+1)),2),"")</f>
        <v/>
      </c>
      <c r="AD186" s="9" t="str" cm="1">
        <f t="array" aca="1" ref="AD186" ca="1">IFERROR(ROUND(IF(BB186&lt;&gt;"","",INDEX('M04-S05'!$AJ$18:$AJ$199,2*(ROWS(AD$179:AD186)-1)+1)),2),"")</f>
        <v/>
      </c>
      <c r="AE186" s="9" t="str">
        <f t="shared" ca="1" si="19"/>
        <v/>
      </c>
      <c r="AF186" t="str">
        <f ca="1">IFERROR(IF(BB186&lt;&gt;"","",INDEX('M04-S05'!$AF$18:$AF$199,2*(ROWS(AG$179:AG186)-1)+1)),"")</f>
        <v/>
      </c>
      <c r="AG186" s="9" t="str" cm="1">
        <f t="array" aca="1" ref="AG186" ca="1">IFERROR(ROUND(IF(BB186&lt;&gt;"","",INDEX('M04-S05'!$AL$18:$AL$199,2*(ROWS(AG$179:AG186)-1)+1)),2),"")</f>
        <v/>
      </c>
      <c r="AH186" s="184"/>
      <c r="AI186" s="191"/>
      <c r="AJ186" s="32" t="str">
        <f ca="1">IFERROR(ROUND(IF(BA186&lt;&gt;"","",INDEX('M04-S05'!$AO$18:$AO$199,2*(ROWS(AJ$179:AJ186)-1)+1)),4),"")</f>
        <v/>
      </c>
      <c r="AK186" s="32">
        <f ca="1">IFERROR(ROUND(IF(BA186&lt;&gt;"","",INDEX('M04-S05'!$BF$18:$BF$199,2*(ROWS(AK$179:AK186)-1)+1)),4),"")</f>
        <v>0</v>
      </c>
      <c r="AL186" s="32" t="str">
        <f ca="1">IFERROR(ROUND(IF(BA186&lt;&gt;"","",INDEX('M04-S05'!$BG$18:$BG$199,2*(ROWS(AL$179:AL186)-1)+1)),4),"")</f>
        <v/>
      </c>
      <c r="AM186" s="32" t="str" cm="1">
        <f t="array" ref="AM186">IFERROR(ROUND(INDEX('M04-S05'!$BA$18:$BA$199,2*(ROWS(AM$179:AM186)-1)+1),4),"")</f>
        <v/>
      </c>
      <c r="AN186" s="32" t="str" cm="1">
        <f t="array" ref="AN186">IFERROR(ROUND(INDEX('M04-S05'!$BB$18:$BB$199,2*(ROWS(AN$179:AN186)-1)+1),4),"")</f>
        <v/>
      </c>
      <c r="AO186" s="32"/>
      <c r="AP186" s="9">
        <f ca="1">IFERROR(ROUND(IF(BB186&lt;&gt;"",INDEX('M04-S05'!$AH$18:$AH$199,2*(ROWS(AP$179:AP186)-1)+1),""),2),"")</f>
        <v>0</v>
      </c>
      <c r="AQ186" s="9" t="str">
        <f ca="1">IFERROR(ROUND(IF(BB186&lt;&gt;"",INDEX('M04-S05'!$AJ$18:$AJ$199,2*(ROWS(AQ$179:AQ186)-1)+1),""),2),"")</f>
        <v/>
      </c>
      <c r="AR186" s="9" t="str">
        <f t="shared" ca="1" si="27"/>
        <v/>
      </c>
      <c r="AS186" t="str">
        <f ca="1">IFERROR(IF(BB186&lt;&gt;"",INDEX('M04-S05'!$AF$18:$AF$199,2*(ROWS(AS$179:AS186)-1)+1),""),"")</f>
        <v/>
      </c>
      <c r="AT186" s="9" t="str" cm="1">
        <f t="array" aca="1" ref="AT186" ca="1">IFERROR(ROUND(IF(BB186&lt;&gt;"", INDEX('M04-S05'!$AL$18:$AL$199,2*(ROWS(AG$179:AG186)-1)+1), ""),2),"")</f>
        <v/>
      </c>
      <c r="AU186" s="184"/>
      <c r="AV186" s="5" t="str">
        <f ca="1">IFERROR(IF(BB186&lt;&gt;"",ROUND(INDEX('M04-S05'!$AY$18:$AY$199,2*(ROWS(AV$179:AV186)-1)+1),3),""),"")</f>
        <v/>
      </c>
      <c r="AW186" s="5" t="str">
        <f ca="1">IFERROR(IF(BB186&lt;&gt;"",ROUND(INDEX('M04-S05'!$AZ$18:$AZ$199,2*(ROWS(AW$179:AW186)-1)+1),3),""),"")</f>
        <v/>
      </c>
      <c r="AX186" s="184"/>
      <c r="AY186" s="26" t="str">
        <f ca="1">IFERROR(IF(BB186&lt;&gt;"",INDEX('M04-S05'!$AO$18:$AO$199,2*(ROWS(AY$179:AY186)-1)+1),""),"")</f>
        <v/>
      </c>
      <c r="AZ186" s="32">
        <f ca="1">IFERROR(IF(BB186&lt;&gt;"",INDEX('M04-S05'!$BF$18:$BF$199,2*(ROWS(AZ$179:AZ186)-1)+1),""),"")</f>
        <v>0</v>
      </c>
      <c r="BA186" s="32" t="str">
        <f ca="1">IFERROR(IF(BB186&lt;&gt;"",INDEX('M04-S05'!$BG$18:$BG$199,2*(ROWS(BA$179:BA186)-1)+1),""),"")</f>
        <v/>
      </c>
      <c r="BB186" t="str">
        <f ca="1">IFERROR(INDEX('M04-S05'!$BY$18:$BY$199,2*(ROWS(BB$179:BB186)-1)+1),"")</f>
        <v>Submit for Review</v>
      </c>
    </row>
    <row r="187" spans="1:54">
      <c r="A187" s="10">
        <f t="shared" si="25"/>
        <v>0</v>
      </c>
      <c r="B187" t="str">
        <f t="shared" si="26"/>
        <v/>
      </c>
      <c r="C187" t="str" cm="1">
        <f t="array" ref="C187">IFERROR(_xlfn.VALUETOTEXT(INDEX('M04-S05'!$BW$18:$BW$199,2*(ROWS($C$179:C187)-1)+1)),"")</f>
        <v/>
      </c>
      <c r="D187">
        <f>IFERROR(INDEX('M04-S05'!$B$18:$B$199,2*(ROWS(D$179:D187)-1)+1),"")</f>
        <v>9</v>
      </c>
      <c r="E187" s="51" t="str" cm="1">
        <f t="array" ref="E187">IFERROR(_xlfn.VALUETOTEXT(INDEX('M04-S05'!$BX$18:$BX$199,2*(ROWS($E$179:E187)-1)+1)),"")</f>
        <v/>
      </c>
      <c r="F187" t="str" cm="1">
        <f t="array" ref="F187">IF(C187&lt;&gt;"", _xlfn.SWITCH(Program_Banner, "Small Business / Non-Profit", "Hard-To-Reach Business", "Business Energy Savings", "Whole Business Efficiency", ""), "")</f>
        <v/>
      </c>
      <c r="G187" t="s">
        <v>135</v>
      </c>
      <c r="H187" t="str">
        <f>IFERROR(INDEX('M04-S05'!$BC$18:$BC$199,2*(ROWS(H$179:H187)-1)+1),"")</f>
        <v/>
      </c>
      <c r="I187" t="str">
        <f>IFERROR(INDEX('M04-S05'!$BJ$18:$BJ$199,2*(ROWS(I$179:I187)-1)+1),"")</f>
        <v/>
      </c>
      <c r="J187" s="9" t="str">
        <f>IFERROR(INDEX('M04-S05'!$BN$18:$BN$199,2*(ROWS(J$179:J187)-1)+1),"")</f>
        <v/>
      </c>
      <c r="K187" s="9" t="str">
        <f>IFERROR(INDEX('M04-S05'!$BO$18:$BO$199,2*(ROWS(K$179:K187)-1)+1),"")</f>
        <v/>
      </c>
      <c r="L187" s="51" t="str">
        <f>IFERROR(INDEX('M04-S05'!$BD$18:$BD$199,2*(ROWS(L$179:L187)-1)+1),"")</f>
        <v/>
      </c>
      <c r="M187" s="171"/>
      <c r="N187" s="171"/>
      <c r="O187">
        <f>IFERROR(INDEX('M04-S05'!$H$18:$H$199,2*(ROWS(O$179:O187)-1)+1),"")</f>
        <v>0</v>
      </c>
      <c r="P187">
        <f>IFERROR(INDEX('M04-S05'!$N$18:$N$199,2*(ROWS(P$179:P187)-1)+1),"")</f>
        <v>0</v>
      </c>
      <c r="Q187">
        <f>IFERROR(INDEX('M04-S05'!$W$18:$W$199,2*(ROWS(Q$179:Q187)-1)+1),"")</f>
        <v>0</v>
      </c>
      <c r="S187" t="str">
        <f>IFERROR(INDEX('M04-S05'!$AX$18:$AX$199,2*(ROWS(S$179:S187)-1)+1),"")</f>
        <v/>
      </c>
      <c r="T187" s="5" t="str">
        <f>IFERROR(ROUND(INDEX('M04-S05'!$AY$18:$AY$199,2*(ROWS(T$179:T187)-1)+1),3),"")</f>
        <v/>
      </c>
      <c r="U187" s="5" t="str">
        <f>IFERROR(ROUND(INDEX('M04-S05'!$AZ$18:$AZ$199,2*(ROWS(U$179:U187)-1)+1),3),"")</f>
        <v/>
      </c>
      <c r="V187" s="184"/>
      <c r="W187" s="184"/>
      <c r="X187" s="184"/>
      <c r="Y187" s="184"/>
      <c r="Z187" s="184"/>
      <c r="AA187" s="9" t="str" cm="1">
        <f t="array" ref="AA187">IFERROR(ROUND(INDEX('M04-S05'!$AR$18:$AR$199,2*(ROWS(AA$179:AA187)-1)+1), 2),"")</f>
        <v/>
      </c>
      <c r="AB187" s="164"/>
      <c r="AC187" s="9" t="str" cm="1">
        <f t="array" aca="1" ref="AC187" ca="1">IFERROR(ROUND(IF(BB187&lt;&gt;"","",INDEX('M04-S05'!$AH$18:$AH$199,2*(ROWS(AC$179:AC187)-1)+1)),2),"")</f>
        <v/>
      </c>
      <c r="AD187" s="9" t="str" cm="1">
        <f t="array" aca="1" ref="AD187" ca="1">IFERROR(ROUND(IF(BB187&lt;&gt;"","",INDEX('M04-S05'!$AJ$18:$AJ$199,2*(ROWS(AD$179:AD187)-1)+1)),2),"")</f>
        <v/>
      </c>
      <c r="AE187" s="9" t="str">
        <f t="shared" ca="1" si="19"/>
        <v/>
      </c>
      <c r="AF187" t="str">
        <f ca="1">IFERROR(IF(BB187&lt;&gt;"","",INDEX('M04-S05'!$AF$18:$AF$199,2*(ROWS(AG$179:AG187)-1)+1)),"")</f>
        <v/>
      </c>
      <c r="AG187" s="9" t="str" cm="1">
        <f t="array" aca="1" ref="AG187" ca="1">IFERROR(ROUND(IF(BB187&lt;&gt;"","",INDEX('M04-S05'!$AL$18:$AL$199,2*(ROWS(AG$179:AG187)-1)+1)),2),"")</f>
        <v/>
      </c>
      <c r="AH187" s="184"/>
      <c r="AI187" s="191"/>
      <c r="AJ187" s="32" t="str">
        <f ca="1">IFERROR(ROUND(IF(BA187&lt;&gt;"","",INDEX('M04-S05'!$AO$18:$AO$199,2*(ROWS(AJ$179:AJ187)-1)+1)),4),"")</f>
        <v/>
      </c>
      <c r="AK187" s="32">
        <f ca="1">IFERROR(ROUND(IF(BA187&lt;&gt;"","",INDEX('M04-S05'!$BF$18:$BF$199,2*(ROWS(AK$179:AK187)-1)+1)),4),"")</f>
        <v>0</v>
      </c>
      <c r="AL187" s="32" t="str">
        <f ca="1">IFERROR(ROUND(IF(BA187&lt;&gt;"","",INDEX('M04-S05'!$BG$18:$BG$199,2*(ROWS(AL$179:AL187)-1)+1)),4),"")</f>
        <v/>
      </c>
      <c r="AM187" s="32" t="str" cm="1">
        <f t="array" ref="AM187">IFERROR(ROUND(INDEX('M04-S05'!$BA$18:$BA$199,2*(ROWS(AM$179:AM187)-1)+1),4),"")</f>
        <v/>
      </c>
      <c r="AN187" s="32" t="str" cm="1">
        <f t="array" ref="AN187">IFERROR(ROUND(INDEX('M04-S05'!$BB$18:$BB$199,2*(ROWS(AN$179:AN187)-1)+1),4),"")</f>
        <v/>
      </c>
      <c r="AO187" s="32"/>
      <c r="AP187" s="9">
        <f ca="1">IFERROR(ROUND(IF(BB187&lt;&gt;"",INDEX('M04-S05'!$AH$18:$AH$199,2*(ROWS(AP$179:AP187)-1)+1),""),2),"")</f>
        <v>0</v>
      </c>
      <c r="AQ187" s="9" t="str">
        <f ca="1">IFERROR(ROUND(IF(BB187&lt;&gt;"",INDEX('M04-S05'!$AJ$18:$AJ$199,2*(ROWS(AQ$179:AQ187)-1)+1),""),2),"")</f>
        <v/>
      </c>
      <c r="AR187" s="9" t="str">
        <f t="shared" ca="1" si="27"/>
        <v/>
      </c>
      <c r="AS187" t="str">
        <f ca="1">IFERROR(IF(BB187&lt;&gt;"",INDEX('M04-S05'!$AF$18:$AF$199,2*(ROWS(AS$179:AS187)-1)+1),""),"")</f>
        <v/>
      </c>
      <c r="AT187" s="9" t="str" cm="1">
        <f t="array" aca="1" ref="AT187" ca="1">IFERROR(ROUND(IF(BB187&lt;&gt;"", INDEX('M04-S05'!$AL$18:$AL$199,2*(ROWS(AG$179:AG187)-1)+1), ""),2),"")</f>
        <v/>
      </c>
      <c r="AU187" s="184"/>
      <c r="AV187" s="5" t="str">
        <f ca="1">IFERROR(IF(BB187&lt;&gt;"",ROUND(INDEX('M04-S05'!$AY$18:$AY$199,2*(ROWS(AV$179:AV187)-1)+1),3),""),"")</f>
        <v/>
      </c>
      <c r="AW187" s="5" t="str">
        <f ca="1">IFERROR(IF(BB187&lt;&gt;"",ROUND(INDEX('M04-S05'!$AZ$18:$AZ$199,2*(ROWS(AW$179:AW187)-1)+1),3),""),"")</f>
        <v/>
      </c>
      <c r="AX187" s="184"/>
      <c r="AY187" s="26" t="str">
        <f ca="1">IFERROR(IF(BB187&lt;&gt;"",INDEX('M04-S05'!$AO$18:$AO$199,2*(ROWS(AY$179:AY187)-1)+1),""),"")</f>
        <v/>
      </c>
      <c r="AZ187" s="32">
        <f ca="1">IFERROR(IF(BB187&lt;&gt;"",INDEX('M04-S05'!$BF$18:$BF$199,2*(ROWS(AZ$179:AZ187)-1)+1),""),"")</f>
        <v>0</v>
      </c>
      <c r="BA187" s="32" t="str">
        <f ca="1">IFERROR(IF(BB187&lt;&gt;"",INDEX('M04-S05'!$BG$18:$BG$199,2*(ROWS(BA$179:BA187)-1)+1),""),"")</f>
        <v/>
      </c>
      <c r="BB187" t="str">
        <f ca="1">IFERROR(INDEX('M04-S05'!$BY$18:$BY$199,2*(ROWS(BB$179:BB187)-1)+1),"")</f>
        <v>Submit for Review</v>
      </c>
    </row>
    <row r="188" spans="1:54">
      <c r="A188" s="10">
        <f t="shared" si="25"/>
        <v>0</v>
      </c>
      <c r="B188" t="str">
        <f t="shared" si="26"/>
        <v/>
      </c>
      <c r="C188" t="str" cm="1">
        <f t="array" ref="C188">IFERROR(_xlfn.VALUETOTEXT(INDEX('M04-S05'!$BW$18:$BW$199,2*(ROWS($C$179:C188)-1)+1)),"")</f>
        <v/>
      </c>
      <c r="D188">
        <f>IFERROR(INDEX('M04-S05'!$B$18:$B$199,2*(ROWS(D$179:D188)-1)+1),"")</f>
        <v>10</v>
      </c>
      <c r="E188" s="51" t="str" cm="1">
        <f t="array" ref="E188">IFERROR(_xlfn.VALUETOTEXT(INDEX('M04-S05'!$BX$18:$BX$199,2*(ROWS($E$179:E188)-1)+1)),"")</f>
        <v/>
      </c>
      <c r="F188" t="str" cm="1">
        <f t="array" ref="F188">IF(C188&lt;&gt;"", _xlfn.SWITCH(Program_Banner, "Small Business / Non-Profit", "Hard-To-Reach Business", "Business Energy Savings", "Whole Business Efficiency", ""), "")</f>
        <v/>
      </c>
      <c r="G188" t="s">
        <v>135</v>
      </c>
      <c r="H188" t="str">
        <f>IFERROR(INDEX('M04-S05'!$BC$18:$BC$199,2*(ROWS(H$179:H188)-1)+1),"")</f>
        <v/>
      </c>
      <c r="I188" t="str">
        <f>IFERROR(INDEX('M04-S05'!$BJ$18:$BJ$199,2*(ROWS(I$179:I188)-1)+1),"")</f>
        <v/>
      </c>
      <c r="J188" s="9" t="str">
        <f>IFERROR(INDEX('M04-S05'!$BN$18:$BN$199,2*(ROWS(J$179:J188)-1)+1),"")</f>
        <v/>
      </c>
      <c r="K188" s="9" t="str">
        <f>IFERROR(INDEX('M04-S05'!$BO$18:$BO$199,2*(ROWS(K$179:K188)-1)+1),"")</f>
        <v/>
      </c>
      <c r="L188" s="51" t="str">
        <f>IFERROR(INDEX('M04-S05'!$BD$18:$BD$199,2*(ROWS(L$179:L188)-1)+1),"")</f>
        <v/>
      </c>
      <c r="M188" s="171"/>
      <c r="N188" s="171"/>
      <c r="O188">
        <f>IFERROR(INDEX('M04-S05'!$H$18:$H$199,2*(ROWS(O$179:O188)-1)+1),"")</f>
        <v>0</v>
      </c>
      <c r="P188">
        <f>IFERROR(INDEX('M04-S05'!$N$18:$N$199,2*(ROWS(P$179:P188)-1)+1),"")</f>
        <v>0</v>
      </c>
      <c r="Q188">
        <f>IFERROR(INDEX('M04-S05'!$W$18:$W$199,2*(ROWS(Q$179:Q188)-1)+1),"")</f>
        <v>0</v>
      </c>
      <c r="S188" t="str">
        <f>IFERROR(INDEX('M04-S05'!$AX$18:$AX$199,2*(ROWS(S$179:S188)-1)+1),"")</f>
        <v/>
      </c>
      <c r="T188" s="5" t="str">
        <f>IFERROR(ROUND(INDEX('M04-S05'!$AY$18:$AY$199,2*(ROWS(T$179:T188)-1)+1),3),"")</f>
        <v/>
      </c>
      <c r="U188" s="5" t="str">
        <f>IFERROR(ROUND(INDEX('M04-S05'!$AZ$18:$AZ$199,2*(ROWS(U$179:U188)-1)+1),3),"")</f>
        <v/>
      </c>
      <c r="V188" s="184"/>
      <c r="W188" s="184"/>
      <c r="X188" s="184"/>
      <c r="Y188" s="184"/>
      <c r="Z188" s="184"/>
      <c r="AA188" s="9" t="str" cm="1">
        <f t="array" ref="AA188">IFERROR(ROUND(INDEX('M04-S05'!$AR$18:$AR$199,2*(ROWS(AA$179:AA188)-1)+1), 2),"")</f>
        <v/>
      </c>
      <c r="AB188" s="164"/>
      <c r="AC188" s="9" t="str" cm="1">
        <f t="array" aca="1" ref="AC188" ca="1">IFERROR(ROUND(IF(BB188&lt;&gt;"","",INDEX('M04-S05'!$AH$18:$AH$199,2*(ROWS(AC$179:AC188)-1)+1)),2),"")</f>
        <v/>
      </c>
      <c r="AD188" s="9" t="str" cm="1">
        <f t="array" aca="1" ref="AD188" ca="1">IFERROR(ROUND(IF(BB188&lt;&gt;"","",INDEX('M04-S05'!$AJ$18:$AJ$199,2*(ROWS(AD$179:AD188)-1)+1)),2),"")</f>
        <v/>
      </c>
      <c r="AE188" s="9" t="str">
        <f t="shared" ca="1" si="19"/>
        <v/>
      </c>
      <c r="AF188" t="str">
        <f ca="1">IFERROR(IF(BB188&lt;&gt;"","",INDEX('M04-S05'!$AF$18:$AF$199,2*(ROWS(AG$179:AG188)-1)+1)),"")</f>
        <v/>
      </c>
      <c r="AG188" s="9" t="str" cm="1">
        <f t="array" aca="1" ref="AG188" ca="1">IFERROR(ROUND(IF(BB188&lt;&gt;"","",INDEX('M04-S05'!$AL$18:$AL$199,2*(ROWS(AG$179:AG188)-1)+1)),2),"")</f>
        <v/>
      </c>
      <c r="AH188" s="184"/>
      <c r="AI188" s="191"/>
      <c r="AJ188" s="32" t="str">
        <f ca="1">IFERROR(ROUND(IF(BA188&lt;&gt;"","",INDEX('M04-S05'!$AO$18:$AO$199,2*(ROWS(AJ$179:AJ188)-1)+1)),4),"")</f>
        <v/>
      </c>
      <c r="AK188" s="32">
        <f ca="1">IFERROR(ROUND(IF(BA188&lt;&gt;"","",INDEX('M04-S05'!$BF$18:$BF$199,2*(ROWS(AK$179:AK188)-1)+1)),4),"")</f>
        <v>0</v>
      </c>
      <c r="AL188" s="32" t="str">
        <f ca="1">IFERROR(ROUND(IF(BA188&lt;&gt;"","",INDEX('M04-S05'!$BG$18:$BG$199,2*(ROWS(AL$179:AL188)-1)+1)),4),"")</f>
        <v/>
      </c>
      <c r="AM188" s="32" t="str" cm="1">
        <f t="array" ref="AM188">IFERROR(ROUND(INDEX('M04-S05'!$BA$18:$BA$199,2*(ROWS(AM$179:AM188)-1)+1),4),"")</f>
        <v/>
      </c>
      <c r="AN188" s="32" t="str" cm="1">
        <f t="array" ref="AN188">IFERROR(ROUND(INDEX('M04-S05'!$BB$18:$BB$199,2*(ROWS(AN$179:AN188)-1)+1),4),"")</f>
        <v/>
      </c>
      <c r="AO188" s="32"/>
      <c r="AP188" s="9">
        <f ca="1">IFERROR(ROUND(IF(BB188&lt;&gt;"",INDEX('M04-S05'!$AH$18:$AH$199,2*(ROWS(AP$179:AP188)-1)+1),""),2),"")</f>
        <v>0</v>
      </c>
      <c r="AQ188" s="9" t="str">
        <f ca="1">IFERROR(ROUND(IF(BB188&lt;&gt;"",INDEX('M04-S05'!$AJ$18:$AJ$199,2*(ROWS(AQ$179:AQ188)-1)+1),""),2),"")</f>
        <v/>
      </c>
      <c r="AR188" s="9" t="str">
        <f t="shared" ca="1" si="27"/>
        <v/>
      </c>
      <c r="AS188" t="str">
        <f ca="1">IFERROR(IF(BB188&lt;&gt;"",INDEX('M04-S05'!$AF$18:$AF$199,2*(ROWS(AS$179:AS188)-1)+1),""),"")</f>
        <v/>
      </c>
      <c r="AT188" s="9" t="str" cm="1">
        <f t="array" aca="1" ref="AT188" ca="1">IFERROR(ROUND(IF(BB188&lt;&gt;"", INDEX('M04-S05'!$AL$18:$AL$199,2*(ROWS(AG$179:AG188)-1)+1), ""),2),"")</f>
        <v/>
      </c>
      <c r="AU188" s="184"/>
      <c r="AV188" s="5" t="str">
        <f ca="1">IFERROR(IF(BB188&lt;&gt;"",ROUND(INDEX('M04-S05'!$AY$18:$AY$199,2*(ROWS(AV$179:AV188)-1)+1),3),""),"")</f>
        <v/>
      </c>
      <c r="AW188" s="5" t="str">
        <f ca="1">IFERROR(IF(BB188&lt;&gt;"",ROUND(INDEX('M04-S05'!$AZ$18:$AZ$199,2*(ROWS(AW$179:AW188)-1)+1),3),""),"")</f>
        <v/>
      </c>
      <c r="AX188" s="184"/>
      <c r="AY188" s="26" t="str">
        <f ca="1">IFERROR(IF(BB188&lt;&gt;"",INDEX('M04-S05'!$AO$18:$AO$199,2*(ROWS(AY$179:AY188)-1)+1),""),"")</f>
        <v/>
      </c>
      <c r="AZ188" s="32">
        <f ca="1">IFERROR(IF(BB188&lt;&gt;"",INDEX('M04-S05'!$BF$18:$BF$199,2*(ROWS(AZ$179:AZ188)-1)+1),""),"")</f>
        <v>0</v>
      </c>
      <c r="BA188" s="32" t="str">
        <f ca="1">IFERROR(IF(BB188&lt;&gt;"",INDEX('M04-S05'!$BG$18:$BG$199,2*(ROWS(BA$179:BA188)-1)+1),""),"")</f>
        <v/>
      </c>
      <c r="BB188" t="str">
        <f ca="1">IFERROR(INDEX('M04-S05'!$BY$18:$BY$199,2*(ROWS(BB$179:BB188)-1)+1),"")</f>
        <v>Submit for Review</v>
      </c>
    </row>
    <row r="189" spans="1:54">
      <c r="A189" s="10">
        <f t="shared" si="25"/>
        <v>0</v>
      </c>
      <c r="B189" t="str">
        <f t="shared" si="26"/>
        <v/>
      </c>
      <c r="C189" t="str" cm="1">
        <f t="array" ref="C189">IFERROR(_xlfn.VALUETOTEXT(INDEX('M04-S05'!$BW$18:$BW$199,2*(ROWS($C$179:C189)-1)+1)),"")</f>
        <v/>
      </c>
      <c r="D189">
        <f>IFERROR(INDEX('M04-S05'!$B$18:$B$199,2*(ROWS(D$179:D189)-1)+1),"")</f>
        <v>0</v>
      </c>
      <c r="E189" s="51" t="str" cm="1">
        <f t="array" ref="E189">IFERROR(_xlfn.VALUETOTEXT(INDEX('M04-S05'!$BX$18:$BX$199,2*(ROWS($E$179:E189)-1)+1)),"")</f>
        <v/>
      </c>
      <c r="F189" t="str" cm="1">
        <f t="array" ref="F189">IF(C189&lt;&gt;"", _xlfn.SWITCH(Program_Banner, "Small Business / Non-Profit", "Hard-To-Reach Business", "Business Energy Savings", "Whole Business Efficiency", ""), "")</f>
        <v/>
      </c>
      <c r="G189" t="s">
        <v>135</v>
      </c>
      <c r="H189">
        <f>IFERROR(INDEX('M04-S05'!$BC$18:$BC$199,2*(ROWS(H$179:H189)-1)+1),"")</f>
        <v>0</v>
      </c>
      <c r="I189">
        <f>IFERROR(INDEX('M04-S05'!$BJ$18:$BJ$199,2*(ROWS(I$179:I189)-1)+1),"")</f>
        <v>0</v>
      </c>
      <c r="J189" s="9">
        <f>IFERROR(INDEX('M04-S05'!$BN$18:$BN$199,2*(ROWS(J$179:J189)-1)+1),"")</f>
        <v>0</v>
      </c>
      <c r="K189" s="9">
        <f>IFERROR(INDEX('M04-S05'!$BO$18:$BO$199,2*(ROWS(K$179:K189)-1)+1),"")</f>
        <v>0</v>
      </c>
      <c r="L189" s="51">
        <f>IFERROR(INDEX('M04-S05'!$BD$18:$BD$199,2*(ROWS(L$179:L189)-1)+1),"")</f>
        <v>0</v>
      </c>
      <c r="M189" s="171"/>
      <c r="N189" s="171"/>
      <c r="O189">
        <f>IFERROR(INDEX('M04-S05'!$H$18:$H$199,2*(ROWS(O$179:O189)-1)+1),"")</f>
        <v>0</v>
      </c>
      <c r="P189">
        <f>IFERROR(INDEX('M04-S05'!$N$18:$N$199,2*(ROWS(P$179:P189)-1)+1),"")</f>
        <v>0</v>
      </c>
      <c r="Q189">
        <f>IFERROR(INDEX('M04-S05'!$W$18:$W$199,2*(ROWS(Q$179:Q189)-1)+1),"")</f>
        <v>0</v>
      </c>
      <c r="S189">
        <f>IFERROR(INDEX('M04-S05'!$AX$18:$AX$199,2*(ROWS(S$179:S189)-1)+1),"")</f>
        <v>0</v>
      </c>
      <c r="T189" s="5">
        <f>IFERROR(ROUND(INDEX('M04-S05'!$AY$18:$AY$199,2*(ROWS(T$179:T189)-1)+1),3),"")</f>
        <v>0</v>
      </c>
      <c r="U189" s="5">
        <f>IFERROR(ROUND(INDEX('M04-S05'!$AZ$18:$AZ$199,2*(ROWS(U$179:U189)-1)+1),3),"")</f>
        <v>0</v>
      </c>
      <c r="V189" s="184"/>
      <c r="W189" s="184"/>
      <c r="X189" s="184"/>
      <c r="Y189" s="184"/>
      <c r="Z189" s="184"/>
      <c r="AA189" s="9" cm="1">
        <f t="array" ref="AA189">IFERROR(ROUND(INDEX('M04-S05'!$AR$18:$AR$199,2*(ROWS(AA$179:AA189)-1)+1), 2),"")</f>
        <v>0</v>
      </c>
      <c r="AB189" s="164"/>
      <c r="AC189" s="9" t="str" cm="1">
        <f t="array" ref="AC189">IFERROR(ROUND(IF(BB189&lt;&gt;"","",INDEX('M04-S05'!$AH$18:$AH$199,2*(ROWS(AC$179:AC189)-1)+1)),2),"")</f>
        <v/>
      </c>
      <c r="AD189" s="9" t="str" cm="1">
        <f t="array" ref="AD189">IFERROR(ROUND(IF(BB189&lt;&gt;"","",INDEX('M04-S05'!$AJ$18:$AJ$199,2*(ROWS(AD$179:AD189)-1)+1)),2),"")</f>
        <v/>
      </c>
      <c r="AE189" s="9" t="str">
        <f t="shared" si="19"/>
        <v/>
      </c>
      <c r="AF189" t="str">
        <f>IFERROR(IF(BB189&lt;&gt;"","",INDEX('M04-S05'!$AF$18:$AF$199,2*(ROWS(AG$179:AG189)-1)+1)),"")</f>
        <v/>
      </c>
      <c r="AG189" s="9" t="str" cm="1">
        <f t="array" ref="AG189">IFERROR(ROUND(IF(BB189&lt;&gt;"","",INDEX('M04-S05'!$AL$18:$AL$199,2*(ROWS(AG$179:AG189)-1)+1)),2),"")</f>
        <v/>
      </c>
      <c r="AH189" s="184"/>
      <c r="AI189" s="191"/>
      <c r="AJ189" s="32" t="str">
        <f>IFERROR(ROUND(IF(BA189&lt;&gt;"","",INDEX('M04-S05'!$AO$18:$AO$199,2*(ROWS(AJ$179:AJ189)-1)+1)),4),"")</f>
        <v/>
      </c>
      <c r="AK189" s="32" t="str">
        <f>IFERROR(ROUND(IF(BA189&lt;&gt;"","",INDEX('M04-S05'!$BF$18:$BF$199,2*(ROWS(AK$179:AK189)-1)+1)),4),"")</f>
        <v/>
      </c>
      <c r="AL189" s="32" t="str">
        <f>IFERROR(ROUND(IF(BA189&lt;&gt;"","",INDEX('M04-S05'!$BG$18:$BG$199,2*(ROWS(AL$179:AL189)-1)+1)),4),"")</f>
        <v/>
      </c>
      <c r="AM189" s="32" cm="1">
        <f t="array" ref="AM189">IFERROR(ROUND(INDEX('M04-S05'!$BA$18:$BA$199,2*(ROWS(AM$179:AM189)-1)+1),4),"")</f>
        <v>0</v>
      </c>
      <c r="AN189" s="32" cm="1">
        <f t="array" ref="AN189">IFERROR(ROUND(INDEX('M04-S05'!$BB$18:$BB$199,2*(ROWS(AN$179:AN189)-1)+1),4),"")</f>
        <v>0</v>
      </c>
      <c r="AO189" s="32"/>
      <c r="AP189" s="9">
        <f>IFERROR(ROUND(IF(BB189&lt;&gt;"",INDEX('M04-S05'!$AH$18:$AH$199,2*(ROWS(AP$179:AP189)-1)+1),""),2),"")</f>
        <v>0</v>
      </c>
      <c r="AQ189" s="9">
        <f>IFERROR(ROUND(IF(BB189&lt;&gt;"",INDEX('M04-S05'!$AJ$18:$AJ$199,2*(ROWS(AQ$179:AQ189)-1)+1),""),2),"")</f>
        <v>0</v>
      </c>
      <c r="AR189" s="9" t="str">
        <f t="shared" si="27"/>
        <v/>
      </c>
      <c r="AS189">
        <f>IFERROR(IF(BB189&lt;&gt;"",INDEX('M04-S05'!$AF$18:$AF$199,2*(ROWS(AS$179:AS189)-1)+1),""),"")</f>
        <v>0</v>
      </c>
      <c r="AT189" s="9" cm="1">
        <f t="array" ref="AT189">IFERROR(ROUND(IF(BB189&lt;&gt;"", INDEX('M04-S05'!$AL$18:$AL$199,2*(ROWS(AG$179:AG189)-1)+1), ""),2),"")</f>
        <v>0</v>
      </c>
      <c r="AU189" s="184"/>
      <c r="AV189" s="5">
        <f>IFERROR(IF(BB189&lt;&gt;"",ROUND(INDEX('M04-S05'!$AY$18:$AY$199,2*(ROWS(AV$179:AV189)-1)+1),3),""),"")</f>
        <v>0</v>
      </c>
      <c r="AW189" s="5">
        <f>IFERROR(IF(BB189&lt;&gt;"",ROUND(INDEX('M04-S05'!$AZ$18:$AZ$199,2*(ROWS(AW$179:AW189)-1)+1),3),""),"")</f>
        <v>0</v>
      </c>
      <c r="AX189" s="184"/>
      <c r="AY189" s="26">
        <f>IFERROR(IF(BB189&lt;&gt;"",INDEX('M04-S05'!$AO$18:$AO$199,2*(ROWS(AY$179:AY189)-1)+1),""),"")</f>
        <v>0</v>
      </c>
      <c r="AZ189" s="32">
        <f>IFERROR(IF(BB189&lt;&gt;"",INDEX('M04-S05'!$BF$18:$BF$199,2*(ROWS(AZ$179:AZ189)-1)+1),""),"")</f>
        <v>0</v>
      </c>
      <c r="BA189" s="32">
        <f>IFERROR(IF(BB189&lt;&gt;"",INDEX('M04-S05'!$BG$18:$BG$199,2*(ROWS(BA$179:BA189)-1)+1),""),"")</f>
        <v>0</v>
      </c>
      <c r="BB189">
        <f>IFERROR(INDEX('M04-S05'!$BY$18:$BY$199,2*(ROWS(BB$179:BB189)-1)+1),"")</f>
        <v>0</v>
      </c>
    </row>
    <row r="190" spans="1:54">
      <c r="A190" s="10">
        <f t="shared" si="25"/>
        <v>0</v>
      </c>
      <c r="B190" t="str">
        <f t="shared" si="26"/>
        <v/>
      </c>
      <c r="C190" t="str" cm="1">
        <f t="array" ref="C190">IFERROR(_xlfn.VALUETOTEXT(INDEX('M04-S05'!$BW$18:$BW$199,2*(ROWS($C$179:C190)-1)+1)),"")</f>
        <v/>
      </c>
      <c r="D190">
        <f>IFERROR(INDEX('M04-S05'!$B$18:$B$199,2*(ROWS(D$179:D190)-1)+1),"")</f>
        <v>0</v>
      </c>
      <c r="E190" s="51" t="str" cm="1">
        <f t="array" ref="E190">IFERROR(_xlfn.VALUETOTEXT(INDEX('M04-S05'!$BX$18:$BX$199,2*(ROWS($E$179:E190)-1)+1)),"")</f>
        <v/>
      </c>
      <c r="F190" t="str" cm="1">
        <f t="array" ref="F190">IF(C190&lt;&gt;"", _xlfn.SWITCH(Program_Banner, "Small Business / Non-Profit", "Hard-To-Reach Business", "Business Energy Savings", "Whole Business Efficiency", ""), "")</f>
        <v/>
      </c>
      <c r="G190" t="s">
        <v>135</v>
      </c>
      <c r="H190">
        <f>IFERROR(INDEX('M04-S05'!$BC$18:$BC$199,2*(ROWS(H$179:H190)-1)+1),"")</f>
        <v>0</v>
      </c>
      <c r="I190">
        <f>IFERROR(INDEX('M04-S05'!$BJ$18:$BJ$199,2*(ROWS(I$179:I190)-1)+1),"")</f>
        <v>0</v>
      </c>
      <c r="J190" s="9">
        <f>IFERROR(INDEX('M04-S05'!$BN$18:$BN$199,2*(ROWS(J$179:J190)-1)+1),"")</f>
        <v>0</v>
      </c>
      <c r="K190" s="9">
        <f>IFERROR(INDEX('M04-S05'!$BO$18:$BO$199,2*(ROWS(K$179:K190)-1)+1),"")</f>
        <v>0</v>
      </c>
      <c r="L190" s="51">
        <f>IFERROR(INDEX('M04-S05'!$BD$18:$BD$199,2*(ROWS(L$179:L190)-1)+1),"")</f>
        <v>0</v>
      </c>
      <c r="M190" s="171"/>
      <c r="N190" s="171"/>
      <c r="O190">
        <f>IFERROR(INDEX('M04-S05'!$H$18:$H$199,2*(ROWS(O$179:O190)-1)+1),"")</f>
        <v>0</v>
      </c>
      <c r="P190">
        <f>IFERROR(INDEX('M04-S05'!$N$18:$N$199,2*(ROWS(P$179:P190)-1)+1),"")</f>
        <v>0</v>
      </c>
      <c r="Q190">
        <f>IFERROR(INDEX('M04-S05'!$W$18:$W$199,2*(ROWS(Q$179:Q190)-1)+1),"")</f>
        <v>0</v>
      </c>
      <c r="S190">
        <f>IFERROR(INDEX('M04-S05'!$AX$18:$AX$199,2*(ROWS(S$179:S190)-1)+1),"")</f>
        <v>0</v>
      </c>
      <c r="T190" s="5">
        <f>IFERROR(ROUND(INDEX('M04-S05'!$AY$18:$AY$199,2*(ROWS(T$179:T190)-1)+1),3),"")</f>
        <v>0</v>
      </c>
      <c r="U190" s="5">
        <f>IFERROR(ROUND(INDEX('M04-S05'!$AZ$18:$AZ$199,2*(ROWS(U$179:U190)-1)+1),3),"")</f>
        <v>0</v>
      </c>
      <c r="V190" s="184"/>
      <c r="W190" s="184"/>
      <c r="X190" s="184"/>
      <c r="Y190" s="184"/>
      <c r="Z190" s="184"/>
      <c r="AA190" s="9" cm="1">
        <f t="array" ref="AA190">IFERROR(ROUND(INDEX('M04-S05'!$AR$18:$AR$199,2*(ROWS(AA$179:AA190)-1)+1), 2),"")</f>
        <v>0</v>
      </c>
      <c r="AB190" s="164"/>
      <c r="AC190" s="9" t="str" cm="1">
        <f t="array" ref="AC190">IFERROR(ROUND(IF(BB190&lt;&gt;"","",INDEX('M04-S05'!$AH$18:$AH$199,2*(ROWS(AC$179:AC190)-1)+1)),2),"")</f>
        <v/>
      </c>
      <c r="AD190" s="9" t="str" cm="1">
        <f t="array" ref="AD190">IFERROR(ROUND(IF(BB190&lt;&gt;"","",INDEX('M04-S05'!$AJ$18:$AJ$199,2*(ROWS(AD$179:AD190)-1)+1)),2),"")</f>
        <v/>
      </c>
      <c r="AE190" s="9" t="str">
        <f t="shared" si="19"/>
        <v/>
      </c>
      <c r="AF190" t="str">
        <f>IFERROR(IF(BB190&lt;&gt;"","",INDEX('M04-S05'!$AF$18:$AF$199,2*(ROWS(AG$179:AG190)-1)+1)),"")</f>
        <v/>
      </c>
      <c r="AG190" s="9" t="str" cm="1">
        <f t="array" ref="AG190">IFERROR(ROUND(IF(BB190&lt;&gt;"","",INDEX('M04-S05'!$AL$18:$AL$199,2*(ROWS(AG$179:AG190)-1)+1)),2),"")</f>
        <v/>
      </c>
      <c r="AH190" s="184"/>
      <c r="AI190" s="191"/>
      <c r="AJ190" s="32" t="str">
        <f>IFERROR(ROUND(IF(BA190&lt;&gt;"","",INDEX('M04-S05'!$AO$18:$AO$199,2*(ROWS(AJ$179:AJ190)-1)+1)),4),"")</f>
        <v/>
      </c>
      <c r="AK190" s="32" t="str">
        <f>IFERROR(ROUND(IF(BA190&lt;&gt;"","",INDEX('M04-S05'!$BF$18:$BF$199,2*(ROWS(AK$179:AK190)-1)+1)),4),"")</f>
        <v/>
      </c>
      <c r="AL190" s="32" t="str">
        <f>IFERROR(ROUND(IF(BA190&lt;&gt;"","",INDEX('M04-S05'!$BG$18:$BG$199,2*(ROWS(AL$179:AL190)-1)+1)),4),"")</f>
        <v/>
      </c>
      <c r="AM190" s="32" cm="1">
        <f t="array" ref="AM190">IFERROR(ROUND(INDEX('M04-S05'!$BA$18:$BA$199,2*(ROWS(AM$179:AM190)-1)+1),4),"")</f>
        <v>0</v>
      </c>
      <c r="AN190" s="32" cm="1">
        <f t="array" ref="AN190">IFERROR(ROUND(INDEX('M04-S05'!$BB$18:$BB$199,2*(ROWS(AN$179:AN190)-1)+1),4),"")</f>
        <v>0</v>
      </c>
      <c r="AO190" s="32"/>
      <c r="AP190" s="9">
        <f>IFERROR(ROUND(IF(BB190&lt;&gt;"",INDEX('M04-S05'!$AH$18:$AH$199,2*(ROWS(AP$179:AP190)-1)+1),""),2),"")</f>
        <v>0</v>
      </c>
      <c r="AQ190" s="9">
        <f>IFERROR(ROUND(IF(BB190&lt;&gt;"",INDEX('M04-S05'!$AJ$18:$AJ$199,2*(ROWS(AQ$179:AQ190)-1)+1),""),2),"")</f>
        <v>0</v>
      </c>
      <c r="AR190" s="9" t="str">
        <f t="shared" si="27"/>
        <v/>
      </c>
      <c r="AS190">
        <f>IFERROR(IF(BB190&lt;&gt;"",INDEX('M04-S05'!$AF$18:$AF$199,2*(ROWS(AS$179:AS190)-1)+1),""),"")</f>
        <v>0</v>
      </c>
      <c r="AT190" s="9" cm="1">
        <f t="array" ref="AT190">IFERROR(ROUND(IF(BB190&lt;&gt;"", INDEX('M04-S05'!$AL$18:$AL$199,2*(ROWS(AG$179:AG190)-1)+1), ""),2),"")</f>
        <v>0</v>
      </c>
      <c r="AU190" s="184"/>
      <c r="AV190" s="5">
        <f>IFERROR(IF(BB190&lt;&gt;"",ROUND(INDEX('M04-S05'!$AY$18:$AY$199,2*(ROWS(AV$179:AV190)-1)+1),3),""),"")</f>
        <v>0</v>
      </c>
      <c r="AW190" s="5">
        <f>IFERROR(IF(BB190&lt;&gt;"",ROUND(INDEX('M04-S05'!$AZ$18:$AZ$199,2*(ROWS(AW$179:AW190)-1)+1),3),""),"")</f>
        <v>0</v>
      </c>
      <c r="AX190" s="184"/>
      <c r="AY190" s="26">
        <f>IFERROR(IF(BB190&lt;&gt;"",INDEX('M04-S05'!$AO$18:$AO$199,2*(ROWS(AY$179:AY190)-1)+1),""),"")</f>
        <v>0</v>
      </c>
      <c r="AZ190" s="32">
        <f>IFERROR(IF(BB190&lt;&gt;"",INDEX('M04-S05'!$BF$18:$BF$199,2*(ROWS(AZ$179:AZ190)-1)+1),""),"")</f>
        <v>0</v>
      </c>
      <c r="BA190" s="32">
        <f>IFERROR(IF(BB190&lt;&gt;"",INDEX('M04-S05'!$BG$18:$BG$199,2*(ROWS(BA$179:BA190)-1)+1),""),"")</f>
        <v>0</v>
      </c>
      <c r="BB190">
        <f>IFERROR(INDEX('M04-S05'!$BY$18:$BY$199,2*(ROWS(BB$179:BB190)-1)+1),"")</f>
        <v>0</v>
      </c>
    </row>
    <row r="191" spans="1:54">
      <c r="A191" s="10">
        <f t="shared" si="25"/>
        <v>0</v>
      </c>
      <c r="B191" t="str">
        <f t="shared" si="26"/>
        <v/>
      </c>
      <c r="C191" t="str" cm="1">
        <f t="array" ref="C191">IFERROR(_xlfn.VALUETOTEXT(INDEX('M04-S05'!$BW$18:$BW$199,2*(ROWS($C$179:C191)-1)+1)),"")</f>
        <v/>
      </c>
      <c r="D191">
        <f>IFERROR(INDEX('M04-S05'!$B$18:$B$199,2*(ROWS(D$179:D191)-1)+1),"")</f>
        <v>0</v>
      </c>
      <c r="E191" s="51" t="str" cm="1">
        <f t="array" ref="E191">IFERROR(_xlfn.VALUETOTEXT(INDEX('M04-S05'!$BX$18:$BX$199,2*(ROWS($E$179:E191)-1)+1)),"")</f>
        <v/>
      </c>
      <c r="F191" t="str" cm="1">
        <f t="array" ref="F191">IF(C191&lt;&gt;"", _xlfn.SWITCH(Program_Banner, "Small Business / Non-Profit", "Hard-To-Reach Business", "Business Energy Savings", "Whole Business Efficiency", ""), "")</f>
        <v/>
      </c>
      <c r="G191" t="s">
        <v>135</v>
      </c>
      <c r="H191">
        <f>IFERROR(INDEX('M04-S05'!$BC$18:$BC$199,2*(ROWS(H$179:H191)-1)+1),"")</f>
        <v>0</v>
      </c>
      <c r="I191">
        <f>IFERROR(INDEX('M04-S05'!$BJ$18:$BJ$199,2*(ROWS(I$179:I191)-1)+1),"")</f>
        <v>0</v>
      </c>
      <c r="J191" s="9">
        <f>IFERROR(INDEX('M04-S05'!$BN$18:$BN$199,2*(ROWS(J$179:J191)-1)+1),"")</f>
        <v>0</v>
      </c>
      <c r="K191" s="9">
        <f>IFERROR(INDEX('M04-S05'!$BO$18:$BO$199,2*(ROWS(K$179:K191)-1)+1),"")</f>
        <v>0</v>
      </c>
      <c r="L191" s="51">
        <f>IFERROR(INDEX('M04-S05'!$BD$18:$BD$199,2*(ROWS(L$179:L191)-1)+1),"")</f>
        <v>0</v>
      </c>
      <c r="M191" s="171"/>
      <c r="N191" s="171"/>
      <c r="O191">
        <f>IFERROR(INDEX('M04-S05'!$H$18:$H$199,2*(ROWS(O$179:O191)-1)+1),"")</f>
        <v>0</v>
      </c>
      <c r="P191">
        <f>IFERROR(INDEX('M04-S05'!$N$18:$N$199,2*(ROWS(P$179:P191)-1)+1),"")</f>
        <v>0</v>
      </c>
      <c r="Q191">
        <f>IFERROR(INDEX('M04-S05'!$W$18:$W$199,2*(ROWS(Q$179:Q191)-1)+1),"")</f>
        <v>0</v>
      </c>
      <c r="S191">
        <f>IFERROR(INDEX('M04-S05'!$AX$18:$AX$199,2*(ROWS(S$179:S191)-1)+1),"")</f>
        <v>0</v>
      </c>
      <c r="T191" s="5">
        <f>IFERROR(ROUND(INDEX('M04-S05'!$AY$18:$AY$199,2*(ROWS(T$179:T191)-1)+1),3),"")</f>
        <v>0</v>
      </c>
      <c r="U191" s="5">
        <f>IFERROR(ROUND(INDEX('M04-S05'!$AZ$18:$AZ$199,2*(ROWS(U$179:U191)-1)+1),3),"")</f>
        <v>0</v>
      </c>
      <c r="V191" s="184"/>
      <c r="W191" s="184"/>
      <c r="X191" s="184"/>
      <c r="Y191" s="184"/>
      <c r="Z191" s="184"/>
      <c r="AA191" s="9" cm="1">
        <f t="array" ref="AA191">IFERROR(ROUND(INDEX('M04-S05'!$AR$18:$AR$199,2*(ROWS(AA$179:AA191)-1)+1), 2),"")</f>
        <v>0</v>
      </c>
      <c r="AB191" s="164"/>
      <c r="AC191" s="9" t="str" cm="1">
        <f t="array" ref="AC191">IFERROR(ROUND(IF(BB191&lt;&gt;"","",INDEX('M04-S05'!$AH$18:$AH$199,2*(ROWS(AC$179:AC191)-1)+1)),2),"")</f>
        <v/>
      </c>
      <c r="AD191" s="9" t="str" cm="1">
        <f t="array" ref="AD191">IFERROR(ROUND(IF(BB191&lt;&gt;"","",INDEX('M04-S05'!$AJ$18:$AJ$199,2*(ROWS(AD$179:AD191)-1)+1)),2),"")</f>
        <v/>
      </c>
      <c r="AE191" s="9" t="str">
        <f t="shared" si="19"/>
        <v/>
      </c>
      <c r="AF191" t="str">
        <f>IFERROR(IF(BB191&lt;&gt;"","",INDEX('M04-S05'!$AF$18:$AF$199,2*(ROWS(AG$179:AG191)-1)+1)),"")</f>
        <v/>
      </c>
      <c r="AG191" s="9" t="str" cm="1">
        <f t="array" ref="AG191">IFERROR(ROUND(IF(BB191&lt;&gt;"","",INDEX('M04-S05'!$AL$18:$AL$199,2*(ROWS(AG$179:AG191)-1)+1)),2),"")</f>
        <v/>
      </c>
      <c r="AH191" s="184"/>
      <c r="AI191" s="191"/>
      <c r="AJ191" s="32" t="str">
        <f>IFERROR(ROUND(IF(BA191&lt;&gt;"","",INDEX('M04-S05'!$AO$18:$AO$199,2*(ROWS(AJ$179:AJ191)-1)+1)),4),"")</f>
        <v/>
      </c>
      <c r="AK191" s="32" t="str">
        <f>IFERROR(ROUND(IF(BA191&lt;&gt;"","",INDEX('M04-S05'!$BF$18:$BF$199,2*(ROWS(AK$179:AK191)-1)+1)),4),"")</f>
        <v/>
      </c>
      <c r="AL191" s="32" t="str">
        <f>IFERROR(ROUND(IF(BA191&lt;&gt;"","",INDEX('M04-S05'!$BG$18:$BG$199,2*(ROWS(AL$179:AL191)-1)+1)),4),"")</f>
        <v/>
      </c>
      <c r="AM191" s="32" cm="1">
        <f t="array" ref="AM191">IFERROR(ROUND(INDEX('M04-S05'!$BA$18:$BA$199,2*(ROWS(AM$179:AM191)-1)+1),4),"")</f>
        <v>0</v>
      </c>
      <c r="AN191" s="32" cm="1">
        <f t="array" ref="AN191">IFERROR(ROUND(INDEX('M04-S05'!$BB$18:$BB$199,2*(ROWS(AN$179:AN191)-1)+1),4),"")</f>
        <v>0</v>
      </c>
      <c r="AO191" s="32"/>
      <c r="AP191" s="9">
        <f>IFERROR(ROUND(IF(BB191&lt;&gt;"",INDEX('M04-S05'!$AH$18:$AH$199,2*(ROWS(AP$179:AP191)-1)+1),""),2),"")</f>
        <v>0</v>
      </c>
      <c r="AQ191" s="9">
        <f>IFERROR(ROUND(IF(BB191&lt;&gt;"",INDEX('M04-S05'!$AJ$18:$AJ$199,2*(ROWS(AQ$179:AQ191)-1)+1),""),2),"")</f>
        <v>0</v>
      </c>
      <c r="AR191" s="9" t="str">
        <f t="shared" si="27"/>
        <v/>
      </c>
      <c r="AS191">
        <f>IFERROR(IF(BB191&lt;&gt;"",INDEX('M04-S05'!$AF$18:$AF$199,2*(ROWS(AS$179:AS191)-1)+1),""),"")</f>
        <v>0</v>
      </c>
      <c r="AT191" s="9" cm="1">
        <f t="array" ref="AT191">IFERROR(ROUND(IF(BB191&lt;&gt;"", INDEX('M04-S05'!$AL$18:$AL$199,2*(ROWS(AG$179:AG191)-1)+1), ""),2),"")</f>
        <v>0</v>
      </c>
      <c r="AU191" s="184"/>
      <c r="AV191" s="5">
        <f>IFERROR(IF(BB191&lt;&gt;"",ROUND(INDEX('M04-S05'!$AY$18:$AY$199,2*(ROWS(AV$179:AV191)-1)+1),3),""),"")</f>
        <v>0</v>
      </c>
      <c r="AW191" s="5">
        <f>IFERROR(IF(BB191&lt;&gt;"",ROUND(INDEX('M04-S05'!$AZ$18:$AZ$199,2*(ROWS(AW$179:AW191)-1)+1),3),""),"")</f>
        <v>0</v>
      </c>
      <c r="AX191" s="184"/>
      <c r="AY191" s="26">
        <f>IFERROR(IF(BB191&lt;&gt;"",INDEX('M04-S05'!$AO$18:$AO$199,2*(ROWS(AY$179:AY191)-1)+1),""),"")</f>
        <v>0</v>
      </c>
      <c r="AZ191" s="32">
        <f>IFERROR(IF(BB191&lt;&gt;"",INDEX('M04-S05'!$BF$18:$BF$199,2*(ROWS(AZ$179:AZ191)-1)+1),""),"")</f>
        <v>0</v>
      </c>
      <c r="BA191" s="32">
        <f>IFERROR(IF(BB191&lt;&gt;"",INDEX('M04-S05'!$BG$18:$BG$199,2*(ROWS(BA$179:BA191)-1)+1),""),"")</f>
        <v>0</v>
      </c>
      <c r="BB191">
        <f>IFERROR(INDEX('M04-S05'!$BY$18:$BY$199,2*(ROWS(BB$179:BB191)-1)+1),"")</f>
        <v>0</v>
      </c>
    </row>
    <row r="192" spans="1:54">
      <c r="A192" s="10">
        <f t="shared" si="25"/>
        <v>0</v>
      </c>
      <c r="B192" t="str">
        <f t="shared" si="26"/>
        <v/>
      </c>
      <c r="C192" t="str" cm="1">
        <f t="array" ref="C192">IFERROR(_xlfn.VALUETOTEXT(INDEX('M04-S05'!$BW$18:$BW$199,2*(ROWS($C$179:C192)-1)+1)),"")</f>
        <v/>
      </c>
      <c r="D192">
        <f>IFERROR(INDEX('M04-S05'!$B$18:$B$199,2*(ROWS(D$179:D192)-1)+1),"")</f>
        <v>0</v>
      </c>
      <c r="E192" s="51" t="str" cm="1">
        <f t="array" ref="E192">IFERROR(_xlfn.VALUETOTEXT(INDEX('M04-S05'!$BX$18:$BX$199,2*(ROWS($E$179:E192)-1)+1)),"")</f>
        <v/>
      </c>
      <c r="F192" t="str" cm="1">
        <f t="array" ref="F192">IF(C192&lt;&gt;"", _xlfn.SWITCH(Program_Banner, "Small Business / Non-Profit", "Hard-To-Reach Business", "Business Energy Savings", "Whole Business Efficiency", ""), "")</f>
        <v/>
      </c>
      <c r="G192" t="s">
        <v>135</v>
      </c>
      <c r="H192">
        <f>IFERROR(INDEX('M04-S05'!$BC$18:$BC$199,2*(ROWS(H$179:H192)-1)+1),"")</f>
        <v>0</v>
      </c>
      <c r="I192">
        <f>IFERROR(INDEX('M04-S05'!$BJ$18:$BJ$199,2*(ROWS(I$179:I192)-1)+1),"")</f>
        <v>0</v>
      </c>
      <c r="J192" s="9">
        <f>IFERROR(INDEX('M04-S05'!$BN$18:$BN$199,2*(ROWS(J$179:J192)-1)+1),"")</f>
        <v>0</v>
      </c>
      <c r="K192" s="9">
        <f>IFERROR(INDEX('M04-S05'!$BO$18:$BO$199,2*(ROWS(K$179:K192)-1)+1),"")</f>
        <v>0</v>
      </c>
      <c r="L192" s="51">
        <f>IFERROR(INDEX('M04-S05'!$BD$18:$BD$199,2*(ROWS(L$179:L192)-1)+1),"")</f>
        <v>0</v>
      </c>
      <c r="M192" s="171"/>
      <c r="N192" s="171"/>
      <c r="O192">
        <f>IFERROR(INDEX('M04-S05'!$H$18:$H$199,2*(ROWS(O$179:O192)-1)+1),"")</f>
        <v>0</v>
      </c>
      <c r="P192">
        <f>IFERROR(INDEX('M04-S05'!$N$18:$N$199,2*(ROWS(P$179:P192)-1)+1),"")</f>
        <v>0</v>
      </c>
      <c r="Q192">
        <f>IFERROR(INDEX('M04-S05'!$W$18:$W$199,2*(ROWS(Q$179:Q192)-1)+1),"")</f>
        <v>0</v>
      </c>
      <c r="S192">
        <f>IFERROR(INDEX('M04-S05'!$AX$18:$AX$199,2*(ROWS(S$179:S192)-1)+1),"")</f>
        <v>0</v>
      </c>
      <c r="T192" s="5">
        <f>IFERROR(ROUND(INDEX('M04-S05'!$AY$18:$AY$199,2*(ROWS(T$179:T192)-1)+1),3),"")</f>
        <v>0</v>
      </c>
      <c r="U192" s="5">
        <f>IFERROR(ROUND(INDEX('M04-S05'!$AZ$18:$AZ$199,2*(ROWS(U$179:U192)-1)+1),3),"")</f>
        <v>0</v>
      </c>
      <c r="V192" s="184"/>
      <c r="W192" s="184"/>
      <c r="X192" s="184"/>
      <c r="Y192" s="184"/>
      <c r="Z192" s="184"/>
      <c r="AA192" s="9" cm="1">
        <f t="array" ref="AA192">IFERROR(ROUND(INDEX('M04-S05'!$AR$18:$AR$199,2*(ROWS(AA$179:AA192)-1)+1), 2),"")</f>
        <v>0</v>
      </c>
      <c r="AB192" s="164"/>
      <c r="AC192" s="9" t="str" cm="1">
        <f t="array" ref="AC192">IFERROR(ROUND(IF(BB192&lt;&gt;"","",INDEX('M04-S05'!$AH$18:$AH$199,2*(ROWS(AC$179:AC192)-1)+1)),2),"")</f>
        <v/>
      </c>
      <c r="AD192" s="9" t="str" cm="1">
        <f t="array" ref="AD192">IFERROR(ROUND(IF(BB192&lt;&gt;"","",INDEX('M04-S05'!$AJ$18:$AJ$199,2*(ROWS(AD$179:AD192)-1)+1)),2),"")</f>
        <v/>
      </c>
      <c r="AE192" s="9" t="str">
        <f t="shared" si="19"/>
        <v/>
      </c>
      <c r="AF192" t="str">
        <f>IFERROR(IF(BB192&lt;&gt;"","",INDEX('M04-S05'!$AF$18:$AF$199,2*(ROWS(AG$179:AG192)-1)+1)),"")</f>
        <v/>
      </c>
      <c r="AG192" s="9" t="str" cm="1">
        <f t="array" ref="AG192">IFERROR(ROUND(IF(BB192&lt;&gt;"","",INDEX('M04-S05'!$AL$18:$AL$199,2*(ROWS(AG$179:AG192)-1)+1)),2),"")</f>
        <v/>
      </c>
      <c r="AH192" s="184"/>
      <c r="AI192" s="191"/>
      <c r="AJ192" s="32" t="str">
        <f>IFERROR(ROUND(IF(BA192&lt;&gt;"","",INDEX('M04-S05'!$AO$18:$AO$199,2*(ROWS(AJ$179:AJ192)-1)+1)),4),"")</f>
        <v/>
      </c>
      <c r="AK192" s="32" t="str">
        <f>IFERROR(ROUND(IF(BA192&lt;&gt;"","",INDEX('M04-S05'!$BF$18:$BF$199,2*(ROWS(AK$179:AK192)-1)+1)),4),"")</f>
        <v/>
      </c>
      <c r="AL192" s="32" t="str">
        <f>IFERROR(ROUND(IF(BA192&lt;&gt;"","",INDEX('M04-S05'!$BG$18:$BG$199,2*(ROWS(AL$179:AL192)-1)+1)),4),"")</f>
        <v/>
      </c>
      <c r="AM192" s="32" cm="1">
        <f t="array" ref="AM192">IFERROR(ROUND(INDEX('M04-S05'!$BA$18:$BA$199,2*(ROWS(AM$179:AM192)-1)+1),4),"")</f>
        <v>0</v>
      </c>
      <c r="AN192" s="32" cm="1">
        <f t="array" ref="AN192">IFERROR(ROUND(INDEX('M04-S05'!$BB$18:$BB$199,2*(ROWS(AN$179:AN192)-1)+1),4),"")</f>
        <v>0</v>
      </c>
      <c r="AO192" s="32"/>
      <c r="AP192" s="9">
        <f>IFERROR(ROUND(IF(BB192&lt;&gt;"",INDEX('M04-S05'!$AH$18:$AH$199,2*(ROWS(AP$179:AP192)-1)+1),""),2),"")</f>
        <v>0</v>
      </c>
      <c r="AQ192" s="9">
        <f>IFERROR(ROUND(IF(BB192&lt;&gt;"",INDEX('M04-S05'!$AJ$18:$AJ$199,2*(ROWS(AQ$179:AQ192)-1)+1),""),2),"")</f>
        <v>0</v>
      </c>
      <c r="AR192" s="9" t="str">
        <f t="shared" si="27"/>
        <v/>
      </c>
      <c r="AS192">
        <f>IFERROR(IF(BB192&lt;&gt;"",INDEX('M04-S05'!$AF$18:$AF$199,2*(ROWS(AS$179:AS192)-1)+1),""),"")</f>
        <v>0</v>
      </c>
      <c r="AT192" s="9" cm="1">
        <f t="array" ref="AT192">IFERROR(ROUND(IF(BB192&lt;&gt;"", INDEX('M04-S05'!$AL$18:$AL$199,2*(ROWS(AG$179:AG192)-1)+1), ""),2),"")</f>
        <v>0</v>
      </c>
      <c r="AU192" s="184"/>
      <c r="AV192" s="5">
        <f>IFERROR(IF(BB192&lt;&gt;"",ROUND(INDEX('M04-S05'!$AY$18:$AY$199,2*(ROWS(AV$179:AV192)-1)+1),3),""),"")</f>
        <v>0</v>
      </c>
      <c r="AW192" s="5">
        <f>IFERROR(IF(BB192&lt;&gt;"",ROUND(INDEX('M04-S05'!$AZ$18:$AZ$199,2*(ROWS(AW$179:AW192)-1)+1),3),""),"")</f>
        <v>0</v>
      </c>
      <c r="AX192" s="184"/>
      <c r="AY192" s="26">
        <f>IFERROR(IF(BB192&lt;&gt;"",INDEX('M04-S05'!$AO$18:$AO$199,2*(ROWS(AY$179:AY192)-1)+1),""),"")</f>
        <v>0</v>
      </c>
      <c r="AZ192" s="32">
        <f>IFERROR(IF(BB192&lt;&gt;"",INDEX('M04-S05'!$BF$18:$BF$199,2*(ROWS(AZ$179:AZ192)-1)+1),""),"")</f>
        <v>0</v>
      </c>
      <c r="BA192" s="32">
        <f>IFERROR(IF(BB192&lt;&gt;"",INDEX('M04-S05'!$BG$18:$BG$199,2*(ROWS(BA$179:BA192)-1)+1),""),"")</f>
        <v>0</v>
      </c>
      <c r="BB192">
        <f>IFERROR(INDEX('M04-S05'!$BY$18:$BY$199,2*(ROWS(BB$179:BB192)-1)+1),"")</f>
        <v>0</v>
      </c>
    </row>
    <row r="193" spans="1:54">
      <c r="A193" s="10">
        <f t="shared" si="25"/>
        <v>0</v>
      </c>
      <c r="B193" t="str">
        <f t="shared" si="26"/>
        <v/>
      </c>
      <c r="C193" t="str" cm="1">
        <f t="array" ref="C193">IFERROR(_xlfn.VALUETOTEXT(INDEX('M04-S05'!$BW$18:$BW$199,2*(ROWS($C$179:C193)-1)+1)),"")</f>
        <v/>
      </c>
      <c r="D193">
        <f>IFERROR(INDEX('M04-S05'!$B$18:$B$199,2*(ROWS(D$179:D193)-1)+1),"")</f>
        <v>0</v>
      </c>
      <c r="E193" s="51" t="str" cm="1">
        <f t="array" ref="E193">IFERROR(_xlfn.VALUETOTEXT(INDEX('M04-S05'!$BX$18:$BX$199,2*(ROWS($E$179:E193)-1)+1)),"")</f>
        <v/>
      </c>
      <c r="F193" t="str" cm="1">
        <f t="array" ref="F193">IF(C193&lt;&gt;"", _xlfn.SWITCH(Program_Banner, "Small Business / Non-Profit", "Hard-To-Reach Business", "Business Energy Savings", "Whole Business Efficiency", ""), "")</f>
        <v/>
      </c>
      <c r="G193" t="s">
        <v>135</v>
      </c>
      <c r="H193">
        <f>IFERROR(INDEX('M04-S05'!$BC$18:$BC$199,2*(ROWS(H$179:H193)-1)+1),"")</f>
        <v>0</v>
      </c>
      <c r="I193">
        <f>IFERROR(INDEX('M04-S05'!$BJ$18:$BJ$199,2*(ROWS(I$179:I193)-1)+1),"")</f>
        <v>0</v>
      </c>
      <c r="J193" s="9">
        <f>IFERROR(INDEX('M04-S05'!$BN$18:$BN$199,2*(ROWS(J$179:J193)-1)+1),"")</f>
        <v>0</v>
      </c>
      <c r="K193" s="9">
        <f>IFERROR(INDEX('M04-S05'!$BO$18:$BO$199,2*(ROWS(K$179:K193)-1)+1),"")</f>
        <v>0</v>
      </c>
      <c r="L193" s="51">
        <f>IFERROR(INDEX('M04-S05'!$BD$18:$BD$199,2*(ROWS(L$179:L193)-1)+1),"")</f>
        <v>0</v>
      </c>
      <c r="M193" s="171"/>
      <c r="N193" s="171"/>
      <c r="O193">
        <f>IFERROR(INDEX('M04-S05'!$H$18:$H$199,2*(ROWS(O$179:O193)-1)+1),"")</f>
        <v>0</v>
      </c>
      <c r="P193">
        <f>IFERROR(INDEX('M04-S05'!$N$18:$N$199,2*(ROWS(P$179:P193)-1)+1),"")</f>
        <v>0</v>
      </c>
      <c r="Q193">
        <f>IFERROR(INDEX('M04-S05'!$W$18:$W$199,2*(ROWS(Q$179:Q193)-1)+1),"")</f>
        <v>0</v>
      </c>
      <c r="S193">
        <f>IFERROR(INDEX('M04-S05'!$AX$18:$AX$199,2*(ROWS(S$179:S193)-1)+1),"")</f>
        <v>0</v>
      </c>
      <c r="T193" s="5">
        <f>IFERROR(ROUND(INDEX('M04-S05'!$AY$18:$AY$199,2*(ROWS(T$179:T193)-1)+1),3),"")</f>
        <v>0</v>
      </c>
      <c r="U193" s="5">
        <f>IFERROR(ROUND(INDEX('M04-S05'!$AZ$18:$AZ$199,2*(ROWS(U$179:U193)-1)+1),3),"")</f>
        <v>0</v>
      </c>
      <c r="V193" s="184"/>
      <c r="W193" s="184"/>
      <c r="X193" s="184"/>
      <c r="Y193" s="184"/>
      <c r="Z193" s="184"/>
      <c r="AA193" s="9" cm="1">
        <f t="array" ref="AA193">IFERROR(ROUND(INDEX('M04-S05'!$AR$18:$AR$199,2*(ROWS(AA$179:AA193)-1)+1), 2),"")</f>
        <v>0</v>
      </c>
      <c r="AB193" s="164"/>
      <c r="AC193" s="9" t="str" cm="1">
        <f t="array" ref="AC193">IFERROR(ROUND(IF(BB193&lt;&gt;"","",INDEX('M04-S05'!$AH$18:$AH$199,2*(ROWS(AC$179:AC193)-1)+1)),2),"")</f>
        <v/>
      </c>
      <c r="AD193" s="9" t="str" cm="1">
        <f t="array" ref="AD193">IFERROR(ROUND(IF(BB193&lt;&gt;"","",INDEX('M04-S05'!$AJ$18:$AJ$199,2*(ROWS(AD$179:AD193)-1)+1)),2),"")</f>
        <v/>
      </c>
      <c r="AE193" s="9" t="str">
        <f t="shared" si="19"/>
        <v/>
      </c>
      <c r="AF193" t="str">
        <f>IFERROR(IF(BB193&lt;&gt;"","",INDEX('M04-S05'!$AF$18:$AF$199,2*(ROWS(AG$179:AG193)-1)+1)),"")</f>
        <v/>
      </c>
      <c r="AG193" s="9" t="str" cm="1">
        <f t="array" ref="AG193">IFERROR(ROUND(IF(BB193&lt;&gt;"","",INDEX('M04-S05'!$AL$18:$AL$199,2*(ROWS(AG$179:AG193)-1)+1)),2),"")</f>
        <v/>
      </c>
      <c r="AH193" s="184"/>
      <c r="AI193" s="191"/>
      <c r="AJ193" s="32" t="str">
        <f>IFERROR(ROUND(IF(BA193&lt;&gt;"","",INDEX('M04-S05'!$AO$18:$AO$199,2*(ROWS(AJ$179:AJ193)-1)+1)),4),"")</f>
        <v/>
      </c>
      <c r="AK193" s="32" t="str">
        <f>IFERROR(ROUND(IF(BA193&lt;&gt;"","",INDEX('M04-S05'!$BF$18:$BF$199,2*(ROWS(AK$179:AK193)-1)+1)),4),"")</f>
        <v/>
      </c>
      <c r="AL193" s="32" t="str">
        <f>IFERROR(ROUND(IF(BA193&lt;&gt;"","",INDEX('M04-S05'!$BG$18:$BG$199,2*(ROWS(AL$179:AL193)-1)+1)),4),"")</f>
        <v/>
      </c>
      <c r="AM193" s="32" cm="1">
        <f t="array" ref="AM193">IFERROR(ROUND(INDEX('M04-S05'!$BA$18:$BA$199,2*(ROWS(AM$179:AM193)-1)+1),4),"")</f>
        <v>0</v>
      </c>
      <c r="AN193" s="32" cm="1">
        <f t="array" ref="AN193">IFERROR(ROUND(INDEX('M04-S05'!$BB$18:$BB$199,2*(ROWS(AN$179:AN193)-1)+1),4),"")</f>
        <v>0</v>
      </c>
      <c r="AO193" s="32"/>
      <c r="AP193" s="9">
        <f>IFERROR(ROUND(IF(BB193&lt;&gt;"",INDEX('M04-S05'!$AH$18:$AH$199,2*(ROWS(AP$179:AP193)-1)+1),""),2),"")</f>
        <v>0</v>
      </c>
      <c r="AQ193" s="9">
        <f>IFERROR(ROUND(IF(BB193&lt;&gt;"",INDEX('M04-S05'!$AJ$18:$AJ$199,2*(ROWS(AQ$179:AQ193)-1)+1),""),2),"")</f>
        <v>0</v>
      </c>
      <c r="AR193" s="9" t="str">
        <f t="shared" si="27"/>
        <v/>
      </c>
      <c r="AS193">
        <f>IFERROR(IF(BB193&lt;&gt;"",INDEX('M04-S05'!$AF$18:$AF$199,2*(ROWS(AS$179:AS193)-1)+1),""),"")</f>
        <v>0</v>
      </c>
      <c r="AT193" s="9" cm="1">
        <f t="array" ref="AT193">IFERROR(ROUND(IF(BB193&lt;&gt;"", INDEX('M04-S05'!$AL$18:$AL$199,2*(ROWS(AG$179:AG193)-1)+1), ""),2),"")</f>
        <v>0</v>
      </c>
      <c r="AU193" s="184"/>
      <c r="AV193" s="5">
        <f>IFERROR(IF(BB193&lt;&gt;"",ROUND(INDEX('M04-S05'!$AY$18:$AY$199,2*(ROWS(AV$179:AV193)-1)+1),3),""),"")</f>
        <v>0</v>
      </c>
      <c r="AW193" s="5">
        <f>IFERROR(IF(BB193&lt;&gt;"",ROUND(INDEX('M04-S05'!$AZ$18:$AZ$199,2*(ROWS(AW$179:AW193)-1)+1),3),""),"")</f>
        <v>0</v>
      </c>
      <c r="AX193" s="184"/>
      <c r="AY193" s="26">
        <f>IFERROR(IF(BB193&lt;&gt;"",INDEX('M04-S05'!$AO$18:$AO$199,2*(ROWS(AY$179:AY193)-1)+1),""),"")</f>
        <v>0</v>
      </c>
      <c r="AZ193" s="32">
        <f>IFERROR(IF(BB193&lt;&gt;"",INDEX('M04-S05'!$BF$18:$BF$199,2*(ROWS(AZ$179:AZ193)-1)+1),""),"")</f>
        <v>0</v>
      </c>
      <c r="BA193" s="32">
        <f>IFERROR(IF(BB193&lt;&gt;"",INDEX('M04-S05'!$BG$18:$BG$199,2*(ROWS(BA$179:BA193)-1)+1),""),"")</f>
        <v>0</v>
      </c>
      <c r="BB193">
        <f>IFERROR(INDEX('M04-S05'!$BY$18:$BY$199,2*(ROWS(BB$179:BB193)-1)+1),"")</f>
        <v>0</v>
      </c>
    </row>
    <row r="194" spans="1:54">
      <c r="A194" s="477" t="str">
        <f>"Custom "&amp;M4S6</f>
        <v>Custom Compressed Air / Process</v>
      </c>
      <c r="B194" s="31"/>
      <c r="C194" s="31"/>
      <c r="D194" s="31"/>
      <c r="E194" s="31"/>
      <c r="F194" s="31"/>
      <c r="G194" s="31"/>
      <c r="H194" s="31"/>
      <c r="I194" s="31"/>
      <c r="J194" s="181"/>
      <c r="K194" s="181"/>
      <c r="L194" s="31"/>
      <c r="M194" s="31"/>
      <c r="N194" s="31"/>
      <c r="O194" s="98"/>
      <c r="P194" s="31"/>
      <c r="Q194" s="31"/>
      <c r="R194" s="31"/>
      <c r="S194" s="31"/>
      <c r="T194" s="187"/>
      <c r="U194" s="187"/>
      <c r="V194" s="185"/>
      <c r="W194" s="185"/>
      <c r="X194" s="185"/>
      <c r="Y194" s="185"/>
      <c r="Z194" s="185"/>
      <c r="AA194" s="181"/>
      <c r="AB194" s="31"/>
      <c r="AC194" s="181"/>
      <c r="AD194" s="181"/>
      <c r="AE194" s="181"/>
      <c r="AF194" s="31"/>
      <c r="AG194" s="181"/>
      <c r="AH194" s="31"/>
      <c r="AI194" s="189"/>
      <c r="AJ194" s="189"/>
      <c r="AK194" s="189"/>
      <c r="AL194" s="189"/>
      <c r="AM194" s="189"/>
      <c r="AN194" s="189"/>
      <c r="AO194" s="189"/>
      <c r="AP194" s="181"/>
      <c r="AQ194" s="181"/>
      <c r="AR194" s="181"/>
      <c r="AS194" s="31"/>
      <c r="AT194" s="31"/>
      <c r="AU194" s="31"/>
      <c r="AV194" s="187"/>
      <c r="AW194" s="187"/>
      <c r="AX194" s="185"/>
      <c r="AY194" s="185"/>
      <c r="AZ194" s="189"/>
      <c r="BA194" s="189"/>
      <c r="BB194" s="31"/>
    </row>
    <row r="195" spans="1:54">
      <c r="A195" s="10">
        <f t="shared" ref="A195:A209" si="28">PROJID</f>
        <v>0</v>
      </c>
      <c r="B195" t="str">
        <f t="shared" ref="B195:B209" si="29">IF(C195="","",CONCATENATE(ROW(),"-",C195))</f>
        <v/>
      </c>
      <c r="C195" t="str" cm="1">
        <f t="array" ref="C195">IFERROR(_xlfn.VALUETOTEXT(INDEX('M04-S06'!$BW$18:$BW$199,2*(ROWS($C$195:C195)-1)+1)),"")</f>
        <v/>
      </c>
      <c r="D195">
        <f>IFERROR(INDEX('M04-S06'!$B$18:$B$199,2*(ROWS(D$195:D195)-1)+1),"")</f>
        <v>1</v>
      </c>
      <c r="E195" s="51" t="str" cm="1">
        <f t="array" ref="E195">IFERROR(_xlfn.VALUETOTEXT(INDEX('M04-S06'!$BX$18:$BX$199,2*(ROWS($E$195:E195)-1)+1)),"")</f>
        <v/>
      </c>
      <c r="F195" t="str" cm="1">
        <f t="array" ref="F195">IF(C195&lt;&gt;"", _xlfn.SWITCH(Program_Banner, "Small Business / Non-Profit", "Hard-To-Reach Business", "Business Energy Savings", "Whole Business Efficiency", ""), "")</f>
        <v/>
      </c>
      <c r="G195" t="s">
        <v>135</v>
      </c>
      <c r="H195" t="str">
        <f>IFERROR(INDEX('M04-S06'!$BC$18:$BC$199,2*(ROWS(H$195:H195)-1)+1),"")</f>
        <v/>
      </c>
      <c r="I195" t="str">
        <f>IFERROR(INDEX('M04-S06'!$BJ$18:$BJ$199,2*(ROWS(I$195:I195)-1)+1),"")</f>
        <v/>
      </c>
      <c r="J195" s="9" t="str">
        <f>IFERROR(INDEX('M04-S06'!$BN$18:$BN$199,2*(ROWS(J$195:J195)-1)+1),"")</f>
        <v/>
      </c>
      <c r="K195" s="9" t="str">
        <f>IFERROR(INDEX('M04-S06'!$BO$18:$BO$199,2*(ROWS(K$195:K195)-1)+1),"")</f>
        <v/>
      </c>
      <c r="L195" s="51" t="str">
        <f>IFERROR(INDEX('M04-S06'!$BD$18:$BD$199,2*(ROWS(L$195:L195)-1)+1),"")</f>
        <v/>
      </c>
      <c r="M195" s="171"/>
      <c r="N195" s="171"/>
      <c r="O195">
        <f>IFERROR(INDEX('M04-S06'!$H$18:$H$199,2*(ROWS(O$195:O195)-1)+1),"")</f>
        <v>0</v>
      </c>
      <c r="P195">
        <f>IFERROR(INDEX('M04-S06'!$N$18:$N$199,2*(ROWS(P$195:P195)-1)+1),"")</f>
        <v>0</v>
      </c>
      <c r="Q195">
        <f>IFERROR(INDEX('M04-S06'!$W$18:$W$199,2*(ROWS(Q$195:Q195)-1)+1),"")</f>
        <v>0</v>
      </c>
      <c r="S195" t="str">
        <f>IFERROR(INDEX('M04-S06'!$AX$18:$AX$199,2*(ROWS(S$195:S195)-1)+1),"")</f>
        <v/>
      </c>
      <c r="T195" s="5" t="str">
        <f>IFERROR(ROUND(INDEX('M04-S06'!$AY$18:$AY$199,2*(ROWS(T$195:T195)-1)+1),3),"")</f>
        <v/>
      </c>
      <c r="U195" s="5" t="str">
        <f>IFERROR(ROUND(INDEX('M04-S06'!$AZ$18:$AZ$199,2*(ROWS(U$195:U195)-1)+1),3),"")</f>
        <v/>
      </c>
      <c r="V195" s="184"/>
      <c r="W195" s="184"/>
      <c r="X195" s="184"/>
      <c r="Y195" s="184"/>
      <c r="Z195" s="184"/>
      <c r="AA195" s="9" t="str" cm="1">
        <f t="array" ref="AA195">IFERROR(ROUND(INDEX('M04-S06'!$AR$18:$AR$199,2*(ROWS(AA$195:AA195)-1)+1), 2),"")</f>
        <v/>
      </c>
      <c r="AB195" s="164"/>
      <c r="AC195" s="9" t="str" cm="1">
        <f t="array" aca="1" ref="AC195" ca="1">IFERROR(ROUND(IF(BB195&lt;&gt;"","",INDEX('M04-S06'!$AH$18:$AH$199,2*(ROWS(AC$195:AC195)-1)+1)),2),"")</f>
        <v/>
      </c>
      <c r="AD195" s="9" t="str" cm="1">
        <f t="array" aca="1" ref="AD195" ca="1">IFERROR(ROUND(IF(BB195&lt;&gt;"","",INDEX('M04-S06'!$AJ$18:$AJ$199,2*(ROWS(AD$195:AD195)-1)+1)),2),"")</f>
        <v/>
      </c>
      <c r="AE195" s="9" t="str">
        <f t="shared" ca="1" si="19"/>
        <v/>
      </c>
      <c r="AF195" t="str">
        <f ca="1">IFERROR(IF(BB195&lt;&gt;"","",INDEX('M04-S06'!$AF$18:$AF$199,2*(ROWS(AG$195:AG195)-1)+1)),"")</f>
        <v/>
      </c>
      <c r="AG195" s="9" t="str" cm="1">
        <f t="array" aca="1" ref="AG195" ca="1">IFERROR(ROUND(IF(BB195&lt;&gt;"","",INDEX('M04-S06'!$AL$18:$AL$199,2*(ROWS(AG$195:AG195)-1)+1)),2),"")</f>
        <v/>
      </c>
      <c r="AH195" s="184"/>
      <c r="AI195" s="191"/>
      <c r="AJ195" s="32" t="str">
        <f ca="1">IFERROR(ROUND(IF(BA195&lt;&gt;"","",INDEX('M04-S06'!$AO$18:$AO$199,2*(ROWS(AJ$195:AJ195)-1)+1)),4),"")</f>
        <v/>
      </c>
      <c r="AK195" s="32">
        <f ca="1">IFERROR(ROUND(IF(BA195&lt;&gt;"","",INDEX('M04-S06'!$BF$18:$BF$199,2*(ROWS(AK$195:AK195)-1)+1)),4),"")</f>
        <v>0</v>
      </c>
      <c r="AL195" s="32" t="str">
        <f ca="1">IFERROR(ROUND(IF(BA195&lt;&gt;"","",INDEX('M04-S06'!$BG$18:$BG$199,2*(ROWS(AL$195:AL195)-1)+1)),4),"")</f>
        <v/>
      </c>
      <c r="AM195" s="32" t="str" cm="1">
        <f t="array" ref="AM195">IFERROR(ROUND(INDEX('M04-S06'!$BA$18:$BA$199,2*(ROWS(AM$195:AM195)-1)+1),4),"")</f>
        <v/>
      </c>
      <c r="AN195" s="32" t="str" cm="1">
        <f t="array" ref="AN195">IFERROR(ROUND(INDEX('M04-S06'!$BB$18:$BB$199,2*(ROWS(AN$195:AN195)-1)+1),4),"")</f>
        <v/>
      </c>
      <c r="AO195" s="32"/>
      <c r="AP195" s="9">
        <f ca="1">IFERROR(ROUND(IF(BB195&lt;&gt;"",INDEX('M04-S06'!$AH$18:$AH$199,2*(ROWS(AP$195:AP195)-1)+1),""),2),"")</f>
        <v>0</v>
      </c>
      <c r="AQ195" s="9" t="str">
        <f ca="1">IFERROR(ROUND(IF(BB195&lt;&gt;"",INDEX('M04-S06'!$AJ$18:$AJ$199,2*(ROWS(AQ$195:AQ195)-1)+1),""),2),"")</f>
        <v/>
      </c>
      <c r="AR195" s="9" t="str">
        <f ca="1">IF(BB195&lt;&gt;"", "", IF(AS195="Total", AT195, ""))</f>
        <v/>
      </c>
      <c r="AS195" t="str">
        <f ca="1">IFERROR(IF(BB195&lt;&gt;"",INDEX('M04-S06'!$AF$18:$AF$199,2*(ROWS(AS$195:AS195)-1)+1),""),"")</f>
        <v/>
      </c>
      <c r="AT195" s="9" t="str" cm="1">
        <f t="array" aca="1" ref="AT195" ca="1">IFERROR(ROUND(IF(BB195&lt;&gt;"", INDEX('M04-S06'!$AL$18:$AL$199,2*(ROWS(AG$195:AG195)-1)+1), ""),2),"")</f>
        <v/>
      </c>
      <c r="AU195" s="184"/>
      <c r="AV195" s="5" t="str">
        <f ca="1">IFERROR(IF(BB195&lt;&gt;"",ROUND(INDEX('M04-S06'!$AY$18:$AY$199,2*(ROWS(AV$195:AV195)-1)+1),3),""),"")</f>
        <v/>
      </c>
      <c r="AW195" s="5" t="str">
        <f ca="1">IFERROR(IF(BB195&lt;&gt;"",ROUND(INDEX('M04-S06'!$AZ$18:$AZ$199,2*(ROWS(AW$195:AW195)-1)+1),3),""),"")</f>
        <v/>
      </c>
      <c r="AX195" s="184"/>
      <c r="AY195" s="26" t="str">
        <f ca="1">IFERROR(IF(BB195&lt;&gt;"",INDEX('M04-S06'!$AO$18:$AO$199,2*(ROWS(AY$195:AY195)-1)+1),""),"")</f>
        <v/>
      </c>
      <c r="AZ195" s="32">
        <f ca="1">IFERROR(IF(BB195&lt;&gt;"",INDEX('M04-S06'!$BF$18:$BF$199,2*(ROWS(AZ$195:AZ195)-1)+1),""),"")</f>
        <v>0</v>
      </c>
      <c r="BA195" s="32" t="str">
        <f ca="1">IFERROR(IF(BB195&lt;&gt;"",INDEX('M04-S06'!$BG$18:$BG$199,2*(ROWS(BA$195:BA195)-1)+1),""),"")</f>
        <v/>
      </c>
      <c r="BB195" t="str">
        <f ca="1">IFERROR(INDEX('M04-S06'!$BY$18:$BY$199,2*(ROWS(BB$195:BB195)-1)+1),"")</f>
        <v>Submit for Review</v>
      </c>
    </row>
    <row r="196" spans="1:54">
      <c r="A196" s="10">
        <f t="shared" si="28"/>
        <v>0</v>
      </c>
      <c r="B196" t="str">
        <f t="shared" si="29"/>
        <v/>
      </c>
      <c r="C196" t="str" cm="1">
        <f t="array" ref="C196">IFERROR(_xlfn.VALUETOTEXT(INDEX('M04-S06'!$BW$18:$BW$199,2*(ROWS($C$195:C196)-1)+1)),"")</f>
        <v/>
      </c>
      <c r="D196">
        <f>IFERROR(INDEX('M04-S06'!$B$18:$B$199,2*(ROWS(D$195:D196)-1)+1),"")</f>
        <v>2</v>
      </c>
      <c r="E196" s="51" t="str" cm="1">
        <f t="array" ref="E196">IFERROR(_xlfn.VALUETOTEXT(INDEX('M04-S06'!$BX$18:$BX$199,2*(ROWS($E$195:E196)-1)+1)),"")</f>
        <v/>
      </c>
      <c r="F196" t="str" cm="1">
        <f t="array" ref="F196">IF(C196&lt;&gt;"", _xlfn.SWITCH(Program_Banner, "Small Business / Non-Profit", "Hard-To-Reach Business", "Business Energy Savings", "Whole Business Efficiency", ""), "")</f>
        <v/>
      </c>
      <c r="G196" t="s">
        <v>135</v>
      </c>
      <c r="H196" t="str">
        <f>IFERROR(INDEX('M04-S06'!$BC$18:$BC$199,2*(ROWS(H$195:H196)-1)+1),"")</f>
        <v/>
      </c>
      <c r="I196" t="str">
        <f>IFERROR(INDEX('M04-S06'!$BJ$18:$BJ$199,2*(ROWS(I$195:I196)-1)+1),"")</f>
        <v/>
      </c>
      <c r="J196" s="9" t="str">
        <f>IFERROR(INDEX('M04-S06'!$BN$18:$BN$199,2*(ROWS(J$195:J196)-1)+1),"")</f>
        <v/>
      </c>
      <c r="K196" s="9" t="str">
        <f>IFERROR(INDEX('M04-S06'!$BO$18:$BO$199,2*(ROWS(K$195:K196)-1)+1),"")</f>
        <v/>
      </c>
      <c r="L196" s="51" t="str">
        <f>IFERROR(INDEX('M04-S06'!$BD$18:$BD$199,2*(ROWS(L$195:L196)-1)+1),"")</f>
        <v/>
      </c>
      <c r="M196" s="171"/>
      <c r="N196" s="171"/>
      <c r="O196">
        <f>IFERROR(INDEX('M04-S06'!$H$18:$H$199,2*(ROWS(O$195:O196)-1)+1),"")</f>
        <v>0</v>
      </c>
      <c r="P196">
        <f>IFERROR(INDEX('M04-S06'!$N$18:$N$199,2*(ROWS(P$195:P196)-1)+1),"")</f>
        <v>0</v>
      </c>
      <c r="Q196">
        <f>IFERROR(INDEX('M04-S06'!$W$18:$W$199,2*(ROWS(Q$195:Q196)-1)+1),"")</f>
        <v>0</v>
      </c>
      <c r="S196" t="str">
        <f>IFERROR(INDEX('M04-S06'!$AX$18:$AX$199,2*(ROWS(S$195:S196)-1)+1),"")</f>
        <v/>
      </c>
      <c r="T196" s="5" t="str">
        <f>IFERROR(ROUND(INDEX('M04-S06'!$AY$18:$AY$199,2*(ROWS(T$195:T196)-1)+1),3),"")</f>
        <v/>
      </c>
      <c r="U196" s="5" t="str">
        <f>IFERROR(ROUND(INDEX('M04-S06'!$AZ$18:$AZ$199,2*(ROWS(U$195:U196)-1)+1),3),"")</f>
        <v/>
      </c>
      <c r="V196" s="184"/>
      <c r="W196" s="184"/>
      <c r="X196" s="184"/>
      <c r="Y196" s="184"/>
      <c r="Z196" s="184"/>
      <c r="AA196" s="9" t="str" cm="1">
        <f t="array" ref="AA196">IFERROR(ROUND(INDEX('M04-S06'!$AR$18:$AR$199,2*(ROWS(AA$195:AA196)-1)+1), 2),"")</f>
        <v/>
      </c>
      <c r="AB196" s="164"/>
      <c r="AC196" s="9" t="str" cm="1">
        <f t="array" aca="1" ref="AC196" ca="1">IFERROR(ROUND(IF(BB196&lt;&gt;"","",INDEX('M04-S06'!$AH$18:$AH$199,2*(ROWS(AC$195:AC196)-1)+1)),2),"")</f>
        <v/>
      </c>
      <c r="AD196" s="9" t="str" cm="1">
        <f t="array" aca="1" ref="AD196" ca="1">IFERROR(ROUND(IF(BB196&lt;&gt;"","",INDEX('M04-S06'!$AJ$18:$AJ$199,2*(ROWS(AD$195:AD196)-1)+1)),2),"")</f>
        <v/>
      </c>
      <c r="AE196" s="9" t="str">
        <f t="shared" ca="1" si="19"/>
        <v/>
      </c>
      <c r="AF196" t="str">
        <f ca="1">IFERROR(IF(BB196&lt;&gt;"","",INDEX('M04-S06'!$AF$18:$AF$199,2*(ROWS(AG$195:AG196)-1)+1)),"")</f>
        <v/>
      </c>
      <c r="AG196" s="9" t="str" cm="1">
        <f t="array" aca="1" ref="AG196" ca="1">IFERROR(ROUND(IF(BB196&lt;&gt;"","",INDEX('M04-S06'!$AL$18:$AL$199,2*(ROWS(AG$195:AG196)-1)+1)),2),"")</f>
        <v/>
      </c>
      <c r="AH196" s="184"/>
      <c r="AI196" s="191"/>
      <c r="AJ196" s="32" t="str">
        <f ca="1">IFERROR(ROUND(IF(BA196&lt;&gt;"","",INDEX('M04-S06'!$AO$18:$AO$199,2*(ROWS(AJ$195:AJ196)-1)+1)),4),"")</f>
        <v/>
      </c>
      <c r="AK196" s="32">
        <f ca="1">IFERROR(ROUND(IF(BA196&lt;&gt;"","",INDEX('M04-S06'!$BF$18:$BF$199,2*(ROWS(AK$195:AK196)-1)+1)),4),"")</f>
        <v>0</v>
      </c>
      <c r="AL196" s="32" t="str">
        <f ca="1">IFERROR(ROUND(IF(BA196&lt;&gt;"","",INDEX('M04-S06'!$BG$18:$BG$199,2*(ROWS(AL$195:AL196)-1)+1)),4),"")</f>
        <v/>
      </c>
      <c r="AM196" s="32" t="str" cm="1">
        <f t="array" ref="AM196">IFERROR(ROUND(INDEX('M04-S06'!$BA$18:$BA$199,2*(ROWS(AM$195:AM196)-1)+1),4),"")</f>
        <v/>
      </c>
      <c r="AN196" s="32" t="str" cm="1">
        <f t="array" ref="AN196">IFERROR(ROUND(INDEX('M04-S06'!$BB$18:$BB$199,2*(ROWS(AN$195:AN196)-1)+1),4),"")</f>
        <v/>
      </c>
      <c r="AO196" s="32"/>
      <c r="AP196" s="9">
        <f ca="1">IFERROR(ROUND(IF(BB196&lt;&gt;"",INDEX('M04-S06'!$AH$18:$AH$199,2*(ROWS(AP$195:AP196)-1)+1),""),2),"")</f>
        <v>0</v>
      </c>
      <c r="AQ196" s="9" t="str">
        <f ca="1">IFERROR(ROUND(IF(BB196&lt;&gt;"",INDEX('M04-S06'!$AJ$18:$AJ$199,2*(ROWS(AQ$195:AQ196)-1)+1),""),2),"")</f>
        <v/>
      </c>
      <c r="AR196" s="9" t="str">
        <f t="shared" ref="AR196:AR209" ca="1" si="30">IF(BB196&lt;&gt;"", "", IF(AS196="Total", AT196, ""))</f>
        <v/>
      </c>
      <c r="AS196" t="str">
        <f ca="1">IFERROR(IF(BB196&lt;&gt;"",INDEX('M04-S06'!$AF$18:$AF$199,2*(ROWS(AS$195:AS196)-1)+1),""),"")</f>
        <v/>
      </c>
      <c r="AT196" s="9" t="str" cm="1">
        <f t="array" aca="1" ref="AT196" ca="1">IFERROR(ROUND(IF(BB196&lt;&gt;"", INDEX('M04-S06'!$AL$18:$AL$199,2*(ROWS(AG$195:AG196)-1)+1), ""),2),"")</f>
        <v/>
      </c>
      <c r="AU196" s="184"/>
      <c r="AV196" s="5" t="str">
        <f ca="1">IFERROR(IF(BB196&lt;&gt;"",ROUND(INDEX('M04-S06'!$AY$18:$AY$199,2*(ROWS(AV$195:AV196)-1)+1),3),""),"")</f>
        <v/>
      </c>
      <c r="AW196" s="5" t="str">
        <f ca="1">IFERROR(IF(BB196&lt;&gt;"",ROUND(INDEX('M04-S06'!$AZ$18:$AZ$199,2*(ROWS(AW$195:AW196)-1)+1),3),""),"")</f>
        <v/>
      </c>
      <c r="AX196" s="184"/>
      <c r="AY196" s="26" t="str">
        <f ca="1">IFERROR(IF(BB196&lt;&gt;"",INDEX('M04-S06'!$AO$18:$AO$199,2*(ROWS(AY$195:AY196)-1)+1),""),"")</f>
        <v/>
      </c>
      <c r="AZ196" s="32">
        <f ca="1">IFERROR(IF(BB196&lt;&gt;"",INDEX('M04-S06'!$BF$18:$BF$199,2*(ROWS(AZ$195:AZ196)-1)+1),""),"")</f>
        <v>0</v>
      </c>
      <c r="BA196" s="32" t="str">
        <f ca="1">IFERROR(IF(BB196&lt;&gt;"",INDEX('M04-S06'!$BG$18:$BG$199,2*(ROWS(BA$195:BA196)-1)+1),""),"")</f>
        <v/>
      </c>
      <c r="BB196" t="str">
        <f ca="1">IFERROR(INDEX('M04-S06'!$BY$18:$BY$199,2*(ROWS(BB$195:BB196)-1)+1),"")</f>
        <v>Submit for Review</v>
      </c>
    </row>
    <row r="197" spans="1:54">
      <c r="A197" s="10">
        <f t="shared" si="28"/>
        <v>0</v>
      </c>
      <c r="B197" t="str">
        <f t="shared" si="29"/>
        <v/>
      </c>
      <c r="C197" t="str" cm="1">
        <f t="array" ref="C197">IFERROR(_xlfn.VALUETOTEXT(INDEX('M04-S06'!$BW$18:$BW$199,2*(ROWS($C$195:C197)-1)+1)),"")</f>
        <v/>
      </c>
      <c r="D197">
        <f>IFERROR(INDEX('M04-S06'!$B$18:$B$199,2*(ROWS(D$195:D197)-1)+1),"")</f>
        <v>3</v>
      </c>
      <c r="E197" s="51" t="str" cm="1">
        <f t="array" ref="E197">IFERROR(_xlfn.VALUETOTEXT(INDEX('M04-S06'!$BX$18:$BX$199,2*(ROWS($E$195:E197)-1)+1)),"")</f>
        <v/>
      </c>
      <c r="F197" t="str" cm="1">
        <f t="array" ref="F197">IF(C197&lt;&gt;"", _xlfn.SWITCH(Program_Banner, "Small Business / Non-Profit", "Hard-To-Reach Business", "Business Energy Savings", "Whole Business Efficiency", ""), "")</f>
        <v/>
      </c>
      <c r="G197" t="s">
        <v>135</v>
      </c>
      <c r="H197" t="str">
        <f>IFERROR(INDEX('M04-S06'!$BC$18:$BC$199,2*(ROWS(H$195:H197)-1)+1),"")</f>
        <v/>
      </c>
      <c r="I197" t="str">
        <f>IFERROR(INDEX('M04-S06'!$BJ$18:$BJ$199,2*(ROWS(I$195:I197)-1)+1),"")</f>
        <v/>
      </c>
      <c r="J197" s="9" t="str">
        <f>IFERROR(INDEX('M04-S06'!$BN$18:$BN$199,2*(ROWS(J$195:J197)-1)+1),"")</f>
        <v/>
      </c>
      <c r="K197" s="9" t="str">
        <f>IFERROR(INDEX('M04-S06'!$BO$18:$BO$199,2*(ROWS(K$195:K197)-1)+1),"")</f>
        <v/>
      </c>
      <c r="L197" s="51" t="str">
        <f>IFERROR(INDEX('M04-S06'!$BD$18:$BD$199,2*(ROWS(L$195:L197)-1)+1),"")</f>
        <v/>
      </c>
      <c r="M197" s="171"/>
      <c r="N197" s="171"/>
      <c r="O197">
        <f>IFERROR(INDEX('M04-S06'!$H$18:$H$199,2*(ROWS(O$195:O197)-1)+1),"")</f>
        <v>0</v>
      </c>
      <c r="P197">
        <f>IFERROR(INDEX('M04-S06'!$N$18:$N$199,2*(ROWS(P$195:P197)-1)+1),"")</f>
        <v>0</v>
      </c>
      <c r="Q197">
        <f>IFERROR(INDEX('M04-S06'!$W$18:$W$199,2*(ROWS(Q$195:Q197)-1)+1),"")</f>
        <v>0</v>
      </c>
      <c r="S197" t="str">
        <f>IFERROR(INDEX('M04-S06'!$AX$18:$AX$199,2*(ROWS(S$195:S197)-1)+1),"")</f>
        <v/>
      </c>
      <c r="T197" s="5" t="str">
        <f>IFERROR(ROUND(INDEX('M04-S06'!$AY$18:$AY$199,2*(ROWS(T$195:T197)-1)+1),3),"")</f>
        <v/>
      </c>
      <c r="U197" s="5" t="str">
        <f>IFERROR(ROUND(INDEX('M04-S06'!$AZ$18:$AZ$199,2*(ROWS(U$195:U197)-1)+1),3),"")</f>
        <v/>
      </c>
      <c r="V197" s="184"/>
      <c r="W197" s="184"/>
      <c r="X197" s="184"/>
      <c r="Y197" s="184"/>
      <c r="Z197" s="184"/>
      <c r="AA197" s="9" t="str" cm="1">
        <f t="array" ref="AA197">IFERROR(ROUND(INDEX('M04-S06'!$AR$18:$AR$199,2*(ROWS(AA$195:AA197)-1)+1), 2),"")</f>
        <v/>
      </c>
      <c r="AB197" s="164"/>
      <c r="AC197" s="9" t="str" cm="1">
        <f t="array" aca="1" ref="AC197" ca="1">IFERROR(ROUND(IF(BB197&lt;&gt;"","",INDEX('M04-S06'!$AH$18:$AH$199,2*(ROWS(AC$195:AC197)-1)+1)),2),"")</f>
        <v/>
      </c>
      <c r="AD197" s="9" t="str" cm="1">
        <f t="array" aca="1" ref="AD197" ca="1">IFERROR(ROUND(IF(BB197&lt;&gt;"","",INDEX('M04-S06'!$AJ$18:$AJ$199,2*(ROWS(AD$195:AD197)-1)+1)),2),"")</f>
        <v/>
      </c>
      <c r="AE197" s="9" t="str">
        <f t="shared" ca="1" si="19"/>
        <v/>
      </c>
      <c r="AF197" t="str">
        <f ca="1">IFERROR(IF(BB197&lt;&gt;"","",INDEX('M04-S06'!$AF$18:$AF$199,2*(ROWS(AG$195:AG197)-1)+1)),"")</f>
        <v/>
      </c>
      <c r="AG197" s="9" t="str" cm="1">
        <f t="array" aca="1" ref="AG197" ca="1">IFERROR(ROUND(IF(BB197&lt;&gt;"","",INDEX('M04-S06'!$AL$18:$AL$199,2*(ROWS(AG$195:AG197)-1)+1)),2),"")</f>
        <v/>
      </c>
      <c r="AH197" s="184"/>
      <c r="AI197" s="191"/>
      <c r="AJ197" s="32" t="str">
        <f ca="1">IFERROR(ROUND(IF(BA197&lt;&gt;"","",INDEX('M04-S06'!$AO$18:$AO$199,2*(ROWS(AJ$195:AJ197)-1)+1)),4),"")</f>
        <v/>
      </c>
      <c r="AK197" s="32">
        <f ca="1">IFERROR(ROUND(IF(BA197&lt;&gt;"","",INDEX('M04-S06'!$BF$18:$BF$199,2*(ROWS(AK$195:AK197)-1)+1)),4),"")</f>
        <v>0</v>
      </c>
      <c r="AL197" s="32" t="str">
        <f ca="1">IFERROR(ROUND(IF(BA197&lt;&gt;"","",INDEX('M04-S06'!$BG$18:$BG$199,2*(ROWS(AL$195:AL197)-1)+1)),4),"")</f>
        <v/>
      </c>
      <c r="AM197" s="32" t="str" cm="1">
        <f t="array" ref="AM197">IFERROR(ROUND(INDEX('M04-S06'!$BA$18:$BA$199,2*(ROWS(AM$195:AM197)-1)+1),4),"")</f>
        <v/>
      </c>
      <c r="AN197" s="32" t="str" cm="1">
        <f t="array" ref="AN197">IFERROR(ROUND(INDEX('M04-S06'!$BB$18:$BB$199,2*(ROWS(AN$195:AN197)-1)+1),4),"")</f>
        <v/>
      </c>
      <c r="AO197" s="32"/>
      <c r="AP197" s="9">
        <f ca="1">IFERROR(ROUND(IF(BB197&lt;&gt;"",INDEX('M04-S06'!$AH$18:$AH$199,2*(ROWS(AP$195:AP197)-1)+1),""),2),"")</f>
        <v>0</v>
      </c>
      <c r="AQ197" s="9" t="str">
        <f ca="1">IFERROR(ROUND(IF(BB197&lt;&gt;"",INDEX('M04-S06'!$AJ$18:$AJ$199,2*(ROWS(AQ$195:AQ197)-1)+1),""),2),"")</f>
        <v/>
      </c>
      <c r="AR197" s="9" t="str">
        <f t="shared" ca="1" si="30"/>
        <v/>
      </c>
      <c r="AS197" t="str">
        <f ca="1">IFERROR(IF(BB197&lt;&gt;"",INDEX('M04-S06'!$AF$18:$AF$199,2*(ROWS(AS$195:AS197)-1)+1),""),"")</f>
        <v/>
      </c>
      <c r="AT197" s="9" t="str" cm="1">
        <f t="array" aca="1" ref="AT197" ca="1">IFERROR(ROUND(IF(BB197&lt;&gt;"", INDEX('M04-S06'!$AL$18:$AL$199,2*(ROWS(AG$195:AG197)-1)+1), ""),2),"")</f>
        <v/>
      </c>
      <c r="AU197" s="184"/>
      <c r="AV197" s="5" t="str">
        <f ca="1">IFERROR(IF(BB197&lt;&gt;"",ROUND(INDEX('M04-S06'!$AY$18:$AY$199,2*(ROWS(AV$195:AV197)-1)+1),3),""),"")</f>
        <v/>
      </c>
      <c r="AW197" s="5" t="str">
        <f ca="1">IFERROR(IF(BB197&lt;&gt;"",ROUND(INDEX('M04-S06'!$AZ$18:$AZ$199,2*(ROWS(AW$195:AW197)-1)+1),3),""),"")</f>
        <v/>
      </c>
      <c r="AX197" s="184"/>
      <c r="AY197" s="26" t="str">
        <f ca="1">IFERROR(IF(BB197&lt;&gt;"",INDEX('M04-S06'!$AO$18:$AO$199,2*(ROWS(AY$195:AY197)-1)+1),""),"")</f>
        <v/>
      </c>
      <c r="AZ197" s="32">
        <f ca="1">IFERROR(IF(BB197&lt;&gt;"",INDEX('M04-S06'!$BF$18:$BF$199,2*(ROWS(AZ$195:AZ197)-1)+1),""),"")</f>
        <v>0</v>
      </c>
      <c r="BA197" s="32" t="str">
        <f ca="1">IFERROR(IF(BB197&lt;&gt;"",INDEX('M04-S06'!$BG$18:$BG$199,2*(ROWS(BA$195:BA197)-1)+1),""),"")</f>
        <v/>
      </c>
      <c r="BB197" t="str">
        <f ca="1">IFERROR(INDEX('M04-S06'!$BY$18:$BY$199,2*(ROWS(BB$195:BB197)-1)+1),"")</f>
        <v>Submit for Review</v>
      </c>
    </row>
    <row r="198" spans="1:54">
      <c r="A198" s="10">
        <f t="shared" si="28"/>
        <v>0</v>
      </c>
      <c r="B198" t="str">
        <f t="shared" si="29"/>
        <v/>
      </c>
      <c r="C198" t="str" cm="1">
        <f t="array" ref="C198">IFERROR(_xlfn.VALUETOTEXT(INDEX('M04-S06'!$BW$18:$BW$199,2*(ROWS($C$195:C198)-1)+1)),"")</f>
        <v/>
      </c>
      <c r="D198">
        <f>IFERROR(INDEX('M04-S06'!$B$18:$B$199,2*(ROWS(D$195:D198)-1)+1),"")</f>
        <v>4</v>
      </c>
      <c r="E198" s="51" t="str" cm="1">
        <f t="array" ref="E198">IFERROR(_xlfn.VALUETOTEXT(INDEX('M04-S06'!$BX$18:$BX$199,2*(ROWS($E$195:E198)-1)+1)),"")</f>
        <v/>
      </c>
      <c r="F198" t="str" cm="1">
        <f t="array" ref="F198">IF(C198&lt;&gt;"", _xlfn.SWITCH(Program_Banner, "Small Business / Non-Profit", "Hard-To-Reach Business", "Business Energy Savings", "Whole Business Efficiency", ""), "")</f>
        <v/>
      </c>
      <c r="G198" t="s">
        <v>135</v>
      </c>
      <c r="H198" t="str">
        <f>IFERROR(INDEX('M04-S06'!$BC$18:$BC$199,2*(ROWS(H$195:H198)-1)+1),"")</f>
        <v/>
      </c>
      <c r="I198" t="str">
        <f>IFERROR(INDEX('M04-S06'!$BJ$18:$BJ$199,2*(ROWS(I$195:I198)-1)+1),"")</f>
        <v/>
      </c>
      <c r="J198" s="9" t="str">
        <f>IFERROR(INDEX('M04-S06'!$BN$18:$BN$199,2*(ROWS(J$195:J198)-1)+1),"")</f>
        <v/>
      </c>
      <c r="K198" s="9" t="str">
        <f>IFERROR(INDEX('M04-S06'!$BO$18:$BO$199,2*(ROWS(K$195:K198)-1)+1),"")</f>
        <v/>
      </c>
      <c r="L198" s="51" t="str">
        <f>IFERROR(INDEX('M04-S06'!$BD$18:$BD$199,2*(ROWS(L$195:L198)-1)+1),"")</f>
        <v/>
      </c>
      <c r="M198" s="171"/>
      <c r="N198" s="171"/>
      <c r="O198">
        <f>IFERROR(INDEX('M04-S06'!$H$18:$H$199,2*(ROWS(O$195:O198)-1)+1),"")</f>
        <v>0</v>
      </c>
      <c r="P198">
        <f>IFERROR(INDEX('M04-S06'!$N$18:$N$199,2*(ROWS(P$195:P198)-1)+1),"")</f>
        <v>0</v>
      </c>
      <c r="Q198">
        <f>IFERROR(INDEX('M04-S06'!$W$18:$W$199,2*(ROWS(Q$195:Q198)-1)+1),"")</f>
        <v>0</v>
      </c>
      <c r="S198" t="str">
        <f>IFERROR(INDEX('M04-S06'!$AX$18:$AX$199,2*(ROWS(S$195:S198)-1)+1),"")</f>
        <v/>
      </c>
      <c r="T198" s="5" t="str">
        <f>IFERROR(ROUND(INDEX('M04-S06'!$AY$18:$AY$199,2*(ROWS(T$195:T198)-1)+1),3),"")</f>
        <v/>
      </c>
      <c r="U198" s="5" t="str">
        <f>IFERROR(ROUND(INDEX('M04-S06'!$AZ$18:$AZ$199,2*(ROWS(U$195:U198)-1)+1),3),"")</f>
        <v/>
      </c>
      <c r="V198" s="184"/>
      <c r="W198" s="184"/>
      <c r="X198" s="184"/>
      <c r="Y198" s="184"/>
      <c r="Z198" s="184"/>
      <c r="AA198" s="9" t="str" cm="1">
        <f t="array" ref="AA198">IFERROR(ROUND(INDEX('M04-S06'!$AR$18:$AR$199,2*(ROWS(AA$195:AA198)-1)+1), 2),"")</f>
        <v/>
      </c>
      <c r="AB198" s="164"/>
      <c r="AC198" s="9" t="str" cm="1">
        <f t="array" aca="1" ref="AC198" ca="1">IFERROR(ROUND(IF(BB198&lt;&gt;"","",INDEX('M04-S06'!$AH$18:$AH$199,2*(ROWS(AC$195:AC198)-1)+1)),2),"")</f>
        <v/>
      </c>
      <c r="AD198" s="9" t="str" cm="1">
        <f t="array" aca="1" ref="AD198" ca="1">IFERROR(ROUND(IF(BB198&lt;&gt;"","",INDEX('M04-S06'!$AJ$18:$AJ$199,2*(ROWS(AD$195:AD198)-1)+1)),2),"")</f>
        <v/>
      </c>
      <c r="AE198" s="9" t="str">
        <f t="shared" ca="1" si="19"/>
        <v/>
      </c>
      <c r="AF198" t="str">
        <f ca="1">IFERROR(IF(BB198&lt;&gt;"","",INDEX('M04-S06'!$AF$18:$AF$199,2*(ROWS(AG$195:AG198)-1)+1)),"")</f>
        <v/>
      </c>
      <c r="AG198" s="9" t="str" cm="1">
        <f t="array" aca="1" ref="AG198" ca="1">IFERROR(ROUND(IF(BB198&lt;&gt;"","",INDEX('M04-S06'!$AL$18:$AL$199,2*(ROWS(AG$195:AG198)-1)+1)),2),"")</f>
        <v/>
      </c>
      <c r="AH198" s="184"/>
      <c r="AI198" s="191"/>
      <c r="AJ198" s="32" t="str">
        <f ca="1">IFERROR(ROUND(IF(BA198&lt;&gt;"","",INDEX('M04-S06'!$AO$18:$AO$199,2*(ROWS(AJ$195:AJ198)-1)+1)),4),"")</f>
        <v/>
      </c>
      <c r="AK198" s="32">
        <f ca="1">IFERROR(ROUND(IF(BA198&lt;&gt;"","",INDEX('M04-S06'!$BF$18:$BF$199,2*(ROWS(AK$195:AK198)-1)+1)),4),"")</f>
        <v>0</v>
      </c>
      <c r="AL198" s="32" t="str">
        <f ca="1">IFERROR(ROUND(IF(BA198&lt;&gt;"","",INDEX('M04-S06'!$BG$18:$BG$199,2*(ROWS(AL$195:AL198)-1)+1)),4),"")</f>
        <v/>
      </c>
      <c r="AM198" s="32" t="str" cm="1">
        <f t="array" ref="AM198">IFERROR(ROUND(INDEX('M04-S06'!$BA$18:$BA$199,2*(ROWS(AM$195:AM198)-1)+1),4),"")</f>
        <v/>
      </c>
      <c r="AN198" s="32" t="str" cm="1">
        <f t="array" ref="AN198">IFERROR(ROUND(INDEX('M04-S06'!$BB$18:$BB$199,2*(ROWS(AN$195:AN198)-1)+1),4),"")</f>
        <v/>
      </c>
      <c r="AO198" s="32"/>
      <c r="AP198" s="9">
        <f ca="1">IFERROR(ROUND(IF(BB198&lt;&gt;"",INDEX('M04-S06'!$AH$18:$AH$199,2*(ROWS(AP$195:AP198)-1)+1),""),2),"")</f>
        <v>0</v>
      </c>
      <c r="AQ198" s="9" t="str">
        <f ca="1">IFERROR(ROUND(IF(BB198&lt;&gt;"",INDEX('M04-S06'!$AJ$18:$AJ$199,2*(ROWS(AQ$195:AQ198)-1)+1),""),2),"")</f>
        <v/>
      </c>
      <c r="AR198" s="9" t="str">
        <f t="shared" ca="1" si="30"/>
        <v/>
      </c>
      <c r="AS198" t="str">
        <f ca="1">IFERROR(IF(BB198&lt;&gt;"",INDEX('M04-S06'!$AF$18:$AF$199,2*(ROWS(AS$195:AS198)-1)+1),""),"")</f>
        <v/>
      </c>
      <c r="AT198" s="9" t="str" cm="1">
        <f t="array" aca="1" ref="AT198" ca="1">IFERROR(ROUND(IF(BB198&lt;&gt;"", INDEX('M04-S06'!$AL$18:$AL$199,2*(ROWS(AG$195:AG198)-1)+1), ""),2),"")</f>
        <v/>
      </c>
      <c r="AU198" s="184"/>
      <c r="AV198" s="5" t="str">
        <f ca="1">IFERROR(IF(BB198&lt;&gt;"",ROUND(INDEX('M04-S06'!$AY$18:$AY$199,2*(ROWS(AV$195:AV198)-1)+1),3),""),"")</f>
        <v/>
      </c>
      <c r="AW198" s="5" t="str">
        <f ca="1">IFERROR(IF(BB198&lt;&gt;"",ROUND(INDEX('M04-S06'!$AZ$18:$AZ$199,2*(ROWS(AW$195:AW198)-1)+1),3),""),"")</f>
        <v/>
      </c>
      <c r="AX198" s="184"/>
      <c r="AY198" s="26" t="str">
        <f ca="1">IFERROR(IF(BB198&lt;&gt;"",INDEX('M04-S06'!$AO$18:$AO$199,2*(ROWS(AY$195:AY198)-1)+1),""),"")</f>
        <v/>
      </c>
      <c r="AZ198" s="32">
        <f ca="1">IFERROR(IF(BB198&lt;&gt;"",INDEX('M04-S06'!$BF$18:$BF$199,2*(ROWS(AZ$195:AZ198)-1)+1),""),"")</f>
        <v>0</v>
      </c>
      <c r="BA198" s="32" t="str">
        <f ca="1">IFERROR(IF(BB198&lt;&gt;"",INDEX('M04-S06'!$BG$18:$BG$199,2*(ROWS(BA$195:BA198)-1)+1),""),"")</f>
        <v/>
      </c>
      <c r="BB198" t="str">
        <f ca="1">IFERROR(INDEX('M04-S06'!$BY$18:$BY$199,2*(ROWS(BB$195:BB198)-1)+1),"")</f>
        <v>Submit for Review</v>
      </c>
    </row>
    <row r="199" spans="1:54">
      <c r="A199" s="10">
        <f t="shared" si="28"/>
        <v>0</v>
      </c>
      <c r="B199" t="str">
        <f t="shared" si="29"/>
        <v/>
      </c>
      <c r="C199" t="str" cm="1">
        <f t="array" ref="C199">IFERROR(_xlfn.VALUETOTEXT(INDEX('M04-S06'!$BW$18:$BW$199,2*(ROWS($C$195:C199)-1)+1)),"")</f>
        <v/>
      </c>
      <c r="D199">
        <f>IFERROR(INDEX('M04-S06'!$B$18:$B$199,2*(ROWS(D$195:D199)-1)+1),"")</f>
        <v>5</v>
      </c>
      <c r="E199" s="51" t="str" cm="1">
        <f t="array" ref="E199">IFERROR(_xlfn.VALUETOTEXT(INDEX('M04-S06'!$BX$18:$BX$199,2*(ROWS($E$195:E199)-1)+1)),"")</f>
        <v/>
      </c>
      <c r="F199" t="str" cm="1">
        <f t="array" ref="F199">IF(C199&lt;&gt;"", _xlfn.SWITCH(Program_Banner, "Small Business / Non-Profit", "Hard-To-Reach Business", "Business Energy Savings", "Whole Business Efficiency", ""), "")</f>
        <v/>
      </c>
      <c r="G199" t="s">
        <v>135</v>
      </c>
      <c r="H199" t="str">
        <f>IFERROR(INDEX('M04-S06'!$BC$18:$BC$199,2*(ROWS(H$195:H199)-1)+1),"")</f>
        <v/>
      </c>
      <c r="I199" t="str">
        <f>IFERROR(INDEX('M04-S06'!$BJ$18:$BJ$199,2*(ROWS(I$195:I199)-1)+1),"")</f>
        <v/>
      </c>
      <c r="J199" s="9" t="str">
        <f>IFERROR(INDEX('M04-S06'!$BN$18:$BN$199,2*(ROWS(J$195:J199)-1)+1),"")</f>
        <v/>
      </c>
      <c r="K199" s="9" t="str">
        <f>IFERROR(INDEX('M04-S06'!$BO$18:$BO$199,2*(ROWS(K$195:K199)-1)+1),"")</f>
        <v/>
      </c>
      <c r="L199" s="51" t="str">
        <f>IFERROR(INDEX('M04-S06'!$BD$18:$BD$199,2*(ROWS(L$195:L199)-1)+1),"")</f>
        <v/>
      </c>
      <c r="M199" s="171"/>
      <c r="N199" s="171"/>
      <c r="O199">
        <f>IFERROR(INDEX('M04-S06'!$H$18:$H$199,2*(ROWS(O$195:O199)-1)+1),"")</f>
        <v>0</v>
      </c>
      <c r="P199">
        <f>IFERROR(INDEX('M04-S06'!$N$18:$N$199,2*(ROWS(P$195:P199)-1)+1),"")</f>
        <v>0</v>
      </c>
      <c r="Q199">
        <f>IFERROR(INDEX('M04-S06'!$W$18:$W$199,2*(ROWS(Q$195:Q199)-1)+1),"")</f>
        <v>0</v>
      </c>
      <c r="S199" t="str">
        <f>IFERROR(INDEX('M04-S06'!$AX$18:$AX$199,2*(ROWS(S$195:S199)-1)+1),"")</f>
        <v/>
      </c>
      <c r="T199" s="5" t="str">
        <f>IFERROR(ROUND(INDEX('M04-S06'!$AY$18:$AY$199,2*(ROWS(T$195:T199)-1)+1),3),"")</f>
        <v/>
      </c>
      <c r="U199" s="5" t="str">
        <f>IFERROR(ROUND(INDEX('M04-S06'!$AZ$18:$AZ$199,2*(ROWS(U$195:U199)-1)+1),3),"")</f>
        <v/>
      </c>
      <c r="V199" s="184"/>
      <c r="W199" s="184"/>
      <c r="X199" s="184"/>
      <c r="Y199" s="184"/>
      <c r="Z199" s="184"/>
      <c r="AA199" s="9" t="str" cm="1">
        <f t="array" ref="AA199">IFERROR(ROUND(INDEX('M04-S06'!$AR$18:$AR$199,2*(ROWS(AA$195:AA199)-1)+1), 2),"")</f>
        <v/>
      </c>
      <c r="AB199" s="164"/>
      <c r="AC199" s="9" t="str" cm="1">
        <f t="array" aca="1" ref="AC199" ca="1">IFERROR(ROUND(IF(BB199&lt;&gt;"","",INDEX('M04-S06'!$AH$18:$AH$199,2*(ROWS(AC$195:AC199)-1)+1)),2),"")</f>
        <v/>
      </c>
      <c r="AD199" s="9" t="str" cm="1">
        <f t="array" aca="1" ref="AD199" ca="1">IFERROR(ROUND(IF(BB199&lt;&gt;"","",INDEX('M04-S06'!$AJ$18:$AJ$199,2*(ROWS(AD$195:AD199)-1)+1)),2),"")</f>
        <v/>
      </c>
      <c r="AE199" s="9" t="str">
        <f t="shared" ca="1" si="19"/>
        <v/>
      </c>
      <c r="AF199" t="str">
        <f ca="1">IFERROR(IF(BB199&lt;&gt;"","",INDEX('M04-S06'!$AF$18:$AF$199,2*(ROWS(AG$195:AG199)-1)+1)),"")</f>
        <v/>
      </c>
      <c r="AG199" s="9" t="str" cm="1">
        <f t="array" aca="1" ref="AG199" ca="1">IFERROR(ROUND(IF(BB199&lt;&gt;"","",INDEX('M04-S06'!$AL$18:$AL$199,2*(ROWS(AG$195:AG199)-1)+1)),2),"")</f>
        <v/>
      </c>
      <c r="AH199" s="184"/>
      <c r="AI199" s="191"/>
      <c r="AJ199" s="32" t="str">
        <f ca="1">IFERROR(ROUND(IF(BA199&lt;&gt;"","",INDEX('M04-S06'!$AO$18:$AO$199,2*(ROWS(AJ$195:AJ199)-1)+1)),4),"")</f>
        <v/>
      </c>
      <c r="AK199" s="32">
        <f ca="1">IFERROR(ROUND(IF(BA199&lt;&gt;"","",INDEX('M04-S06'!$BF$18:$BF$199,2*(ROWS(AK$195:AK199)-1)+1)),4),"")</f>
        <v>0</v>
      </c>
      <c r="AL199" s="32" t="str">
        <f ca="1">IFERROR(ROUND(IF(BA199&lt;&gt;"","",INDEX('M04-S06'!$BG$18:$BG$199,2*(ROWS(AL$195:AL199)-1)+1)),4),"")</f>
        <v/>
      </c>
      <c r="AM199" s="32" t="str" cm="1">
        <f t="array" ref="AM199">IFERROR(ROUND(INDEX('M04-S06'!$BA$18:$BA$199,2*(ROWS(AM$195:AM199)-1)+1),4),"")</f>
        <v/>
      </c>
      <c r="AN199" s="32" t="str" cm="1">
        <f t="array" ref="AN199">IFERROR(ROUND(INDEX('M04-S06'!$BB$18:$BB$199,2*(ROWS(AN$195:AN199)-1)+1),4),"")</f>
        <v/>
      </c>
      <c r="AO199" s="32"/>
      <c r="AP199" s="9">
        <f ca="1">IFERROR(ROUND(IF(BB199&lt;&gt;"",INDEX('M04-S06'!$AH$18:$AH$199,2*(ROWS(AP$195:AP199)-1)+1),""),2),"")</f>
        <v>0</v>
      </c>
      <c r="AQ199" s="9" t="str">
        <f ca="1">IFERROR(ROUND(IF(BB199&lt;&gt;"",INDEX('M04-S06'!$AJ$18:$AJ$199,2*(ROWS(AQ$195:AQ199)-1)+1),""),2),"")</f>
        <v/>
      </c>
      <c r="AR199" s="9" t="str">
        <f t="shared" ca="1" si="30"/>
        <v/>
      </c>
      <c r="AS199" t="str">
        <f ca="1">IFERROR(IF(BB199&lt;&gt;"",INDEX('M04-S06'!$AF$18:$AF$199,2*(ROWS(AS$195:AS199)-1)+1),""),"")</f>
        <v/>
      </c>
      <c r="AT199" s="9" t="str" cm="1">
        <f t="array" aca="1" ref="AT199" ca="1">IFERROR(ROUND(IF(BB199&lt;&gt;"", INDEX('M04-S06'!$AL$18:$AL$199,2*(ROWS(AG$195:AG199)-1)+1), ""),2),"")</f>
        <v/>
      </c>
      <c r="AU199" s="184"/>
      <c r="AV199" s="5" t="str">
        <f ca="1">IFERROR(IF(BB199&lt;&gt;"",ROUND(INDEX('M04-S06'!$AY$18:$AY$199,2*(ROWS(AV$195:AV199)-1)+1),3),""),"")</f>
        <v/>
      </c>
      <c r="AW199" s="5" t="str">
        <f ca="1">IFERROR(IF(BB199&lt;&gt;"",ROUND(INDEX('M04-S06'!$AZ$18:$AZ$199,2*(ROWS(AW$195:AW199)-1)+1),3),""),"")</f>
        <v/>
      </c>
      <c r="AX199" s="184"/>
      <c r="AY199" s="26" t="str">
        <f ca="1">IFERROR(IF(BB199&lt;&gt;"",INDEX('M04-S06'!$AO$18:$AO$199,2*(ROWS(AY$195:AY199)-1)+1),""),"")</f>
        <v/>
      </c>
      <c r="AZ199" s="32">
        <f ca="1">IFERROR(IF(BB199&lt;&gt;"",INDEX('M04-S06'!$BF$18:$BF$199,2*(ROWS(AZ$195:AZ199)-1)+1),""),"")</f>
        <v>0</v>
      </c>
      <c r="BA199" s="32" t="str">
        <f ca="1">IFERROR(IF(BB199&lt;&gt;"",INDEX('M04-S06'!$BG$18:$BG$199,2*(ROWS(BA$195:BA199)-1)+1),""),"")</f>
        <v/>
      </c>
      <c r="BB199" t="str">
        <f ca="1">IFERROR(INDEX('M04-S06'!$BY$18:$BY$199,2*(ROWS(BB$195:BB199)-1)+1),"")</f>
        <v>Submit for Review</v>
      </c>
    </row>
    <row r="200" spans="1:54">
      <c r="A200" s="10">
        <f t="shared" si="28"/>
        <v>0</v>
      </c>
      <c r="B200" t="str">
        <f t="shared" si="29"/>
        <v/>
      </c>
      <c r="C200" t="str" cm="1">
        <f t="array" ref="C200">IFERROR(_xlfn.VALUETOTEXT(INDEX('M04-S06'!$BW$18:$BW$199,2*(ROWS($C$195:C200)-1)+1)),"")</f>
        <v/>
      </c>
      <c r="D200">
        <f>IFERROR(INDEX('M04-S06'!$B$18:$B$199,2*(ROWS(D$195:D200)-1)+1),"")</f>
        <v>6</v>
      </c>
      <c r="E200" s="51" t="str" cm="1">
        <f t="array" ref="E200">IFERROR(_xlfn.VALUETOTEXT(INDEX('M04-S06'!$BX$18:$BX$199,2*(ROWS($E$195:E200)-1)+1)),"")</f>
        <v/>
      </c>
      <c r="F200" t="str" cm="1">
        <f t="array" ref="F200">IF(C200&lt;&gt;"", _xlfn.SWITCH(Program_Banner, "Small Business / Non-Profit", "Hard-To-Reach Business", "Business Energy Savings", "Whole Business Efficiency", ""), "")</f>
        <v/>
      </c>
      <c r="G200" t="s">
        <v>135</v>
      </c>
      <c r="H200" t="str">
        <f>IFERROR(INDEX('M04-S06'!$BC$18:$BC$199,2*(ROWS(H$195:H200)-1)+1),"")</f>
        <v/>
      </c>
      <c r="I200" t="str">
        <f>IFERROR(INDEX('M04-S06'!$BJ$18:$BJ$199,2*(ROWS(I$195:I200)-1)+1),"")</f>
        <v/>
      </c>
      <c r="J200" s="9" t="str">
        <f>IFERROR(INDEX('M04-S06'!$BN$18:$BN$199,2*(ROWS(J$195:J200)-1)+1),"")</f>
        <v/>
      </c>
      <c r="K200" s="9" t="str">
        <f>IFERROR(INDEX('M04-S06'!$BO$18:$BO$199,2*(ROWS(K$195:K200)-1)+1),"")</f>
        <v/>
      </c>
      <c r="L200" s="51" t="str">
        <f>IFERROR(INDEX('M04-S06'!$BD$18:$BD$199,2*(ROWS(L$195:L200)-1)+1),"")</f>
        <v/>
      </c>
      <c r="M200" s="171"/>
      <c r="N200" s="171"/>
      <c r="O200">
        <f>IFERROR(INDEX('M04-S06'!$H$18:$H$199,2*(ROWS(O$195:O200)-1)+1),"")</f>
        <v>0</v>
      </c>
      <c r="P200">
        <f>IFERROR(INDEX('M04-S06'!$N$18:$N$199,2*(ROWS(P$195:P200)-1)+1),"")</f>
        <v>0</v>
      </c>
      <c r="Q200">
        <f>IFERROR(INDEX('M04-S06'!$W$18:$W$199,2*(ROWS(Q$195:Q200)-1)+1),"")</f>
        <v>0</v>
      </c>
      <c r="S200" t="str">
        <f>IFERROR(INDEX('M04-S06'!$AX$18:$AX$199,2*(ROWS(S$195:S200)-1)+1),"")</f>
        <v/>
      </c>
      <c r="T200" s="5" t="str">
        <f>IFERROR(ROUND(INDEX('M04-S06'!$AY$18:$AY$199,2*(ROWS(T$195:T200)-1)+1),3),"")</f>
        <v/>
      </c>
      <c r="U200" s="5" t="str">
        <f>IFERROR(ROUND(INDEX('M04-S06'!$AZ$18:$AZ$199,2*(ROWS(U$195:U200)-1)+1),3),"")</f>
        <v/>
      </c>
      <c r="V200" s="184"/>
      <c r="W200" s="184"/>
      <c r="X200" s="184"/>
      <c r="Y200" s="184"/>
      <c r="Z200" s="184"/>
      <c r="AA200" s="9" t="str" cm="1">
        <f t="array" ref="AA200">IFERROR(ROUND(INDEX('M04-S06'!$AR$18:$AR$199,2*(ROWS(AA$195:AA200)-1)+1), 2),"")</f>
        <v/>
      </c>
      <c r="AB200" s="164"/>
      <c r="AC200" s="9" t="str" cm="1">
        <f t="array" aca="1" ref="AC200" ca="1">IFERROR(ROUND(IF(BB200&lt;&gt;"","",INDEX('M04-S06'!$AH$18:$AH$199,2*(ROWS(AC$195:AC200)-1)+1)),2),"")</f>
        <v/>
      </c>
      <c r="AD200" s="9" t="str" cm="1">
        <f t="array" aca="1" ref="AD200" ca="1">IFERROR(ROUND(IF(BB200&lt;&gt;"","",INDEX('M04-S06'!$AJ$18:$AJ$199,2*(ROWS(AD$195:AD200)-1)+1)),2),"")</f>
        <v/>
      </c>
      <c r="AE200" s="9" t="str">
        <f t="shared" ca="1" si="19"/>
        <v/>
      </c>
      <c r="AF200" t="str">
        <f ca="1">IFERROR(IF(BB200&lt;&gt;"","",INDEX('M04-S06'!$AF$18:$AF$199,2*(ROWS(AG$195:AG200)-1)+1)),"")</f>
        <v/>
      </c>
      <c r="AG200" s="9" t="str" cm="1">
        <f t="array" aca="1" ref="AG200" ca="1">IFERROR(ROUND(IF(BB200&lt;&gt;"","",INDEX('M04-S06'!$AL$18:$AL$199,2*(ROWS(AG$195:AG200)-1)+1)),2),"")</f>
        <v/>
      </c>
      <c r="AH200" s="184"/>
      <c r="AI200" s="191"/>
      <c r="AJ200" s="32" t="str">
        <f ca="1">IFERROR(ROUND(IF(BA200&lt;&gt;"","",INDEX('M04-S06'!$AO$18:$AO$199,2*(ROWS(AJ$195:AJ200)-1)+1)),4),"")</f>
        <v/>
      </c>
      <c r="AK200" s="32">
        <f ca="1">IFERROR(ROUND(IF(BA200&lt;&gt;"","",INDEX('M04-S06'!$BF$18:$BF$199,2*(ROWS(AK$195:AK200)-1)+1)),4),"")</f>
        <v>0</v>
      </c>
      <c r="AL200" s="32" t="str">
        <f ca="1">IFERROR(ROUND(IF(BA200&lt;&gt;"","",INDEX('M04-S06'!$BG$18:$BG$199,2*(ROWS(AL$195:AL200)-1)+1)),4),"")</f>
        <v/>
      </c>
      <c r="AM200" s="32" t="str" cm="1">
        <f t="array" ref="AM200">IFERROR(ROUND(INDEX('M04-S06'!$BA$18:$BA$199,2*(ROWS(AM$195:AM200)-1)+1),4),"")</f>
        <v/>
      </c>
      <c r="AN200" s="32" t="str" cm="1">
        <f t="array" ref="AN200">IFERROR(ROUND(INDEX('M04-S06'!$BB$18:$BB$199,2*(ROWS(AN$195:AN200)-1)+1),4),"")</f>
        <v/>
      </c>
      <c r="AO200" s="32"/>
      <c r="AP200" s="9">
        <f ca="1">IFERROR(ROUND(IF(BB200&lt;&gt;"",INDEX('M04-S06'!$AH$18:$AH$199,2*(ROWS(AP$195:AP200)-1)+1),""),2),"")</f>
        <v>0</v>
      </c>
      <c r="AQ200" s="9" t="str">
        <f ca="1">IFERROR(ROUND(IF(BB200&lt;&gt;"",INDEX('M04-S06'!$AJ$18:$AJ$199,2*(ROWS(AQ$195:AQ200)-1)+1),""),2),"")</f>
        <v/>
      </c>
      <c r="AR200" s="9" t="str">
        <f t="shared" ca="1" si="30"/>
        <v/>
      </c>
      <c r="AS200" t="str">
        <f ca="1">IFERROR(IF(BB200&lt;&gt;"",INDEX('M04-S06'!$AF$18:$AF$199,2*(ROWS(AS$195:AS200)-1)+1),""),"")</f>
        <v/>
      </c>
      <c r="AT200" s="9" t="str" cm="1">
        <f t="array" aca="1" ref="AT200" ca="1">IFERROR(ROUND(IF(BB200&lt;&gt;"", INDEX('M04-S06'!$AL$18:$AL$199,2*(ROWS(AG$195:AG200)-1)+1), ""),2),"")</f>
        <v/>
      </c>
      <c r="AU200" s="184"/>
      <c r="AV200" s="5" t="str">
        <f ca="1">IFERROR(IF(BB200&lt;&gt;"",ROUND(INDEX('M04-S06'!$AY$18:$AY$199,2*(ROWS(AV$195:AV200)-1)+1),3),""),"")</f>
        <v/>
      </c>
      <c r="AW200" s="5" t="str">
        <f ca="1">IFERROR(IF(BB200&lt;&gt;"",ROUND(INDEX('M04-S06'!$AZ$18:$AZ$199,2*(ROWS(AW$195:AW200)-1)+1),3),""),"")</f>
        <v/>
      </c>
      <c r="AX200" s="184"/>
      <c r="AY200" s="26" t="str">
        <f ca="1">IFERROR(IF(BB200&lt;&gt;"",INDEX('M04-S06'!$AO$18:$AO$199,2*(ROWS(AY$195:AY200)-1)+1),""),"")</f>
        <v/>
      </c>
      <c r="AZ200" s="32">
        <f ca="1">IFERROR(IF(BB200&lt;&gt;"",INDEX('M04-S06'!$BF$18:$BF$199,2*(ROWS(AZ$195:AZ200)-1)+1),""),"")</f>
        <v>0</v>
      </c>
      <c r="BA200" s="32" t="str">
        <f ca="1">IFERROR(IF(BB200&lt;&gt;"",INDEX('M04-S06'!$BG$18:$BG$199,2*(ROWS(BA$195:BA200)-1)+1),""),"")</f>
        <v/>
      </c>
      <c r="BB200" t="str">
        <f ca="1">IFERROR(INDEX('M04-S06'!$BY$18:$BY$199,2*(ROWS(BB$195:BB200)-1)+1),"")</f>
        <v>Submit for Review</v>
      </c>
    </row>
    <row r="201" spans="1:54">
      <c r="A201" s="10">
        <f t="shared" si="28"/>
        <v>0</v>
      </c>
      <c r="B201" t="str">
        <f t="shared" si="29"/>
        <v/>
      </c>
      <c r="C201" t="str" cm="1">
        <f t="array" ref="C201">IFERROR(_xlfn.VALUETOTEXT(INDEX('M04-S06'!$BW$18:$BW$199,2*(ROWS($C$195:C201)-1)+1)),"")</f>
        <v/>
      </c>
      <c r="D201">
        <f>IFERROR(INDEX('M04-S06'!$B$18:$B$199,2*(ROWS(D$195:D201)-1)+1),"")</f>
        <v>7</v>
      </c>
      <c r="E201" s="51" t="str" cm="1">
        <f t="array" ref="E201">IFERROR(_xlfn.VALUETOTEXT(INDEX('M04-S06'!$BX$18:$BX$199,2*(ROWS($E$195:E201)-1)+1)),"")</f>
        <v/>
      </c>
      <c r="F201" t="str" cm="1">
        <f t="array" ref="F201">IF(C201&lt;&gt;"", _xlfn.SWITCH(Program_Banner, "Small Business / Non-Profit", "Hard-To-Reach Business", "Business Energy Savings", "Whole Business Efficiency", ""), "")</f>
        <v/>
      </c>
      <c r="G201" t="s">
        <v>135</v>
      </c>
      <c r="H201" t="str">
        <f>IFERROR(INDEX('M04-S06'!$BC$18:$BC$199,2*(ROWS(H$195:H201)-1)+1),"")</f>
        <v/>
      </c>
      <c r="I201" t="str">
        <f>IFERROR(INDEX('M04-S06'!$BJ$18:$BJ$199,2*(ROWS(I$195:I201)-1)+1),"")</f>
        <v/>
      </c>
      <c r="J201" s="9" t="str">
        <f>IFERROR(INDEX('M04-S06'!$BN$18:$BN$199,2*(ROWS(J$195:J201)-1)+1),"")</f>
        <v/>
      </c>
      <c r="K201" s="9" t="str">
        <f>IFERROR(INDEX('M04-S06'!$BO$18:$BO$199,2*(ROWS(K$195:K201)-1)+1),"")</f>
        <v/>
      </c>
      <c r="L201" s="51" t="str">
        <f>IFERROR(INDEX('M04-S06'!$BD$18:$BD$199,2*(ROWS(L$195:L201)-1)+1),"")</f>
        <v/>
      </c>
      <c r="M201" s="171"/>
      <c r="N201" s="171"/>
      <c r="O201">
        <f>IFERROR(INDEX('M04-S06'!$H$18:$H$199,2*(ROWS(O$195:O201)-1)+1),"")</f>
        <v>0</v>
      </c>
      <c r="P201">
        <f>IFERROR(INDEX('M04-S06'!$N$18:$N$199,2*(ROWS(P$195:P201)-1)+1),"")</f>
        <v>0</v>
      </c>
      <c r="Q201">
        <f>IFERROR(INDEX('M04-S06'!$W$18:$W$199,2*(ROWS(Q$195:Q201)-1)+1),"")</f>
        <v>0</v>
      </c>
      <c r="S201" t="str">
        <f>IFERROR(INDEX('M04-S06'!$AX$18:$AX$199,2*(ROWS(S$195:S201)-1)+1),"")</f>
        <v/>
      </c>
      <c r="T201" s="5" t="str">
        <f>IFERROR(ROUND(INDEX('M04-S06'!$AY$18:$AY$199,2*(ROWS(T$195:T201)-1)+1),3),"")</f>
        <v/>
      </c>
      <c r="U201" s="5" t="str">
        <f>IFERROR(ROUND(INDEX('M04-S06'!$AZ$18:$AZ$199,2*(ROWS(U$195:U201)-1)+1),3),"")</f>
        <v/>
      </c>
      <c r="V201" s="184"/>
      <c r="W201" s="184"/>
      <c r="X201" s="184"/>
      <c r="Y201" s="184"/>
      <c r="Z201" s="184"/>
      <c r="AA201" s="9" t="str" cm="1">
        <f t="array" ref="AA201">IFERROR(ROUND(INDEX('M04-S06'!$AR$18:$AR$199,2*(ROWS(AA$195:AA201)-1)+1), 2),"")</f>
        <v/>
      </c>
      <c r="AB201" s="164"/>
      <c r="AC201" s="9" t="str" cm="1">
        <f t="array" aca="1" ref="AC201" ca="1">IFERROR(ROUND(IF(BB201&lt;&gt;"","",INDEX('M04-S06'!$AH$18:$AH$199,2*(ROWS(AC$195:AC201)-1)+1)),2),"")</f>
        <v/>
      </c>
      <c r="AD201" s="9" t="str" cm="1">
        <f t="array" aca="1" ref="AD201" ca="1">IFERROR(ROUND(IF(BB201&lt;&gt;"","",INDEX('M04-S06'!$AJ$18:$AJ$199,2*(ROWS(AD$195:AD201)-1)+1)),2),"")</f>
        <v/>
      </c>
      <c r="AE201" s="9" t="str">
        <f t="shared" ca="1" si="19"/>
        <v/>
      </c>
      <c r="AF201" t="str">
        <f ca="1">IFERROR(IF(BB201&lt;&gt;"","",INDEX('M04-S06'!$AF$18:$AF$199,2*(ROWS(AG$195:AG201)-1)+1)),"")</f>
        <v/>
      </c>
      <c r="AG201" s="9" t="str" cm="1">
        <f t="array" aca="1" ref="AG201" ca="1">IFERROR(ROUND(IF(BB201&lt;&gt;"","",INDEX('M04-S06'!$AL$18:$AL$199,2*(ROWS(AG$195:AG201)-1)+1)),2),"")</f>
        <v/>
      </c>
      <c r="AH201" s="184"/>
      <c r="AI201" s="191"/>
      <c r="AJ201" s="32" t="str">
        <f ca="1">IFERROR(ROUND(IF(BA201&lt;&gt;"","",INDEX('M04-S06'!$AO$18:$AO$199,2*(ROWS(AJ$195:AJ201)-1)+1)),4),"")</f>
        <v/>
      </c>
      <c r="AK201" s="32">
        <f ca="1">IFERROR(ROUND(IF(BA201&lt;&gt;"","",INDEX('M04-S06'!$BF$18:$BF$199,2*(ROWS(AK$195:AK201)-1)+1)),4),"")</f>
        <v>0</v>
      </c>
      <c r="AL201" s="32" t="str">
        <f ca="1">IFERROR(ROUND(IF(BA201&lt;&gt;"","",INDEX('M04-S06'!$BG$18:$BG$199,2*(ROWS(AL$195:AL201)-1)+1)),4),"")</f>
        <v/>
      </c>
      <c r="AM201" s="32" t="str" cm="1">
        <f t="array" ref="AM201">IFERROR(ROUND(INDEX('M04-S06'!$BA$18:$BA$199,2*(ROWS(AM$195:AM201)-1)+1),4),"")</f>
        <v/>
      </c>
      <c r="AN201" s="32" t="str" cm="1">
        <f t="array" ref="AN201">IFERROR(ROUND(INDEX('M04-S06'!$BB$18:$BB$199,2*(ROWS(AN$195:AN201)-1)+1),4),"")</f>
        <v/>
      </c>
      <c r="AO201" s="32"/>
      <c r="AP201" s="9">
        <f ca="1">IFERROR(ROUND(IF(BB201&lt;&gt;"",INDEX('M04-S06'!$AH$18:$AH$199,2*(ROWS(AP$195:AP201)-1)+1),""),2),"")</f>
        <v>0</v>
      </c>
      <c r="AQ201" s="9" t="str">
        <f ca="1">IFERROR(ROUND(IF(BB201&lt;&gt;"",INDEX('M04-S06'!$AJ$18:$AJ$199,2*(ROWS(AQ$195:AQ201)-1)+1),""),2),"")</f>
        <v/>
      </c>
      <c r="AR201" s="9" t="str">
        <f t="shared" ca="1" si="30"/>
        <v/>
      </c>
      <c r="AS201" t="str">
        <f ca="1">IFERROR(IF(BB201&lt;&gt;"",INDEX('M04-S06'!$AF$18:$AF$199,2*(ROWS(AS$195:AS201)-1)+1),""),"")</f>
        <v/>
      </c>
      <c r="AT201" s="9" t="str" cm="1">
        <f t="array" aca="1" ref="AT201" ca="1">IFERROR(ROUND(IF(BB201&lt;&gt;"", INDEX('M04-S06'!$AL$18:$AL$199,2*(ROWS(AG$195:AG201)-1)+1), ""),2),"")</f>
        <v/>
      </c>
      <c r="AU201" s="184"/>
      <c r="AV201" s="5" t="str">
        <f ca="1">IFERROR(IF(BB201&lt;&gt;"",ROUND(INDEX('M04-S06'!$AY$18:$AY$199,2*(ROWS(AV$195:AV201)-1)+1),3),""),"")</f>
        <v/>
      </c>
      <c r="AW201" s="5" t="str">
        <f ca="1">IFERROR(IF(BB201&lt;&gt;"",ROUND(INDEX('M04-S06'!$AZ$18:$AZ$199,2*(ROWS(AW$195:AW201)-1)+1),3),""),"")</f>
        <v/>
      </c>
      <c r="AX201" s="184"/>
      <c r="AY201" s="26" t="str">
        <f ca="1">IFERROR(IF(BB201&lt;&gt;"",INDEX('M04-S06'!$AO$18:$AO$199,2*(ROWS(AY$195:AY201)-1)+1),""),"")</f>
        <v/>
      </c>
      <c r="AZ201" s="32">
        <f ca="1">IFERROR(IF(BB201&lt;&gt;"",INDEX('M04-S06'!$BF$18:$BF$199,2*(ROWS(AZ$195:AZ201)-1)+1),""),"")</f>
        <v>0</v>
      </c>
      <c r="BA201" s="32" t="str">
        <f ca="1">IFERROR(IF(BB201&lt;&gt;"",INDEX('M04-S06'!$BG$18:$BG$199,2*(ROWS(BA$195:BA201)-1)+1),""),"")</f>
        <v/>
      </c>
      <c r="BB201" t="str">
        <f ca="1">IFERROR(INDEX('M04-S06'!$BY$18:$BY$199,2*(ROWS(BB$195:BB201)-1)+1),"")</f>
        <v>Submit for Review</v>
      </c>
    </row>
    <row r="202" spans="1:54">
      <c r="A202" s="10">
        <f t="shared" si="28"/>
        <v>0</v>
      </c>
      <c r="B202" t="str">
        <f t="shared" si="29"/>
        <v/>
      </c>
      <c r="C202" t="str" cm="1">
        <f t="array" ref="C202">IFERROR(_xlfn.VALUETOTEXT(INDEX('M04-S06'!$BW$18:$BW$199,2*(ROWS($C$195:C202)-1)+1)),"")</f>
        <v/>
      </c>
      <c r="D202">
        <f>IFERROR(INDEX('M04-S06'!$B$18:$B$199,2*(ROWS(D$195:D202)-1)+1),"")</f>
        <v>8</v>
      </c>
      <c r="E202" s="51" t="str" cm="1">
        <f t="array" ref="E202">IFERROR(_xlfn.VALUETOTEXT(INDEX('M04-S06'!$BX$18:$BX$199,2*(ROWS($E$195:E202)-1)+1)),"")</f>
        <v/>
      </c>
      <c r="F202" t="str" cm="1">
        <f t="array" ref="F202">IF(C202&lt;&gt;"", _xlfn.SWITCH(Program_Banner, "Small Business / Non-Profit", "Hard-To-Reach Business", "Business Energy Savings", "Whole Business Efficiency", ""), "")</f>
        <v/>
      </c>
      <c r="G202" t="s">
        <v>135</v>
      </c>
      <c r="H202" t="str">
        <f>IFERROR(INDEX('M04-S06'!$BC$18:$BC$199,2*(ROWS(H$195:H202)-1)+1),"")</f>
        <v/>
      </c>
      <c r="I202" t="str">
        <f>IFERROR(INDEX('M04-S06'!$BJ$18:$BJ$199,2*(ROWS(I$195:I202)-1)+1),"")</f>
        <v/>
      </c>
      <c r="J202" s="9" t="str">
        <f>IFERROR(INDEX('M04-S06'!$BN$18:$BN$199,2*(ROWS(J$195:J202)-1)+1),"")</f>
        <v/>
      </c>
      <c r="K202" s="9" t="str">
        <f>IFERROR(INDEX('M04-S06'!$BO$18:$BO$199,2*(ROWS(K$195:K202)-1)+1),"")</f>
        <v/>
      </c>
      <c r="L202" s="51" t="str">
        <f>IFERROR(INDEX('M04-S06'!$BD$18:$BD$199,2*(ROWS(L$195:L202)-1)+1),"")</f>
        <v/>
      </c>
      <c r="M202" s="171"/>
      <c r="N202" s="171"/>
      <c r="O202">
        <f>IFERROR(INDEX('M04-S06'!$H$18:$H$199,2*(ROWS(O$195:O202)-1)+1),"")</f>
        <v>0</v>
      </c>
      <c r="P202">
        <f>IFERROR(INDEX('M04-S06'!$N$18:$N$199,2*(ROWS(P$195:P202)-1)+1),"")</f>
        <v>0</v>
      </c>
      <c r="Q202">
        <f>IFERROR(INDEX('M04-S06'!$W$18:$W$199,2*(ROWS(Q$195:Q202)-1)+1),"")</f>
        <v>0</v>
      </c>
      <c r="S202" t="str">
        <f>IFERROR(INDEX('M04-S06'!$AX$18:$AX$199,2*(ROWS(S$195:S202)-1)+1),"")</f>
        <v/>
      </c>
      <c r="T202" s="5" t="str">
        <f>IFERROR(ROUND(INDEX('M04-S06'!$AY$18:$AY$199,2*(ROWS(T$195:T202)-1)+1),3),"")</f>
        <v/>
      </c>
      <c r="U202" s="5" t="str">
        <f>IFERROR(ROUND(INDEX('M04-S06'!$AZ$18:$AZ$199,2*(ROWS(U$195:U202)-1)+1),3),"")</f>
        <v/>
      </c>
      <c r="V202" s="184"/>
      <c r="W202" s="184"/>
      <c r="X202" s="184"/>
      <c r="Y202" s="184"/>
      <c r="Z202" s="184"/>
      <c r="AA202" s="9" t="str" cm="1">
        <f t="array" ref="AA202">IFERROR(ROUND(INDEX('M04-S06'!$AR$18:$AR$199,2*(ROWS(AA$195:AA202)-1)+1), 2),"")</f>
        <v/>
      </c>
      <c r="AB202" s="164"/>
      <c r="AC202" s="9" t="str" cm="1">
        <f t="array" aca="1" ref="AC202" ca="1">IFERROR(ROUND(IF(BB202&lt;&gt;"","",INDEX('M04-S06'!$AH$18:$AH$199,2*(ROWS(AC$195:AC202)-1)+1)),2),"")</f>
        <v/>
      </c>
      <c r="AD202" s="9" t="str" cm="1">
        <f t="array" aca="1" ref="AD202" ca="1">IFERROR(ROUND(IF(BB202&lt;&gt;"","",INDEX('M04-S06'!$AJ$18:$AJ$199,2*(ROWS(AD$195:AD202)-1)+1)),2),"")</f>
        <v/>
      </c>
      <c r="AE202" s="9" t="str">
        <f t="shared" ca="1" si="19"/>
        <v/>
      </c>
      <c r="AF202" t="str">
        <f ca="1">IFERROR(IF(BB202&lt;&gt;"","",INDEX('M04-S06'!$AF$18:$AF$199,2*(ROWS(AG$195:AG202)-1)+1)),"")</f>
        <v/>
      </c>
      <c r="AG202" s="9" t="str" cm="1">
        <f t="array" aca="1" ref="AG202" ca="1">IFERROR(ROUND(IF(BB202&lt;&gt;"","",INDEX('M04-S06'!$AL$18:$AL$199,2*(ROWS(AG$195:AG202)-1)+1)),2),"")</f>
        <v/>
      </c>
      <c r="AH202" s="184"/>
      <c r="AI202" s="191"/>
      <c r="AJ202" s="32" t="str">
        <f ca="1">IFERROR(ROUND(IF(BA202&lt;&gt;"","",INDEX('M04-S06'!$AO$18:$AO$199,2*(ROWS(AJ$195:AJ202)-1)+1)),4),"")</f>
        <v/>
      </c>
      <c r="AK202" s="32">
        <f ca="1">IFERROR(ROUND(IF(BA202&lt;&gt;"","",INDEX('M04-S06'!$BF$18:$BF$199,2*(ROWS(AK$195:AK202)-1)+1)),4),"")</f>
        <v>0</v>
      </c>
      <c r="AL202" s="32" t="str">
        <f ca="1">IFERROR(ROUND(IF(BA202&lt;&gt;"","",INDEX('M04-S06'!$BG$18:$BG$199,2*(ROWS(AL$195:AL202)-1)+1)),4),"")</f>
        <v/>
      </c>
      <c r="AM202" s="32" t="str" cm="1">
        <f t="array" ref="AM202">IFERROR(ROUND(INDEX('M04-S06'!$BA$18:$BA$199,2*(ROWS(AM$195:AM202)-1)+1),4),"")</f>
        <v/>
      </c>
      <c r="AN202" s="32" t="str" cm="1">
        <f t="array" ref="AN202">IFERROR(ROUND(INDEX('M04-S06'!$BB$18:$BB$199,2*(ROWS(AN$195:AN202)-1)+1),4),"")</f>
        <v/>
      </c>
      <c r="AO202" s="32"/>
      <c r="AP202" s="9">
        <f ca="1">IFERROR(ROUND(IF(BB202&lt;&gt;"",INDEX('M04-S06'!$AH$18:$AH$199,2*(ROWS(AP$195:AP202)-1)+1),""),2),"")</f>
        <v>0</v>
      </c>
      <c r="AQ202" s="9" t="str">
        <f ca="1">IFERROR(ROUND(IF(BB202&lt;&gt;"",INDEX('M04-S06'!$AJ$18:$AJ$199,2*(ROWS(AQ$195:AQ202)-1)+1),""),2),"")</f>
        <v/>
      </c>
      <c r="AR202" s="9" t="str">
        <f t="shared" ca="1" si="30"/>
        <v/>
      </c>
      <c r="AS202" t="str">
        <f ca="1">IFERROR(IF(BB202&lt;&gt;"",INDEX('M04-S06'!$AF$18:$AF$199,2*(ROWS(AS$195:AS202)-1)+1),""),"")</f>
        <v/>
      </c>
      <c r="AT202" s="9" t="str" cm="1">
        <f t="array" aca="1" ref="AT202" ca="1">IFERROR(ROUND(IF(BB202&lt;&gt;"", INDEX('M04-S06'!$AL$18:$AL$199,2*(ROWS(AG$195:AG202)-1)+1), ""),2),"")</f>
        <v/>
      </c>
      <c r="AU202" s="184"/>
      <c r="AV202" s="5" t="str">
        <f ca="1">IFERROR(IF(BB202&lt;&gt;"",ROUND(INDEX('M04-S06'!$AY$18:$AY$199,2*(ROWS(AV$195:AV202)-1)+1),3),""),"")</f>
        <v/>
      </c>
      <c r="AW202" s="5" t="str">
        <f ca="1">IFERROR(IF(BB202&lt;&gt;"",ROUND(INDEX('M04-S06'!$AZ$18:$AZ$199,2*(ROWS(AW$195:AW202)-1)+1),3),""),"")</f>
        <v/>
      </c>
      <c r="AX202" s="184"/>
      <c r="AY202" s="26" t="str">
        <f ca="1">IFERROR(IF(BB202&lt;&gt;"",INDEX('M04-S06'!$AO$18:$AO$199,2*(ROWS(AY$195:AY202)-1)+1),""),"")</f>
        <v/>
      </c>
      <c r="AZ202" s="32">
        <f ca="1">IFERROR(IF(BB202&lt;&gt;"",INDEX('M04-S06'!$BF$18:$BF$199,2*(ROWS(AZ$195:AZ202)-1)+1),""),"")</f>
        <v>0</v>
      </c>
      <c r="BA202" s="32" t="str">
        <f ca="1">IFERROR(IF(BB202&lt;&gt;"",INDEX('M04-S06'!$BG$18:$BG$199,2*(ROWS(BA$195:BA202)-1)+1),""),"")</f>
        <v/>
      </c>
      <c r="BB202" t="str">
        <f ca="1">IFERROR(INDEX('M04-S06'!$BY$18:$BY$199,2*(ROWS(BB$195:BB202)-1)+1),"")</f>
        <v>Submit for Review</v>
      </c>
    </row>
    <row r="203" spans="1:54">
      <c r="A203" s="10">
        <f t="shared" si="28"/>
        <v>0</v>
      </c>
      <c r="B203" t="str">
        <f t="shared" si="29"/>
        <v/>
      </c>
      <c r="C203" t="str" cm="1">
        <f t="array" ref="C203">IFERROR(_xlfn.VALUETOTEXT(INDEX('M04-S06'!$BW$18:$BW$199,2*(ROWS($C$195:C203)-1)+1)),"")</f>
        <v/>
      </c>
      <c r="D203">
        <f>IFERROR(INDEX('M04-S06'!$B$18:$B$199,2*(ROWS(D$195:D203)-1)+1),"")</f>
        <v>9</v>
      </c>
      <c r="E203" s="51" t="str" cm="1">
        <f t="array" ref="E203">IFERROR(_xlfn.VALUETOTEXT(INDEX('M04-S06'!$BX$18:$BX$199,2*(ROWS($E$195:E203)-1)+1)),"")</f>
        <v/>
      </c>
      <c r="F203" t="str" cm="1">
        <f t="array" ref="F203">IF(C203&lt;&gt;"", _xlfn.SWITCH(Program_Banner, "Small Business / Non-Profit", "Hard-To-Reach Business", "Business Energy Savings", "Whole Business Efficiency", ""), "")</f>
        <v/>
      </c>
      <c r="G203" t="s">
        <v>135</v>
      </c>
      <c r="H203" t="str">
        <f>IFERROR(INDEX('M04-S06'!$BC$18:$BC$199,2*(ROWS(H$195:H203)-1)+1),"")</f>
        <v/>
      </c>
      <c r="I203" t="str">
        <f>IFERROR(INDEX('M04-S06'!$BJ$18:$BJ$199,2*(ROWS(I$195:I203)-1)+1),"")</f>
        <v/>
      </c>
      <c r="J203" s="9" t="str">
        <f>IFERROR(INDEX('M04-S06'!$BN$18:$BN$199,2*(ROWS(J$195:J203)-1)+1),"")</f>
        <v/>
      </c>
      <c r="K203" s="9" t="str">
        <f>IFERROR(INDEX('M04-S06'!$BO$18:$BO$199,2*(ROWS(K$195:K203)-1)+1),"")</f>
        <v/>
      </c>
      <c r="L203" s="51" t="str">
        <f>IFERROR(INDEX('M04-S06'!$BD$18:$BD$199,2*(ROWS(L$195:L203)-1)+1),"")</f>
        <v/>
      </c>
      <c r="M203" s="171"/>
      <c r="N203" s="171"/>
      <c r="O203">
        <f>IFERROR(INDEX('M04-S06'!$H$18:$H$199,2*(ROWS(O$195:O203)-1)+1),"")</f>
        <v>0</v>
      </c>
      <c r="P203">
        <f>IFERROR(INDEX('M04-S06'!$N$18:$N$199,2*(ROWS(P$195:P203)-1)+1),"")</f>
        <v>0</v>
      </c>
      <c r="Q203">
        <f>IFERROR(INDEX('M04-S06'!$W$18:$W$199,2*(ROWS(Q$195:Q203)-1)+1),"")</f>
        <v>0</v>
      </c>
      <c r="S203" t="str">
        <f>IFERROR(INDEX('M04-S06'!$AX$18:$AX$199,2*(ROWS(S$195:S203)-1)+1),"")</f>
        <v/>
      </c>
      <c r="T203" s="5" t="str">
        <f>IFERROR(ROUND(INDEX('M04-S06'!$AY$18:$AY$199,2*(ROWS(T$195:T203)-1)+1),3),"")</f>
        <v/>
      </c>
      <c r="U203" s="5" t="str">
        <f>IFERROR(ROUND(INDEX('M04-S06'!$AZ$18:$AZ$199,2*(ROWS(U$195:U203)-1)+1),3),"")</f>
        <v/>
      </c>
      <c r="V203" s="184"/>
      <c r="W203" s="184"/>
      <c r="X203" s="184"/>
      <c r="Y203" s="184"/>
      <c r="Z203" s="184"/>
      <c r="AA203" s="9" t="str" cm="1">
        <f t="array" ref="AA203">IFERROR(ROUND(INDEX('M04-S06'!$AR$18:$AR$199,2*(ROWS(AA$195:AA203)-1)+1), 2),"")</f>
        <v/>
      </c>
      <c r="AB203" s="164"/>
      <c r="AC203" s="9" t="str" cm="1">
        <f t="array" aca="1" ref="AC203" ca="1">IFERROR(ROUND(IF(BB203&lt;&gt;"","",INDEX('M04-S06'!$AH$18:$AH$199,2*(ROWS(AC$195:AC203)-1)+1)),2),"")</f>
        <v/>
      </c>
      <c r="AD203" s="9" t="str" cm="1">
        <f t="array" aca="1" ref="AD203" ca="1">IFERROR(ROUND(IF(BB203&lt;&gt;"","",INDEX('M04-S06'!$AJ$18:$AJ$199,2*(ROWS(AD$195:AD203)-1)+1)),2),"")</f>
        <v/>
      </c>
      <c r="AE203" s="9" t="str">
        <f t="shared" ca="1" si="19"/>
        <v/>
      </c>
      <c r="AF203" t="str">
        <f ca="1">IFERROR(IF(BB203&lt;&gt;"","",INDEX('M04-S06'!$AF$18:$AF$199,2*(ROWS(AG$195:AG203)-1)+1)),"")</f>
        <v/>
      </c>
      <c r="AG203" s="9" t="str" cm="1">
        <f t="array" aca="1" ref="AG203" ca="1">IFERROR(ROUND(IF(BB203&lt;&gt;"","",INDEX('M04-S06'!$AL$18:$AL$199,2*(ROWS(AG$195:AG203)-1)+1)),2),"")</f>
        <v/>
      </c>
      <c r="AH203" s="184"/>
      <c r="AI203" s="191"/>
      <c r="AJ203" s="32" t="str">
        <f ca="1">IFERROR(ROUND(IF(BA203&lt;&gt;"","",INDEX('M04-S06'!$AO$18:$AO$199,2*(ROWS(AJ$195:AJ203)-1)+1)),4),"")</f>
        <v/>
      </c>
      <c r="AK203" s="32">
        <f ca="1">IFERROR(ROUND(IF(BA203&lt;&gt;"","",INDEX('M04-S06'!$BF$18:$BF$199,2*(ROWS(AK$195:AK203)-1)+1)),4),"")</f>
        <v>0</v>
      </c>
      <c r="AL203" s="32" t="str">
        <f ca="1">IFERROR(ROUND(IF(BA203&lt;&gt;"","",INDEX('M04-S06'!$BG$18:$BG$199,2*(ROWS(AL$195:AL203)-1)+1)),4),"")</f>
        <v/>
      </c>
      <c r="AM203" s="32" t="str" cm="1">
        <f t="array" ref="AM203">IFERROR(ROUND(INDEX('M04-S06'!$BA$18:$BA$199,2*(ROWS(AM$195:AM203)-1)+1),4),"")</f>
        <v/>
      </c>
      <c r="AN203" s="32" t="str" cm="1">
        <f t="array" ref="AN203">IFERROR(ROUND(INDEX('M04-S06'!$BB$18:$BB$199,2*(ROWS(AN$195:AN203)-1)+1),4),"")</f>
        <v/>
      </c>
      <c r="AO203" s="32"/>
      <c r="AP203" s="9">
        <f ca="1">IFERROR(ROUND(IF(BB203&lt;&gt;"",INDEX('M04-S06'!$AH$18:$AH$199,2*(ROWS(AP$195:AP203)-1)+1),""),2),"")</f>
        <v>0</v>
      </c>
      <c r="AQ203" s="9" t="str">
        <f ca="1">IFERROR(ROUND(IF(BB203&lt;&gt;"",INDEX('M04-S06'!$AJ$18:$AJ$199,2*(ROWS(AQ$195:AQ203)-1)+1),""),2),"")</f>
        <v/>
      </c>
      <c r="AR203" s="9" t="str">
        <f t="shared" ca="1" si="30"/>
        <v/>
      </c>
      <c r="AS203" t="str">
        <f ca="1">IFERROR(IF(BB203&lt;&gt;"",INDEX('M04-S06'!$AF$18:$AF$199,2*(ROWS(AS$195:AS203)-1)+1),""),"")</f>
        <v/>
      </c>
      <c r="AT203" s="9" t="str" cm="1">
        <f t="array" aca="1" ref="AT203" ca="1">IFERROR(ROUND(IF(BB203&lt;&gt;"", INDEX('M04-S06'!$AL$18:$AL$199,2*(ROWS(AG$195:AG203)-1)+1), ""),2),"")</f>
        <v/>
      </c>
      <c r="AU203" s="184"/>
      <c r="AV203" s="5" t="str">
        <f ca="1">IFERROR(IF(BB203&lt;&gt;"",ROUND(INDEX('M04-S06'!$AY$18:$AY$199,2*(ROWS(AV$195:AV203)-1)+1),3),""),"")</f>
        <v/>
      </c>
      <c r="AW203" s="5" t="str">
        <f ca="1">IFERROR(IF(BB203&lt;&gt;"",ROUND(INDEX('M04-S06'!$AZ$18:$AZ$199,2*(ROWS(AW$195:AW203)-1)+1),3),""),"")</f>
        <v/>
      </c>
      <c r="AX203" s="184"/>
      <c r="AY203" s="26" t="str">
        <f ca="1">IFERROR(IF(BB203&lt;&gt;"",INDEX('M04-S06'!$AO$18:$AO$199,2*(ROWS(AY$195:AY203)-1)+1),""),"")</f>
        <v/>
      </c>
      <c r="AZ203" s="32">
        <f ca="1">IFERROR(IF(BB203&lt;&gt;"",INDEX('M04-S06'!$BF$18:$BF$199,2*(ROWS(AZ$195:AZ203)-1)+1),""),"")</f>
        <v>0</v>
      </c>
      <c r="BA203" s="32" t="str">
        <f ca="1">IFERROR(IF(BB203&lt;&gt;"",INDEX('M04-S06'!$BG$18:$BG$199,2*(ROWS(BA$195:BA203)-1)+1),""),"")</f>
        <v/>
      </c>
      <c r="BB203" t="str">
        <f ca="1">IFERROR(INDEX('M04-S06'!$BY$18:$BY$199,2*(ROWS(BB$195:BB203)-1)+1),"")</f>
        <v>Submit for Review</v>
      </c>
    </row>
    <row r="204" spans="1:54">
      <c r="A204" s="10">
        <f t="shared" si="28"/>
        <v>0</v>
      </c>
      <c r="B204" t="str">
        <f t="shared" si="29"/>
        <v/>
      </c>
      <c r="C204" t="str" cm="1">
        <f t="array" ref="C204">IFERROR(_xlfn.VALUETOTEXT(INDEX('M04-S06'!$BW$18:$BW$199,2*(ROWS($C$195:C204)-1)+1)),"")</f>
        <v/>
      </c>
      <c r="D204">
        <f>IFERROR(INDEX('M04-S06'!$B$18:$B$199,2*(ROWS(D$195:D204)-1)+1),"")</f>
        <v>10</v>
      </c>
      <c r="E204" s="51" t="str" cm="1">
        <f t="array" ref="E204">IFERROR(_xlfn.VALUETOTEXT(INDEX('M04-S06'!$BX$18:$BX$199,2*(ROWS($E$195:E204)-1)+1)),"")</f>
        <v/>
      </c>
      <c r="F204" t="str" cm="1">
        <f t="array" ref="F204">IF(C204&lt;&gt;"", _xlfn.SWITCH(Program_Banner, "Small Business / Non-Profit", "Hard-To-Reach Business", "Business Energy Savings", "Whole Business Efficiency", ""), "")</f>
        <v/>
      </c>
      <c r="G204" t="s">
        <v>135</v>
      </c>
      <c r="H204" t="str">
        <f>IFERROR(INDEX('M04-S06'!$BC$18:$BC$199,2*(ROWS(H$195:H204)-1)+1),"")</f>
        <v/>
      </c>
      <c r="I204" t="str">
        <f>IFERROR(INDEX('M04-S06'!$BJ$18:$BJ$199,2*(ROWS(I$195:I204)-1)+1),"")</f>
        <v/>
      </c>
      <c r="J204" s="9" t="str">
        <f>IFERROR(INDEX('M04-S06'!$BN$18:$BN$199,2*(ROWS(J$195:J204)-1)+1),"")</f>
        <v/>
      </c>
      <c r="K204" s="9" t="str">
        <f>IFERROR(INDEX('M04-S06'!$BO$18:$BO$199,2*(ROWS(K$195:K204)-1)+1),"")</f>
        <v/>
      </c>
      <c r="L204" s="51" t="str">
        <f>IFERROR(INDEX('M04-S06'!$BD$18:$BD$199,2*(ROWS(L$195:L204)-1)+1),"")</f>
        <v/>
      </c>
      <c r="M204" s="171"/>
      <c r="N204" s="171"/>
      <c r="O204">
        <f>IFERROR(INDEX('M04-S06'!$H$18:$H$199,2*(ROWS(O$195:O204)-1)+1),"")</f>
        <v>0</v>
      </c>
      <c r="P204">
        <f>IFERROR(INDEX('M04-S06'!$N$18:$N$199,2*(ROWS(P$195:P204)-1)+1),"")</f>
        <v>0</v>
      </c>
      <c r="Q204">
        <f>IFERROR(INDEX('M04-S06'!$W$18:$W$199,2*(ROWS(Q$195:Q204)-1)+1),"")</f>
        <v>0</v>
      </c>
      <c r="S204" t="str">
        <f>IFERROR(INDEX('M04-S06'!$AX$18:$AX$199,2*(ROWS(S$195:S204)-1)+1),"")</f>
        <v/>
      </c>
      <c r="T204" s="5" t="str">
        <f>IFERROR(ROUND(INDEX('M04-S06'!$AY$18:$AY$199,2*(ROWS(T$195:T204)-1)+1),3),"")</f>
        <v/>
      </c>
      <c r="U204" s="5" t="str">
        <f>IFERROR(ROUND(INDEX('M04-S06'!$AZ$18:$AZ$199,2*(ROWS(U$195:U204)-1)+1),3),"")</f>
        <v/>
      </c>
      <c r="V204" s="184"/>
      <c r="W204" s="184"/>
      <c r="X204" s="184"/>
      <c r="Y204" s="184"/>
      <c r="Z204" s="184"/>
      <c r="AA204" s="9" t="str" cm="1">
        <f t="array" ref="AA204">IFERROR(ROUND(INDEX('M04-S06'!$AR$18:$AR$199,2*(ROWS(AA$195:AA204)-1)+1), 2),"")</f>
        <v/>
      </c>
      <c r="AB204" s="164"/>
      <c r="AC204" s="9" t="str" cm="1">
        <f t="array" aca="1" ref="AC204" ca="1">IFERROR(ROUND(IF(BB204&lt;&gt;"","",INDEX('M04-S06'!$AH$18:$AH$199,2*(ROWS(AC$195:AC204)-1)+1)),2),"")</f>
        <v/>
      </c>
      <c r="AD204" s="9" t="str" cm="1">
        <f t="array" aca="1" ref="AD204" ca="1">IFERROR(ROUND(IF(BB204&lt;&gt;"","",INDEX('M04-S06'!$AJ$18:$AJ$199,2*(ROWS(AD$195:AD204)-1)+1)),2),"")</f>
        <v/>
      </c>
      <c r="AE204" s="9" t="str">
        <f t="shared" ca="1" si="19"/>
        <v/>
      </c>
      <c r="AF204" t="str">
        <f ca="1">IFERROR(IF(BB204&lt;&gt;"","",INDEX('M04-S06'!$AF$18:$AF$199,2*(ROWS(AG$195:AG204)-1)+1)),"")</f>
        <v/>
      </c>
      <c r="AG204" s="9" t="str" cm="1">
        <f t="array" aca="1" ref="AG204" ca="1">IFERROR(ROUND(IF(BB204&lt;&gt;"","",INDEX('M04-S06'!$AL$18:$AL$199,2*(ROWS(AG$195:AG204)-1)+1)),2),"")</f>
        <v/>
      </c>
      <c r="AH204" s="184"/>
      <c r="AI204" s="191"/>
      <c r="AJ204" s="32" t="str">
        <f ca="1">IFERROR(ROUND(IF(BA204&lt;&gt;"","",INDEX('M04-S06'!$AO$18:$AO$199,2*(ROWS(AJ$195:AJ204)-1)+1)),4),"")</f>
        <v/>
      </c>
      <c r="AK204" s="32">
        <f ca="1">IFERROR(ROUND(IF(BA204&lt;&gt;"","",INDEX('M04-S06'!$BF$18:$BF$199,2*(ROWS(AK$195:AK204)-1)+1)),4),"")</f>
        <v>0</v>
      </c>
      <c r="AL204" s="32" t="str">
        <f ca="1">IFERROR(ROUND(IF(BA204&lt;&gt;"","",INDEX('M04-S06'!$BG$18:$BG$199,2*(ROWS(AL$195:AL204)-1)+1)),4),"")</f>
        <v/>
      </c>
      <c r="AM204" s="32" t="str" cm="1">
        <f t="array" ref="AM204">IFERROR(ROUND(INDEX('M04-S06'!$BA$18:$BA$199,2*(ROWS(AM$195:AM204)-1)+1),4),"")</f>
        <v/>
      </c>
      <c r="AN204" s="32" t="str" cm="1">
        <f t="array" ref="AN204">IFERROR(ROUND(INDEX('M04-S06'!$BB$18:$BB$199,2*(ROWS(AN$195:AN204)-1)+1),4),"")</f>
        <v/>
      </c>
      <c r="AO204" s="32"/>
      <c r="AP204" s="9">
        <f ca="1">IFERROR(ROUND(IF(BB204&lt;&gt;"",INDEX('M04-S06'!$AH$18:$AH$199,2*(ROWS(AP$195:AP204)-1)+1),""),2),"")</f>
        <v>0</v>
      </c>
      <c r="AQ204" s="9" t="str">
        <f ca="1">IFERROR(ROUND(IF(BB204&lt;&gt;"",INDEX('M04-S06'!$AJ$18:$AJ$199,2*(ROWS(AQ$195:AQ204)-1)+1),""),2),"")</f>
        <v/>
      </c>
      <c r="AR204" s="9" t="str">
        <f t="shared" ca="1" si="30"/>
        <v/>
      </c>
      <c r="AS204" t="str">
        <f ca="1">IFERROR(IF(BB204&lt;&gt;"",INDEX('M04-S06'!$AF$18:$AF$199,2*(ROWS(AS$195:AS204)-1)+1),""),"")</f>
        <v/>
      </c>
      <c r="AT204" s="9" t="str" cm="1">
        <f t="array" aca="1" ref="AT204" ca="1">IFERROR(ROUND(IF(BB204&lt;&gt;"", INDEX('M04-S06'!$AL$18:$AL$199,2*(ROWS(AG$195:AG204)-1)+1), ""),2),"")</f>
        <v/>
      </c>
      <c r="AU204" s="184"/>
      <c r="AV204" s="5" t="str">
        <f ca="1">IFERROR(IF(BB204&lt;&gt;"",ROUND(INDEX('M04-S06'!$AY$18:$AY$199,2*(ROWS(AV$195:AV204)-1)+1),3),""),"")</f>
        <v/>
      </c>
      <c r="AW204" s="5" t="str">
        <f ca="1">IFERROR(IF(BB204&lt;&gt;"",ROUND(INDEX('M04-S06'!$AZ$18:$AZ$199,2*(ROWS(AW$195:AW204)-1)+1),3),""),"")</f>
        <v/>
      </c>
      <c r="AX204" s="184"/>
      <c r="AY204" s="26" t="str">
        <f ca="1">IFERROR(IF(BB204&lt;&gt;"",INDEX('M04-S06'!$AO$18:$AO$199,2*(ROWS(AY$195:AY204)-1)+1),""),"")</f>
        <v/>
      </c>
      <c r="AZ204" s="32">
        <f ca="1">IFERROR(IF(BB204&lt;&gt;"",INDEX('M04-S06'!$BF$18:$BF$199,2*(ROWS(AZ$195:AZ204)-1)+1),""),"")</f>
        <v>0</v>
      </c>
      <c r="BA204" s="32" t="str">
        <f ca="1">IFERROR(IF(BB204&lt;&gt;"",INDEX('M04-S06'!$BG$18:$BG$199,2*(ROWS(BA$195:BA204)-1)+1),""),"")</f>
        <v/>
      </c>
      <c r="BB204" t="str">
        <f ca="1">IFERROR(INDEX('M04-S06'!$BY$18:$BY$199,2*(ROWS(BB$195:BB204)-1)+1),"")</f>
        <v>Submit for Review</v>
      </c>
    </row>
    <row r="205" spans="1:54">
      <c r="A205" s="10">
        <f t="shared" si="28"/>
        <v>0</v>
      </c>
      <c r="B205" t="str">
        <f t="shared" si="29"/>
        <v/>
      </c>
      <c r="C205" t="str" cm="1">
        <f t="array" ref="C205">IFERROR(_xlfn.VALUETOTEXT(INDEX('M04-S06'!$BW$18:$BW$199,2*(ROWS($C$195:C205)-1)+1)),"")</f>
        <v/>
      </c>
      <c r="D205">
        <f>IFERROR(INDEX('M04-S06'!$B$18:$B$199,2*(ROWS(D$195:D205)-1)+1),"")</f>
        <v>0</v>
      </c>
      <c r="E205" s="51" t="str" cm="1">
        <f t="array" ref="E205">IFERROR(_xlfn.VALUETOTEXT(INDEX('M04-S06'!$BX$18:$BX$199,2*(ROWS($E$195:E205)-1)+1)),"")</f>
        <v/>
      </c>
      <c r="F205" t="str" cm="1">
        <f t="array" ref="F205">IF(C205&lt;&gt;"", _xlfn.SWITCH(Program_Banner, "Small Business / Non-Profit", "Hard-To-Reach Business", "Business Energy Savings", "Whole Business Efficiency", ""), "")</f>
        <v/>
      </c>
      <c r="G205" t="s">
        <v>135</v>
      </c>
      <c r="H205">
        <f>IFERROR(INDEX('M04-S06'!$BC$18:$BC$199,2*(ROWS(H$195:H205)-1)+1),"")</f>
        <v>0</v>
      </c>
      <c r="I205">
        <f>IFERROR(INDEX('M04-S06'!$BJ$18:$BJ$199,2*(ROWS(I$195:I205)-1)+1),"")</f>
        <v>0</v>
      </c>
      <c r="J205" s="9">
        <f>IFERROR(INDEX('M04-S06'!$BN$18:$BN$199,2*(ROWS(J$195:J205)-1)+1),"")</f>
        <v>0</v>
      </c>
      <c r="K205" s="9">
        <f>IFERROR(INDEX('M04-S06'!$BO$18:$BO$199,2*(ROWS(K$195:K205)-1)+1),"")</f>
        <v>0</v>
      </c>
      <c r="L205" s="51">
        <f>IFERROR(INDEX('M04-S06'!$BD$18:$BD$199,2*(ROWS(L$195:L205)-1)+1),"")</f>
        <v>0</v>
      </c>
      <c r="M205" s="171"/>
      <c r="N205" s="171"/>
      <c r="O205">
        <f>IFERROR(INDEX('M04-S06'!$H$18:$H$199,2*(ROWS(O$195:O205)-1)+1),"")</f>
        <v>0</v>
      </c>
      <c r="P205">
        <f>IFERROR(INDEX('M04-S06'!$N$18:$N$199,2*(ROWS(P$195:P205)-1)+1),"")</f>
        <v>0</v>
      </c>
      <c r="Q205">
        <f>IFERROR(INDEX('M04-S06'!$W$18:$W$199,2*(ROWS(Q$195:Q205)-1)+1),"")</f>
        <v>0</v>
      </c>
      <c r="S205">
        <f>IFERROR(INDEX('M04-S06'!$AX$18:$AX$199,2*(ROWS(S$195:S205)-1)+1),"")</f>
        <v>0</v>
      </c>
      <c r="T205" s="5">
        <f>IFERROR(ROUND(INDEX('M04-S06'!$AY$18:$AY$199,2*(ROWS(T$195:T205)-1)+1),3),"")</f>
        <v>0</v>
      </c>
      <c r="U205" s="5">
        <f>IFERROR(ROUND(INDEX('M04-S06'!$AZ$18:$AZ$199,2*(ROWS(U$195:U205)-1)+1),3),"")</f>
        <v>0</v>
      </c>
      <c r="V205" s="184"/>
      <c r="W205" s="184"/>
      <c r="X205" s="184"/>
      <c r="Y205" s="184"/>
      <c r="Z205" s="184"/>
      <c r="AA205" s="9" cm="1">
        <f t="array" ref="AA205">IFERROR(ROUND(INDEX('M04-S06'!$AR$18:$AR$199,2*(ROWS(AA$195:AA205)-1)+1), 2),"")</f>
        <v>0</v>
      </c>
      <c r="AB205" s="164"/>
      <c r="AC205" s="9" t="str" cm="1">
        <f t="array" ref="AC205">IFERROR(ROUND(IF(BB205&lt;&gt;"","",INDEX('M04-S06'!$AH$18:$AH$199,2*(ROWS(AC$195:AC205)-1)+1)),2),"")</f>
        <v/>
      </c>
      <c r="AD205" s="9" t="str" cm="1">
        <f t="array" ref="AD205">IFERROR(ROUND(IF(BB205&lt;&gt;"","",INDEX('M04-S06'!$AJ$18:$AJ$199,2*(ROWS(AD$195:AD205)-1)+1)),2),"")</f>
        <v/>
      </c>
      <c r="AE205" s="9" t="str">
        <f t="shared" si="19"/>
        <v/>
      </c>
      <c r="AF205" t="str">
        <f>IFERROR(IF(BB205&lt;&gt;"","",INDEX('M04-S06'!$AF$18:$AF$199,2*(ROWS(AG$195:AG205)-1)+1)),"")</f>
        <v/>
      </c>
      <c r="AG205" s="9" t="str" cm="1">
        <f t="array" ref="AG205">IFERROR(ROUND(IF(BB205&lt;&gt;"","",INDEX('M04-S06'!$AL$18:$AL$199,2*(ROWS(AG$195:AG205)-1)+1)),2),"")</f>
        <v/>
      </c>
      <c r="AH205" s="184"/>
      <c r="AI205" s="191"/>
      <c r="AJ205" s="32" t="str">
        <f>IFERROR(ROUND(IF(BA205&lt;&gt;"","",INDEX('M04-S06'!$AO$18:$AO$199,2*(ROWS(AJ$195:AJ205)-1)+1)),4),"")</f>
        <v/>
      </c>
      <c r="AK205" s="32" t="str">
        <f>IFERROR(ROUND(IF(BA205&lt;&gt;"","",INDEX('M04-S06'!$BF$18:$BF$199,2*(ROWS(AK$195:AK205)-1)+1)),4),"")</f>
        <v/>
      </c>
      <c r="AL205" s="32" t="str">
        <f>IFERROR(ROUND(IF(BA205&lt;&gt;"","",INDEX('M04-S06'!$BG$18:$BG$199,2*(ROWS(AL$195:AL205)-1)+1)),4),"")</f>
        <v/>
      </c>
      <c r="AM205" s="32" cm="1">
        <f t="array" ref="AM205">IFERROR(ROUND(INDEX('M04-S06'!$BA$18:$BA$199,2*(ROWS(AM$195:AM205)-1)+1),4),"")</f>
        <v>0</v>
      </c>
      <c r="AN205" s="32" cm="1">
        <f t="array" ref="AN205">IFERROR(ROUND(INDEX('M04-S06'!$BB$18:$BB$199,2*(ROWS(AN$195:AN205)-1)+1),4),"")</f>
        <v>0</v>
      </c>
      <c r="AO205" s="32"/>
      <c r="AP205" s="9">
        <f>IFERROR(ROUND(IF(BB205&lt;&gt;"",INDEX('M04-S06'!$AH$18:$AH$199,2*(ROWS(AP$195:AP205)-1)+1),""),2),"")</f>
        <v>0</v>
      </c>
      <c r="AQ205" s="9">
        <f>IFERROR(ROUND(IF(BB205&lt;&gt;"",INDEX('M04-S06'!$AJ$18:$AJ$199,2*(ROWS(AQ$195:AQ205)-1)+1),""),2),"")</f>
        <v>0</v>
      </c>
      <c r="AR205" s="9" t="str">
        <f t="shared" si="30"/>
        <v/>
      </c>
      <c r="AS205">
        <f>IFERROR(IF(BB205&lt;&gt;"",INDEX('M04-S06'!$AF$18:$AF$199,2*(ROWS(AS$195:AS205)-1)+1),""),"")</f>
        <v>0</v>
      </c>
      <c r="AT205" s="9" cm="1">
        <f t="array" ref="AT205">IFERROR(ROUND(IF(BB205&lt;&gt;"", INDEX('M04-S06'!$AL$18:$AL$199,2*(ROWS(AG$195:AG205)-1)+1), ""),2),"")</f>
        <v>0</v>
      </c>
      <c r="AU205" s="184"/>
      <c r="AV205" s="5">
        <f>IFERROR(IF(BB205&lt;&gt;"",ROUND(INDEX('M04-S06'!$AY$18:$AY$199,2*(ROWS(AV$195:AV205)-1)+1),3),""),"")</f>
        <v>0</v>
      </c>
      <c r="AW205" s="5">
        <f>IFERROR(IF(BB205&lt;&gt;"",ROUND(INDEX('M04-S06'!$AZ$18:$AZ$199,2*(ROWS(AW$195:AW205)-1)+1),3),""),"")</f>
        <v>0</v>
      </c>
      <c r="AX205" s="184"/>
      <c r="AY205" s="26">
        <f>IFERROR(IF(BB205&lt;&gt;"",INDEX('M04-S06'!$AO$18:$AO$199,2*(ROWS(AY$195:AY205)-1)+1),""),"")</f>
        <v>0</v>
      </c>
      <c r="AZ205" s="32">
        <f>IFERROR(IF(BB205&lt;&gt;"",INDEX('M04-S06'!$BF$18:$BF$199,2*(ROWS(AZ$195:AZ205)-1)+1),""),"")</f>
        <v>0</v>
      </c>
      <c r="BA205" s="32">
        <f>IFERROR(IF(BB205&lt;&gt;"",INDEX('M04-S06'!$BG$18:$BG$199,2*(ROWS(BA$195:BA205)-1)+1),""),"")</f>
        <v>0</v>
      </c>
      <c r="BB205">
        <f>IFERROR(INDEX('M04-S06'!$BY$18:$BY$199,2*(ROWS(BB$195:BB205)-1)+1),"")</f>
        <v>0</v>
      </c>
    </row>
    <row r="206" spans="1:54">
      <c r="A206" s="10">
        <f t="shared" si="28"/>
        <v>0</v>
      </c>
      <c r="B206" t="str">
        <f t="shared" si="29"/>
        <v/>
      </c>
      <c r="C206" t="str" cm="1">
        <f t="array" ref="C206">IFERROR(_xlfn.VALUETOTEXT(INDEX('M04-S06'!$BW$18:$BW$199,2*(ROWS($C$195:C206)-1)+1)),"")</f>
        <v/>
      </c>
      <c r="D206">
        <f>IFERROR(INDEX('M04-S06'!$B$18:$B$199,2*(ROWS(D$195:D206)-1)+1),"")</f>
        <v>0</v>
      </c>
      <c r="E206" s="51" t="str" cm="1">
        <f t="array" ref="E206">IFERROR(_xlfn.VALUETOTEXT(INDEX('M04-S06'!$BX$18:$BX$199,2*(ROWS($E$195:E206)-1)+1)),"")</f>
        <v/>
      </c>
      <c r="F206" t="str" cm="1">
        <f t="array" ref="F206">IF(C206&lt;&gt;"", _xlfn.SWITCH(Program_Banner, "Small Business / Non-Profit", "Hard-To-Reach Business", "Business Energy Savings", "Whole Business Efficiency", ""), "")</f>
        <v/>
      </c>
      <c r="G206" t="s">
        <v>135</v>
      </c>
      <c r="H206">
        <f>IFERROR(INDEX('M04-S06'!$BC$18:$BC$199,2*(ROWS(H$195:H206)-1)+1),"")</f>
        <v>0</v>
      </c>
      <c r="I206">
        <f>IFERROR(INDEX('M04-S06'!$BJ$18:$BJ$199,2*(ROWS(I$195:I206)-1)+1),"")</f>
        <v>0</v>
      </c>
      <c r="J206" s="9">
        <f>IFERROR(INDEX('M04-S06'!$BN$18:$BN$199,2*(ROWS(J$195:J206)-1)+1),"")</f>
        <v>0</v>
      </c>
      <c r="K206" s="9">
        <f>IFERROR(INDEX('M04-S06'!$BO$18:$BO$199,2*(ROWS(K$195:K206)-1)+1),"")</f>
        <v>0</v>
      </c>
      <c r="L206" s="51">
        <f>IFERROR(INDEX('M04-S06'!$BD$18:$BD$199,2*(ROWS(L$195:L206)-1)+1),"")</f>
        <v>0</v>
      </c>
      <c r="M206" s="171"/>
      <c r="N206" s="171"/>
      <c r="O206">
        <f>IFERROR(INDEX('M04-S06'!$H$18:$H$199,2*(ROWS(O$195:O206)-1)+1),"")</f>
        <v>0</v>
      </c>
      <c r="P206">
        <f>IFERROR(INDEX('M04-S06'!$N$18:$N$199,2*(ROWS(P$195:P206)-1)+1),"")</f>
        <v>0</v>
      </c>
      <c r="Q206">
        <f>IFERROR(INDEX('M04-S06'!$W$18:$W$199,2*(ROWS(Q$195:Q206)-1)+1),"")</f>
        <v>0</v>
      </c>
      <c r="S206">
        <f>IFERROR(INDEX('M04-S06'!$AX$18:$AX$199,2*(ROWS(S$195:S206)-1)+1),"")</f>
        <v>0</v>
      </c>
      <c r="T206" s="5">
        <f>IFERROR(ROUND(INDEX('M04-S06'!$AY$18:$AY$199,2*(ROWS(T$195:T206)-1)+1),3),"")</f>
        <v>0</v>
      </c>
      <c r="U206" s="5">
        <f>IFERROR(ROUND(INDEX('M04-S06'!$AZ$18:$AZ$199,2*(ROWS(U$195:U206)-1)+1),3),"")</f>
        <v>0</v>
      </c>
      <c r="V206" s="184"/>
      <c r="W206" s="184"/>
      <c r="X206" s="184"/>
      <c r="Y206" s="184"/>
      <c r="Z206" s="184"/>
      <c r="AA206" s="9" cm="1">
        <f t="array" ref="AA206">IFERROR(ROUND(INDEX('M04-S06'!$AR$18:$AR$199,2*(ROWS(AA$195:AA206)-1)+1), 2),"")</f>
        <v>0</v>
      </c>
      <c r="AB206" s="164"/>
      <c r="AC206" s="9" t="str" cm="1">
        <f t="array" ref="AC206">IFERROR(ROUND(IF(BB206&lt;&gt;"","",INDEX('M04-S06'!$AH$18:$AH$199,2*(ROWS(AC$195:AC206)-1)+1)),2),"")</f>
        <v/>
      </c>
      <c r="AD206" s="9" t="str" cm="1">
        <f t="array" ref="AD206">IFERROR(ROUND(IF(BB206&lt;&gt;"","",INDEX('M04-S06'!$AJ$18:$AJ$199,2*(ROWS(AD$195:AD206)-1)+1)),2),"")</f>
        <v/>
      </c>
      <c r="AE206" s="9" t="str">
        <f t="shared" si="19"/>
        <v/>
      </c>
      <c r="AF206" t="str">
        <f>IFERROR(IF(BB206&lt;&gt;"","",INDEX('M04-S06'!$AF$18:$AF$199,2*(ROWS(AG$195:AG206)-1)+1)),"")</f>
        <v/>
      </c>
      <c r="AG206" s="9" t="str" cm="1">
        <f t="array" ref="AG206">IFERROR(ROUND(IF(BB206&lt;&gt;"","",INDEX('M04-S06'!$AL$18:$AL$199,2*(ROWS(AG$195:AG206)-1)+1)),2),"")</f>
        <v/>
      </c>
      <c r="AH206" s="184"/>
      <c r="AI206" s="191"/>
      <c r="AJ206" s="32" t="str">
        <f>IFERROR(ROUND(IF(BA206&lt;&gt;"","",INDEX('M04-S06'!$AO$18:$AO$199,2*(ROWS(AJ$195:AJ206)-1)+1)),4),"")</f>
        <v/>
      </c>
      <c r="AK206" s="32" t="str">
        <f>IFERROR(ROUND(IF(BA206&lt;&gt;"","",INDEX('M04-S06'!$BF$18:$BF$199,2*(ROWS(AK$195:AK206)-1)+1)),4),"")</f>
        <v/>
      </c>
      <c r="AL206" s="32" t="str">
        <f>IFERROR(ROUND(IF(BA206&lt;&gt;"","",INDEX('M04-S06'!$BG$18:$BG$199,2*(ROWS(AL$195:AL206)-1)+1)),4),"")</f>
        <v/>
      </c>
      <c r="AM206" s="32" cm="1">
        <f t="array" ref="AM206">IFERROR(ROUND(INDEX('M04-S06'!$BA$18:$BA$199,2*(ROWS(AM$195:AM206)-1)+1),4),"")</f>
        <v>0</v>
      </c>
      <c r="AN206" s="32" cm="1">
        <f t="array" ref="AN206">IFERROR(ROUND(INDEX('M04-S06'!$BB$18:$BB$199,2*(ROWS(AN$195:AN206)-1)+1),4),"")</f>
        <v>0</v>
      </c>
      <c r="AO206" s="32"/>
      <c r="AP206" s="9">
        <f>IFERROR(ROUND(IF(BB206&lt;&gt;"",INDEX('M04-S06'!$AH$18:$AH$199,2*(ROWS(AP$195:AP206)-1)+1),""),2),"")</f>
        <v>0</v>
      </c>
      <c r="AQ206" s="9">
        <f>IFERROR(ROUND(IF(BB206&lt;&gt;"",INDEX('M04-S06'!$AJ$18:$AJ$199,2*(ROWS(AQ$195:AQ206)-1)+1),""),2),"")</f>
        <v>0</v>
      </c>
      <c r="AR206" s="9" t="str">
        <f t="shared" si="30"/>
        <v/>
      </c>
      <c r="AS206">
        <f>IFERROR(IF(BB206&lt;&gt;"",INDEX('M04-S06'!$AF$18:$AF$199,2*(ROWS(AS$195:AS206)-1)+1),""),"")</f>
        <v>0</v>
      </c>
      <c r="AT206" s="9" cm="1">
        <f t="array" ref="AT206">IFERROR(ROUND(IF(BB206&lt;&gt;"", INDEX('M04-S06'!$AL$18:$AL$199,2*(ROWS(AG$195:AG206)-1)+1), ""),2),"")</f>
        <v>0</v>
      </c>
      <c r="AU206" s="184"/>
      <c r="AV206" s="5">
        <f>IFERROR(IF(BB206&lt;&gt;"",ROUND(INDEX('M04-S06'!$AY$18:$AY$199,2*(ROWS(AV$195:AV206)-1)+1),3),""),"")</f>
        <v>0</v>
      </c>
      <c r="AW206" s="5">
        <f>IFERROR(IF(BB206&lt;&gt;"",ROUND(INDEX('M04-S06'!$AZ$18:$AZ$199,2*(ROWS(AW$195:AW206)-1)+1),3),""),"")</f>
        <v>0</v>
      </c>
      <c r="AX206" s="184"/>
      <c r="AY206" s="26">
        <f>IFERROR(IF(BB206&lt;&gt;"",INDEX('M04-S06'!$AO$18:$AO$199,2*(ROWS(AY$195:AY206)-1)+1),""),"")</f>
        <v>0</v>
      </c>
      <c r="AZ206" s="32">
        <f>IFERROR(IF(BB206&lt;&gt;"",INDEX('M04-S06'!$BF$18:$BF$199,2*(ROWS(AZ$195:AZ206)-1)+1),""),"")</f>
        <v>0</v>
      </c>
      <c r="BA206" s="32">
        <f>IFERROR(IF(BB206&lt;&gt;"",INDEX('M04-S06'!$BG$18:$BG$199,2*(ROWS(BA$195:BA206)-1)+1),""),"")</f>
        <v>0</v>
      </c>
      <c r="BB206">
        <f>IFERROR(INDEX('M04-S06'!$BY$18:$BY$199,2*(ROWS(BB$195:BB206)-1)+1),"")</f>
        <v>0</v>
      </c>
    </row>
    <row r="207" spans="1:54">
      <c r="A207" s="10">
        <f t="shared" si="28"/>
        <v>0</v>
      </c>
      <c r="B207" t="str">
        <f t="shared" si="29"/>
        <v/>
      </c>
      <c r="C207" t="str" cm="1">
        <f t="array" ref="C207">IFERROR(_xlfn.VALUETOTEXT(INDEX('M04-S06'!$BW$18:$BW$199,2*(ROWS($C$195:C207)-1)+1)),"")</f>
        <v/>
      </c>
      <c r="D207">
        <f>IFERROR(INDEX('M04-S06'!$B$18:$B$199,2*(ROWS(D$195:D207)-1)+1),"")</f>
        <v>0</v>
      </c>
      <c r="E207" s="51" t="str" cm="1">
        <f t="array" ref="E207">IFERROR(_xlfn.VALUETOTEXT(INDEX('M04-S06'!$BX$18:$BX$199,2*(ROWS($E$195:E207)-1)+1)),"")</f>
        <v/>
      </c>
      <c r="F207" t="str" cm="1">
        <f t="array" ref="F207">IF(C207&lt;&gt;"", _xlfn.SWITCH(Program_Banner, "Small Business / Non-Profit", "Hard-To-Reach Business", "Business Energy Savings", "Whole Business Efficiency", ""), "")</f>
        <v/>
      </c>
      <c r="G207" t="s">
        <v>135</v>
      </c>
      <c r="H207">
        <f>IFERROR(INDEX('M04-S06'!$BC$18:$BC$199,2*(ROWS(H$195:H207)-1)+1),"")</f>
        <v>0</v>
      </c>
      <c r="I207">
        <f>IFERROR(INDEX('M04-S06'!$BJ$18:$BJ$199,2*(ROWS(I$195:I207)-1)+1),"")</f>
        <v>0</v>
      </c>
      <c r="J207" s="9">
        <f>IFERROR(INDEX('M04-S06'!$BN$18:$BN$199,2*(ROWS(J$195:J207)-1)+1),"")</f>
        <v>0</v>
      </c>
      <c r="K207" s="9">
        <f>IFERROR(INDEX('M04-S06'!$BO$18:$BO$199,2*(ROWS(K$195:K207)-1)+1),"")</f>
        <v>0</v>
      </c>
      <c r="L207" s="51">
        <f>IFERROR(INDEX('M04-S06'!$BD$18:$BD$199,2*(ROWS(L$195:L207)-1)+1),"")</f>
        <v>0</v>
      </c>
      <c r="M207" s="171"/>
      <c r="N207" s="171"/>
      <c r="O207">
        <f>IFERROR(INDEX('M04-S06'!$H$18:$H$199,2*(ROWS(O$195:O207)-1)+1),"")</f>
        <v>0</v>
      </c>
      <c r="P207">
        <f>IFERROR(INDEX('M04-S06'!$N$18:$N$199,2*(ROWS(P$195:P207)-1)+1),"")</f>
        <v>0</v>
      </c>
      <c r="Q207">
        <f>IFERROR(INDEX('M04-S06'!$W$18:$W$199,2*(ROWS(Q$195:Q207)-1)+1),"")</f>
        <v>0</v>
      </c>
      <c r="S207">
        <f>IFERROR(INDEX('M04-S06'!$AX$18:$AX$199,2*(ROWS(S$195:S207)-1)+1),"")</f>
        <v>0</v>
      </c>
      <c r="T207" s="5">
        <f>IFERROR(ROUND(INDEX('M04-S06'!$AY$18:$AY$199,2*(ROWS(T$195:T207)-1)+1),3),"")</f>
        <v>0</v>
      </c>
      <c r="U207" s="5">
        <f>IFERROR(ROUND(INDEX('M04-S06'!$AZ$18:$AZ$199,2*(ROWS(U$195:U207)-1)+1),3),"")</f>
        <v>0</v>
      </c>
      <c r="V207" s="184"/>
      <c r="W207" s="184"/>
      <c r="X207" s="184"/>
      <c r="Y207" s="184"/>
      <c r="Z207" s="184"/>
      <c r="AA207" s="9" cm="1">
        <f t="array" ref="AA207">IFERROR(ROUND(INDEX('M04-S06'!$AR$18:$AR$199,2*(ROWS(AA$195:AA207)-1)+1), 2),"")</f>
        <v>0</v>
      </c>
      <c r="AB207" s="164"/>
      <c r="AC207" s="9" t="str" cm="1">
        <f t="array" ref="AC207">IFERROR(ROUND(IF(BB207&lt;&gt;"","",INDEX('M04-S06'!$AH$18:$AH$199,2*(ROWS(AC$195:AC207)-1)+1)),2),"")</f>
        <v/>
      </c>
      <c r="AD207" s="9" t="str" cm="1">
        <f t="array" ref="AD207">IFERROR(ROUND(IF(BB207&lt;&gt;"","",INDEX('M04-S06'!$AJ$18:$AJ$199,2*(ROWS(AD$195:AD207)-1)+1)),2),"")</f>
        <v/>
      </c>
      <c r="AE207" s="9" t="str">
        <f t="shared" si="19"/>
        <v/>
      </c>
      <c r="AF207" t="str">
        <f>IFERROR(IF(BB207&lt;&gt;"","",INDEX('M04-S06'!$AF$18:$AF$199,2*(ROWS(AG$195:AG207)-1)+1)),"")</f>
        <v/>
      </c>
      <c r="AG207" s="9" t="str" cm="1">
        <f t="array" ref="AG207">IFERROR(ROUND(IF(BB207&lt;&gt;"","",INDEX('M04-S06'!$AL$18:$AL$199,2*(ROWS(AG$195:AG207)-1)+1)),2),"")</f>
        <v/>
      </c>
      <c r="AH207" s="184"/>
      <c r="AI207" s="191"/>
      <c r="AJ207" s="32" t="str">
        <f>IFERROR(ROUND(IF(BA207&lt;&gt;"","",INDEX('M04-S06'!$AO$18:$AO$199,2*(ROWS(AJ$195:AJ207)-1)+1)),4),"")</f>
        <v/>
      </c>
      <c r="AK207" s="32" t="str">
        <f>IFERROR(ROUND(IF(BA207&lt;&gt;"","",INDEX('M04-S06'!$BF$18:$BF$199,2*(ROWS(AK$195:AK207)-1)+1)),4),"")</f>
        <v/>
      </c>
      <c r="AL207" s="32" t="str">
        <f>IFERROR(ROUND(IF(BA207&lt;&gt;"","",INDEX('M04-S06'!$BG$18:$BG$199,2*(ROWS(AL$195:AL207)-1)+1)),4),"")</f>
        <v/>
      </c>
      <c r="AM207" s="32" cm="1">
        <f t="array" ref="AM207">IFERROR(ROUND(INDEX('M04-S06'!$BA$18:$BA$199,2*(ROWS(AM$195:AM207)-1)+1),4),"")</f>
        <v>0</v>
      </c>
      <c r="AN207" s="32" cm="1">
        <f t="array" ref="AN207">IFERROR(ROUND(INDEX('M04-S06'!$BB$18:$BB$199,2*(ROWS(AN$195:AN207)-1)+1),4),"")</f>
        <v>0</v>
      </c>
      <c r="AO207" s="32"/>
      <c r="AP207" s="9">
        <f>IFERROR(ROUND(IF(BB207&lt;&gt;"",INDEX('M04-S06'!$AH$18:$AH$199,2*(ROWS(AP$195:AP207)-1)+1),""),2),"")</f>
        <v>0</v>
      </c>
      <c r="AQ207" s="9">
        <f>IFERROR(ROUND(IF(BB207&lt;&gt;"",INDEX('M04-S06'!$AJ$18:$AJ$199,2*(ROWS(AQ$195:AQ207)-1)+1),""),2),"")</f>
        <v>0</v>
      </c>
      <c r="AR207" s="9" t="str">
        <f t="shared" si="30"/>
        <v/>
      </c>
      <c r="AS207">
        <f>IFERROR(IF(BB207&lt;&gt;"",INDEX('M04-S06'!$AF$18:$AF$199,2*(ROWS(AS$195:AS207)-1)+1),""),"")</f>
        <v>0</v>
      </c>
      <c r="AT207" s="9" cm="1">
        <f t="array" ref="AT207">IFERROR(ROUND(IF(BB207&lt;&gt;"", INDEX('M04-S06'!$AL$18:$AL$199,2*(ROWS(AG$195:AG207)-1)+1), ""),2),"")</f>
        <v>0</v>
      </c>
      <c r="AU207" s="184"/>
      <c r="AV207" s="5">
        <f>IFERROR(IF(BB207&lt;&gt;"",ROUND(INDEX('M04-S06'!$AY$18:$AY$199,2*(ROWS(AV$195:AV207)-1)+1),3),""),"")</f>
        <v>0</v>
      </c>
      <c r="AW207" s="5">
        <f>IFERROR(IF(BB207&lt;&gt;"",ROUND(INDEX('M04-S06'!$AZ$18:$AZ$199,2*(ROWS(AW$195:AW207)-1)+1),3),""),"")</f>
        <v>0</v>
      </c>
      <c r="AX207" s="184"/>
      <c r="AY207" s="26">
        <f>IFERROR(IF(BB207&lt;&gt;"",INDEX('M04-S06'!$AO$18:$AO$199,2*(ROWS(AY$195:AY207)-1)+1),""),"")</f>
        <v>0</v>
      </c>
      <c r="AZ207" s="32">
        <f>IFERROR(IF(BB207&lt;&gt;"",INDEX('M04-S06'!$BF$18:$BF$199,2*(ROWS(AZ$195:AZ207)-1)+1),""),"")</f>
        <v>0</v>
      </c>
      <c r="BA207" s="32">
        <f>IFERROR(IF(BB207&lt;&gt;"",INDEX('M04-S06'!$BG$18:$BG$199,2*(ROWS(BA$195:BA207)-1)+1),""),"")</f>
        <v>0</v>
      </c>
      <c r="BB207">
        <f>IFERROR(INDEX('M04-S06'!$BY$18:$BY$199,2*(ROWS(BB$195:BB207)-1)+1),"")</f>
        <v>0</v>
      </c>
    </row>
    <row r="208" spans="1:54">
      <c r="A208" s="10">
        <f t="shared" si="28"/>
        <v>0</v>
      </c>
      <c r="B208" t="str">
        <f t="shared" si="29"/>
        <v/>
      </c>
      <c r="C208" t="str" cm="1">
        <f t="array" ref="C208">IFERROR(_xlfn.VALUETOTEXT(INDEX('M04-S06'!$BW$18:$BW$199,2*(ROWS($C$195:C208)-1)+1)),"")</f>
        <v/>
      </c>
      <c r="D208">
        <f>IFERROR(INDEX('M04-S06'!$B$18:$B$199,2*(ROWS(D$195:D208)-1)+1),"")</f>
        <v>0</v>
      </c>
      <c r="E208" s="51" t="str" cm="1">
        <f t="array" ref="E208">IFERROR(_xlfn.VALUETOTEXT(INDEX('M04-S06'!$BX$18:$BX$199,2*(ROWS($E$195:E208)-1)+1)),"")</f>
        <v/>
      </c>
      <c r="F208" t="str" cm="1">
        <f t="array" ref="F208">IF(C208&lt;&gt;"", _xlfn.SWITCH(Program_Banner, "Small Business / Non-Profit", "Hard-To-Reach Business", "Business Energy Savings", "Whole Business Efficiency", ""), "")</f>
        <v/>
      </c>
      <c r="G208" t="s">
        <v>135</v>
      </c>
      <c r="H208">
        <f>IFERROR(INDEX('M04-S06'!$BC$18:$BC$199,2*(ROWS(H$195:H208)-1)+1),"")</f>
        <v>0</v>
      </c>
      <c r="I208">
        <f>IFERROR(INDEX('M04-S06'!$BJ$18:$BJ$199,2*(ROWS(I$195:I208)-1)+1),"")</f>
        <v>0</v>
      </c>
      <c r="J208" s="9">
        <f>IFERROR(INDEX('M04-S06'!$BN$18:$BN$199,2*(ROWS(J$195:J208)-1)+1),"")</f>
        <v>0</v>
      </c>
      <c r="K208" s="9">
        <f>IFERROR(INDEX('M04-S06'!$BO$18:$BO$199,2*(ROWS(K$195:K208)-1)+1),"")</f>
        <v>0</v>
      </c>
      <c r="L208" s="51">
        <f>IFERROR(INDEX('M04-S06'!$BD$18:$BD$199,2*(ROWS(L$195:L208)-1)+1),"")</f>
        <v>0</v>
      </c>
      <c r="M208" s="171"/>
      <c r="N208" s="171"/>
      <c r="O208">
        <f>IFERROR(INDEX('M04-S06'!$H$18:$H$199,2*(ROWS(O$195:O208)-1)+1),"")</f>
        <v>0</v>
      </c>
      <c r="P208">
        <f>IFERROR(INDEX('M04-S06'!$N$18:$N$199,2*(ROWS(P$195:P208)-1)+1),"")</f>
        <v>0</v>
      </c>
      <c r="Q208">
        <f>IFERROR(INDEX('M04-S06'!$W$18:$W$199,2*(ROWS(Q$195:Q208)-1)+1),"")</f>
        <v>0</v>
      </c>
      <c r="S208">
        <f>IFERROR(INDEX('M04-S06'!$AX$18:$AX$199,2*(ROWS(S$195:S208)-1)+1),"")</f>
        <v>0</v>
      </c>
      <c r="T208" s="5">
        <f>IFERROR(ROUND(INDEX('M04-S06'!$AY$18:$AY$199,2*(ROWS(T$195:T208)-1)+1),3),"")</f>
        <v>0</v>
      </c>
      <c r="U208" s="5">
        <f>IFERROR(ROUND(INDEX('M04-S06'!$AZ$18:$AZ$199,2*(ROWS(U$195:U208)-1)+1),3),"")</f>
        <v>0</v>
      </c>
      <c r="V208" s="184"/>
      <c r="W208" s="184"/>
      <c r="X208" s="184"/>
      <c r="Y208" s="184"/>
      <c r="Z208" s="184"/>
      <c r="AA208" s="9" cm="1">
        <f t="array" ref="AA208">IFERROR(ROUND(INDEX('M04-S06'!$AR$18:$AR$199,2*(ROWS(AA$195:AA208)-1)+1), 2),"")</f>
        <v>0</v>
      </c>
      <c r="AB208" s="164"/>
      <c r="AC208" s="9" t="str" cm="1">
        <f t="array" ref="AC208">IFERROR(ROUND(IF(BB208&lt;&gt;"","",INDEX('M04-S06'!$AH$18:$AH$199,2*(ROWS(AC$195:AC208)-1)+1)),2),"")</f>
        <v/>
      </c>
      <c r="AD208" s="9" t="str" cm="1">
        <f t="array" ref="AD208">IFERROR(ROUND(IF(BB208&lt;&gt;"","",INDEX('M04-S06'!$AJ$18:$AJ$199,2*(ROWS(AD$195:AD208)-1)+1)),2),"")</f>
        <v/>
      </c>
      <c r="AE208" s="9" t="str">
        <f t="shared" si="19"/>
        <v/>
      </c>
      <c r="AF208" t="str">
        <f>IFERROR(IF(BB208&lt;&gt;"","",INDEX('M04-S06'!$AF$18:$AF$199,2*(ROWS(AG$195:AG208)-1)+1)),"")</f>
        <v/>
      </c>
      <c r="AG208" s="9" t="str" cm="1">
        <f t="array" ref="AG208">IFERROR(ROUND(IF(BB208&lt;&gt;"","",INDEX('M04-S06'!$AL$18:$AL$199,2*(ROWS(AG$195:AG208)-1)+1)),2),"")</f>
        <v/>
      </c>
      <c r="AH208" s="184"/>
      <c r="AI208" s="191"/>
      <c r="AJ208" s="32" t="str">
        <f>IFERROR(ROUND(IF(BA208&lt;&gt;"","",INDEX('M04-S06'!$AO$18:$AO$199,2*(ROWS(AJ$195:AJ208)-1)+1)),4),"")</f>
        <v/>
      </c>
      <c r="AK208" s="32" t="str">
        <f>IFERROR(ROUND(IF(BA208&lt;&gt;"","",INDEX('M04-S06'!$BF$18:$BF$199,2*(ROWS(AK$195:AK208)-1)+1)),4),"")</f>
        <v/>
      </c>
      <c r="AL208" s="32" t="str">
        <f>IFERROR(ROUND(IF(BA208&lt;&gt;"","",INDEX('M04-S06'!$BG$18:$BG$199,2*(ROWS(AL$195:AL208)-1)+1)),4),"")</f>
        <v/>
      </c>
      <c r="AM208" s="32" cm="1">
        <f t="array" ref="AM208">IFERROR(ROUND(INDEX('M04-S06'!$BA$18:$BA$199,2*(ROWS(AM$195:AM208)-1)+1),4),"")</f>
        <v>0</v>
      </c>
      <c r="AN208" s="32" cm="1">
        <f t="array" ref="AN208">IFERROR(ROUND(INDEX('M04-S06'!$BB$18:$BB$199,2*(ROWS(AN$195:AN208)-1)+1),4),"")</f>
        <v>0</v>
      </c>
      <c r="AO208" s="32"/>
      <c r="AP208" s="9">
        <f>IFERROR(ROUND(IF(BB208&lt;&gt;"",INDEX('M04-S06'!$AH$18:$AH$199,2*(ROWS(AP$195:AP208)-1)+1),""),2),"")</f>
        <v>0</v>
      </c>
      <c r="AQ208" s="9">
        <f>IFERROR(ROUND(IF(BB208&lt;&gt;"",INDEX('M04-S06'!$AJ$18:$AJ$199,2*(ROWS(AQ$195:AQ208)-1)+1),""),2),"")</f>
        <v>0</v>
      </c>
      <c r="AR208" s="9" t="str">
        <f t="shared" si="30"/>
        <v/>
      </c>
      <c r="AS208">
        <f>IFERROR(IF(BB208&lt;&gt;"",INDEX('M04-S06'!$AF$18:$AF$199,2*(ROWS(AS$195:AS208)-1)+1),""),"")</f>
        <v>0</v>
      </c>
      <c r="AT208" s="9" cm="1">
        <f t="array" ref="AT208">IFERROR(ROUND(IF(BB208&lt;&gt;"", INDEX('M04-S06'!$AL$18:$AL$199,2*(ROWS(AG$195:AG208)-1)+1), ""),2),"")</f>
        <v>0</v>
      </c>
      <c r="AU208" s="184"/>
      <c r="AV208" s="5">
        <f>IFERROR(IF(BB208&lt;&gt;"",ROUND(INDEX('M04-S06'!$AY$18:$AY$199,2*(ROWS(AV$195:AV208)-1)+1),3),""),"")</f>
        <v>0</v>
      </c>
      <c r="AW208" s="5">
        <f>IFERROR(IF(BB208&lt;&gt;"",ROUND(INDEX('M04-S06'!$AZ$18:$AZ$199,2*(ROWS(AW$195:AW208)-1)+1),3),""),"")</f>
        <v>0</v>
      </c>
      <c r="AX208" s="184"/>
      <c r="AY208" s="26">
        <f>IFERROR(IF(BB208&lt;&gt;"",INDEX('M04-S06'!$AO$18:$AO$199,2*(ROWS(AY$195:AY208)-1)+1),""),"")</f>
        <v>0</v>
      </c>
      <c r="AZ208" s="32">
        <f>IFERROR(IF(BB208&lt;&gt;"",INDEX('M04-S06'!$BF$18:$BF$199,2*(ROWS(AZ$195:AZ208)-1)+1),""),"")</f>
        <v>0</v>
      </c>
      <c r="BA208" s="32">
        <f>IFERROR(IF(BB208&lt;&gt;"",INDEX('M04-S06'!$BG$18:$BG$199,2*(ROWS(BA$195:BA208)-1)+1),""),"")</f>
        <v>0</v>
      </c>
      <c r="BB208">
        <f>IFERROR(INDEX('M04-S06'!$BY$18:$BY$199,2*(ROWS(BB$195:BB208)-1)+1),"")</f>
        <v>0</v>
      </c>
    </row>
    <row r="209" spans="1:54">
      <c r="A209" s="10">
        <f t="shared" si="28"/>
        <v>0</v>
      </c>
      <c r="B209" t="str">
        <f t="shared" si="29"/>
        <v/>
      </c>
      <c r="C209" t="str" cm="1">
        <f t="array" ref="C209">IFERROR(_xlfn.VALUETOTEXT(INDEX('M04-S06'!$BW$18:$BW$199,2*(ROWS($C$195:C209)-1)+1)),"")</f>
        <v/>
      </c>
      <c r="D209">
        <f>IFERROR(INDEX('M04-S06'!$B$18:$B$199,2*(ROWS(D$195:D209)-1)+1),"")</f>
        <v>0</v>
      </c>
      <c r="E209" s="51" t="str" cm="1">
        <f t="array" ref="E209">IFERROR(_xlfn.VALUETOTEXT(INDEX('M04-S06'!$BX$18:$BX$199,2*(ROWS($E$195:E209)-1)+1)),"")</f>
        <v/>
      </c>
      <c r="F209" t="str" cm="1">
        <f t="array" ref="F209">IF(C209&lt;&gt;"", _xlfn.SWITCH(Program_Banner, "Small Business / Non-Profit", "Hard-To-Reach Business", "Business Energy Savings", "Whole Business Efficiency", ""), "")</f>
        <v/>
      </c>
      <c r="G209" t="s">
        <v>135</v>
      </c>
      <c r="H209">
        <f>IFERROR(INDEX('M04-S06'!$BC$18:$BC$199,2*(ROWS(H$195:H209)-1)+1),"")</f>
        <v>0</v>
      </c>
      <c r="I209">
        <f>IFERROR(INDEX('M04-S06'!$BJ$18:$BJ$199,2*(ROWS(I$195:I209)-1)+1),"")</f>
        <v>0</v>
      </c>
      <c r="J209" s="9">
        <f>IFERROR(INDEX('M04-S06'!$BN$18:$BN$199,2*(ROWS(J$195:J209)-1)+1),"")</f>
        <v>0</v>
      </c>
      <c r="K209" s="9">
        <f>IFERROR(INDEX('M04-S06'!$BO$18:$BO$199,2*(ROWS(K$195:K209)-1)+1),"")</f>
        <v>0</v>
      </c>
      <c r="L209" s="51">
        <f>IFERROR(INDEX('M04-S06'!$BD$18:$BD$199,2*(ROWS(L$195:L209)-1)+1),"")</f>
        <v>0</v>
      </c>
      <c r="M209" s="171"/>
      <c r="N209" s="171"/>
      <c r="O209">
        <f>IFERROR(INDEX('M04-S06'!$H$18:$H$199,2*(ROWS(O$195:O209)-1)+1),"")</f>
        <v>0</v>
      </c>
      <c r="P209">
        <f>IFERROR(INDEX('M04-S06'!$N$18:$N$199,2*(ROWS(P$195:P209)-1)+1),"")</f>
        <v>0</v>
      </c>
      <c r="Q209">
        <f>IFERROR(INDEX('M04-S06'!$W$18:$W$199,2*(ROWS(Q$195:Q209)-1)+1),"")</f>
        <v>0</v>
      </c>
      <c r="S209">
        <f>IFERROR(INDEX('M04-S06'!$AX$18:$AX$199,2*(ROWS(S$195:S209)-1)+1),"")</f>
        <v>0</v>
      </c>
      <c r="T209" s="5">
        <f>IFERROR(ROUND(INDEX('M04-S06'!$AY$18:$AY$199,2*(ROWS(T$195:T209)-1)+1),3),"")</f>
        <v>0</v>
      </c>
      <c r="U209" s="5">
        <f>IFERROR(ROUND(INDEX('M04-S06'!$AZ$18:$AZ$199,2*(ROWS(U$195:U209)-1)+1),3),"")</f>
        <v>0</v>
      </c>
      <c r="V209" s="184"/>
      <c r="W209" s="184"/>
      <c r="X209" s="184"/>
      <c r="Y209" s="184"/>
      <c r="Z209" s="184"/>
      <c r="AA209" s="9" cm="1">
        <f t="array" ref="AA209">IFERROR(ROUND(INDEX('M04-S06'!$AR$18:$AR$199,2*(ROWS(AA$195:AA209)-1)+1), 2),"")</f>
        <v>0</v>
      </c>
      <c r="AB209" s="164"/>
      <c r="AC209" s="9" t="str" cm="1">
        <f t="array" ref="AC209">IFERROR(ROUND(IF(BB209&lt;&gt;"","",INDEX('M04-S06'!$AH$18:$AH$199,2*(ROWS(AC$195:AC209)-1)+1)),2),"")</f>
        <v/>
      </c>
      <c r="AD209" s="9" t="str" cm="1">
        <f t="array" ref="AD209">IFERROR(ROUND(IF(BB209&lt;&gt;"","",INDEX('M04-S06'!$AJ$18:$AJ$199,2*(ROWS(AD$195:AD209)-1)+1)),2),"")</f>
        <v/>
      </c>
      <c r="AE209" s="9" t="str">
        <f t="shared" si="19"/>
        <v/>
      </c>
      <c r="AF209" t="str">
        <f>IFERROR(IF(BB209&lt;&gt;"","",INDEX('M04-S06'!$AF$18:$AF$199,2*(ROWS(AG$195:AG209)-1)+1)),"")</f>
        <v/>
      </c>
      <c r="AG209" s="9" t="str" cm="1">
        <f t="array" ref="AG209">IFERROR(ROUND(IF(BB209&lt;&gt;"","",INDEX('M04-S06'!$AL$18:$AL$199,2*(ROWS(AG$195:AG209)-1)+1)),2),"")</f>
        <v/>
      </c>
      <c r="AH209" s="184"/>
      <c r="AI209" s="191"/>
      <c r="AJ209" s="32" t="str">
        <f>IFERROR(ROUND(IF(BA209&lt;&gt;"","",INDEX('M04-S06'!$AO$18:$AO$199,2*(ROWS(AJ$195:AJ209)-1)+1)),4),"")</f>
        <v/>
      </c>
      <c r="AK209" s="32" t="str">
        <f>IFERROR(ROUND(IF(BA209&lt;&gt;"","",INDEX('M04-S06'!$BF$18:$BF$199,2*(ROWS(AK$195:AK209)-1)+1)),4),"")</f>
        <v/>
      </c>
      <c r="AL209" s="32" t="str">
        <f>IFERROR(ROUND(IF(BA209&lt;&gt;"","",INDEX('M04-S06'!$BG$18:$BG$199,2*(ROWS(AL$195:AL209)-1)+1)),4),"")</f>
        <v/>
      </c>
      <c r="AM209" s="32" cm="1">
        <f t="array" ref="AM209">IFERROR(ROUND(INDEX('M04-S06'!$BA$18:$BA$199,2*(ROWS(AM$195:AM209)-1)+1),4),"")</f>
        <v>0</v>
      </c>
      <c r="AN209" s="32" cm="1">
        <f t="array" ref="AN209">IFERROR(ROUND(INDEX('M04-S06'!$BB$18:$BB$199,2*(ROWS(AN$195:AN209)-1)+1),4),"")</f>
        <v>0</v>
      </c>
      <c r="AO209" s="32"/>
      <c r="AP209" s="9">
        <f>IFERROR(ROUND(IF(BB209&lt;&gt;"",INDEX('M04-S06'!$AH$18:$AH$199,2*(ROWS(AP$195:AP209)-1)+1),""),2),"")</f>
        <v>0</v>
      </c>
      <c r="AQ209" s="9">
        <f>IFERROR(ROUND(IF(BB209&lt;&gt;"",INDEX('M04-S06'!$AJ$18:$AJ$199,2*(ROWS(AQ$195:AQ209)-1)+1),""),2),"")</f>
        <v>0</v>
      </c>
      <c r="AR209" s="9" t="str">
        <f t="shared" si="30"/>
        <v/>
      </c>
      <c r="AS209">
        <f>IFERROR(IF(BB209&lt;&gt;"",INDEX('M04-S06'!$AF$18:$AF$199,2*(ROWS(AS$195:AS209)-1)+1),""),"")</f>
        <v>0</v>
      </c>
      <c r="AT209" s="9" cm="1">
        <f t="array" ref="AT209">IFERROR(ROUND(IF(BB209&lt;&gt;"", INDEX('M04-S06'!$AL$18:$AL$199,2*(ROWS(AG$195:AG209)-1)+1), ""),2),"")</f>
        <v>0</v>
      </c>
      <c r="AU209" s="184"/>
      <c r="AV209" s="5">
        <f>IFERROR(IF(BB209&lt;&gt;"",ROUND(INDEX('M04-S06'!$AY$18:$AY$199,2*(ROWS(AV$195:AV209)-1)+1),3),""),"")</f>
        <v>0</v>
      </c>
      <c r="AW209" s="5">
        <f>IFERROR(IF(BB209&lt;&gt;"",ROUND(INDEX('M04-S06'!$AZ$18:$AZ$199,2*(ROWS(AW$195:AW209)-1)+1),3),""),"")</f>
        <v>0</v>
      </c>
      <c r="AX209" s="184"/>
      <c r="AY209" s="26">
        <f>IFERROR(IF(BB209&lt;&gt;"",INDEX('M04-S06'!$AO$18:$AO$199,2*(ROWS(AY$195:AY209)-1)+1),""),"")</f>
        <v>0</v>
      </c>
      <c r="AZ209" s="32">
        <f>IFERROR(IF(BB209&lt;&gt;"",INDEX('M04-S06'!$BF$18:$BF$199,2*(ROWS(AZ$195:AZ209)-1)+1),""),"")</f>
        <v>0</v>
      </c>
      <c r="BA209" s="32">
        <f>IFERROR(IF(BB209&lt;&gt;"",INDEX('M04-S06'!$BG$18:$BG$199,2*(ROWS(BA$195:BA209)-1)+1),""),"")</f>
        <v>0</v>
      </c>
      <c r="BB209">
        <f>IFERROR(INDEX('M04-S06'!$BY$18:$BY$199,2*(ROWS(BB$195:BB209)-1)+1),"")</f>
        <v>0</v>
      </c>
    </row>
    <row r="210" spans="1:54">
      <c r="A210" s="477" t="str">
        <f>"Custom "&amp;M4S7</f>
        <v>Custom Water Heating / Food Services</v>
      </c>
      <c r="B210" s="31"/>
      <c r="C210" s="31"/>
      <c r="D210" s="31"/>
      <c r="E210" s="31"/>
      <c r="F210" s="31"/>
      <c r="G210" s="31"/>
      <c r="H210" s="31"/>
      <c r="I210" s="31"/>
      <c r="J210" s="181"/>
      <c r="K210" s="181"/>
      <c r="L210" s="31"/>
      <c r="M210" s="31"/>
      <c r="N210" s="31"/>
      <c r="O210" s="98"/>
      <c r="P210" s="31"/>
      <c r="Q210" s="31"/>
      <c r="R210" s="31"/>
      <c r="S210" s="31"/>
      <c r="T210" s="187"/>
      <c r="U210" s="187"/>
      <c r="V210" s="185"/>
      <c r="W210" s="185"/>
      <c r="X210" s="185"/>
      <c r="Y210" s="185"/>
      <c r="Z210" s="185"/>
      <c r="AA210" s="181"/>
      <c r="AB210" s="31"/>
      <c r="AC210" s="181"/>
      <c r="AD210" s="181"/>
      <c r="AE210" s="181"/>
      <c r="AF210" s="31"/>
      <c r="AG210" s="181"/>
      <c r="AH210" s="31"/>
      <c r="AI210" s="189"/>
      <c r="AJ210" s="189"/>
      <c r="AK210" s="189"/>
      <c r="AL210" s="189"/>
      <c r="AM210" s="189"/>
      <c r="AN210" s="189"/>
      <c r="AO210" s="189"/>
      <c r="AP210" s="181"/>
      <c r="AQ210" s="181"/>
      <c r="AR210" s="181"/>
      <c r="AS210" s="31"/>
      <c r="AT210" s="31"/>
      <c r="AU210" s="31"/>
      <c r="AV210" s="187"/>
      <c r="AW210" s="187"/>
      <c r="AX210" s="185"/>
      <c r="AY210" s="185"/>
      <c r="AZ210" s="189"/>
      <c r="BA210" s="189"/>
      <c r="BB210" s="31"/>
    </row>
    <row r="211" spans="1:54">
      <c r="A211" s="10">
        <f t="shared" ref="A211:A225" si="31">PROJID</f>
        <v>0</v>
      </c>
      <c r="B211" t="str">
        <f t="shared" ref="B211:B225" si="32">IF(C211="","",CONCATENATE(ROW(),"-",C211))</f>
        <v/>
      </c>
      <c r="C211" t="str" cm="1">
        <f t="array" ref="C211">IFERROR(_xlfn.VALUETOTEXT(INDEX('M04-S07'!$BW$18:$BW$199,2*(ROWS($C$211:C211)-1)+1)),"")</f>
        <v/>
      </c>
      <c r="D211">
        <f>IFERROR(INDEX('M04-S07'!$B$18:$B$199,2*(ROWS(D$211:D211)-1)+1),"")</f>
        <v>1</v>
      </c>
      <c r="E211" s="51" t="str" cm="1">
        <f t="array" ref="E211">IFERROR(_xlfn.VALUETOTEXT(INDEX('M04-S07'!$BX$18:$BX$199,2*(ROWS($E$211:E211)-1)+1)),"")</f>
        <v/>
      </c>
      <c r="F211" t="str" cm="1">
        <f t="array" ref="F211">IF(C211&lt;&gt;"", _xlfn.SWITCH(Program_Banner, "Small Business / Non-Profit", "Hard-To-Reach Business", "Business Energy Savings", "Whole Business Efficiency", ""), "")</f>
        <v/>
      </c>
      <c r="G211" t="s">
        <v>135</v>
      </c>
      <c r="H211" t="str">
        <f>IFERROR(INDEX('M04-S07'!$BC$18:$BC$199,2*(ROWS(H$211:H211)-1)+1),"")</f>
        <v/>
      </c>
      <c r="I211" t="str">
        <f>IFERROR(INDEX('M04-S07'!$BJ$18:$BJ$199,2*(ROWS(I$211:I211)-1)+1),"")</f>
        <v/>
      </c>
      <c r="J211" s="9" t="str">
        <f>IFERROR(INDEX('M04-S07'!$BN$18:$BN$199,2*(ROWS(J$211:J211)-1)+1),"")</f>
        <v/>
      </c>
      <c r="K211" s="9" t="str">
        <f>IFERROR(INDEX('M04-S07'!$BO$18:$BO$199,2*(ROWS(K$211:K211)-1)+1),"")</f>
        <v/>
      </c>
      <c r="L211" s="51" t="str">
        <f>IFERROR(INDEX('M04-S07'!$BD$18:$BD$199,2*(ROWS(L$211:L211)-1)+1),"")</f>
        <v/>
      </c>
      <c r="M211" s="171"/>
      <c r="N211" s="171"/>
      <c r="O211">
        <f>IFERROR(INDEX('M04-S07'!$H$18:$H$199,2*(ROWS(O$211:O211)-1)+1),"")</f>
        <v>0</v>
      </c>
      <c r="P211">
        <f>IFERROR(INDEX('M04-S07'!$N$18:$N$199,2*(ROWS(P$211:P211)-1)+1),"")</f>
        <v>0</v>
      </c>
      <c r="Q211">
        <f>IFERROR(INDEX('M04-S07'!$W$18:$W$199,2*(ROWS(Q$211:Q211)-1)+1),"")</f>
        <v>0</v>
      </c>
      <c r="S211" t="str">
        <f>IFERROR(INDEX('M04-S07'!$AX$18:$AX$199,2*(ROWS(S$211:S211)-1)+1),"")</f>
        <v/>
      </c>
      <c r="T211" s="5" t="str">
        <f>IFERROR(ROUND(INDEX('M04-S07'!$AY$18:$AY$199,2*(ROWS(T$211:T211)-1)+1),3),"")</f>
        <v/>
      </c>
      <c r="U211" s="5" t="str">
        <f>IFERROR(ROUND(INDEX('M04-S07'!$AZ$18:$AZ$199,2*(ROWS(U$211:U211)-1)+1),3),"")</f>
        <v/>
      </c>
      <c r="V211" s="184"/>
      <c r="W211" s="184"/>
      <c r="X211" s="184"/>
      <c r="Y211" s="184"/>
      <c r="Z211" s="184"/>
      <c r="AA211" s="9" t="str" cm="1">
        <f t="array" ref="AA211">IFERROR(ROUND(INDEX('M04-S07'!$AR$18:$AR$199,2*(ROWS(AA$211:AA211)-1)+1), 2),"")</f>
        <v/>
      </c>
      <c r="AB211" s="164"/>
      <c r="AC211" s="9" t="str" cm="1">
        <f t="array" aca="1" ref="AC211" ca="1">IFERROR(ROUND(IF(BB211&lt;&gt;"","",INDEX('M04-S07'!$AH$18:$AH$199,2*(ROWS(AC$211:AC211)-1)+1)),2),"")</f>
        <v/>
      </c>
      <c r="AD211" s="9" t="str" cm="1">
        <f t="array" aca="1" ref="AD211" ca="1">IFERROR(ROUND(IF(BB211&lt;&gt;"","",INDEX('M04-S07'!$AJ$18:$AJ$199,2*(ROWS(AD$211:AD211)-1)+1)),2),"")</f>
        <v/>
      </c>
      <c r="AE211" s="9" t="str">
        <f t="shared" ca="1" si="19"/>
        <v/>
      </c>
      <c r="AF211" t="str">
        <f ca="1">IFERROR(IF(BB211&lt;&gt;"","",INDEX('M04-S07'!$AF$18:$AF$199,2*(ROWS(AG$211:AG211)-1)+1)),"")</f>
        <v/>
      </c>
      <c r="AG211" s="9" t="str" cm="1">
        <f t="array" aca="1" ref="AG211" ca="1">IFERROR(ROUND(IF(BB211&lt;&gt;"","",INDEX('M04-S07'!$AL$18:$AL$199,2*(ROWS(AG$211:AG211)-1)+1)),2),"")</f>
        <v/>
      </c>
      <c r="AH211" s="184"/>
      <c r="AI211" s="191"/>
      <c r="AJ211" s="32" t="str">
        <f ca="1">IFERROR(ROUND(IF(BA211&lt;&gt;"","",INDEX('M04-S07'!$AO$18:$AO$199,2*(ROWS(AJ$211:AJ211)-1)+1)),4),"")</f>
        <v/>
      </c>
      <c r="AK211" s="32">
        <f ca="1">IFERROR(ROUND(IF(BA211&lt;&gt;"","",INDEX('M04-S07'!$BF$18:$BF$199,2*(ROWS(AK$211:AK211)-1)+1)),4),"")</f>
        <v>0</v>
      </c>
      <c r="AL211" s="32" t="str">
        <f ca="1">IFERROR(ROUND(IF(BA211&lt;&gt;"","",INDEX('M04-S07'!$BG$18:$BG$199,2*(ROWS(AL$211:AL211)-1)+1)),4),"")</f>
        <v/>
      </c>
      <c r="AM211" s="32" t="str" cm="1">
        <f t="array" ref="AM211">IFERROR(ROUND(INDEX('M04-S07'!$BA$18:$BA$199,2*(ROWS(AM$211:AM211)-1)+1),4),"")</f>
        <v/>
      </c>
      <c r="AN211" s="32" t="str" cm="1">
        <f t="array" ref="AN211">IFERROR(ROUND(INDEX('M04-S07'!$BB$18:$BB$199,2*(ROWS(AN$211:AN211)-1)+1),4),"")</f>
        <v/>
      </c>
      <c r="AO211" s="32"/>
      <c r="AP211" s="9">
        <f ca="1">IFERROR(ROUND(IF(BB211&lt;&gt;"",INDEX('M04-S07'!$AH$18:$AH$199,2*(ROWS(AP$211:AP211)-1)+1),""),2),"")</f>
        <v>0</v>
      </c>
      <c r="AQ211" s="9" t="str">
        <f ca="1">IFERROR(ROUND(IF(BB211&lt;&gt;"",INDEX('M04-S07'!$AJ$18:$AJ$199,2*(ROWS(AQ$211:AQ211)-1)+1),""),2),"")</f>
        <v/>
      </c>
      <c r="AR211" s="9" t="str">
        <f ca="1">IF(BB211&lt;&gt;"", "", IF(AS211="Total", AT211, ""))</f>
        <v/>
      </c>
      <c r="AS211" t="str">
        <f ca="1">IFERROR(IF(BB211&lt;&gt;"",INDEX('M04-S07'!$AF$18:$AF$199,2*(ROWS(AS$211:AS211)-1)+1),""),"")</f>
        <v/>
      </c>
      <c r="AT211" s="9" t="str" cm="1">
        <f t="array" aca="1" ref="AT211" ca="1">IFERROR(ROUND(IF(BB211&lt;&gt;"", INDEX('M04-S07'!$AL$18:$AL$199,2*(ROWS(AG$211:AG211)-1)+1), ""),2),"")</f>
        <v/>
      </c>
      <c r="AU211" s="184"/>
      <c r="AV211" s="5" t="str">
        <f ca="1">IFERROR(IF(BB211&lt;&gt;"",ROUND(INDEX('M04-S07'!$AY$18:$AY$199,2*(ROWS(AV$211:AV211)-1)+1),3),""),"")</f>
        <v/>
      </c>
      <c r="AW211" s="5" t="str">
        <f ca="1">IFERROR(IF(BB211&lt;&gt;"",ROUND(INDEX('M04-S07'!$AZ$18:$AZ$199,2*(ROWS(AW$211:AW211)-1)+1),3),""),"")</f>
        <v/>
      </c>
      <c r="AX211" s="184"/>
      <c r="AY211" s="26" t="str">
        <f ca="1">IFERROR(IF(BB211&lt;&gt;"",INDEX('M04-S07'!$AO$18:$AO$199,2*(ROWS(AY$211:AY211)-1)+1),""),"")</f>
        <v/>
      </c>
      <c r="AZ211" s="32">
        <f ca="1">IFERROR(IF(BB211&lt;&gt;"",INDEX('M04-S07'!$BF$18:$BF$199,2*(ROWS(AZ$211:AZ211)-1)+1),""),"")</f>
        <v>0</v>
      </c>
      <c r="BA211" s="32" t="str">
        <f ca="1">IFERROR(IF(BB211&lt;&gt;"",INDEX('M04-S07'!$BG$18:$BG$199,2*(ROWS(BA$211:BA211)-1)+1),""),"")</f>
        <v/>
      </c>
      <c r="BB211" t="str">
        <f ca="1">IFERROR(INDEX('M04-S07'!$BY$18:$BY$199,2*(ROWS(BB$211:BB211)-1)+1),"")</f>
        <v>Submit for Review</v>
      </c>
    </row>
    <row r="212" spans="1:54">
      <c r="A212" s="10">
        <f t="shared" si="31"/>
        <v>0</v>
      </c>
      <c r="B212" t="str">
        <f t="shared" si="32"/>
        <v/>
      </c>
      <c r="C212" t="str" cm="1">
        <f t="array" ref="C212">IFERROR(_xlfn.VALUETOTEXT(INDEX('M04-S07'!$BW$18:$BW$199,2*(ROWS($C$211:C212)-1)+1)),"")</f>
        <v/>
      </c>
      <c r="D212">
        <f>IFERROR(INDEX('M04-S07'!$B$18:$B$199,2*(ROWS(D$211:D212)-1)+1),"")</f>
        <v>2</v>
      </c>
      <c r="E212" s="51" t="str" cm="1">
        <f t="array" ref="E212">IFERROR(_xlfn.VALUETOTEXT(INDEX('M04-S07'!$BX$18:$BX$199,2*(ROWS($E$211:E212)-1)+1)),"")</f>
        <v/>
      </c>
      <c r="F212" t="str" cm="1">
        <f t="array" ref="F212">IF(C212&lt;&gt;"", _xlfn.SWITCH(Program_Banner, "Small Business / Non-Profit", "Hard-To-Reach Business", "Business Energy Savings", "Whole Business Efficiency", ""), "")</f>
        <v/>
      </c>
      <c r="G212" t="s">
        <v>135</v>
      </c>
      <c r="H212" t="str">
        <f>IFERROR(INDEX('M04-S07'!$BC$18:$BC$199,2*(ROWS(H$211:H212)-1)+1),"")</f>
        <v/>
      </c>
      <c r="I212" t="str">
        <f>IFERROR(INDEX('M04-S07'!$BJ$18:$BJ$199,2*(ROWS(I$211:I212)-1)+1),"")</f>
        <v/>
      </c>
      <c r="J212" s="9" t="str">
        <f>IFERROR(INDEX('M04-S07'!$BN$18:$BN$199,2*(ROWS(J$211:J212)-1)+1),"")</f>
        <v/>
      </c>
      <c r="K212" s="9" t="str">
        <f>IFERROR(INDEX('M04-S07'!$BO$18:$BO$199,2*(ROWS(K$211:K212)-1)+1),"")</f>
        <v/>
      </c>
      <c r="L212" s="51" t="str">
        <f>IFERROR(INDEX('M04-S07'!$BD$18:$BD$199,2*(ROWS(L$211:L212)-1)+1),"")</f>
        <v/>
      </c>
      <c r="M212" s="171"/>
      <c r="N212" s="171"/>
      <c r="O212">
        <f>IFERROR(INDEX('M04-S07'!$H$18:$H$199,2*(ROWS(O$211:O212)-1)+1),"")</f>
        <v>0</v>
      </c>
      <c r="P212">
        <f>IFERROR(INDEX('M04-S07'!$N$18:$N$199,2*(ROWS(P$211:P212)-1)+1),"")</f>
        <v>0</v>
      </c>
      <c r="Q212">
        <f>IFERROR(INDEX('M04-S07'!$W$18:$W$199,2*(ROWS(Q$211:Q212)-1)+1),"")</f>
        <v>0</v>
      </c>
      <c r="S212" t="str">
        <f>IFERROR(INDEX('M04-S07'!$AX$18:$AX$199,2*(ROWS(S$211:S212)-1)+1),"")</f>
        <v/>
      </c>
      <c r="T212" s="5" t="str">
        <f>IFERROR(ROUND(INDEX('M04-S07'!$AY$18:$AY$199,2*(ROWS(T$211:T212)-1)+1),3),"")</f>
        <v/>
      </c>
      <c r="U212" s="5" t="str">
        <f>IFERROR(ROUND(INDEX('M04-S07'!$AZ$18:$AZ$199,2*(ROWS(U$211:U212)-1)+1),3),"")</f>
        <v/>
      </c>
      <c r="V212" s="184"/>
      <c r="W212" s="184"/>
      <c r="X212" s="184"/>
      <c r="Y212" s="184"/>
      <c r="Z212" s="184"/>
      <c r="AA212" s="9" t="str" cm="1">
        <f t="array" ref="AA212">IFERROR(ROUND(INDEX('M04-S07'!$AR$18:$AR$199,2*(ROWS(AA$211:AA212)-1)+1), 2),"")</f>
        <v/>
      </c>
      <c r="AB212" s="164"/>
      <c r="AC212" s="9" t="str" cm="1">
        <f t="array" aca="1" ref="AC212" ca="1">IFERROR(ROUND(IF(BB212&lt;&gt;"","",INDEX('M04-S07'!$AH$18:$AH$199,2*(ROWS(AC$211:AC212)-1)+1)),2),"")</f>
        <v/>
      </c>
      <c r="AD212" s="9" t="str" cm="1">
        <f t="array" aca="1" ref="AD212" ca="1">IFERROR(ROUND(IF(BB212&lt;&gt;"","",INDEX('M04-S07'!$AJ$18:$AJ$199,2*(ROWS(AD$211:AD212)-1)+1)),2),"")</f>
        <v/>
      </c>
      <c r="AE212" s="9" t="str">
        <f t="shared" ref="AE212:AE225" ca="1" si="33">IF(BB212&lt;&gt;"", "", IF(AF212="Total", AG212, ""))</f>
        <v/>
      </c>
      <c r="AF212" t="str">
        <f ca="1">IFERROR(IF(BB212&lt;&gt;"","",INDEX('M04-S07'!$AF$18:$AF$199,2*(ROWS(AG$211:AG212)-1)+1)),"")</f>
        <v/>
      </c>
      <c r="AG212" s="9" t="str" cm="1">
        <f t="array" aca="1" ref="AG212" ca="1">IFERROR(ROUND(IF(BB212&lt;&gt;"","",INDEX('M04-S07'!$AL$18:$AL$199,2*(ROWS(AG$211:AG212)-1)+1)),2),"")</f>
        <v/>
      </c>
      <c r="AH212" s="184"/>
      <c r="AI212" s="191"/>
      <c r="AJ212" s="32" t="str">
        <f ca="1">IFERROR(ROUND(IF(BA212&lt;&gt;"","",INDEX('M04-S07'!$AO$18:$AO$199,2*(ROWS(AJ$211:AJ212)-1)+1)),4),"")</f>
        <v/>
      </c>
      <c r="AK212" s="32">
        <f ca="1">IFERROR(ROUND(IF(BA212&lt;&gt;"","",INDEX('M04-S07'!$BF$18:$BF$199,2*(ROWS(AK$211:AK212)-1)+1)),4),"")</f>
        <v>0</v>
      </c>
      <c r="AL212" s="32" t="str">
        <f ca="1">IFERROR(ROUND(IF(BA212&lt;&gt;"","",INDEX('M04-S07'!$BG$18:$BG$199,2*(ROWS(AL$211:AL212)-1)+1)),4),"")</f>
        <v/>
      </c>
      <c r="AM212" s="32" t="str" cm="1">
        <f t="array" ref="AM212">IFERROR(ROUND(INDEX('M04-S07'!$BA$18:$BA$199,2*(ROWS(AM$211:AM212)-1)+1),4),"")</f>
        <v/>
      </c>
      <c r="AN212" s="32" t="str" cm="1">
        <f t="array" ref="AN212">IFERROR(ROUND(INDEX('M04-S07'!$BB$18:$BB$199,2*(ROWS(AN$211:AN212)-1)+1),4),"")</f>
        <v/>
      </c>
      <c r="AO212" s="32"/>
      <c r="AP212" s="9">
        <f ca="1">IFERROR(ROUND(IF(BB212&lt;&gt;"",INDEX('M04-S07'!$AH$18:$AH$199,2*(ROWS(AP$211:AP212)-1)+1),""),2),"")</f>
        <v>0</v>
      </c>
      <c r="AQ212" s="9" t="str">
        <f ca="1">IFERROR(ROUND(IF(BB212&lt;&gt;"",INDEX('M04-S07'!$AJ$18:$AJ$199,2*(ROWS(AQ$211:AQ212)-1)+1),""),2),"")</f>
        <v/>
      </c>
      <c r="AR212" s="9" t="str">
        <f t="shared" ref="AR212:AR225" ca="1" si="34">IF(BB212&lt;&gt;"", "", IF(AS212="Total", AT212, ""))</f>
        <v/>
      </c>
      <c r="AS212" t="str">
        <f ca="1">IFERROR(IF(BB212&lt;&gt;"",INDEX('M04-S07'!$AF$18:$AF$199,2*(ROWS(AS$211:AS212)-1)+1),""),"")</f>
        <v/>
      </c>
      <c r="AT212" s="9" t="str" cm="1">
        <f t="array" aca="1" ref="AT212" ca="1">IFERROR(ROUND(IF(BB212&lt;&gt;"", INDEX('M04-S07'!$AL$18:$AL$199,2*(ROWS(AG$211:AG212)-1)+1), ""),2),"")</f>
        <v/>
      </c>
      <c r="AU212" s="184"/>
      <c r="AV212" s="5" t="str">
        <f ca="1">IFERROR(IF(BB212&lt;&gt;"",ROUND(INDEX('M04-S07'!$AY$18:$AY$199,2*(ROWS(AV$211:AV212)-1)+1),3),""),"")</f>
        <v/>
      </c>
      <c r="AW212" s="5" t="str">
        <f ca="1">IFERROR(IF(BB212&lt;&gt;"",ROUND(INDEX('M04-S07'!$AZ$18:$AZ$199,2*(ROWS(AW$211:AW212)-1)+1),3),""),"")</f>
        <v/>
      </c>
      <c r="AX212" s="184"/>
      <c r="AY212" s="26" t="str">
        <f ca="1">IFERROR(IF(BB212&lt;&gt;"",INDEX('M04-S07'!$AO$18:$AO$199,2*(ROWS(AY$211:AY212)-1)+1),""),"")</f>
        <v/>
      </c>
      <c r="AZ212" s="32">
        <f ca="1">IFERROR(IF(BB212&lt;&gt;"",INDEX('M04-S07'!$BF$18:$BF$199,2*(ROWS(AZ$211:AZ212)-1)+1),""),"")</f>
        <v>0</v>
      </c>
      <c r="BA212" s="32" t="str">
        <f ca="1">IFERROR(IF(BB212&lt;&gt;"",INDEX('M04-S07'!$BG$18:$BG$199,2*(ROWS(BA$211:BA212)-1)+1),""),"")</f>
        <v/>
      </c>
      <c r="BB212" t="str">
        <f ca="1">IFERROR(INDEX('M04-S07'!$BY$18:$BY$199,2*(ROWS(BB$211:BB212)-1)+1),"")</f>
        <v>Submit for Review</v>
      </c>
    </row>
    <row r="213" spans="1:54">
      <c r="A213" s="10">
        <f t="shared" si="31"/>
        <v>0</v>
      </c>
      <c r="B213" t="str">
        <f t="shared" si="32"/>
        <v/>
      </c>
      <c r="C213" t="str" cm="1">
        <f t="array" ref="C213">IFERROR(_xlfn.VALUETOTEXT(INDEX('M04-S07'!$BW$18:$BW$199,2*(ROWS($C$211:C213)-1)+1)),"")</f>
        <v/>
      </c>
      <c r="D213">
        <f>IFERROR(INDEX('M04-S07'!$B$18:$B$199,2*(ROWS(D$211:D213)-1)+1),"")</f>
        <v>3</v>
      </c>
      <c r="E213" s="51" t="str" cm="1">
        <f t="array" ref="E213">IFERROR(_xlfn.VALUETOTEXT(INDEX('M04-S07'!$BX$18:$BX$199,2*(ROWS($E$211:E213)-1)+1)),"")</f>
        <v/>
      </c>
      <c r="F213" t="str" cm="1">
        <f t="array" ref="F213">IF(C213&lt;&gt;"", _xlfn.SWITCH(Program_Banner, "Small Business / Non-Profit", "Hard-To-Reach Business", "Business Energy Savings", "Whole Business Efficiency", ""), "")</f>
        <v/>
      </c>
      <c r="G213" t="s">
        <v>135</v>
      </c>
      <c r="H213" t="str">
        <f>IFERROR(INDEX('M04-S07'!$BC$18:$BC$199,2*(ROWS(H$211:H213)-1)+1),"")</f>
        <v/>
      </c>
      <c r="I213" t="str">
        <f>IFERROR(INDEX('M04-S07'!$BJ$18:$BJ$199,2*(ROWS(I$211:I213)-1)+1),"")</f>
        <v/>
      </c>
      <c r="J213" s="9" t="str">
        <f>IFERROR(INDEX('M04-S07'!$BN$18:$BN$199,2*(ROWS(J$211:J213)-1)+1),"")</f>
        <v/>
      </c>
      <c r="K213" s="9" t="str">
        <f>IFERROR(INDEX('M04-S07'!$BO$18:$BO$199,2*(ROWS(K$211:K213)-1)+1),"")</f>
        <v/>
      </c>
      <c r="L213" s="51" t="str">
        <f>IFERROR(INDEX('M04-S07'!$BD$18:$BD$199,2*(ROWS(L$211:L213)-1)+1),"")</f>
        <v/>
      </c>
      <c r="M213" s="171"/>
      <c r="N213" s="171"/>
      <c r="O213">
        <f>IFERROR(INDEX('M04-S07'!$H$18:$H$199,2*(ROWS(O$211:O213)-1)+1),"")</f>
        <v>0</v>
      </c>
      <c r="P213">
        <f>IFERROR(INDEX('M04-S07'!$N$18:$N$199,2*(ROWS(P$211:P213)-1)+1),"")</f>
        <v>0</v>
      </c>
      <c r="Q213">
        <f>IFERROR(INDEX('M04-S07'!$W$18:$W$199,2*(ROWS(Q$211:Q213)-1)+1),"")</f>
        <v>0</v>
      </c>
      <c r="S213" t="str">
        <f>IFERROR(INDEX('M04-S07'!$AX$18:$AX$199,2*(ROWS(S$211:S213)-1)+1),"")</f>
        <v/>
      </c>
      <c r="T213" s="5" t="str">
        <f>IFERROR(ROUND(INDEX('M04-S07'!$AY$18:$AY$199,2*(ROWS(T$211:T213)-1)+1),3),"")</f>
        <v/>
      </c>
      <c r="U213" s="5" t="str">
        <f>IFERROR(ROUND(INDEX('M04-S07'!$AZ$18:$AZ$199,2*(ROWS(U$211:U213)-1)+1),3),"")</f>
        <v/>
      </c>
      <c r="V213" s="184"/>
      <c r="W213" s="184"/>
      <c r="X213" s="184"/>
      <c r="Y213" s="184"/>
      <c r="Z213" s="184"/>
      <c r="AA213" s="9" t="str" cm="1">
        <f t="array" ref="AA213">IFERROR(ROUND(INDEX('M04-S07'!$AR$18:$AR$199,2*(ROWS(AA$211:AA213)-1)+1), 2),"")</f>
        <v/>
      </c>
      <c r="AB213" s="164"/>
      <c r="AC213" s="9" t="str" cm="1">
        <f t="array" aca="1" ref="AC213" ca="1">IFERROR(ROUND(IF(BB213&lt;&gt;"","",INDEX('M04-S07'!$AH$18:$AH$199,2*(ROWS(AC$211:AC213)-1)+1)),2),"")</f>
        <v/>
      </c>
      <c r="AD213" s="9" t="str" cm="1">
        <f t="array" aca="1" ref="AD213" ca="1">IFERROR(ROUND(IF(BB213&lt;&gt;"","",INDEX('M04-S07'!$AJ$18:$AJ$199,2*(ROWS(AD$211:AD213)-1)+1)),2),"")</f>
        <v/>
      </c>
      <c r="AE213" s="9" t="str">
        <f t="shared" ca="1" si="33"/>
        <v/>
      </c>
      <c r="AF213" t="str">
        <f ca="1">IFERROR(IF(BB213&lt;&gt;"","",INDEX('M04-S07'!$AF$18:$AF$199,2*(ROWS(AG$211:AG213)-1)+1)),"")</f>
        <v/>
      </c>
      <c r="AG213" s="9" t="str" cm="1">
        <f t="array" aca="1" ref="AG213" ca="1">IFERROR(ROUND(IF(BB213&lt;&gt;"","",INDEX('M04-S07'!$AL$18:$AL$199,2*(ROWS(AG$211:AG213)-1)+1)),2),"")</f>
        <v/>
      </c>
      <c r="AH213" s="184"/>
      <c r="AI213" s="191"/>
      <c r="AJ213" s="32" t="str">
        <f ca="1">IFERROR(ROUND(IF(BA213&lt;&gt;"","",INDEX('M04-S07'!$AO$18:$AO$199,2*(ROWS(AJ$211:AJ213)-1)+1)),4),"")</f>
        <v/>
      </c>
      <c r="AK213" s="32">
        <f ca="1">IFERROR(ROUND(IF(BA213&lt;&gt;"","",INDEX('M04-S07'!$BF$18:$BF$199,2*(ROWS(AK$211:AK213)-1)+1)),4),"")</f>
        <v>0</v>
      </c>
      <c r="AL213" s="32" t="str">
        <f ca="1">IFERROR(ROUND(IF(BA213&lt;&gt;"","",INDEX('M04-S07'!$BG$18:$BG$199,2*(ROWS(AL$211:AL213)-1)+1)),4),"")</f>
        <v/>
      </c>
      <c r="AM213" s="32" t="str" cm="1">
        <f t="array" ref="AM213">IFERROR(ROUND(INDEX('M04-S07'!$BA$18:$BA$199,2*(ROWS(AM$211:AM213)-1)+1),4),"")</f>
        <v/>
      </c>
      <c r="AN213" s="32" t="str" cm="1">
        <f t="array" ref="AN213">IFERROR(ROUND(INDEX('M04-S07'!$BB$18:$BB$199,2*(ROWS(AN$211:AN213)-1)+1),4),"")</f>
        <v/>
      </c>
      <c r="AO213" s="32"/>
      <c r="AP213" s="9">
        <f ca="1">IFERROR(ROUND(IF(BB213&lt;&gt;"",INDEX('M04-S07'!$AH$18:$AH$199,2*(ROWS(AP$211:AP213)-1)+1),""),2),"")</f>
        <v>0</v>
      </c>
      <c r="AQ213" s="9" t="str">
        <f ca="1">IFERROR(ROUND(IF(BB213&lt;&gt;"",INDEX('M04-S07'!$AJ$18:$AJ$199,2*(ROWS(AQ$211:AQ213)-1)+1),""),2),"")</f>
        <v/>
      </c>
      <c r="AR213" s="9" t="str">
        <f t="shared" ca="1" si="34"/>
        <v/>
      </c>
      <c r="AS213" t="str">
        <f ca="1">IFERROR(IF(BB213&lt;&gt;"",INDEX('M04-S07'!$AF$18:$AF$199,2*(ROWS(AS$211:AS213)-1)+1),""),"")</f>
        <v/>
      </c>
      <c r="AT213" s="9" t="str" cm="1">
        <f t="array" aca="1" ref="AT213" ca="1">IFERROR(ROUND(IF(BB213&lt;&gt;"", INDEX('M04-S07'!$AL$18:$AL$199,2*(ROWS(AG$211:AG213)-1)+1), ""),2),"")</f>
        <v/>
      </c>
      <c r="AU213" s="184"/>
      <c r="AV213" s="5" t="str">
        <f ca="1">IFERROR(IF(BB213&lt;&gt;"",ROUND(INDEX('M04-S07'!$AY$18:$AY$199,2*(ROWS(AV$211:AV213)-1)+1),3),""),"")</f>
        <v/>
      </c>
      <c r="AW213" s="5" t="str">
        <f ca="1">IFERROR(IF(BB213&lt;&gt;"",ROUND(INDEX('M04-S07'!$AZ$18:$AZ$199,2*(ROWS(AW$211:AW213)-1)+1),3),""),"")</f>
        <v/>
      </c>
      <c r="AX213" s="184"/>
      <c r="AY213" s="26" t="str">
        <f ca="1">IFERROR(IF(BB213&lt;&gt;"",INDEX('M04-S07'!$AO$18:$AO$199,2*(ROWS(AY$211:AY213)-1)+1),""),"")</f>
        <v/>
      </c>
      <c r="AZ213" s="32">
        <f ca="1">IFERROR(IF(BB213&lt;&gt;"",INDEX('M04-S07'!$BF$18:$BF$199,2*(ROWS(AZ$211:AZ213)-1)+1),""),"")</f>
        <v>0</v>
      </c>
      <c r="BA213" s="32" t="str">
        <f ca="1">IFERROR(IF(BB213&lt;&gt;"",INDEX('M04-S07'!$BG$18:$BG$199,2*(ROWS(BA$211:BA213)-1)+1),""),"")</f>
        <v/>
      </c>
      <c r="BB213" t="str">
        <f ca="1">IFERROR(INDEX('M04-S07'!$BY$18:$BY$199,2*(ROWS(BB$211:BB213)-1)+1),"")</f>
        <v>Submit for Review</v>
      </c>
    </row>
    <row r="214" spans="1:54">
      <c r="A214" s="10">
        <f t="shared" si="31"/>
        <v>0</v>
      </c>
      <c r="B214" t="str">
        <f t="shared" si="32"/>
        <v/>
      </c>
      <c r="C214" t="str" cm="1">
        <f t="array" ref="C214">IFERROR(_xlfn.VALUETOTEXT(INDEX('M04-S07'!$BW$18:$BW$199,2*(ROWS($C$211:C214)-1)+1)),"")</f>
        <v/>
      </c>
      <c r="D214">
        <f>IFERROR(INDEX('M04-S07'!$B$18:$B$199,2*(ROWS(D$211:D214)-1)+1),"")</f>
        <v>4</v>
      </c>
      <c r="E214" s="51" t="str" cm="1">
        <f t="array" ref="E214">IFERROR(_xlfn.VALUETOTEXT(INDEX('M04-S07'!$BX$18:$BX$199,2*(ROWS($E$211:E214)-1)+1)),"")</f>
        <v/>
      </c>
      <c r="F214" t="str" cm="1">
        <f t="array" ref="F214">IF(C214&lt;&gt;"", _xlfn.SWITCH(Program_Banner, "Small Business / Non-Profit", "Hard-To-Reach Business", "Business Energy Savings", "Whole Business Efficiency", ""), "")</f>
        <v/>
      </c>
      <c r="G214" t="s">
        <v>135</v>
      </c>
      <c r="H214" t="str">
        <f>IFERROR(INDEX('M04-S07'!$BC$18:$BC$199,2*(ROWS(H$211:H214)-1)+1),"")</f>
        <v/>
      </c>
      <c r="I214" t="str">
        <f>IFERROR(INDEX('M04-S07'!$BJ$18:$BJ$199,2*(ROWS(I$211:I214)-1)+1),"")</f>
        <v/>
      </c>
      <c r="J214" s="9" t="str">
        <f>IFERROR(INDEX('M04-S07'!$BN$18:$BN$199,2*(ROWS(J$211:J214)-1)+1),"")</f>
        <v/>
      </c>
      <c r="K214" s="9" t="str">
        <f>IFERROR(INDEX('M04-S07'!$BO$18:$BO$199,2*(ROWS(K$211:K214)-1)+1),"")</f>
        <v/>
      </c>
      <c r="L214" s="51" t="str">
        <f>IFERROR(INDEX('M04-S07'!$BD$18:$BD$199,2*(ROWS(L$211:L214)-1)+1),"")</f>
        <v/>
      </c>
      <c r="M214" s="171"/>
      <c r="N214" s="171"/>
      <c r="O214">
        <f>IFERROR(INDEX('M04-S07'!$H$18:$H$199,2*(ROWS(O$211:O214)-1)+1),"")</f>
        <v>0</v>
      </c>
      <c r="P214">
        <f>IFERROR(INDEX('M04-S07'!$N$18:$N$199,2*(ROWS(P$211:P214)-1)+1),"")</f>
        <v>0</v>
      </c>
      <c r="Q214">
        <f>IFERROR(INDEX('M04-S07'!$W$18:$W$199,2*(ROWS(Q$211:Q214)-1)+1),"")</f>
        <v>0</v>
      </c>
      <c r="S214" t="str">
        <f>IFERROR(INDEX('M04-S07'!$AX$18:$AX$199,2*(ROWS(S$211:S214)-1)+1),"")</f>
        <v/>
      </c>
      <c r="T214" s="5" t="str">
        <f>IFERROR(ROUND(INDEX('M04-S07'!$AY$18:$AY$199,2*(ROWS(T$211:T214)-1)+1),3),"")</f>
        <v/>
      </c>
      <c r="U214" s="5" t="str">
        <f>IFERROR(ROUND(INDEX('M04-S07'!$AZ$18:$AZ$199,2*(ROWS(U$211:U214)-1)+1),3),"")</f>
        <v/>
      </c>
      <c r="V214" s="184"/>
      <c r="W214" s="184"/>
      <c r="X214" s="184"/>
      <c r="Y214" s="184"/>
      <c r="Z214" s="184"/>
      <c r="AA214" s="9" t="str" cm="1">
        <f t="array" ref="AA214">IFERROR(ROUND(INDEX('M04-S07'!$AR$18:$AR$199,2*(ROWS(AA$211:AA214)-1)+1), 2),"")</f>
        <v/>
      </c>
      <c r="AB214" s="164"/>
      <c r="AC214" s="9" t="str" cm="1">
        <f t="array" aca="1" ref="AC214" ca="1">IFERROR(ROUND(IF(BB214&lt;&gt;"","",INDEX('M04-S07'!$AH$18:$AH$199,2*(ROWS(AC$211:AC214)-1)+1)),2),"")</f>
        <v/>
      </c>
      <c r="AD214" s="9" t="str" cm="1">
        <f t="array" aca="1" ref="AD214" ca="1">IFERROR(ROUND(IF(BB214&lt;&gt;"","",INDEX('M04-S07'!$AJ$18:$AJ$199,2*(ROWS(AD$211:AD214)-1)+1)),2),"")</f>
        <v/>
      </c>
      <c r="AE214" s="9" t="str">
        <f t="shared" ca="1" si="33"/>
        <v/>
      </c>
      <c r="AF214" t="str">
        <f ca="1">IFERROR(IF(BB214&lt;&gt;"","",INDEX('M04-S07'!$AF$18:$AF$199,2*(ROWS(AG$211:AG214)-1)+1)),"")</f>
        <v/>
      </c>
      <c r="AG214" s="9" t="str" cm="1">
        <f t="array" aca="1" ref="AG214" ca="1">IFERROR(ROUND(IF(BB214&lt;&gt;"","",INDEX('M04-S07'!$AL$18:$AL$199,2*(ROWS(AG$211:AG214)-1)+1)),2),"")</f>
        <v/>
      </c>
      <c r="AH214" s="184"/>
      <c r="AI214" s="191"/>
      <c r="AJ214" s="32" t="str">
        <f ca="1">IFERROR(ROUND(IF(BA214&lt;&gt;"","",INDEX('M04-S07'!$AO$18:$AO$199,2*(ROWS(AJ$211:AJ214)-1)+1)),4),"")</f>
        <v/>
      </c>
      <c r="AK214" s="32">
        <f ca="1">IFERROR(ROUND(IF(BA214&lt;&gt;"","",INDEX('M04-S07'!$BF$18:$BF$199,2*(ROWS(AK$211:AK214)-1)+1)),4),"")</f>
        <v>0</v>
      </c>
      <c r="AL214" s="32" t="str">
        <f ca="1">IFERROR(ROUND(IF(BA214&lt;&gt;"","",INDEX('M04-S07'!$BG$18:$BG$199,2*(ROWS(AL$211:AL214)-1)+1)),4),"")</f>
        <v/>
      </c>
      <c r="AM214" s="32" t="str" cm="1">
        <f t="array" ref="AM214">IFERROR(ROUND(INDEX('M04-S07'!$BA$18:$BA$199,2*(ROWS(AM$211:AM214)-1)+1),4),"")</f>
        <v/>
      </c>
      <c r="AN214" s="32" t="str" cm="1">
        <f t="array" ref="AN214">IFERROR(ROUND(INDEX('M04-S07'!$BB$18:$BB$199,2*(ROWS(AN$211:AN214)-1)+1),4),"")</f>
        <v/>
      </c>
      <c r="AO214" s="32"/>
      <c r="AP214" s="9">
        <f ca="1">IFERROR(ROUND(IF(BB214&lt;&gt;"",INDEX('M04-S07'!$AH$18:$AH$199,2*(ROWS(AP$211:AP214)-1)+1),""),2),"")</f>
        <v>0</v>
      </c>
      <c r="AQ214" s="9" t="str">
        <f ca="1">IFERROR(ROUND(IF(BB214&lt;&gt;"",INDEX('M04-S07'!$AJ$18:$AJ$199,2*(ROWS(AQ$211:AQ214)-1)+1),""),2),"")</f>
        <v/>
      </c>
      <c r="AR214" s="9" t="str">
        <f t="shared" ca="1" si="34"/>
        <v/>
      </c>
      <c r="AS214" t="str">
        <f ca="1">IFERROR(IF(BB214&lt;&gt;"",INDEX('M04-S07'!$AF$18:$AF$199,2*(ROWS(AS$211:AS214)-1)+1),""),"")</f>
        <v/>
      </c>
      <c r="AT214" s="9" t="str" cm="1">
        <f t="array" aca="1" ref="AT214" ca="1">IFERROR(ROUND(IF(BB214&lt;&gt;"", INDEX('M04-S07'!$AL$18:$AL$199,2*(ROWS(AG$211:AG214)-1)+1), ""),2),"")</f>
        <v/>
      </c>
      <c r="AU214" s="184"/>
      <c r="AV214" s="5" t="str">
        <f ca="1">IFERROR(IF(BB214&lt;&gt;"",ROUND(INDEX('M04-S07'!$AY$18:$AY$199,2*(ROWS(AV$211:AV214)-1)+1),3),""),"")</f>
        <v/>
      </c>
      <c r="AW214" s="5" t="str">
        <f ca="1">IFERROR(IF(BB214&lt;&gt;"",ROUND(INDEX('M04-S07'!$AZ$18:$AZ$199,2*(ROWS(AW$211:AW214)-1)+1),3),""),"")</f>
        <v/>
      </c>
      <c r="AX214" s="184"/>
      <c r="AY214" s="26" t="str">
        <f ca="1">IFERROR(IF(BB214&lt;&gt;"",INDEX('M04-S07'!$AO$18:$AO$199,2*(ROWS(AY$211:AY214)-1)+1),""),"")</f>
        <v/>
      </c>
      <c r="AZ214" s="32">
        <f ca="1">IFERROR(IF(BB214&lt;&gt;"",INDEX('M04-S07'!$BF$18:$BF$199,2*(ROWS(AZ$211:AZ214)-1)+1),""),"")</f>
        <v>0</v>
      </c>
      <c r="BA214" s="32" t="str">
        <f ca="1">IFERROR(IF(BB214&lt;&gt;"",INDEX('M04-S07'!$BG$18:$BG$199,2*(ROWS(BA$211:BA214)-1)+1),""),"")</f>
        <v/>
      </c>
      <c r="BB214" t="str">
        <f ca="1">IFERROR(INDEX('M04-S07'!$BY$18:$BY$199,2*(ROWS(BB$211:BB214)-1)+1),"")</f>
        <v>Submit for Review</v>
      </c>
    </row>
    <row r="215" spans="1:54">
      <c r="A215" s="10">
        <f t="shared" si="31"/>
        <v>0</v>
      </c>
      <c r="B215" t="str">
        <f t="shared" si="32"/>
        <v/>
      </c>
      <c r="C215" t="str" cm="1">
        <f t="array" ref="C215">IFERROR(_xlfn.VALUETOTEXT(INDEX('M04-S07'!$BW$18:$BW$199,2*(ROWS($C$211:C215)-1)+1)),"")</f>
        <v/>
      </c>
      <c r="D215">
        <f>IFERROR(INDEX('M04-S07'!$B$18:$B$199,2*(ROWS(D$211:D215)-1)+1),"")</f>
        <v>5</v>
      </c>
      <c r="E215" s="51" t="str" cm="1">
        <f t="array" ref="E215">IFERROR(_xlfn.VALUETOTEXT(INDEX('M04-S07'!$BX$18:$BX$199,2*(ROWS($E$211:E215)-1)+1)),"")</f>
        <v/>
      </c>
      <c r="F215" t="str" cm="1">
        <f t="array" ref="F215">IF(C215&lt;&gt;"", _xlfn.SWITCH(Program_Banner, "Small Business / Non-Profit", "Hard-To-Reach Business", "Business Energy Savings", "Whole Business Efficiency", ""), "")</f>
        <v/>
      </c>
      <c r="G215" t="s">
        <v>135</v>
      </c>
      <c r="H215" t="str">
        <f>IFERROR(INDEX('M04-S07'!$BC$18:$BC$199,2*(ROWS(H$211:H215)-1)+1),"")</f>
        <v/>
      </c>
      <c r="I215" t="str">
        <f>IFERROR(INDEX('M04-S07'!$BJ$18:$BJ$199,2*(ROWS(I$211:I215)-1)+1),"")</f>
        <v/>
      </c>
      <c r="J215" s="9" t="str">
        <f>IFERROR(INDEX('M04-S07'!$BN$18:$BN$199,2*(ROWS(J$211:J215)-1)+1),"")</f>
        <v/>
      </c>
      <c r="K215" s="9" t="str">
        <f>IFERROR(INDEX('M04-S07'!$BO$18:$BO$199,2*(ROWS(K$211:K215)-1)+1),"")</f>
        <v/>
      </c>
      <c r="L215" s="51" t="str">
        <f>IFERROR(INDEX('M04-S07'!$BD$18:$BD$199,2*(ROWS(L$211:L215)-1)+1),"")</f>
        <v/>
      </c>
      <c r="M215" s="171"/>
      <c r="N215" s="171"/>
      <c r="O215">
        <f>IFERROR(INDEX('M04-S07'!$H$18:$H$199,2*(ROWS(O$211:O215)-1)+1),"")</f>
        <v>0</v>
      </c>
      <c r="P215">
        <f>IFERROR(INDEX('M04-S07'!$N$18:$N$199,2*(ROWS(P$211:P215)-1)+1),"")</f>
        <v>0</v>
      </c>
      <c r="Q215">
        <f>IFERROR(INDEX('M04-S07'!$W$18:$W$199,2*(ROWS(Q$211:Q215)-1)+1),"")</f>
        <v>0</v>
      </c>
      <c r="S215" t="str">
        <f>IFERROR(INDEX('M04-S07'!$AX$18:$AX$199,2*(ROWS(S$211:S215)-1)+1),"")</f>
        <v/>
      </c>
      <c r="T215" s="5" t="str">
        <f>IFERROR(ROUND(INDEX('M04-S07'!$AY$18:$AY$199,2*(ROWS(T$211:T215)-1)+1),3),"")</f>
        <v/>
      </c>
      <c r="U215" s="5" t="str">
        <f>IFERROR(ROUND(INDEX('M04-S07'!$AZ$18:$AZ$199,2*(ROWS(U$211:U215)-1)+1),3),"")</f>
        <v/>
      </c>
      <c r="V215" s="184"/>
      <c r="W215" s="184"/>
      <c r="X215" s="184"/>
      <c r="Y215" s="184"/>
      <c r="Z215" s="184"/>
      <c r="AA215" s="9" t="str" cm="1">
        <f t="array" ref="AA215">IFERROR(ROUND(INDEX('M04-S07'!$AR$18:$AR$199,2*(ROWS(AA$211:AA215)-1)+1), 2),"")</f>
        <v/>
      </c>
      <c r="AB215" s="164"/>
      <c r="AC215" s="9" t="str" cm="1">
        <f t="array" aca="1" ref="AC215" ca="1">IFERROR(ROUND(IF(BB215&lt;&gt;"","",INDEX('M04-S07'!$AH$18:$AH$199,2*(ROWS(AC$211:AC215)-1)+1)),2),"")</f>
        <v/>
      </c>
      <c r="AD215" s="9" t="str" cm="1">
        <f t="array" aca="1" ref="AD215" ca="1">IFERROR(ROUND(IF(BB215&lt;&gt;"","",INDEX('M04-S07'!$AJ$18:$AJ$199,2*(ROWS(AD$211:AD215)-1)+1)),2),"")</f>
        <v/>
      </c>
      <c r="AE215" s="9" t="str">
        <f t="shared" ca="1" si="33"/>
        <v/>
      </c>
      <c r="AF215" t="str">
        <f ca="1">IFERROR(IF(BB215&lt;&gt;"","",INDEX('M04-S07'!$AF$18:$AF$199,2*(ROWS(AG$211:AG215)-1)+1)),"")</f>
        <v/>
      </c>
      <c r="AG215" s="9" t="str" cm="1">
        <f t="array" aca="1" ref="AG215" ca="1">IFERROR(ROUND(IF(BB215&lt;&gt;"","",INDEX('M04-S07'!$AL$18:$AL$199,2*(ROWS(AG$211:AG215)-1)+1)),2),"")</f>
        <v/>
      </c>
      <c r="AH215" s="184"/>
      <c r="AI215" s="191"/>
      <c r="AJ215" s="32" t="str">
        <f ca="1">IFERROR(ROUND(IF(BA215&lt;&gt;"","",INDEX('M04-S07'!$AO$18:$AO$199,2*(ROWS(AJ$211:AJ215)-1)+1)),4),"")</f>
        <v/>
      </c>
      <c r="AK215" s="32">
        <f ca="1">IFERROR(ROUND(IF(BA215&lt;&gt;"","",INDEX('M04-S07'!$BF$18:$BF$199,2*(ROWS(AK$211:AK215)-1)+1)),4),"")</f>
        <v>0</v>
      </c>
      <c r="AL215" s="32" t="str">
        <f ca="1">IFERROR(ROUND(IF(BA215&lt;&gt;"","",INDEX('M04-S07'!$BG$18:$BG$199,2*(ROWS(AL$211:AL215)-1)+1)),4),"")</f>
        <v/>
      </c>
      <c r="AM215" s="32" t="str" cm="1">
        <f t="array" ref="AM215">IFERROR(ROUND(INDEX('M04-S07'!$BA$18:$BA$199,2*(ROWS(AM$211:AM215)-1)+1),4),"")</f>
        <v/>
      </c>
      <c r="AN215" s="32" t="str" cm="1">
        <f t="array" ref="AN215">IFERROR(ROUND(INDEX('M04-S07'!$BB$18:$BB$199,2*(ROWS(AN$211:AN215)-1)+1),4),"")</f>
        <v/>
      </c>
      <c r="AO215" s="32"/>
      <c r="AP215" s="9">
        <f ca="1">IFERROR(ROUND(IF(BB215&lt;&gt;"",INDEX('M04-S07'!$AH$18:$AH$199,2*(ROWS(AP$211:AP215)-1)+1),""),2),"")</f>
        <v>0</v>
      </c>
      <c r="AQ215" s="9" t="str">
        <f ca="1">IFERROR(ROUND(IF(BB215&lt;&gt;"",INDEX('M04-S07'!$AJ$18:$AJ$199,2*(ROWS(AQ$211:AQ215)-1)+1),""),2),"")</f>
        <v/>
      </c>
      <c r="AR215" s="9" t="str">
        <f t="shared" ca="1" si="34"/>
        <v/>
      </c>
      <c r="AS215" t="str">
        <f ca="1">IFERROR(IF(BB215&lt;&gt;"",INDEX('M04-S07'!$AF$18:$AF$199,2*(ROWS(AS$211:AS215)-1)+1),""),"")</f>
        <v/>
      </c>
      <c r="AT215" s="9" t="str" cm="1">
        <f t="array" aca="1" ref="AT215" ca="1">IFERROR(ROUND(IF(BB215&lt;&gt;"", INDEX('M04-S07'!$AL$18:$AL$199,2*(ROWS(AG$211:AG215)-1)+1), ""),2),"")</f>
        <v/>
      </c>
      <c r="AU215" s="184"/>
      <c r="AV215" s="5" t="str">
        <f ca="1">IFERROR(IF(BB215&lt;&gt;"",ROUND(INDEX('M04-S07'!$AY$18:$AY$199,2*(ROWS(AV$211:AV215)-1)+1),3),""),"")</f>
        <v/>
      </c>
      <c r="AW215" s="5" t="str">
        <f ca="1">IFERROR(IF(BB215&lt;&gt;"",ROUND(INDEX('M04-S07'!$AZ$18:$AZ$199,2*(ROWS(AW$211:AW215)-1)+1),3),""),"")</f>
        <v/>
      </c>
      <c r="AX215" s="184"/>
      <c r="AY215" s="26" t="str">
        <f ca="1">IFERROR(IF(BB215&lt;&gt;"",INDEX('M04-S07'!$AO$18:$AO$199,2*(ROWS(AY$211:AY215)-1)+1),""),"")</f>
        <v/>
      </c>
      <c r="AZ215" s="32">
        <f ca="1">IFERROR(IF(BB215&lt;&gt;"",INDEX('M04-S07'!$BF$18:$BF$199,2*(ROWS(AZ$211:AZ215)-1)+1),""),"")</f>
        <v>0</v>
      </c>
      <c r="BA215" s="32" t="str">
        <f ca="1">IFERROR(IF(BB215&lt;&gt;"",INDEX('M04-S07'!$BG$18:$BG$199,2*(ROWS(BA$211:BA215)-1)+1),""),"")</f>
        <v/>
      </c>
      <c r="BB215" t="str">
        <f ca="1">IFERROR(INDEX('M04-S07'!$BY$18:$BY$199,2*(ROWS(BB$211:BB215)-1)+1),"")</f>
        <v>Submit for Review</v>
      </c>
    </row>
    <row r="216" spans="1:54">
      <c r="A216" s="10">
        <f t="shared" si="31"/>
        <v>0</v>
      </c>
      <c r="B216" t="str">
        <f t="shared" si="32"/>
        <v/>
      </c>
      <c r="C216" t="str" cm="1">
        <f t="array" ref="C216">IFERROR(_xlfn.VALUETOTEXT(INDEX('M04-S07'!$BW$18:$BW$199,2*(ROWS($C$211:C216)-1)+1)),"")</f>
        <v/>
      </c>
      <c r="D216">
        <f>IFERROR(INDEX('M04-S07'!$B$18:$B$199,2*(ROWS(D$211:D216)-1)+1),"")</f>
        <v>6</v>
      </c>
      <c r="E216" s="51" t="str" cm="1">
        <f t="array" ref="E216">IFERROR(_xlfn.VALUETOTEXT(INDEX('M04-S07'!$BX$18:$BX$199,2*(ROWS($E$211:E216)-1)+1)),"")</f>
        <v/>
      </c>
      <c r="F216" t="str" cm="1">
        <f t="array" ref="F216">IF(C216&lt;&gt;"", _xlfn.SWITCH(Program_Banner, "Small Business / Non-Profit", "Hard-To-Reach Business", "Business Energy Savings", "Whole Business Efficiency", ""), "")</f>
        <v/>
      </c>
      <c r="G216" t="s">
        <v>135</v>
      </c>
      <c r="H216" t="str">
        <f>IFERROR(INDEX('M04-S07'!$BC$18:$BC$199,2*(ROWS(H$211:H216)-1)+1),"")</f>
        <v/>
      </c>
      <c r="I216" t="str">
        <f>IFERROR(INDEX('M04-S07'!$BJ$18:$BJ$199,2*(ROWS(I$211:I216)-1)+1),"")</f>
        <v/>
      </c>
      <c r="J216" s="9" t="str">
        <f>IFERROR(INDEX('M04-S07'!$BN$18:$BN$199,2*(ROWS(J$211:J216)-1)+1),"")</f>
        <v/>
      </c>
      <c r="K216" s="9" t="str">
        <f>IFERROR(INDEX('M04-S07'!$BO$18:$BO$199,2*(ROWS(K$211:K216)-1)+1),"")</f>
        <v/>
      </c>
      <c r="L216" s="51" t="str">
        <f>IFERROR(INDEX('M04-S07'!$BD$18:$BD$199,2*(ROWS(L$211:L216)-1)+1),"")</f>
        <v/>
      </c>
      <c r="M216" s="171"/>
      <c r="N216" s="171"/>
      <c r="O216">
        <f>IFERROR(INDEX('M04-S07'!$H$18:$H$199,2*(ROWS(O$211:O216)-1)+1),"")</f>
        <v>0</v>
      </c>
      <c r="P216">
        <f>IFERROR(INDEX('M04-S07'!$N$18:$N$199,2*(ROWS(P$211:P216)-1)+1),"")</f>
        <v>0</v>
      </c>
      <c r="Q216">
        <f>IFERROR(INDEX('M04-S07'!$W$18:$W$199,2*(ROWS(Q$211:Q216)-1)+1),"")</f>
        <v>0</v>
      </c>
      <c r="S216" t="str">
        <f>IFERROR(INDEX('M04-S07'!$AX$18:$AX$199,2*(ROWS(S$211:S216)-1)+1),"")</f>
        <v/>
      </c>
      <c r="T216" s="5" t="str">
        <f>IFERROR(ROUND(INDEX('M04-S07'!$AY$18:$AY$199,2*(ROWS(T$211:T216)-1)+1),3),"")</f>
        <v/>
      </c>
      <c r="U216" s="5" t="str">
        <f>IFERROR(ROUND(INDEX('M04-S07'!$AZ$18:$AZ$199,2*(ROWS(U$211:U216)-1)+1),3),"")</f>
        <v/>
      </c>
      <c r="V216" s="184"/>
      <c r="W216" s="184"/>
      <c r="X216" s="184"/>
      <c r="Y216" s="184"/>
      <c r="Z216" s="184"/>
      <c r="AA216" s="9" t="str" cm="1">
        <f t="array" ref="AA216">IFERROR(ROUND(INDEX('M04-S07'!$AR$18:$AR$199,2*(ROWS(AA$211:AA216)-1)+1), 2),"")</f>
        <v/>
      </c>
      <c r="AB216" s="164"/>
      <c r="AC216" s="9" t="str" cm="1">
        <f t="array" aca="1" ref="AC216" ca="1">IFERROR(ROUND(IF(BB216&lt;&gt;"","",INDEX('M04-S07'!$AH$18:$AH$199,2*(ROWS(AC$211:AC216)-1)+1)),2),"")</f>
        <v/>
      </c>
      <c r="AD216" s="9" t="str" cm="1">
        <f t="array" aca="1" ref="AD216" ca="1">IFERROR(ROUND(IF(BB216&lt;&gt;"","",INDEX('M04-S07'!$AJ$18:$AJ$199,2*(ROWS(AD$211:AD216)-1)+1)),2),"")</f>
        <v/>
      </c>
      <c r="AE216" s="9" t="str">
        <f t="shared" ca="1" si="33"/>
        <v/>
      </c>
      <c r="AF216" t="str">
        <f ca="1">IFERROR(IF(BB216&lt;&gt;"","",INDEX('M04-S07'!$AF$18:$AF$199,2*(ROWS(AG$211:AG216)-1)+1)),"")</f>
        <v/>
      </c>
      <c r="AG216" s="9" t="str" cm="1">
        <f t="array" aca="1" ref="AG216" ca="1">IFERROR(ROUND(IF(BB216&lt;&gt;"","",INDEX('M04-S07'!$AL$18:$AL$199,2*(ROWS(AG$211:AG216)-1)+1)),2),"")</f>
        <v/>
      </c>
      <c r="AH216" s="184"/>
      <c r="AI216" s="191"/>
      <c r="AJ216" s="32" t="str">
        <f ca="1">IFERROR(ROUND(IF(BA216&lt;&gt;"","",INDEX('M04-S07'!$AO$18:$AO$199,2*(ROWS(AJ$211:AJ216)-1)+1)),4),"")</f>
        <v/>
      </c>
      <c r="AK216" s="32">
        <f ca="1">IFERROR(ROUND(IF(BA216&lt;&gt;"","",INDEX('M04-S07'!$BF$18:$BF$199,2*(ROWS(AK$211:AK216)-1)+1)),4),"")</f>
        <v>0</v>
      </c>
      <c r="AL216" s="32" t="str">
        <f ca="1">IFERROR(ROUND(IF(BA216&lt;&gt;"","",INDEX('M04-S07'!$BG$18:$BG$199,2*(ROWS(AL$211:AL216)-1)+1)),4),"")</f>
        <v/>
      </c>
      <c r="AM216" s="32" t="str" cm="1">
        <f t="array" ref="AM216">IFERROR(ROUND(INDEX('M04-S07'!$BA$18:$BA$199,2*(ROWS(AM$211:AM216)-1)+1),4),"")</f>
        <v/>
      </c>
      <c r="AN216" s="32" t="str" cm="1">
        <f t="array" ref="AN216">IFERROR(ROUND(INDEX('M04-S07'!$BB$18:$BB$199,2*(ROWS(AN$211:AN216)-1)+1),4),"")</f>
        <v/>
      </c>
      <c r="AO216" s="32"/>
      <c r="AP216" s="9">
        <f ca="1">IFERROR(ROUND(IF(BB216&lt;&gt;"",INDEX('M04-S07'!$AH$18:$AH$199,2*(ROWS(AP$211:AP216)-1)+1),""),2),"")</f>
        <v>0</v>
      </c>
      <c r="AQ216" s="9" t="str">
        <f ca="1">IFERROR(ROUND(IF(BB216&lt;&gt;"",INDEX('M04-S07'!$AJ$18:$AJ$199,2*(ROWS(AQ$211:AQ216)-1)+1),""),2),"")</f>
        <v/>
      </c>
      <c r="AR216" s="9" t="str">
        <f t="shared" ca="1" si="34"/>
        <v/>
      </c>
      <c r="AS216" t="str">
        <f ca="1">IFERROR(IF(BB216&lt;&gt;"",INDEX('M04-S07'!$AF$18:$AF$199,2*(ROWS(AS$211:AS216)-1)+1),""),"")</f>
        <v/>
      </c>
      <c r="AT216" s="9" t="str" cm="1">
        <f t="array" aca="1" ref="AT216" ca="1">IFERROR(ROUND(IF(BB216&lt;&gt;"", INDEX('M04-S07'!$AL$18:$AL$199,2*(ROWS(AG$211:AG216)-1)+1), ""),2),"")</f>
        <v/>
      </c>
      <c r="AU216" s="184"/>
      <c r="AV216" s="5" t="str">
        <f ca="1">IFERROR(IF(BB216&lt;&gt;"",ROUND(INDEX('M04-S07'!$AY$18:$AY$199,2*(ROWS(AV$211:AV216)-1)+1),3),""),"")</f>
        <v/>
      </c>
      <c r="AW216" s="5" t="str">
        <f ca="1">IFERROR(IF(BB216&lt;&gt;"",ROUND(INDEX('M04-S07'!$AZ$18:$AZ$199,2*(ROWS(AW$211:AW216)-1)+1),3),""),"")</f>
        <v/>
      </c>
      <c r="AX216" s="184"/>
      <c r="AY216" s="26" t="str">
        <f ca="1">IFERROR(IF(BB216&lt;&gt;"",INDEX('M04-S07'!$AO$18:$AO$199,2*(ROWS(AY$211:AY216)-1)+1),""),"")</f>
        <v/>
      </c>
      <c r="AZ216" s="32">
        <f ca="1">IFERROR(IF(BB216&lt;&gt;"",INDEX('M04-S07'!$BF$18:$BF$199,2*(ROWS(AZ$211:AZ216)-1)+1),""),"")</f>
        <v>0</v>
      </c>
      <c r="BA216" s="32" t="str">
        <f ca="1">IFERROR(IF(BB216&lt;&gt;"",INDEX('M04-S07'!$BG$18:$BG$199,2*(ROWS(BA$211:BA216)-1)+1),""),"")</f>
        <v/>
      </c>
      <c r="BB216" t="str">
        <f ca="1">IFERROR(INDEX('M04-S07'!$BY$18:$BY$199,2*(ROWS(BB$211:BB216)-1)+1),"")</f>
        <v>Submit for Review</v>
      </c>
    </row>
    <row r="217" spans="1:54">
      <c r="A217" s="10">
        <f t="shared" si="31"/>
        <v>0</v>
      </c>
      <c r="B217" t="str">
        <f t="shared" si="32"/>
        <v/>
      </c>
      <c r="C217" t="str" cm="1">
        <f t="array" ref="C217">IFERROR(_xlfn.VALUETOTEXT(INDEX('M04-S07'!$BW$18:$BW$199,2*(ROWS($C$211:C217)-1)+1)),"")</f>
        <v/>
      </c>
      <c r="D217">
        <f>IFERROR(INDEX('M04-S07'!$B$18:$B$199,2*(ROWS(D$211:D217)-1)+1),"")</f>
        <v>7</v>
      </c>
      <c r="E217" s="51" t="str" cm="1">
        <f t="array" ref="E217">IFERROR(_xlfn.VALUETOTEXT(INDEX('M04-S07'!$BX$18:$BX$199,2*(ROWS($E$211:E217)-1)+1)),"")</f>
        <v/>
      </c>
      <c r="F217" t="str" cm="1">
        <f t="array" ref="F217">IF(C217&lt;&gt;"", _xlfn.SWITCH(Program_Banner, "Small Business / Non-Profit", "Hard-To-Reach Business", "Business Energy Savings", "Whole Business Efficiency", ""), "")</f>
        <v/>
      </c>
      <c r="G217" t="s">
        <v>135</v>
      </c>
      <c r="H217" t="str">
        <f>IFERROR(INDEX('M04-S07'!$BC$18:$BC$199,2*(ROWS(H$211:H217)-1)+1),"")</f>
        <v/>
      </c>
      <c r="I217" t="str">
        <f>IFERROR(INDEX('M04-S07'!$BJ$18:$BJ$199,2*(ROWS(I$211:I217)-1)+1),"")</f>
        <v/>
      </c>
      <c r="J217" s="9" t="str">
        <f>IFERROR(INDEX('M04-S07'!$BN$18:$BN$199,2*(ROWS(J$211:J217)-1)+1),"")</f>
        <v/>
      </c>
      <c r="K217" s="9" t="str">
        <f>IFERROR(INDEX('M04-S07'!$BO$18:$BO$199,2*(ROWS(K$211:K217)-1)+1),"")</f>
        <v/>
      </c>
      <c r="L217" s="51" t="str">
        <f>IFERROR(INDEX('M04-S07'!$BD$18:$BD$199,2*(ROWS(L$211:L217)-1)+1),"")</f>
        <v/>
      </c>
      <c r="M217" s="171"/>
      <c r="N217" s="171"/>
      <c r="O217">
        <f>IFERROR(INDEX('M04-S07'!$H$18:$H$199,2*(ROWS(O$211:O217)-1)+1),"")</f>
        <v>0</v>
      </c>
      <c r="P217">
        <f>IFERROR(INDEX('M04-S07'!$N$18:$N$199,2*(ROWS(P$211:P217)-1)+1),"")</f>
        <v>0</v>
      </c>
      <c r="Q217">
        <f>IFERROR(INDEX('M04-S07'!$W$18:$W$199,2*(ROWS(Q$211:Q217)-1)+1),"")</f>
        <v>0</v>
      </c>
      <c r="S217" t="str">
        <f>IFERROR(INDEX('M04-S07'!$AX$18:$AX$199,2*(ROWS(S$211:S217)-1)+1),"")</f>
        <v/>
      </c>
      <c r="T217" s="5" t="str">
        <f>IFERROR(ROUND(INDEX('M04-S07'!$AY$18:$AY$199,2*(ROWS(T$211:T217)-1)+1),3),"")</f>
        <v/>
      </c>
      <c r="U217" s="5" t="str">
        <f>IFERROR(ROUND(INDEX('M04-S07'!$AZ$18:$AZ$199,2*(ROWS(U$211:U217)-1)+1),3),"")</f>
        <v/>
      </c>
      <c r="V217" s="184"/>
      <c r="W217" s="184"/>
      <c r="X217" s="184"/>
      <c r="Y217" s="184"/>
      <c r="Z217" s="184"/>
      <c r="AA217" s="9" t="str" cm="1">
        <f t="array" ref="AA217">IFERROR(ROUND(INDEX('M04-S07'!$AR$18:$AR$199,2*(ROWS(AA$211:AA217)-1)+1), 2),"")</f>
        <v/>
      </c>
      <c r="AB217" s="164"/>
      <c r="AC217" s="9" t="str" cm="1">
        <f t="array" aca="1" ref="AC217" ca="1">IFERROR(ROUND(IF(BB217&lt;&gt;"","",INDEX('M04-S07'!$AH$18:$AH$199,2*(ROWS(AC$211:AC217)-1)+1)),2),"")</f>
        <v/>
      </c>
      <c r="AD217" s="9" t="str" cm="1">
        <f t="array" aca="1" ref="AD217" ca="1">IFERROR(ROUND(IF(BB217&lt;&gt;"","",INDEX('M04-S07'!$AJ$18:$AJ$199,2*(ROWS(AD$211:AD217)-1)+1)),2),"")</f>
        <v/>
      </c>
      <c r="AE217" s="9" t="str">
        <f t="shared" ca="1" si="33"/>
        <v/>
      </c>
      <c r="AF217" t="str">
        <f ca="1">IFERROR(IF(BB217&lt;&gt;"","",INDEX('M04-S07'!$AF$18:$AF$199,2*(ROWS(AG$211:AG217)-1)+1)),"")</f>
        <v/>
      </c>
      <c r="AG217" s="9" t="str" cm="1">
        <f t="array" aca="1" ref="AG217" ca="1">IFERROR(ROUND(IF(BB217&lt;&gt;"","",INDEX('M04-S07'!$AL$18:$AL$199,2*(ROWS(AG$211:AG217)-1)+1)),2),"")</f>
        <v/>
      </c>
      <c r="AH217" s="184"/>
      <c r="AI217" s="191"/>
      <c r="AJ217" s="32" t="str">
        <f ca="1">IFERROR(ROUND(IF(BA217&lt;&gt;"","",INDEX('M04-S07'!$AO$18:$AO$199,2*(ROWS(AJ$211:AJ217)-1)+1)),4),"")</f>
        <v/>
      </c>
      <c r="AK217" s="32">
        <f ca="1">IFERROR(ROUND(IF(BA217&lt;&gt;"","",INDEX('M04-S07'!$BF$18:$BF$199,2*(ROWS(AK$211:AK217)-1)+1)),4),"")</f>
        <v>0</v>
      </c>
      <c r="AL217" s="32" t="str">
        <f ca="1">IFERROR(ROUND(IF(BA217&lt;&gt;"","",INDEX('M04-S07'!$BG$18:$BG$199,2*(ROWS(AL$211:AL217)-1)+1)),4),"")</f>
        <v/>
      </c>
      <c r="AM217" s="32" t="str" cm="1">
        <f t="array" ref="AM217">IFERROR(ROUND(INDEX('M04-S07'!$BA$18:$BA$199,2*(ROWS(AM$211:AM217)-1)+1),4),"")</f>
        <v/>
      </c>
      <c r="AN217" s="32" t="str" cm="1">
        <f t="array" ref="AN217">IFERROR(ROUND(INDEX('M04-S07'!$BB$18:$BB$199,2*(ROWS(AN$211:AN217)-1)+1),4),"")</f>
        <v/>
      </c>
      <c r="AO217" s="32"/>
      <c r="AP217" s="9">
        <f ca="1">IFERROR(ROUND(IF(BB217&lt;&gt;"",INDEX('M04-S07'!$AH$18:$AH$199,2*(ROWS(AP$211:AP217)-1)+1),""),2),"")</f>
        <v>0</v>
      </c>
      <c r="AQ217" s="9" t="str">
        <f ca="1">IFERROR(ROUND(IF(BB217&lt;&gt;"",INDEX('M04-S07'!$AJ$18:$AJ$199,2*(ROWS(AQ$211:AQ217)-1)+1),""),2),"")</f>
        <v/>
      </c>
      <c r="AR217" s="9" t="str">
        <f t="shared" ca="1" si="34"/>
        <v/>
      </c>
      <c r="AS217" t="str">
        <f ca="1">IFERROR(IF(BB217&lt;&gt;"",INDEX('M04-S07'!$AF$18:$AF$199,2*(ROWS(AS$211:AS217)-1)+1),""),"")</f>
        <v/>
      </c>
      <c r="AT217" s="9" t="str" cm="1">
        <f t="array" aca="1" ref="AT217" ca="1">IFERROR(ROUND(IF(BB217&lt;&gt;"", INDEX('M04-S07'!$AL$18:$AL$199,2*(ROWS(AG$211:AG217)-1)+1), ""),2),"")</f>
        <v/>
      </c>
      <c r="AU217" s="184"/>
      <c r="AV217" s="5" t="str">
        <f ca="1">IFERROR(IF(BB217&lt;&gt;"",ROUND(INDEX('M04-S07'!$AY$18:$AY$199,2*(ROWS(AV$211:AV217)-1)+1),3),""),"")</f>
        <v/>
      </c>
      <c r="AW217" s="5" t="str">
        <f ca="1">IFERROR(IF(BB217&lt;&gt;"",ROUND(INDEX('M04-S07'!$AZ$18:$AZ$199,2*(ROWS(AW$211:AW217)-1)+1),3),""),"")</f>
        <v/>
      </c>
      <c r="AX217" s="184"/>
      <c r="AY217" s="26" t="str">
        <f ca="1">IFERROR(IF(BB217&lt;&gt;"",INDEX('M04-S07'!$AO$18:$AO$199,2*(ROWS(AY$211:AY217)-1)+1),""),"")</f>
        <v/>
      </c>
      <c r="AZ217" s="32">
        <f ca="1">IFERROR(IF(BB217&lt;&gt;"",INDEX('M04-S07'!$BF$18:$BF$199,2*(ROWS(AZ$211:AZ217)-1)+1),""),"")</f>
        <v>0</v>
      </c>
      <c r="BA217" s="32" t="str">
        <f ca="1">IFERROR(IF(BB217&lt;&gt;"",INDEX('M04-S07'!$BG$18:$BG$199,2*(ROWS(BA$211:BA217)-1)+1),""),"")</f>
        <v/>
      </c>
      <c r="BB217" t="str">
        <f ca="1">IFERROR(INDEX('M04-S07'!$BY$18:$BY$199,2*(ROWS(BB$211:BB217)-1)+1),"")</f>
        <v>Submit for Review</v>
      </c>
    </row>
    <row r="218" spans="1:54">
      <c r="A218" s="10">
        <f t="shared" si="31"/>
        <v>0</v>
      </c>
      <c r="B218" t="str">
        <f t="shared" si="32"/>
        <v/>
      </c>
      <c r="C218" t="str" cm="1">
        <f t="array" ref="C218">IFERROR(_xlfn.VALUETOTEXT(INDEX('M04-S07'!$BW$18:$BW$199,2*(ROWS($C$211:C218)-1)+1)),"")</f>
        <v/>
      </c>
      <c r="D218">
        <f>IFERROR(INDEX('M04-S07'!$B$18:$B$199,2*(ROWS(D$211:D218)-1)+1),"")</f>
        <v>8</v>
      </c>
      <c r="E218" s="51" t="str" cm="1">
        <f t="array" ref="E218">IFERROR(_xlfn.VALUETOTEXT(INDEX('M04-S07'!$BX$18:$BX$199,2*(ROWS($E$211:E218)-1)+1)),"")</f>
        <v/>
      </c>
      <c r="F218" t="str" cm="1">
        <f t="array" ref="F218">IF(C218&lt;&gt;"", _xlfn.SWITCH(Program_Banner, "Small Business / Non-Profit", "Hard-To-Reach Business", "Business Energy Savings", "Whole Business Efficiency", ""), "")</f>
        <v/>
      </c>
      <c r="G218" t="s">
        <v>135</v>
      </c>
      <c r="H218" t="str">
        <f>IFERROR(INDEX('M04-S07'!$BC$18:$BC$199,2*(ROWS(H$211:H218)-1)+1),"")</f>
        <v/>
      </c>
      <c r="I218" t="str">
        <f>IFERROR(INDEX('M04-S07'!$BJ$18:$BJ$199,2*(ROWS(I$211:I218)-1)+1),"")</f>
        <v/>
      </c>
      <c r="J218" s="9" t="str">
        <f>IFERROR(INDEX('M04-S07'!$BN$18:$BN$199,2*(ROWS(J$211:J218)-1)+1),"")</f>
        <v/>
      </c>
      <c r="K218" s="9" t="str">
        <f>IFERROR(INDEX('M04-S07'!$BO$18:$BO$199,2*(ROWS(K$211:K218)-1)+1),"")</f>
        <v/>
      </c>
      <c r="L218" s="51" t="str">
        <f>IFERROR(INDEX('M04-S07'!$BD$18:$BD$199,2*(ROWS(L$211:L218)-1)+1),"")</f>
        <v/>
      </c>
      <c r="M218" s="171"/>
      <c r="N218" s="171"/>
      <c r="O218">
        <f>IFERROR(INDEX('M04-S07'!$H$18:$H$199,2*(ROWS(O$211:O218)-1)+1),"")</f>
        <v>0</v>
      </c>
      <c r="P218">
        <f>IFERROR(INDEX('M04-S07'!$N$18:$N$199,2*(ROWS(P$211:P218)-1)+1),"")</f>
        <v>0</v>
      </c>
      <c r="Q218">
        <f>IFERROR(INDEX('M04-S07'!$W$18:$W$199,2*(ROWS(Q$211:Q218)-1)+1),"")</f>
        <v>0</v>
      </c>
      <c r="S218" t="str">
        <f>IFERROR(INDEX('M04-S07'!$AX$18:$AX$199,2*(ROWS(S$211:S218)-1)+1),"")</f>
        <v/>
      </c>
      <c r="T218" s="5" t="str">
        <f>IFERROR(ROUND(INDEX('M04-S07'!$AY$18:$AY$199,2*(ROWS(T$211:T218)-1)+1),3),"")</f>
        <v/>
      </c>
      <c r="U218" s="5" t="str">
        <f>IFERROR(ROUND(INDEX('M04-S07'!$AZ$18:$AZ$199,2*(ROWS(U$211:U218)-1)+1),3),"")</f>
        <v/>
      </c>
      <c r="V218" s="184"/>
      <c r="W218" s="184"/>
      <c r="X218" s="184"/>
      <c r="Y218" s="184"/>
      <c r="Z218" s="184"/>
      <c r="AA218" s="9" t="str" cm="1">
        <f t="array" ref="AA218">IFERROR(ROUND(INDEX('M04-S07'!$AR$18:$AR$199,2*(ROWS(AA$211:AA218)-1)+1), 2),"")</f>
        <v/>
      </c>
      <c r="AB218" s="164"/>
      <c r="AC218" s="9" t="str" cm="1">
        <f t="array" aca="1" ref="AC218" ca="1">IFERROR(ROUND(IF(BB218&lt;&gt;"","",INDEX('M04-S07'!$AH$18:$AH$199,2*(ROWS(AC$211:AC218)-1)+1)),2),"")</f>
        <v/>
      </c>
      <c r="AD218" s="9" t="str" cm="1">
        <f t="array" aca="1" ref="AD218" ca="1">IFERROR(ROUND(IF(BB218&lt;&gt;"","",INDEX('M04-S07'!$AJ$18:$AJ$199,2*(ROWS(AD$211:AD218)-1)+1)),2),"")</f>
        <v/>
      </c>
      <c r="AE218" s="9" t="str">
        <f t="shared" ca="1" si="33"/>
        <v/>
      </c>
      <c r="AF218" t="str">
        <f ca="1">IFERROR(IF(BB218&lt;&gt;"","",INDEX('M04-S07'!$AF$18:$AF$199,2*(ROWS(AG$211:AG218)-1)+1)),"")</f>
        <v/>
      </c>
      <c r="AG218" s="9" t="str" cm="1">
        <f t="array" aca="1" ref="AG218" ca="1">IFERROR(ROUND(IF(BB218&lt;&gt;"","",INDEX('M04-S07'!$AL$18:$AL$199,2*(ROWS(AG$211:AG218)-1)+1)),2),"")</f>
        <v/>
      </c>
      <c r="AH218" s="184"/>
      <c r="AI218" s="191"/>
      <c r="AJ218" s="32" t="str">
        <f ca="1">IFERROR(ROUND(IF(BA218&lt;&gt;"","",INDEX('M04-S07'!$AO$18:$AO$199,2*(ROWS(AJ$211:AJ218)-1)+1)),4),"")</f>
        <v/>
      </c>
      <c r="AK218" s="32">
        <f ca="1">IFERROR(ROUND(IF(BA218&lt;&gt;"","",INDEX('M04-S07'!$BF$18:$BF$199,2*(ROWS(AK$211:AK218)-1)+1)),4),"")</f>
        <v>0</v>
      </c>
      <c r="AL218" s="32" t="str">
        <f ca="1">IFERROR(ROUND(IF(BA218&lt;&gt;"","",INDEX('M04-S07'!$BG$18:$BG$199,2*(ROWS(AL$211:AL218)-1)+1)),4),"")</f>
        <v/>
      </c>
      <c r="AM218" s="32" t="str" cm="1">
        <f t="array" ref="AM218">IFERROR(ROUND(INDEX('M04-S07'!$BA$18:$BA$199,2*(ROWS(AM$211:AM218)-1)+1),4),"")</f>
        <v/>
      </c>
      <c r="AN218" s="32" t="str" cm="1">
        <f t="array" ref="AN218">IFERROR(ROUND(INDEX('M04-S07'!$BB$18:$BB$199,2*(ROWS(AN$211:AN218)-1)+1),4),"")</f>
        <v/>
      </c>
      <c r="AO218" s="32"/>
      <c r="AP218" s="9">
        <f ca="1">IFERROR(ROUND(IF(BB218&lt;&gt;"",INDEX('M04-S07'!$AH$18:$AH$199,2*(ROWS(AP$211:AP218)-1)+1),""),2),"")</f>
        <v>0</v>
      </c>
      <c r="AQ218" s="9" t="str">
        <f ca="1">IFERROR(ROUND(IF(BB218&lt;&gt;"",INDEX('M04-S07'!$AJ$18:$AJ$199,2*(ROWS(AQ$211:AQ218)-1)+1),""),2),"")</f>
        <v/>
      </c>
      <c r="AR218" s="9" t="str">
        <f t="shared" ca="1" si="34"/>
        <v/>
      </c>
      <c r="AS218" t="str">
        <f ca="1">IFERROR(IF(BB218&lt;&gt;"",INDEX('M04-S07'!$AF$18:$AF$199,2*(ROWS(AS$211:AS218)-1)+1),""),"")</f>
        <v/>
      </c>
      <c r="AT218" s="9" t="str" cm="1">
        <f t="array" aca="1" ref="AT218" ca="1">IFERROR(ROUND(IF(BB218&lt;&gt;"", INDEX('M04-S07'!$AL$18:$AL$199,2*(ROWS(AG$211:AG218)-1)+1), ""),2),"")</f>
        <v/>
      </c>
      <c r="AU218" s="184"/>
      <c r="AV218" s="5" t="str">
        <f ca="1">IFERROR(IF(BB218&lt;&gt;"",ROUND(INDEX('M04-S07'!$AY$18:$AY$199,2*(ROWS(AV$211:AV218)-1)+1),3),""),"")</f>
        <v/>
      </c>
      <c r="AW218" s="5" t="str">
        <f ca="1">IFERROR(IF(BB218&lt;&gt;"",ROUND(INDEX('M04-S07'!$AZ$18:$AZ$199,2*(ROWS(AW$211:AW218)-1)+1),3),""),"")</f>
        <v/>
      </c>
      <c r="AX218" s="184"/>
      <c r="AY218" s="26" t="str">
        <f ca="1">IFERROR(IF(BB218&lt;&gt;"",INDEX('M04-S07'!$AO$18:$AO$199,2*(ROWS(AY$211:AY218)-1)+1),""),"")</f>
        <v/>
      </c>
      <c r="AZ218" s="32">
        <f ca="1">IFERROR(IF(BB218&lt;&gt;"",INDEX('M04-S07'!$BF$18:$BF$199,2*(ROWS(AZ$211:AZ218)-1)+1),""),"")</f>
        <v>0</v>
      </c>
      <c r="BA218" s="32" t="str">
        <f ca="1">IFERROR(IF(BB218&lt;&gt;"",INDEX('M04-S07'!$BG$18:$BG$199,2*(ROWS(BA$211:BA218)-1)+1),""),"")</f>
        <v/>
      </c>
      <c r="BB218" t="str">
        <f ca="1">IFERROR(INDEX('M04-S07'!$BY$18:$BY$199,2*(ROWS(BB$211:BB218)-1)+1),"")</f>
        <v>Submit for Review</v>
      </c>
    </row>
    <row r="219" spans="1:54">
      <c r="A219" s="10">
        <f t="shared" si="31"/>
        <v>0</v>
      </c>
      <c r="B219" t="str">
        <f t="shared" si="32"/>
        <v/>
      </c>
      <c r="C219" t="str" cm="1">
        <f t="array" ref="C219">IFERROR(_xlfn.VALUETOTEXT(INDEX('M04-S07'!$BW$18:$BW$199,2*(ROWS($C$211:C219)-1)+1)),"")</f>
        <v/>
      </c>
      <c r="D219">
        <f>IFERROR(INDEX('M04-S07'!$B$18:$B$199,2*(ROWS(D$211:D219)-1)+1),"")</f>
        <v>9</v>
      </c>
      <c r="E219" s="51" t="str" cm="1">
        <f t="array" ref="E219">IFERROR(_xlfn.VALUETOTEXT(INDEX('M04-S07'!$BX$18:$BX$199,2*(ROWS($E$211:E219)-1)+1)),"")</f>
        <v/>
      </c>
      <c r="F219" t="str" cm="1">
        <f t="array" ref="F219">IF(C219&lt;&gt;"", _xlfn.SWITCH(Program_Banner, "Small Business / Non-Profit", "Hard-To-Reach Business", "Business Energy Savings", "Whole Business Efficiency", ""), "")</f>
        <v/>
      </c>
      <c r="G219" t="s">
        <v>135</v>
      </c>
      <c r="H219" t="str">
        <f>IFERROR(INDEX('M04-S07'!$BC$18:$BC$199,2*(ROWS(H$211:H219)-1)+1),"")</f>
        <v/>
      </c>
      <c r="I219" t="str">
        <f>IFERROR(INDEX('M04-S07'!$BJ$18:$BJ$199,2*(ROWS(I$211:I219)-1)+1),"")</f>
        <v/>
      </c>
      <c r="J219" s="9" t="str">
        <f>IFERROR(INDEX('M04-S07'!$BN$18:$BN$199,2*(ROWS(J$211:J219)-1)+1),"")</f>
        <v/>
      </c>
      <c r="K219" s="9" t="str">
        <f>IFERROR(INDEX('M04-S07'!$BO$18:$BO$199,2*(ROWS(K$211:K219)-1)+1),"")</f>
        <v/>
      </c>
      <c r="L219" s="51" t="str">
        <f>IFERROR(INDEX('M04-S07'!$BD$18:$BD$199,2*(ROWS(L$211:L219)-1)+1),"")</f>
        <v/>
      </c>
      <c r="M219" s="171"/>
      <c r="N219" s="171"/>
      <c r="O219">
        <f>IFERROR(INDEX('M04-S07'!$H$18:$H$199,2*(ROWS(O$211:O219)-1)+1),"")</f>
        <v>0</v>
      </c>
      <c r="P219">
        <f>IFERROR(INDEX('M04-S07'!$N$18:$N$199,2*(ROWS(P$211:P219)-1)+1),"")</f>
        <v>0</v>
      </c>
      <c r="Q219">
        <f>IFERROR(INDEX('M04-S07'!$W$18:$W$199,2*(ROWS(Q$211:Q219)-1)+1),"")</f>
        <v>0</v>
      </c>
      <c r="S219" t="str">
        <f>IFERROR(INDEX('M04-S07'!$AX$18:$AX$199,2*(ROWS(S$211:S219)-1)+1),"")</f>
        <v/>
      </c>
      <c r="T219" s="5" t="str">
        <f>IFERROR(ROUND(INDEX('M04-S07'!$AY$18:$AY$199,2*(ROWS(T$211:T219)-1)+1),3),"")</f>
        <v/>
      </c>
      <c r="U219" s="5" t="str">
        <f>IFERROR(ROUND(INDEX('M04-S07'!$AZ$18:$AZ$199,2*(ROWS(U$211:U219)-1)+1),3),"")</f>
        <v/>
      </c>
      <c r="V219" s="184"/>
      <c r="W219" s="184"/>
      <c r="X219" s="184"/>
      <c r="Y219" s="184"/>
      <c r="Z219" s="184"/>
      <c r="AA219" s="9" t="str" cm="1">
        <f t="array" ref="AA219">IFERROR(ROUND(INDEX('M04-S07'!$AR$18:$AR$199,2*(ROWS(AA$211:AA219)-1)+1), 2),"")</f>
        <v/>
      </c>
      <c r="AB219" s="164"/>
      <c r="AC219" s="9" t="str" cm="1">
        <f t="array" aca="1" ref="AC219" ca="1">IFERROR(ROUND(IF(BB219&lt;&gt;"","",INDEX('M04-S07'!$AH$18:$AH$199,2*(ROWS(AC$211:AC219)-1)+1)),2),"")</f>
        <v/>
      </c>
      <c r="AD219" s="9" t="str" cm="1">
        <f t="array" aca="1" ref="AD219" ca="1">IFERROR(ROUND(IF(BB219&lt;&gt;"","",INDEX('M04-S07'!$AJ$18:$AJ$199,2*(ROWS(AD$211:AD219)-1)+1)),2),"")</f>
        <v/>
      </c>
      <c r="AE219" s="9" t="str">
        <f t="shared" ca="1" si="33"/>
        <v/>
      </c>
      <c r="AF219" t="str">
        <f ca="1">IFERROR(IF(BB219&lt;&gt;"","",INDEX('M04-S07'!$AF$18:$AF$199,2*(ROWS(AG$211:AG219)-1)+1)),"")</f>
        <v/>
      </c>
      <c r="AG219" s="9" t="str" cm="1">
        <f t="array" aca="1" ref="AG219" ca="1">IFERROR(ROUND(IF(BB219&lt;&gt;"","",INDEX('M04-S07'!$AL$18:$AL$199,2*(ROWS(AG$211:AG219)-1)+1)),2),"")</f>
        <v/>
      </c>
      <c r="AH219" s="184"/>
      <c r="AI219" s="191"/>
      <c r="AJ219" s="32" t="str">
        <f ca="1">IFERROR(ROUND(IF(BA219&lt;&gt;"","",INDEX('M04-S07'!$AO$18:$AO$199,2*(ROWS(AJ$211:AJ219)-1)+1)),4),"")</f>
        <v/>
      </c>
      <c r="AK219" s="32">
        <f ca="1">IFERROR(ROUND(IF(BA219&lt;&gt;"","",INDEX('M04-S07'!$BF$18:$BF$199,2*(ROWS(AK$211:AK219)-1)+1)),4),"")</f>
        <v>0</v>
      </c>
      <c r="AL219" s="32" t="str">
        <f ca="1">IFERROR(ROUND(IF(BA219&lt;&gt;"","",INDEX('M04-S07'!$BG$18:$BG$199,2*(ROWS(AL$211:AL219)-1)+1)),4),"")</f>
        <v/>
      </c>
      <c r="AM219" s="32" t="str" cm="1">
        <f t="array" ref="AM219">IFERROR(ROUND(INDEX('M04-S07'!$BA$18:$BA$199,2*(ROWS(AM$211:AM219)-1)+1),4),"")</f>
        <v/>
      </c>
      <c r="AN219" s="32" t="str" cm="1">
        <f t="array" ref="AN219">IFERROR(ROUND(INDEX('M04-S07'!$BB$18:$BB$199,2*(ROWS(AN$211:AN219)-1)+1),4),"")</f>
        <v/>
      </c>
      <c r="AO219" s="32"/>
      <c r="AP219" s="9">
        <f ca="1">IFERROR(ROUND(IF(BB219&lt;&gt;"",INDEX('M04-S07'!$AH$18:$AH$199,2*(ROWS(AP$211:AP219)-1)+1),""),2),"")</f>
        <v>0</v>
      </c>
      <c r="AQ219" s="9" t="str">
        <f ca="1">IFERROR(ROUND(IF(BB219&lt;&gt;"",INDEX('M04-S07'!$AJ$18:$AJ$199,2*(ROWS(AQ$211:AQ219)-1)+1),""),2),"")</f>
        <v/>
      </c>
      <c r="AR219" s="9" t="str">
        <f t="shared" ca="1" si="34"/>
        <v/>
      </c>
      <c r="AS219" t="str">
        <f ca="1">IFERROR(IF(BB219&lt;&gt;"",INDEX('M04-S07'!$AF$18:$AF$199,2*(ROWS(AS$211:AS219)-1)+1),""),"")</f>
        <v/>
      </c>
      <c r="AT219" s="9" t="str" cm="1">
        <f t="array" aca="1" ref="AT219" ca="1">IFERROR(ROUND(IF(BB219&lt;&gt;"", INDEX('M04-S07'!$AL$18:$AL$199,2*(ROWS(AG$211:AG219)-1)+1), ""),2),"")</f>
        <v/>
      </c>
      <c r="AU219" s="184"/>
      <c r="AV219" s="5" t="str">
        <f ca="1">IFERROR(IF(BB219&lt;&gt;"",ROUND(INDEX('M04-S07'!$AY$18:$AY$199,2*(ROWS(AV$211:AV219)-1)+1),3),""),"")</f>
        <v/>
      </c>
      <c r="AW219" s="5" t="str">
        <f ca="1">IFERROR(IF(BB219&lt;&gt;"",ROUND(INDEX('M04-S07'!$AZ$18:$AZ$199,2*(ROWS(AW$211:AW219)-1)+1),3),""),"")</f>
        <v/>
      </c>
      <c r="AX219" s="184"/>
      <c r="AY219" s="26" t="str">
        <f ca="1">IFERROR(IF(BB219&lt;&gt;"",INDEX('M04-S07'!$AO$18:$AO$199,2*(ROWS(AY$211:AY219)-1)+1),""),"")</f>
        <v/>
      </c>
      <c r="AZ219" s="32">
        <f ca="1">IFERROR(IF(BB219&lt;&gt;"",INDEX('M04-S07'!$BF$18:$BF$199,2*(ROWS(AZ$211:AZ219)-1)+1),""),"")</f>
        <v>0</v>
      </c>
      <c r="BA219" s="32" t="str">
        <f ca="1">IFERROR(IF(BB219&lt;&gt;"",INDEX('M04-S07'!$BG$18:$BG$199,2*(ROWS(BA$211:BA219)-1)+1),""),"")</f>
        <v/>
      </c>
      <c r="BB219" t="str">
        <f ca="1">IFERROR(INDEX('M04-S07'!$BY$18:$BY$199,2*(ROWS(BB$211:BB219)-1)+1),"")</f>
        <v>Submit for Review</v>
      </c>
    </row>
    <row r="220" spans="1:54">
      <c r="A220" s="10">
        <f t="shared" si="31"/>
        <v>0</v>
      </c>
      <c r="B220" t="str">
        <f t="shared" si="32"/>
        <v/>
      </c>
      <c r="C220" t="str" cm="1">
        <f t="array" ref="C220">IFERROR(_xlfn.VALUETOTEXT(INDEX('M04-S07'!$BW$18:$BW$199,2*(ROWS($C$211:C220)-1)+1)),"")</f>
        <v/>
      </c>
      <c r="D220">
        <f>IFERROR(INDEX('M04-S07'!$B$18:$B$199,2*(ROWS(D$211:D220)-1)+1),"")</f>
        <v>10</v>
      </c>
      <c r="E220" s="51" t="str" cm="1">
        <f t="array" ref="E220">IFERROR(_xlfn.VALUETOTEXT(INDEX('M04-S07'!$BX$18:$BX$199,2*(ROWS($E$211:E220)-1)+1)),"")</f>
        <v/>
      </c>
      <c r="F220" t="str" cm="1">
        <f t="array" ref="F220">IF(C220&lt;&gt;"", _xlfn.SWITCH(Program_Banner, "Small Business / Non-Profit", "Hard-To-Reach Business", "Business Energy Savings", "Whole Business Efficiency", ""), "")</f>
        <v/>
      </c>
      <c r="G220" t="s">
        <v>135</v>
      </c>
      <c r="H220" t="str">
        <f>IFERROR(INDEX('M04-S07'!$BC$18:$BC$199,2*(ROWS(H$211:H220)-1)+1),"")</f>
        <v/>
      </c>
      <c r="I220" t="str">
        <f>IFERROR(INDEX('M04-S07'!$BJ$18:$BJ$199,2*(ROWS(I$211:I220)-1)+1),"")</f>
        <v/>
      </c>
      <c r="J220" s="9" t="str">
        <f>IFERROR(INDEX('M04-S07'!$BN$18:$BN$199,2*(ROWS(J$211:J220)-1)+1),"")</f>
        <v/>
      </c>
      <c r="K220" s="9" t="str">
        <f>IFERROR(INDEX('M04-S07'!$BO$18:$BO$199,2*(ROWS(K$211:K220)-1)+1),"")</f>
        <v/>
      </c>
      <c r="L220" s="51" t="str">
        <f>IFERROR(INDEX('M04-S07'!$BD$18:$BD$199,2*(ROWS(L$211:L220)-1)+1),"")</f>
        <v/>
      </c>
      <c r="M220" s="171"/>
      <c r="N220" s="171"/>
      <c r="O220">
        <f>IFERROR(INDEX('M04-S07'!$H$18:$H$199,2*(ROWS(O$211:O220)-1)+1),"")</f>
        <v>0</v>
      </c>
      <c r="P220">
        <f>IFERROR(INDEX('M04-S07'!$N$18:$N$199,2*(ROWS(P$211:P220)-1)+1),"")</f>
        <v>0</v>
      </c>
      <c r="Q220">
        <f>IFERROR(INDEX('M04-S07'!$W$18:$W$199,2*(ROWS(Q$211:Q220)-1)+1),"")</f>
        <v>0</v>
      </c>
      <c r="S220" t="str">
        <f>IFERROR(INDEX('M04-S07'!$AX$18:$AX$199,2*(ROWS(S$211:S220)-1)+1),"")</f>
        <v/>
      </c>
      <c r="T220" s="5" t="str">
        <f>IFERROR(ROUND(INDEX('M04-S07'!$AY$18:$AY$199,2*(ROWS(T$211:T220)-1)+1),3),"")</f>
        <v/>
      </c>
      <c r="U220" s="5" t="str">
        <f>IFERROR(ROUND(INDEX('M04-S07'!$AZ$18:$AZ$199,2*(ROWS(U$211:U220)-1)+1),3),"")</f>
        <v/>
      </c>
      <c r="V220" s="184"/>
      <c r="W220" s="184"/>
      <c r="X220" s="184"/>
      <c r="Y220" s="184"/>
      <c r="Z220" s="184"/>
      <c r="AA220" s="9" t="str" cm="1">
        <f t="array" ref="AA220">IFERROR(ROUND(INDEX('M04-S07'!$AR$18:$AR$199,2*(ROWS(AA$211:AA220)-1)+1), 2),"")</f>
        <v/>
      </c>
      <c r="AB220" s="164"/>
      <c r="AC220" s="9" t="str" cm="1">
        <f t="array" aca="1" ref="AC220" ca="1">IFERROR(ROUND(IF(BB220&lt;&gt;"","",INDEX('M04-S07'!$AH$18:$AH$199,2*(ROWS(AC$211:AC220)-1)+1)),2),"")</f>
        <v/>
      </c>
      <c r="AD220" s="9" t="str" cm="1">
        <f t="array" aca="1" ref="AD220" ca="1">IFERROR(ROUND(IF(BB220&lt;&gt;"","",INDEX('M04-S07'!$AJ$18:$AJ$199,2*(ROWS(AD$211:AD220)-1)+1)),2),"")</f>
        <v/>
      </c>
      <c r="AE220" s="9" t="str">
        <f t="shared" ca="1" si="33"/>
        <v/>
      </c>
      <c r="AF220" t="str">
        <f ca="1">IFERROR(IF(BB220&lt;&gt;"","",INDEX('M04-S07'!$AF$18:$AF$199,2*(ROWS(AG$211:AG220)-1)+1)),"")</f>
        <v/>
      </c>
      <c r="AG220" s="9" t="str" cm="1">
        <f t="array" aca="1" ref="AG220" ca="1">IFERROR(ROUND(IF(BB220&lt;&gt;"","",INDEX('M04-S07'!$AL$18:$AL$199,2*(ROWS(AG$211:AG220)-1)+1)),2),"")</f>
        <v/>
      </c>
      <c r="AH220" s="184"/>
      <c r="AI220" s="191"/>
      <c r="AJ220" s="32" t="str">
        <f ca="1">IFERROR(ROUND(IF(BA220&lt;&gt;"","",INDEX('M04-S07'!$AO$18:$AO$199,2*(ROWS(AJ$211:AJ220)-1)+1)),4),"")</f>
        <v/>
      </c>
      <c r="AK220" s="32">
        <f ca="1">IFERROR(ROUND(IF(BA220&lt;&gt;"","",INDEX('M04-S07'!$BF$18:$BF$199,2*(ROWS(AK$211:AK220)-1)+1)),4),"")</f>
        <v>0</v>
      </c>
      <c r="AL220" s="32" t="str">
        <f ca="1">IFERROR(ROUND(IF(BA220&lt;&gt;"","",INDEX('M04-S07'!$BG$18:$BG$199,2*(ROWS(AL$211:AL220)-1)+1)),4),"")</f>
        <v/>
      </c>
      <c r="AM220" s="32" t="str" cm="1">
        <f t="array" ref="AM220">IFERROR(ROUND(INDEX('M04-S07'!$BA$18:$BA$199,2*(ROWS(AM$211:AM220)-1)+1),4),"")</f>
        <v/>
      </c>
      <c r="AN220" s="32" t="str" cm="1">
        <f t="array" ref="AN220">IFERROR(ROUND(INDEX('M04-S07'!$BB$18:$BB$199,2*(ROWS(AN$211:AN220)-1)+1),4),"")</f>
        <v/>
      </c>
      <c r="AO220" s="32"/>
      <c r="AP220" s="9">
        <f ca="1">IFERROR(ROUND(IF(BB220&lt;&gt;"",INDEX('M04-S07'!$AH$18:$AH$199,2*(ROWS(AP$211:AP220)-1)+1),""),2),"")</f>
        <v>0</v>
      </c>
      <c r="AQ220" s="9" t="str">
        <f ca="1">IFERROR(ROUND(IF(BB220&lt;&gt;"",INDEX('M04-S07'!$AJ$18:$AJ$199,2*(ROWS(AQ$211:AQ220)-1)+1),""),2),"")</f>
        <v/>
      </c>
      <c r="AR220" s="9" t="str">
        <f t="shared" ca="1" si="34"/>
        <v/>
      </c>
      <c r="AS220" t="str">
        <f ca="1">IFERROR(IF(BB220&lt;&gt;"",INDEX('M04-S07'!$AF$18:$AF$199,2*(ROWS(AS$211:AS220)-1)+1),""),"")</f>
        <v/>
      </c>
      <c r="AT220" s="9" t="str" cm="1">
        <f t="array" aca="1" ref="AT220" ca="1">IFERROR(ROUND(IF(BB220&lt;&gt;"", INDEX('M04-S07'!$AL$18:$AL$199,2*(ROWS(AG$211:AG220)-1)+1), ""),2),"")</f>
        <v/>
      </c>
      <c r="AU220" s="184"/>
      <c r="AV220" s="5" t="str">
        <f ca="1">IFERROR(IF(BB220&lt;&gt;"",ROUND(INDEX('M04-S07'!$AY$18:$AY$199,2*(ROWS(AV$211:AV220)-1)+1),3),""),"")</f>
        <v/>
      </c>
      <c r="AW220" s="5" t="str">
        <f ca="1">IFERROR(IF(BB220&lt;&gt;"",ROUND(INDEX('M04-S07'!$AZ$18:$AZ$199,2*(ROWS(AW$211:AW220)-1)+1),3),""),"")</f>
        <v/>
      </c>
      <c r="AX220" s="184"/>
      <c r="AY220" s="26" t="str">
        <f ca="1">IFERROR(IF(BB220&lt;&gt;"",INDEX('M04-S07'!$AO$18:$AO$199,2*(ROWS(AY$211:AY220)-1)+1),""),"")</f>
        <v/>
      </c>
      <c r="AZ220" s="32">
        <f ca="1">IFERROR(IF(BB220&lt;&gt;"",INDEX('M04-S07'!$BF$18:$BF$199,2*(ROWS(AZ$211:AZ220)-1)+1),""),"")</f>
        <v>0</v>
      </c>
      <c r="BA220" s="32" t="str">
        <f ca="1">IFERROR(IF(BB220&lt;&gt;"",INDEX('M04-S07'!$BG$18:$BG$199,2*(ROWS(BA$211:BA220)-1)+1),""),"")</f>
        <v/>
      </c>
      <c r="BB220" t="str">
        <f ca="1">IFERROR(INDEX('M04-S07'!$BY$18:$BY$199,2*(ROWS(BB$211:BB220)-1)+1),"")</f>
        <v>Submit for Review</v>
      </c>
    </row>
    <row r="221" spans="1:54">
      <c r="A221" s="10">
        <f t="shared" si="31"/>
        <v>0</v>
      </c>
      <c r="B221" t="str">
        <f t="shared" si="32"/>
        <v/>
      </c>
      <c r="C221" t="str" cm="1">
        <f t="array" ref="C221">IFERROR(_xlfn.VALUETOTEXT(INDEX('M04-S07'!$BW$18:$BW$199,2*(ROWS($C$211:C221)-1)+1)),"")</f>
        <v/>
      </c>
      <c r="D221">
        <f>IFERROR(INDEX('M04-S07'!$B$18:$B$199,2*(ROWS(D$211:D221)-1)+1),"")</f>
        <v>0</v>
      </c>
      <c r="E221" s="51" t="str" cm="1">
        <f t="array" ref="E221">IFERROR(_xlfn.VALUETOTEXT(INDEX('M04-S07'!$BX$18:$BX$199,2*(ROWS($E$211:E221)-1)+1)),"")</f>
        <v/>
      </c>
      <c r="F221" t="str" cm="1">
        <f t="array" ref="F221">IF(C221&lt;&gt;"", _xlfn.SWITCH(Program_Banner, "Small Business / Non-Profit", "Hard-To-Reach Business", "Business Energy Savings", "Whole Business Efficiency", ""), "")</f>
        <v/>
      </c>
      <c r="G221" t="s">
        <v>135</v>
      </c>
      <c r="H221">
        <f>IFERROR(INDEX('M04-S07'!$BC$18:$BC$199,2*(ROWS(H$211:H221)-1)+1),"")</f>
        <v>0</v>
      </c>
      <c r="I221">
        <f>IFERROR(INDEX('M04-S07'!$BJ$18:$BJ$199,2*(ROWS(I$211:I221)-1)+1),"")</f>
        <v>0</v>
      </c>
      <c r="J221" s="9">
        <f>IFERROR(INDEX('M04-S07'!$BN$18:$BN$199,2*(ROWS(J$211:J221)-1)+1),"")</f>
        <v>0</v>
      </c>
      <c r="K221" s="9">
        <f>IFERROR(INDEX('M04-S07'!$BO$18:$BO$199,2*(ROWS(K$211:K221)-1)+1),"")</f>
        <v>0</v>
      </c>
      <c r="L221" s="51">
        <f>IFERROR(INDEX('M04-S07'!$BD$18:$BD$199,2*(ROWS(L$211:L221)-1)+1),"")</f>
        <v>0</v>
      </c>
      <c r="M221" s="171"/>
      <c r="N221" s="171"/>
      <c r="O221">
        <f>IFERROR(INDEX('M04-S07'!$H$18:$H$199,2*(ROWS(O$211:O221)-1)+1),"")</f>
        <v>0</v>
      </c>
      <c r="P221">
        <f>IFERROR(INDEX('M04-S07'!$N$18:$N$199,2*(ROWS(P$211:P221)-1)+1),"")</f>
        <v>0</v>
      </c>
      <c r="Q221">
        <f>IFERROR(INDEX('M04-S07'!$W$18:$W$199,2*(ROWS(Q$211:Q221)-1)+1),"")</f>
        <v>0</v>
      </c>
      <c r="S221">
        <f>IFERROR(INDEX('M04-S07'!$AX$18:$AX$199,2*(ROWS(S$211:S221)-1)+1),"")</f>
        <v>0</v>
      </c>
      <c r="T221" s="5">
        <f>IFERROR(ROUND(INDEX('M04-S07'!$AY$18:$AY$199,2*(ROWS(T$211:T221)-1)+1),3),"")</f>
        <v>0</v>
      </c>
      <c r="U221" s="5">
        <f>IFERROR(ROUND(INDEX('M04-S07'!$AZ$18:$AZ$199,2*(ROWS(U$211:U221)-1)+1),3),"")</f>
        <v>0</v>
      </c>
      <c r="V221" s="184"/>
      <c r="W221" s="184"/>
      <c r="X221" s="184"/>
      <c r="Y221" s="184"/>
      <c r="Z221" s="184"/>
      <c r="AA221" s="9" cm="1">
        <f t="array" ref="AA221">IFERROR(ROUND(INDEX('M04-S07'!$AR$18:$AR$199,2*(ROWS(AA$211:AA221)-1)+1), 2),"")</f>
        <v>0</v>
      </c>
      <c r="AB221" s="164"/>
      <c r="AC221" s="9" t="str" cm="1">
        <f t="array" ref="AC221">IFERROR(ROUND(IF(BB221&lt;&gt;"","",INDEX('M04-S07'!$AH$18:$AH$199,2*(ROWS(AC$211:AC221)-1)+1)),2),"")</f>
        <v/>
      </c>
      <c r="AD221" s="9" t="str" cm="1">
        <f t="array" ref="AD221">IFERROR(ROUND(IF(BB221&lt;&gt;"","",INDEX('M04-S07'!$AJ$18:$AJ$199,2*(ROWS(AD$211:AD221)-1)+1)),2),"")</f>
        <v/>
      </c>
      <c r="AE221" s="9" t="str">
        <f t="shared" si="33"/>
        <v/>
      </c>
      <c r="AF221" t="str">
        <f>IFERROR(IF(BB221&lt;&gt;"","",INDEX('M04-S07'!$AF$18:$AF$199,2*(ROWS(AG$211:AG221)-1)+1)),"")</f>
        <v/>
      </c>
      <c r="AG221" s="9" t="str" cm="1">
        <f t="array" ref="AG221">IFERROR(ROUND(IF(BB221&lt;&gt;"","",INDEX('M04-S07'!$AL$18:$AL$199,2*(ROWS(AG$211:AG221)-1)+1)),2),"")</f>
        <v/>
      </c>
      <c r="AH221" s="184"/>
      <c r="AI221" s="191"/>
      <c r="AJ221" s="32" t="str">
        <f>IFERROR(ROUND(IF(BA221&lt;&gt;"","",INDEX('M04-S07'!$AO$18:$AO$199,2*(ROWS(AJ$211:AJ221)-1)+1)),4),"")</f>
        <v/>
      </c>
      <c r="AK221" s="32" t="str">
        <f>IFERROR(ROUND(IF(BA221&lt;&gt;"","",INDEX('M04-S07'!$BF$18:$BF$199,2*(ROWS(AK$211:AK221)-1)+1)),4),"")</f>
        <v/>
      </c>
      <c r="AL221" s="32" t="str">
        <f>IFERROR(ROUND(IF(BA221&lt;&gt;"","",INDEX('M04-S07'!$BG$18:$BG$199,2*(ROWS(AL$211:AL221)-1)+1)),4),"")</f>
        <v/>
      </c>
      <c r="AM221" s="32" cm="1">
        <f t="array" ref="AM221">IFERROR(ROUND(INDEX('M04-S07'!$BA$18:$BA$199,2*(ROWS(AM$211:AM221)-1)+1),4),"")</f>
        <v>0</v>
      </c>
      <c r="AN221" s="32" cm="1">
        <f t="array" ref="AN221">IFERROR(ROUND(INDEX('M04-S07'!$BB$18:$BB$199,2*(ROWS(AN$211:AN221)-1)+1),4),"")</f>
        <v>0</v>
      </c>
      <c r="AO221" s="32"/>
      <c r="AP221" s="9">
        <f>IFERROR(ROUND(IF(BB221&lt;&gt;"",INDEX('M04-S07'!$AH$18:$AH$199,2*(ROWS(AP$211:AP221)-1)+1),""),2),"")</f>
        <v>0</v>
      </c>
      <c r="AQ221" s="9">
        <f>IFERROR(ROUND(IF(BB221&lt;&gt;"",INDEX('M04-S07'!$AJ$18:$AJ$199,2*(ROWS(AQ$211:AQ221)-1)+1),""),2),"")</f>
        <v>0</v>
      </c>
      <c r="AR221" s="9" t="str">
        <f t="shared" si="34"/>
        <v/>
      </c>
      <c r="AS221">
        <f>IFERROR(IF(BB221&lt;&gt;"",INDEX('M04-S07'!$AF$18:$AF$199,2*(ROWS(AS$211:AS221)-1)+1),""),"")</f>
        <v>0</v>
      </c>
      <c r="AT221" s="9" cm="1">
        <f t="array" ref="AT221">IFERROR(ROUND(IF(BB221&lt;&gt;"", INDEX('M04-S07'!$AL$18:$AL$199,2*(ROWS(AG$211:AG221)-1)+1), ""),2),"")</f>
        <v>0</v>
      </c>
      <c r="AU221" s="184"/>
      <c r="AV221" s="5">
        <f>IFERROR(IF(BB221&lt;&gt;"",ROUND(INDEX('M04-S07'!$AY$18:$AY$199,2*(ROWS(AV$211:AV221)-1)+1),3),""),"")</f>
        <v>0</v>
      </c>
      <c r="AW221" s="5">
        <f>IFERROR(IF(BB221&lt;&gt;"",ROUND(INDEX('M04-S07'!$AZ$18:$AZ$199,2*(ROWS(AW$211:AW221)-1)+1),3),""),"")</f>
        <v>0</v>
      </c>
      <c r="AX221" s="184"/>
      <c r="AY221" s="26">
        <f>IFERROR(IF(BB221&lt;&gt;"",INDEX('M04-S07'!$AO$18:$AO$199,2*(ROWS(AY$211:AY221)-1)+1),""),"")</f>
        <v>0</v>
      </c>
      <c r="AZ221" s="32">
        <f>IFERROR(IF(BB221&lt;&gt;"",INDEX('M04-S07'!$BF$18:$BF$199,2*(ROWS(AZ$211:AZ221)-1)+1),""),"")</f>
        <v>0</v>
      </c>
      <c r="BA221" s="32">
        <f>IFERROR(IF(BB221&lt;&gt;"",INDEX('M04-S07'!$BG$18:$BG$199,2*(ROWS(BA$211:BA221)-1)+1),""),"")</f>
        <v>0</v>
      </c>
      <c r="BB221">
        <f>IFERROR(INDEX('M04-S07'!$BY$18:$BY$199,2*(ROWS(BB$211:BB221)-1)+1),"")</f>
        <v>0</v>
      </c>
    </row>
    <row r="222" spans="1:54">
      <c r="A222" s="10">
        <f t="shared" si="31"/>
        <v>0</v>
      </c>
      <c r="B222" t="str">
        <f t="shared" si="32"/>
        <v/>
      </c>
      <c r="C222" t="str" cm="1">
        <f t="array" ref="C222">IFERROR(_xlfn.VALUETOTEXT(INDEX('M04-S07'!$BW$18:$BW$199,2*(ROWS($C$211:C222)-1)+1)),"")</f>
        <v/>
      </c>
      <c r="D222">
        <f>IFERROR(INDEX('M04-S07'!$B$18:$B$199,2*(ROWS(D$211:D222)-1)+1),"")</f>
        <v>0</v>
      </c>
      <c r="E222" s="51" t="str" cm="1">
        <f t="array" ref="E222">IFERROR(_xlfn.VALUETOTEXT(INDEX('M04-S07'!$BX$18:$BX$199,2*(ROWS($E$211:E222)-1)+1)),"")</f>
        <v/>
      </c>
      <c r="F222" t="str" cm="1">
        <f t="array" ref="F222">IF(C222&lt;&gt;"", _xlfn.SWITCH(Program_Banner, "Small Business / Non-Profit", "Hard-To-Reach Business", "Business Energy Savings", "Whole Business Efficiency", ""), "")</f>
        <v/>
      </c>
      <c r="G222" t="s">
        <v>135</v>
      </c>
      <c r="H222">
        <f>IFERROR(INDEX('M04-S07'!$BC$18:$BC$199,2*(ROWS(H$211:H222)-1)+1),"")</f>
        <v>0</v>
      </c>
      <c r="I222">
        <f>IFERROR(INDEX('M04-S07'!$BJ$18:$BJ$199,2*(ROWS(I$211:I222)-1)+1),"")</f>
        <v>0</v>
      </c>
      <c r="J222" s="9">
        <f>IFERROR(INDEX('M04-S07'!$BN$18:$BN$199,2*(ROWS(J$211:J222)-1)+1),"")</f>
        <v>0</v>
      </c>
      <c r="K222" s="9">
        <f>IFERROR(INDEX('M04-S07'!$BO$18:$BO$199,2*(ROWS(K$211:K222)-1)+1),"")</f>
        <v>0</v>
      </c>
      <c r="L222" s="51">
        <f>IFERROR(INDEX('M04-S07'!$BD$18:$BD$199,2*(ROWS(L$211:L222)-1)+1),"")</f>
        <v>0</v>
      </c>
      <c r="M222" s="171"/>
      <c r="N222" s="171"/>
      <c r="O222">
        <f>IFERROR(INDEX('M04-S07'!$H$18:$H$199,2*(ROWS(O$211:O222)-1)+1),"")</f>
        <v>0</v>
      </c>
      <c r="P222">
        <f>IFERROR(INDEX('M04-S07'!$N$18:$N$199,2*(ROWS(P$211:P222)-1)+1),"")</f>
        <v>0</v>
      </c>
      <c r="Q222">
        <f>IFERROR(INDEX('M04-S07'!$W$18:$W$199,2*(ROWS(Q$211:Q222)-1)+1),"")</f>
        <v>0</v>
      </c>
      <c r="S222">
        <f>IFERROR(INDEX('M04-S07'!$AX$18:$AX$199,2*(ROWS(S$211:S222)-1)+1),"")</f>
        <v>0</v>
      </c>
      <c r="T222" s="5">
        <f>IFERROR(ROUND(INDEX('M04-S07'!$AY$18:$AY$199,2*(ROWS(T$211:T222)-1)+1),3),"")</f>
        <v>0</v>
      </c>
      <c r="U222" s="5">
        <f>IFERROR(ROUND(INDEX('M04-S07'!$AZ$18:$AZ$199,2*(ROWS(U$211:U222)-1)+1),3),"")</f>
        <v>0</v>
      </c>
      <c r="V222" s="184"/>
      <c r="W222" s="184"/>
      <c r="X222" s="184"/>
      <c r="Y222" s="184"/>
      <c r="Z222" s="184"/>
      <c r="AA222" s="9" cm="1">
        <f t="array" ref="AA222">IFERROR(ROUND(INDEX('M04-S07'!$AR$18:$AR$199,2*(ROWS(AA$211:AA222)-1)+1), 2),"")</f>
        <v>0</v>
      </c>
      <c r="AB222" s="164"/>
      <c r="AC222" s="9" t="str" cm="1">
        <f t="array" ref="AC222">IFERROR(ROUND(IF(BB222&lt;&gt;"","",INDEX('M04-S07'!$AH$18:$AH$199,2*(ROWS(AC$211:AC222)-1)+1)),2),"")</f>
        <v/>
      </c>
      <c r="AD222" s="9" t="str" cm="1">
        <f t="array" ref="AD222">IFERROR(ROUND(IF(BB222&lt;&gt;"","",INDEX('M04-S07'!$AJ$18:$AJ$199,2*(ROWS(AD$211:AD222)-1)+1)),2),"")</f>
        <v/>
      </c>
      <c r="AE222" s="9" t="str">
        <f t="shared" si="33"/>
        <v/>
      </c>
      <c r="AF222" t="str">
        <f>IFERROR(IF(BB222&lt;&gt;"","",INDEX('M04-S07'!$AF$18:$AF$199,2*(ROWS(AG$211:AG222)-1)+1)),"")</f>
        <v/>
      </c>
      <c r="AG222" s="9" t="str" cm="1">
        <f t="array" ref="AG222">IFERROR(ROUND(IF(BB222&lt;&gt;"","",INDEX('M04-S07'!$AL$18:$AL$199,2*(ROWS(AG$211:AG222)-1)+1)),2),"")</f>
        <v/>
      </c>
      <c r="AH222" s="184"/>
      <c r="AI222" s="191"/>
      <c r="AJ222" s="32" t="str">
        <f>IFERROR(ROUND(IF(BA222&lt;&gt;"","",INDEX('M04-S07'!$AO$18:$AO$199,2*(ROWS(AJ$211:AJ222)-1)+1)),4),"")</f>
        <v/>
      </c>
      <c r="AK222" s="32" t="str">
        <f>IFERROR(ROUND(IF(BA222&lt;&gt;"","",INDEX('M04-S07'!$BF$18:$BF$199,2*(ROWS(AK$211:AK222)-1)+1)),4),"")</f>
        <v/>
      </c>
      <c r="AL222" s="32" t="str">
        <f>IFERROR(ROUND(IF(BA222&lt;&gt;"","",INDEX('M04-S07'!$BG$18:$BG$199,2*(ROWS(AL$211:AL222)-1)+1)),4),"")</f>
        <v/>
      </c>
      <c r="AM222" s="32" cm="1">
        <f t="array" ref="AM222">IFERROR(ROUND(INDEX('M04-S07'!$BA$18:$BA$199,2*(ROWS(AM$211:AM222)-1)+1),4),"")</f>
        <v>0</v>
      </c>
      <c r="AN222" s="32" cm="1">
        <f t="array" ref="AN222">IFERROR(ROUND(INDEX('M04-S07'!$BB$18:$BB$199,2*(ROWS(AN$211:AN222)-1)+1),4),"")</f>
        <v>0</v>
      </c>
      <c r="AO222" s="32"/>
      <c r="AP222" s="9">
        <f>IFERROR(ROUND(IF(BB222&lt;&gt;"",INDEX('M04-S07'!$AH$18:$AH$199,2*(ROWS(AP$211:AP222)-1)+1),""),2),"")</f>
        <v>0</v>
      </c>
      <c r="AQ222" s="9">
        <f>IFERROR(ROUND(IF(BB222&lt;&gt;"",INDEX('M04-S07'!$AJ$18:$AJ$199,2*(ROWS(AQ$211:AQ222)-1)+1),""),2),"")</f>
        <v>0</v>
      </c>
      <c r="AR222" s="9" t="str">
        <f t="shared" si="34"/>
        <v/>
      </c>
      <c r="AS222">
        <f>IFERROR(IF(BB222&lt;&gt;"",INDEX('M04-S07'!$AF$18:$AF$199,2*(ROWS(AS$211:AS222)-1)+1),""),"")</f>
        <v>0</v>
      </c>
      <c r="AT222" s="9" cm="1">
        <f t="array" ref="AT222">IFERROR(ROUND(IF(BB222&lt;&gt;"", INDEX('M04-S07'!$AL$18:$AL$199,2*(ROWS(AG$211:AG222)-1)+1), ""),2),"")</f>
        <v>0</v>
      </c>
      <c r="AU222" s="184"/>
      <c r="AV222" s="5">
        <f>IFERROR(IF(BB222&lt;&gt;"",ROUND(INDEX('M04-S07'!$AY$18:$AY$199,2*(ROWS(AV$211:AV222)-1)+1),3),""),"")</f>
        <v>0</v>
      </c>
      <c r="AW222" s="5">
        <f>IFERROR(IF(BB222&lt;&gt;"",ROUND(INDEX('M04-S07'!$AZ$18:$AZ$199,2*(ROWS(AW$211:AW222)-1)+1),3),""),"")</f>
        <v>0</v>
      </c>
      <c r="AX222" s="184"/>
      <c r="AY222" s="26">
        <f>IFERROR(IF(BB222&lt;&gt;"",INDEX('M04-S07'!$AO$18:$AO$199,2*(ROWS(AY$211:AY222)-1)+1),""),"")</f>
        <v>0</v>
      </c>
      <c r="AZ222" s="32">
        <f>IFERROR(IF(BB222&lt;&gt;"",INDEX('M04-S07'!$BF$18:$BF$199,2*(ROWS(AZ$211:AZ222)-1)+1),""),"")</f>
        <v>0</v>
      </c>
      <c r="BA222" s="32">
        <f>IFERROR(IF(BB222&lt;&gt;"",INDEX('M04-S07'!$BG$18:$BG$199,2*(ROWS(BA$211:BA222)-1)+1),""),"")</f>
        <v>0</v>
      </c>
      <c r="BB222">
        <f>IFERROR(INDEX('M04-S07'!$BY$18:$BY$199,2*(ROWS(BB$211:BB222)-1)+1),"")</f>
        <v>0</v>
      </c>
    </row>
    <row r="223" spans="1:54">
      <c r="A223" s="10">
        <f t="shared" si="31"/>
        <v>0</v>
      </c>
      <c r="B223" t="str">
        <f t="shared" si="32"/>
        <v/>
      </c>
      <c r="C223" t="str" cm="1">
        <f t="array" ref="C223">IFERROR(_xlfn.VALUETOTEXT(INDEX('M04-S07'!$BW$18:$BW$199,2*(ROWS($C$211:C223)-1)+1)),"")</f>
        <v/>
      </c>
      <c r="D223">
        <f>IFERROR(INDEX('M04-S07'!$B$18:$B$199,2*(ROWS(D$211:D223)-1)+1),"")</f>
        <v>0</v>
      </c>
      <c r="E223" s="51" t="str" cm="1">
        <f t="array" ref="E223">IFERROR(_xlfn.VALUETOTEXT(INDEX('M04-S07'!$BX$18:$BX$199,2*(ROWS($E$211:E223)-1)+1)),"")</f>
        <v/>
      </c>
      <c r="F223" t="str" cm="1">
        <f t="array" ref="F223">IF(C223&lt;&gt;"", _xlfn.SWITCH(Program_Banner, "Small Business / Non-Profit", "Hard-To-Reach Business", "Business Energy Savings", "Whole Business Efficiency", ""), "")</f>
        <v/>
      </c>
      <c r="G223" t="s">
        <v>135</v>
      </c>
      <c r="H223">
        <f>IFERROR(INDEX('M04-S07'!$BC$18:$BC$199,2*(ROWS(H$211:H223)-1)+1),"")</f>
        <v>0</v>
      </c>
      <c r="I223">
        <f>IFERROR(INDEX('M04-S07'!$BJ$18:$BJ$199,2*(ROWS(I$211:I223)-1)+1),"")</f>
        <v>0</v>
      </c>
      <c r="J223" s="9">
        <f>IFERROR(INDEX('M04-S07'!$BN$18:$BN$199,2*(ROWS(J$211:J223)-1)+1),"")</f>
        <v>0</v>
      </c>
      <c r="K223" s="9">
        <f>IFERROR(INDEX('M04-S07'!$BO$18:$BO$199,2*(ROWS(K$211:K223)-1)+1),"")</f>
        <v>0</v>
      </c>
      <c r="L223" s="51">
        <f>IFERROR(INDEX('M04-S07'!$BD$18:$BD$199,2*(ROWS(L$211:L223)-1)+1),"")</f>
        <v>0</v>
      </c>
      <c r="M223" s="171"/>
      <c r="N223" s="171"/>
      <c r="O223">
        <f>IFERROR(INDEX('M04-S07'!$H$18:$H$199,2*(ROWS(O$211:O223)-1)+1),"")</f>
        <v>0</v>
      </c>
      <c r="P223">
        <f>IFERROR(INDEX('M04-S07'!$N$18:$N$199,2*(ROWS(P$211:P223)-1)+1),"")</f>
        <v>0</v>
      </c>
      <c r="Q223">
        <f>IFERROR(INDEX('M04-S07'!$W$18:$W$199,2*(ROWS(Q$211:Q223)-1)+1),"")</f>
        <v>0</v>
      </c>
      <c r="S223">
        <f>IFERROR(INDEX('M04-S07'!$AX$18:$AX$199,2*(ROWS(S$211:S223)-1)+1),"")</f>
        <v>0</v>
      </c>
      <c r="T223" s="5">
        <f>IFERROR(ROUND(INDEX('M04-S07'!$AY$18:$AY$199,2*(ROWS(T$211:T223)-1)+1),3),"")</f>
        <v>0</v>
      </c>
      <c r="U223" s="5">
        <f>IFERROR(ROUND(INDEX('M04-S07'!$AZ$18:$AZ$199,2*(ROWS(U$211:U223)-1)+1),3),"")</f>
        <v>0</v>
      </c>
      <c r="V223" s="184"/>
      <c r="W223" s="184"/>
      <c r="X223" s="184"/>
      <c r="Y223" s="184"/>
      <c r="Z223" s="184"/>
      <c r="AA223" s="9" cm="1">
        <f t="array" ref="AA223">IFERROR(ROUND(INDEX('M04-S07'!$AR$18:$AR$199,2*(ROWS(AA$211:AA223)-1)+1), 2),"")</f>
        <v>0</v>
      </c>
      <c r="AB223" s="164"/>
      <c r="AC223" s="9" t="str" cm="1">
        <f t="array" ref="AC223">IFERROR(ROUND(IF(BB223&lt;&gt;"","",INDEX('M04-S07'!$AH$18:$AH$199,2*(ROWS(AC$211:AC223)-1)+1)),2),"")</f>
        <v/>
      </c>
      <c r="AD223" s="9" t="str" cm="1">
        <f t="array" ref="AD223">IFERROR(ROUND(IF(BB223&lt;&gt;"","",INDEX('M04-S07'!$AJ$18:$AJ$199,2*(ROWS(AD$211:AD223)-1)+1)),2),"")</f>
        <v/>
      </c>
      <c r="AE223" s="9" t="str">
        <f t="shared" si="33"/>
        <v/>
      </c>
      <c r="AF223" t="str">
        <f>IFERROR(IF(BB223&lt;&gt;"","",INDEX('M04-S07'!$AF$18:$AF$199,2*(ROWS(AG$211:AG223)-1)+1)),"")</f>
        <v/>
      </c>
      <c r="AG223" s="9" t="str" cm="1">
        <f t="array" ref="AG223">IFERROR(ROUND(IF(BB223&lt;&gt;"","",INDEX('M04-S07'!$AL$18:$AL$199,2*(ROWS(AG$211:AG223)-1)+1)),2),"")</f>
        <v/>
      </c>
      <c r="AH223" s="184"/>
      <c r="AI223" s="191"/>
      <c r="AJ223" s="32" t="str">
        <f>IFERROR(ROUND(IF(BA223&lt;&gt;"","",INDEX('M04-S07'!$AO$18:$AO$199,2*(ROWS(AJ$211:AJ223)-1)+1)),4),"")</f>
        <v/>
      </c>
      <c r="AK223" s="32" t="str">
        <f>IFERROR(ROUND(IF(BA223&lt;&gt;"","",INDEX('M04-S07'!$BF$18:$BF$199,2*(ROWS(AK$211:AK223)-1)+1)),4),"")</f>
        <v/>
      </c>
      <c r="AL223" s="32" t="str">
        <f>IFERROR(ROUND(IF(BA223&lt;&gt;"","",INDEX('M04-S07'!$BG$18:$BG$199,2*(ROWS(AL$211:AL223)-1)+1)),4),"")</f>
        <v/>
      </c>
      <c r="AM223" s="32" cm="1">
        <f t="array" ref="AM223">IFERROR(ROUND(INDEX('M04-S07'!$BA$18:$BA$199,2*(ROWS(AM$211:AM223)-1)+1),4),"")</f>
        <v>0</v>
      </c>
      <c r="AN223" s="32" cm="1">
        <f t="array" ref="AN223">IFERROR(ROUND(INDEX('M04-S07'!$BB$18:$BB$199,2*(ROWS(AN$211:AN223)-1)+1),4),"")</f>
        <v>0</v>
      </c>
      <c r="AO223" s="32"/>
      <c r="AP223" s="9">
        <f>IFERROR(ROUND(IF(BB223&lt;&gt;"",INDEX('M04-S07'!$AH$18:$AH$199,2*(ROWS(AP$211:AP223)-1)+1),""),2),"")</f>
        <v>0</v>
      </c>
      <c r="AQ223" s="9">
        <f>IFERROR(ROUND(IF(BB223&lt;&gt;"",INDEX('M04-S07'!$AJ$18:$AJ$199,2*(ROWS(AQ$211:AQ223)-1)+1),""),2),"")</f>
        <v>0</v>
      </c>
      <c r="AR223" s="9" t="str">
        <f t="shared" si="34"/>
        <v/>
      </c>
      <c r="AS223">
        <f>IFERROR(IF(BB223&lt;&gt;"",INDEX('M04-S07'!$AF$18:$AF$199,2*(ROWS(AS$211:AS223)-1)+1),""),"")</f>
        <v>0</v>
      </c>
      <c r="AT223" s="9" cm="1">
        <f t="array" ref="AT223">IFERROR(ROUND(IF(BB223&lt;&gt;"", INDEX('M04-S07'!$AL$18:$AL$199,2*(ROWS(AG$211:AG223)-1)+1), ""),2),"")</f>
        <v>0</v>
      </c>
      <c r="AU223" s="184"/>
      <c r="AV223" s="5">
        <f>IFERROR(IF(BB223&lt;&gt;"",ROUND(INDEX('M04-S07'!$AY$18:$AY$199,2*(ROWS(AV$211:AV223)-1)+1),3),""),"")</f>
        <v>0</v>
      </c>
      <c r="AW223" s="5">
        <f>IFERROR(IF(BB223&lt;&gt;"",ROUND(INDEX('M04-S07'!$AZ$18:$AZ$199,2*(ROWS(AW$211:AW223)-1)+1),3),""),"")</f>
        <v>0</v>
      </c>
      <c r="AX223" s="184"/>
      <c r="AY223" s="26">
        <f>IFERROR(IF(BB223&lt;&gt;"",INDEX('M04-S07'!$AO$18:$AO$199,2*(ROWS(AY$211:AY223)-1)+1),""),"")</f>
        <v>0</v>
      </c>
      <c r="AZ223" s="32">
        <f>IFERROR(IF(BB223&lt;&gt;"",INDEX('M04-S07'!$BF$18:$BF$199,2*(ROWS(AZ$211:AZ223)-1)+1),""),"")</f>
        <v>0</v>
      </c>
      <c r="BA223" s="32">
        <f>IFERROR(IF(BB223&lt;&gt;"",INDEX('M04-S07'!$BG$18:$BG$199,2*(ROWS(BA$211:BA223)-1)+1),""),"")</f>
        <v>0</v>
      </c>
      <c r="BB223">
        <f>IFERROR(INDEX('M04-S07'!$BY$18:$BY$199,2*(ROWS(BB$211:BB223)-1)+1),"")</f>
        <v>0</v>
      </c>
    </row>
    <row r="224" spans="1:54">
      <c r="A224" s="10">
        <f t="shared" si="31"/>
        <v>0</v>
      </c>
      <c r="B224" t="str">
        <f t="shared" si="32"/>
        <v/>
      </c>
      <c r="C224" t="str" cm="1">
        <f t="array" ref="C224">IFERROR(_xlfn.VALUETOTEXT(INDEX('M04-S07'!$BW$18:$BW$199,2*(ROWS($C$211:C224)-1)+1)),"")</f>
        <v/>
      </c>
      <c r="D224">
        <f>IFERROR(INDEX('M04-S07'!$B$18:$B$199,2*(ROWS(D$211:D224)-1)+1),"")</f>
        <v>0</v>
      </c>
      <c r="E224" s="51" t="str" cm="1">
        <f t="array" ref="E224">IFERROR(_xlfn.VALUETOTEXT(INDEX('M04-S07'!$BX$18:$BX$199,2*(ROWS($E$211:E224)-1)+1)),"")</f>
        <v/>
      </c>
      <c r="F224" t="str" cm="1">
        <f t="array" ref="F224">IF(C224&lt;&gt;"", _xlfn.SWITCH(Program_Banner, "Small Business / Non-Profit", "Hard-To-Reach Business", "Business Energy Savings", "Whole Business Efficiency", ""), "")</f>
        <v/>
      </c>
      <c r="G224" t="s">
        <v>135</v>
      </c>
      <c r="H224">
        <f>IFERROR(INDEX('M04-S07'!$BC$18:$BC$199,2*(ROWS(H$211:H224)-1)+1),"")</f>
        <v>0</v>
      </c>
      <c r="I224">
        <f>IFERROR(INDEX('M04-S07'!$BJ$18:$BJ$199,2*(ROWS(I$211:I224)-1)+1),"")</f>
        <v>0</v>
      </c>
      <c r="J224" s="9">
        <f>IFERROR(INDEX('M04-S07'!$BN$18:$BN$199,2*(ROWS(J$211:J224)-1)+1),"")</f>
        <v>0</v>
      </c>
      <c r="K224" s="9">
        <f>IFERROR(INDEX('M04-S07'!$BO$18:$BO$199,2*(ROWS(K$211:K224)-1)+1),"")</f>
        <v>0</v>
      </c>
      <c r="L224" s="51">
        <f>IFERROR(INDEX('M04-S07'!$BD$18:$BD$199,2*(ROWS(L$211:L224)-1)+1),"")</f>
        <v>0</v>
      </c>
      <c r="M224" s="171"/>
      <c r="N224" s="171"/>
      <c r="O224">
        <f>IFERROR(INDEX('M04-S07'!$H$18:$H$199,2*(ROWS(O$211:O224)-1)+1),"")</f>
        <v>0</v>
      </c>
      <c r="P224">
        <f>IFERROR(INDEX('M04-S07'!$N$18:$N$199,2*(ROWS(P$211:P224)-1)+1),"")</f>
        <v>0</v>
      </c>
      <c r="Q224">
        <f>IFERROR(INDEX('M04-S07'!$W$18:$W$199,2*(ROWS(Q$211:Q224)-1)+1),"")</f>
        <v>0</v>
      </c>
      <c r="S224">
        <f>IFERROR(INDEX('M04-S07'!$AX$18:$AX$199,2*(ROWS(S$211:S224)-1)+1),"")</f>
        <v>0</v>
      </c>
      <c r="T224" s="5">
        <f>IFERROR(ROUND(INDEX('M04-S07'!$AY$18:$AY$199,2*(ROWS(T$211:T224)-1)+1),3),"")</f>
        <v>0</v>
      </c>
      <c r="U224" s="5">
        <f>IFERROR(ROUND(INDEX('M04-S07'!$AZ$18:$AZ$199,2*(ROWS(U$211:U224)-1)+1),3),"")</f>
        <v>0</v>
      </c>
      <c r="V224" s="184"/>
      <c r="W224" s="184"/>
      <c r="X224" s="184"/>
      <c r="Y224" s="184"/>
      <c r="Z224" s="184"/>
      <c r="AA224" s="9" cm="1">
        <f t="array" ref="AA224">IFERROR(ROUND(INDEX('M04-S07'!$AR$18:$AR$199,2*(ROWS(AA$211:AA224)-1)+1), 2),"")</f>
        <v>0</v>
      </c>
      <c r="AB224" s="164"/>
      <c r="AC224" s="9" t="str" cm="1">
        <f t="array" ref="AC224">IFERROR(ROUND(IF(BB224&lt;&gt;"","",INDEX('M04-S07'!$AH$18:$AH$199,2*(ROWS(AC$211:AC224)-1)+1)),2),"")</f>
        <v/>
      </c>
      <c r="AD224" s="9" t="str" cm="1">
        <f t="array" ref="AD224">IFERROR(ROUND(IF(BB224&lt;&gt;"","",INDEX('M04-S07'!$AJ$18:$AJ$199,2*(ROWS(AD$211:AD224)-1)+1)),2),"")</f>
        <v/>
      </c>
      <c r="AE224" s="9" t="str">
        <f t="shared" si="33"/>
        <v/>
      </c>
      <c r="AF224" t="str">
        <f>IFERROR(IF(BB224&lt;&gt;"","",INDEX('M04-S07'!$AF$18:$AF$199,2*(ROWS(AG$211:AG224)-1)+1)),"")</f>
        <v/>
      </c>
      <c r="AG224" s="9" t="str" cm="1">
        <f t="array" ref="AG224">IFERROR(ROUND(IF(BB224&lt;&gt;"","",INDEX('M04-S07'!$AL$18:$AL$199,2*(ROWS(AG$211:AG224)-1)+1)),2),"")</f>
        <v/>
      </c>
      <c r="AH224" s="184"/>
      <c r="AI224" s="191"/>
      <c r="AJ224" s="32" t="str">
        <f>IFERROR(ROUND(IF(BA224&lt;&gt;"","",INDEX('M04-S07'!$AO$18:$AO$199,2*(ROWS(AJ$211:AJ224)-1)+1)),4),"")</f>
        <v/>
      </c>
      <c r="AK224" s="32" t="str">
        <f>IFERROR(ROUND(IF(BA224&lt;&gt;"","",INDEX('M04-S07'!$BF$18:$BF$199,2*(ROWS(AK$211:AK224)-1)+1)),4),"")</f>
        <v/>
      </c>
      <c r="AL224" s="32" t="str">
        <f>IFERROR(ROUND(IF(BA224&lt;&gt;"","",INDEX('M04-S07'!$BG$18:$BG$199,2*(ROWS(AL$211:AL224)-1)+1)),4),"")</f>
        <v/>
      </c>
      <c r="AM224" s="32" cm="1">
        <f t="array" ref="AM224">IFERROR(ROUND(INDEX('M04-S07'!$BA$18:$BA$199,2*(ROWS(AM$211:AM224)-1)+1),4),"")</f>
        <v>0</v>
      </c>
      <c r="AN224" s="32" cm="1">
        <f t="array" ref="AN224">IFERROR(ROUND(INDEX('M04-S07'!$BB$18:$BB$199,2*(ROWS(AN$211:AN224)-1)+1),4),"")</f>
        <v>0</v>
      </c>
      <c r="AO224" s="32"/>
      <c r="AP224" s="9">
        <f>IFERROR(ROUND(IF(BB224&lt;&gt;"",INDEX('M04-S07'!$AH$18:$AH$199,2*(ROWS(AP$211:AP224)-1)+1),""),2),"")</f>
        <v>0</v>
      </c>
      <c r="AQ224" s="9">
        <f>IFERROR(ROUND(IF(BB224&lt;&gt;"",INDEX('M04-S07'!$AJ$18:$AJ$199,2*(ROWS(AQ$211:AQ224)-1)+1),""),2),"")</f>
        <v>0</v>
      </c>
      <c r="AR224" s="9" t="str">
        <f t="shared" si="34"/>
        <v/>
      </c>
      <c r="AS224">
        <f>IFERROR(IF(BB224&lt;&gt;"",INDEX('M04-S07'!$AF$18:$AF$199,2*(ROWS(AS$211:AS224)-1)+1),""),"")</f>
        <v>0</v>
      </c>
      <c r="AT224" s="9" cm="1">
        <f t="array" ref="AT224">IFERROR(ROUND(IF(BB224&lt;&gt;"", INDEX('M04-S07'!$AL$18:$AL$199,2*(ROWS(AG$211:AG224)-1)+1), ""),2),"")</f>
        <v>0</v>
      </c>
      <c r="AU224" s="184"/>
      <c r="AV224" s="5">
        <f>IFERROR(IF(BB224&lt;&gt;"",ROUND(INDEX('M04-S07'!$AY$18:$AY$199,2*(ROWS(AV$211:AV224)-1)+1),3),""),"")</f>
        <v>0</v>
      </c>
      <c r="AW224" s="5">
        <f>IFERROR(IF(BB224&lt;&gt;"",ROUND(INDEX('M04-S07'!$AZ$18:$AZ$199,2*(ROWS(AW$211:AW224)-1)+1),3),""),"")</f>
        <v>0</v>
      </c>
      <c r="AX224" s="184"/>
      <c r="AY224" s="26">
        <f>IFERROR(IF(BB224&lt;&gt;"",INDEX('M04-S07'!$AO$18:$AO$199,2*(ROWS(AY$211:AY224)-1)+1),""),"")</f>
        <v>0</v>
      </c>
      <c r="AZ224" s="32">
        <f>IFERROR(IF(BB224&lt;&gt;"",INDEX('M04-S07'!$BF$18:$BF$199,2*(ROWS(AZ$211:AZ224)-1)+1),""),"")</f>
        <v>0</v>
      </c>
      <c r="BA224" s="32">
        <f>IFERROR(IF(BB224&lt;&gt;"",INDEX('M04-S07'!$BG$18:$BG$199,2*(ROWS(BA$211:BA224)-1)+1),""),"")</f>
        <v>0</v>
      </c>
      <c r="BB224">
        <f>IFERROR(INDEX('M04-S07'!$BY$18:$BY$199,2*(ROWS(BB$211:BB224)-1)+1),"")</f>
        <v>0</v>
      </c>
    </row>
    <row r="225" spans="1:54">
      <c r="A225" s="10">
        <f t="shared" si="31"/>
        <v>0</v>
      </c>
      <c r="B225" t="str">
        <f t="shared" si="32"/>
        <v/>
      </c>
      <c r="C225" t="str" cm="1">
        <f t="array" ref="C225">IFERROR(_xlfn.VALUETOTEXT(INDEX('M04-S07'!$BW$18:$BW$199,2*(ROWS($C$211:C225)-1)+1)),"")</f>
        <v/>
      </c>
      <c r="D225">
        <f>IFERROR(INDEX('M04-S07'!$B$18:$B$199,2*(ROWS(D$211:D225)-1)+1),"")</f>
        <v>0</v>
      </c>
      <c r="E225" s="51" t="str" cm="1">
        <f t="array" ref="E225">IFERROR(_xlfn.VALUETOTEXT(INDEX('M04-S07'!$BX$18:$BX$199,2*(ROWS($E$211:E225)-1)+1)),"")</f>
        <v/>
      </c>
      <c r="F225" t="str" cm="1">
        <f t="array" ref="F225">IF(C225&lt;&gt;"", _xlfn.SWITCH(Program_Banner, "Small Business / Non-Profit", "Hard-To-Reach Business", "Business Energy Savings", "Whole Business Efficiency", ""), "")</f>
        <v/>
      </c>
      <c r="G225" t="s">
        <v>135</v>
      </c>
      <c r="H225">
        <f>IFERROR(INDEX('M04-S07'!$BC$18:$BC$199,2*(ROWS(H$211:H225)-1)+1),"")</f>
        <v>0</v>
      </c>
      <c r="I225">
        <f>IFERROR(INDEX('M04-S07'!$BJ$18:$BJ$199,2*(ROWS(I$211:I225)-1)+1),"")</f>
        <v>0</v>
      </c>
      <c r="J225" s="9">
        <f>IFERROR(INDEX('M04-S07'!$BN$18:$BN$199,2*(ROWS(J$211:J225)-1)+1),"")</f>
        <v>0</v>
      </c>
      <c r="K225" s="9">
        <f>IFERROR(INDEX('M04-S07'!$BO$18:$BO$199,2*(ROWS(K$211:K225)-1)+1),"")</f>
        <v>0</v>
      </c>
      <c r="L225" s="51">
        <f>IFERROR(INDEX('M04-S07'!$BD$18:$BD$199,2*(ROWS(L$211:L225)-1)+1),"")</f>
        <v>0</v>
      </c>
      <c r="M225" s="171"/>
      <c r="N225" s="171"/>
      <c r="O225">
        <f>IFERROR(INDEX('M04-S07'!$H$18:$H$199,2*(ROWS(O$211:O225)-1)+1),"")</f>
        <v>0</v>
      </c>
      <c r="P225">
        <f>IFERROR(INDEX('M04-S07'!$N$18:$N$199,2*(ROWS(P$211:P225)-1)+1),"")</f>
        <v>0</v>
      </c>
      <c r="Q225">
        <f>IFERROR(INDEX('M04-S07'!$W$18:$W$199,2*(ROWS(Q$211:Q225)-1)+1),"")</f>
        <v>0</v>
      </c>
      <c r="S225">
        <f>IFERROR(INDEX('M04-S07'!$AX$18:$AX$199,2*(ROWS(S$211:S225)-1)+1),"")</f>
        <v>0</v>
      </c>
      <c r="T225" s="5">
        <f>IFERROR(ROUND(INDEX('M04-S07'!$AY$18:$AY$199,2*(ROWS(T$211:T225)-1)+1),3),"")</f>
        <v>0</v>
      </c>
      <c r="U225" s="5">
        <f>IFERROR(ROUND(INDEX('M04-S07'!$AZ$18:$AZ$199,2*(ROWS(U$211:U225)-1)+1),3),"")</f>
        <v>0</v>
      </c>
      <c r="V225" s="184"/>
      <c r="W225" s="184"/>
      <c r="X225" s="184"/>
      <c r="Y225" s="184"/>
      <c r="Z225" s="184"/>
      <c r="AA225" s="9" cm="1">
        <f t="array" ref="AA225">IFERROR(ROUND(INDEX('M04-S07'!$AR$18:$AR$199,2*(ROWS(AA$211:AA225)-1)+1), 2),"")</f>
        <v>0</v>
      </c>
      <c r="AB225" s="164"/>
      <c r="AC225" s="9" t="str" cm="1">
        <f t="array" ref="AC225">IFERROR(ROUND(IF(BB225&lt;&gt;"","",INDEX('M04-S07'!$AH$18:$AH$199,2*(ROWS(AC$211:AC225)-1)+1)),2),"")</f>
        <v/>
      </c>
      <c r="AD225" s="9" t="str" cm="1">
        <f t="array" ref="AD225">IFERROR(ROUND(IF(BB225&lt;&gt;"","",INDEX('M04-S07'!$AJ$18:$AJ$199,2*(ROWS(AD$211:AD225)-1)+1)),2),"")</f>
        <v/>
      </c>
      <c r="AE225" s="9" t="str">
        <f t="shared" si="33"/>
        <v/>
      </c>
      <c r="AF225" t="str">
        <f>IFERROR(IF(BB225&lt;&gt;"","",INDEX('M04-S07'!$AF$18:$AF$199,2*(ROWS(AG$211:AG225)-1)+1)),"")</f>
        <v/>
      </c>
      <c r="AG225" s="9" t="str" cm="1">
        <f t="array" ref="AG225">IFERROR(ROUND(IF(BB225&lt;&gt;"","",INDEX('M04-S07'!$AL$18:$AL$199,2*(ROWS(AG$211:AG225)-1)+1)),2),"")</f>
        <v/>
      </c>
      <c r="AH225" s="184"/>
      <c r="AI225" s="191"/>
      <c r="AJ225" s="32" t="str">
        <f>IFERROR(ROUND(IF(BA225&lt;&gt;"","",INDEX('M04-S07'!$AO$18:$AO$199,2*(ROWS(AJ$211:AJ225)-1)+1)),4),"")</f>
        <v/>
      </c>
      <c r="AK225" s="32" t="str">
        <f>IFERROR(ROUND(IF(BA225&lt;&gt;"","",INDEX('M04-S07'!$BF$18:$BF$199,2*(ROWS(AK$211:AK225)-1)+1)),4),"")</f>
        <v/>
      </c>
      <c r="AL225" s="32" t="str">
        <f>IFERROR(ROUND(IF(BA225&lt;&gt;"","",INDEX('M04-S07'!$BG$18:$BG$199,2*(ROWS(AL$211:AL225)-1)+1)),4),"")</f>
        <v/>
      </c>
      <c r="AM225" s="32" cm="1">
        <f t="array" ref="AM225">IFERROR(ROUND(INDEX('M04-S07'!$BA$18:$BA$199,2*(ROWS(AM$211:AM225)-1)+1),4),"")</f>
        <v>0</v>
      </c>
      <c r="AN225" s="32" cm="1">
        <f t="array" ref="AN225">IFERROR(ROUND(INDEX('M04-S07'!$BB$18:$BB$199,2*(ROWS(AN$211:AN225)-1)+1),4),"")</f>
        <v>0</v>
      </c>
      <c r="AO225" s="32"/>
      <c r="AP225" s="9">
        <f>IFERROR(ROUND(IF(BB225&lt;&gt;"",INDEX('M04-S07'!$AH$18:$AH$199,2*(ROWS(AP$211:AP225)-1)+1),""),2),"")</f>
        <v>0</v>
      </c>
      <c r="AQ225" s="9">
        <f>IFERROR(ROUND(IF(BB225&lt;&gt;"",INDEX('M04-S07'!$AJ$18:$AJ$199,2*(ROWS(AQ$211:AQ225)-1)+1),""),2),"")</f>
        <v>0</v>
      </c>
      <c r="AR225" s="9" t="str">
        <f t="shared" si="34"/>
        <v/>
      </c>
      <c r="AS225">
        <f>IFERROR(IF(BB225&lt;&gt;"",INDEX('M04-S07'!$AF$18:$AF$199,2*(ROWS(AS$211:AS225)-1)+1),""),"")</f>
        <v>0</v>
      </c>
      <c r="AT225" s="9" cm="1">
        <f t="array" ref="AT225">IFERROR(ROUND(IF(BB225&lt;&gt;"", INDEX('M04-S07'!$AL$18:$AL$199,2*(ROWS(AG$211:AG225)-1)+1), ""),2),"")</f>
        <v>0</v>
      </c>
      <c r="AU225" s="184"/>
      <c r="AV225" s="5">
        <f>IFERROR(IF(BB225&lt;&gt;"",ROUND(INDEX('M04-S07'!$AY$18:$AY$199,2*(ROWS(AV$211:AV225)-1)+1),3),""),"")</f>
        <v>0</v>
      </c>
      <c r="AW225" s="5">
        <f>IFERROR(IF(BB225&lt;&gt;"",ROUND(INDEX('M04-S07'!$AZ$18:$AZ$199,2*(ROWS(AW$211:AW225)-1)+1),3),""),"")</f>
        <v>0</v>
      </c>
      <c r="AX225" s="184"/>
      <c r="AY225" s="26">
        <f>IFERROR(IF(BB225&lt;&gt;"",INDEX('M04-S07'!$AO$18:$AO$199,2*(ROWS(AY$211:AY225)-1)+1),""),"")</f>
        <v>0</v>
      </c>
      <c r="AZ225" s="32">
        <f>IFERROR(IF(BB225&lt;&gt;"",INDEX('M04-S07'!$BF$18:$BF$199,2*(ROWS(AZ$211:AZ225)-1)+1),""),"")</f>
        <v>0</v>
      </c>
      <c r="BA225" s="32">
        <f>IFERROR(IF(BB225&lt;&gt;"",INDEX('M04-S07'!$BG$18:$BG$199,2*(ROWS(BA$211:BA225)-1)+1),""),"")</f>
        <v>0</v>
      </c>
      <c r="BB225">
        <f>IFERROR(INDEX('M04-S07'!$BY$18:$BY$199,2*(ROWS(BB$211:BB225)-1)+1),"")</f>
        <v>0</v>
      </c>
    </row>
    <row r="226" spans="1:54">
      <c r="A226" s="477" t="str">
        <f>"Custom "&amp;M4S8</f>
        <v>Custom Motors and Drives</v>
      </c>
      <c r="B226" s="31"/>
      <c r="C226" s="31"/>
      <c r="D226" s="31"/>
      <c r="E226" s="31"/>
      <c r="F226" s="31"/>
      <c r="G226" s="31"/>
      <c r="H226" s="31"/>
      <c r="I226" s="31"/>
      <c r="J226" s="181"/>
      <c r="K226" s="181"/>
      <c r="L226" s="31"/>
      <c r="M226" s="31"/>
      <c r="N226" s="31"/>
      <c r="O226" s="98"/>
      <c r="P226" s="31"/>
      <c r="Q226" s="31"/>
      <c r="R226" s="31"/>
      <c r="S226" s="31"/>
      <c r="T226" s="187"/>
      <c r="U226" s="187"/>
      <c r="V226" s="185"/>
      <c r="W226" s="185"/>
      <c r="X226" s="185"/>
      <c r="Y226" s="185"/>
      <c r="Z226" s="185"/>
      <c r="AA226" s="181"/>
      <c r="AB226" s="31"/>
      <c r="AC226" s="181"/>
      <c r="AD226" s="181"/>
      <c r="AE226" s="181"/>
      <c r="AF226" s="31"/>
      <c r="AG226" s="181"/>
      <c r="AH226" s="31"/>
      <c r="AI226" s="189"/>
      <c r="AJ226" s="189"/>
      <c r="AK226" s="189"/>
      <c r="AL226" s="189"/>
      <c r="AM226" s="189"/>
      <c r="AN226" s="189"/>
      <c r="AO226" s="189"/>
      <c r="AP226" s="181"/>
      <c r="AQ226" s="181"/>
      <c r="AR226" s="181"/>
      <c r="AS226" s="31"/>
      <c r="AT226" s="31"/>
      <c r="AU226" s="31"/>
      <c r="AV226" s="187"/>
      <c r="AW226" s="187"/>
      <c r="AX226" s="185"/>
      <c r="AY226" s="185"/>
      <c r="AZ226" s="189"/>
      <c r="BA226" s="189"/>
      <c r="BB226" s="31"/>
    </row>
    <row r="227" spans="1:54">
      <c r="A227" s="10">
        <f t="shared" ref="A227:A241" si="35">PROJID</f>
        <v>0</v>
      </c>
      <c r="B227" t="str">
        <f t="shared" ref="B227:B241" si="36">IF(C227="","",CONCATENATE(ROW(),"-",C227))</f>
        <v/>
      </c>
      <c r="C227" t="str" cm="1">
        <f t="array" ref="C227">IFERROR(_xlfn.VALUETOTEXT(INDEX('M04-S08'!$BW$18:$BW$199,2*(ROWS($C227:C$227)-1)+1)),"")</f>
        <v/>
      </c>
      <c r="D227">
        <f>IFERROR(INDEX('M04-S08'!$B$18:$B$199,2*(ROWS(D227:D$227)-1)+1),"")</f>
        <v>1</v>
      </c>
      <c r="E227" s="51" t="str" cm="1">
        <f t="array" ref="E227">IFERROR(_xlfn.VALUETOTEXT(INDEX('M04-S08'!$BX$18:$BX$199,2*(ROWS($E227:E$227)-1)+1)),"")</f>
        <v/>
      </c>
      <c r="F227" t="str" cm="1">
        <f t="array" ref="F227">IF(C227&lt;&gt;"", _xlfn.SWITCH(Program_Banner, "Small Business / Non-Profit", "Hard-To-Reach Business", "Business Energy Savings", "Whole Business Efficiency", ""), "")</f>
        <v/>
      </c>
      <c r="G227" t="s">
        <v>135</v>
      </c>
      <c r="H227" t="str">
        <f>IFERROR(INDEX('M04-S08'!$BC$18:$BC$199,2*(ROWS(H227:H$227)-1)+1),"")</f>
        <v/>
      </c>
      <c r="I227" t="str">
        <f>IFERROR(INDEX('M04-S08'!$BJ$18:$BJ$199,2*(ROWS(I227:I$227)-1)+1),"")</f>
        <v/>
      </c>
      <c r="J227" s="9" t="str">
        <f>IFERROR(INDEX('M04-S08'!$BN$18:$BN$199,2*(ROWS(J227:J$227)-1)+1),"")</f>
        <v/>
      </c>
      <c r="K227" s="9" t="str">
        <f>IFERROR(INDEX('M04-S08'!$BO$18:$BO$199,2*(ROWS(K227:K$227)-1)+1),"")</f>
        <v/>
      </c>
      <c r="L227" s="51" t="str">
        <f>IFERROR(INDEX('M04-S08'!$BD$18:$BD$199,2*(ROWS(L227:L$227)-1)+1),"")</f>
        <v/>
      </c>
      <c r="M227" s="171"/>
      <c r="N227" s="171"/>
      <c r="O227">
        <f>IFERROR(INDEX('M04-S08'!$H$18:$H$199,2*(ROWS(O227:O$227)-1)+1),"")</f>
        <v>0</v>
      </c>
      <c r="P227">
        <f>IFERROR(INDEX('M04-S08'!$N$18:$N$199,2*(ROWS(P227:P$227)-1)+1),"")</f>
        <v>0</v>
      </c>
      <c r="Q227">
        <f>IFERROR(INDEX('M04-S08'!$W$18:$W$199,2*(ROWS(Q227:Q$227)-1)+1),"")</f>
        <v>0</v>
      </c>
      <c r="S227" t="str">
        <f>IFERROR(INDEX('M04-S08'!$AX$18:$AX$199,2*(ROWS(S227:S$227)-1)+1),"")</f>
        <v/>
      </c>
      <c r="T227" s="5" t="str">
        <f>IFERROR(ROUND(INDEX('M04-S08'!$AY$18:$AY$199,2*(ROWS(T227:T$227)-1)+1),3),"")</f>
        <v/>
      </c>
      <c r="U227" s="5" t="str">
        <f>IFERROR(ROUND(INDEX('M04-S08'!$AZ$18:$AZ$199,2*(ROWS(U227:U$227)-1)+1),3),"")</f>
        <v/>
      </c>
      <c r="V227" s="184"/>
      <c r="W227" s="184"/>
      <c r="X227" s="184"/>
      <c r="Y227" s="184"/>
      <c r="Z227" s="184"/>
      <c r="AA227" s="9" t="str" cm="1">
        <f t="array" ref="AA227">IFERROR(ROUND(INDEX('M04-S08'!$AR$18:$AR$199,2*(ROWS(AA$227:AA227)-1)+1), 2),"")</f>
        <v/>
      </c>
      <c r="AB227" s="164"/>
      <c r="AC227" s="9" t="str" cm="1">
        <f t="array" aca="1" ref="AC227" ca="1">IFERROR(ROUND(IF(BB227&lt;&gt;"","",INDEX('M04-S08'!$AH$18:$AH$199,2*(ROWS(AC227:AC$227)-1)+1)),2),"")</f>
        <v/>
      </c>
      <c r="AD227" s="9" t="str" cm="1">
        <f t="array" aca="1" ref="AD227" ca="1">IFERROR(ROUND(IF(BB227&lt;&gt;"","",INDEX('M04-S08'!$AJ$18:$AJ$199,2*(ROWS(AD227:AD$227)-1)+1)),2),"")</f>
        <v/>
      </c>
      <c r="AE227" s="9" t="str">
        <f t="shared" ref="AE227:AE246" ca="1" si="37">IF(BB227&lt;&gt;"", "", IF(AF227="Total", AG227, ""))</f>
        <v/>
      </c>
      <c r="AF227" t="str">
        <f ca="1">IFERROR(IF(BB227&lt;&gt;"","",INDEX('M04-S08'!$AF$18:$AF$199,2*(ROWS(AG227:AG$227)-1)+1)),"")</f>
        <v/>
      </c>
      <c r="AG227" s="9" t="str" cm="1">
        <f t="array" aca="1" ref="AG227" ca="1">IFERROR(ROUND(IF(BB227&lt;&gt;"","",INDEX('M04-S08'!$AL$18:$AL$199,2*(ROWS(AG227:AG$227)-1)+1)),2),"")</f>
        <v/>
      </c>
      <c r="AH227" s="184"/>
      <c r="AI227" s="184"/>
      <c r="AJ227" s="26" t="str">
        <f ca="1">IFERROR(ROUND(IF(BA227&lt;&gt;"","",INDEX('M04-S08'!$AO$18:$AO$199,2*(ROWS(AJ227:AJ$227)-1)+1)),4),"")</f>
        <v/>
      </c>
      <c r="AK227" s="32">
        <f ca="1">IFERROR(ROUND(IF(BA227&lt;&gt;"","",INDEX('M04-S08'!$BF$18:$BF$199,2*(ROWS(AK$227:AK227)-1)+1)),4),"")</f>
        <v>0</v>
      </c>
      <c r="AL227" s="32" t="str">
        <f ca="1">IFERROR(ROUND(IF(BA227&lt;&gt;"","",INDEX('M04-S08'!$BG$18:$BG$199,2*(ROWS(AL227:AL$227)-1)+1)),4),"")</f>
        <v/>
      </c>
      <c r="AM227" s="32" t="str" cm="1">
        <f t="array" ref="AM227">IFERROR(ROUND(INDEX('M04-S08'!$BA$18:$BA$199,2*(ROWS(AM227:AM$227)-1)+1),4),"")</f>
        <v/>
      </c>
      <c r="AN227" s="32" t="str" cm="1">
        <f t="array" ref="AN227">IFERROR(ROUND(INDEX('M04-S08'!$BB$18:$BB$199,2*(ROWS(AN227:AN$227)-1)+1),4),"")</f>
        <v/>
      </c>
      <c r="AO227" s="32"/>
      <c r="AP227" s="9">
        <f ca="1">IFERROR(ROUND(IF(BB227&lt;&gt;"",INDEX('M04-S08'!$AH$18:$AH$199,2*(ROWS(AP227:AP$227)-1)+1),""),2),"")</f>
        <v>0</v>
      </c>
      <c r="AQ227" s="9" t="str">
        <f ca="1">IFERROR(ROUND(IF(BB227&lt;&gt;"",INDEX('M04-S08'!$AJ$18:$AJ$199,2*(ROWS(AQ227:AQ$227)-1)+1),""),2),"")</f>
        <v/>
      </c>
      <c r="AR227" s="9" t="str">
        <f ca="1">IF(BB227&lt;&gt;"", "", IF(AS227="Total", AT227, ""))</f>
        <v/>
      </c>
      <c r="AS227" t="str">
        <f ca="1">IFERROR(IF(BB227&lt;&gt;"",INDEX('M04-S08'!$AF$18:$AF$199,2*(ROWS(AS227:AS$227)-1)+1),""),"")</f>
        <v/>
      </c>
      <c r="AT227" s="9" t="str" cm="1">
        <f t="array" aca="1" ref="AT227" ca="1">IFERROR(ROUND(IF(BB227&lt;&gt;"", INDEX('M04-S08'!$AL$18:$AL$199,2*(ROWS(AG227:AG$227)-1)+1), ""),2),"")</f>
        <v/>
      </c>
      <c r="AU227" s="184"/>
      <c r="AV227" s="5" t="str">
        <f ca="1">IFERROR(IF(BB227&lt;&gt;"",ROUND(INDEX('M04-S08'!$AY$18:$AY$199,2*(ROWS(AV227:AV$227)-1)+1),3),""),"")</f>
        <v/>
      </c>
      <c r="AW227" s="5" t="str">
        <f ca="1">IFERROR(IF(BB227&lt;&gt;"",ROUND(INDEX('M04-S08'!$AZ$18:$AZ$199,2*(ROWS(AW227:AW$227)-1)+1),3),""),"")</f>
        <v/>
      </c>
      <c r="AX227" s="184"/>
      <c r="AY227" s="26" t="str">
        <f ca="1">IFERROR(IF(BB227&lt;&gt;"",INDEX('M04-S08'!$AO$18:$AO$199,2*(ROWS(AY227:AY$227)-1)+1),""),"")</f>
        <v/>
      </c>
      <c r="AZ227" s="32">
        <f ca="1">IFERROR(IF(BB227&lt;&gt;"",INDEX('M04-S08'!$BF$18:$BF$199,2*(ROWS(AZ$227:AZ227)-1)+1),""),"")</f>
        <v>0</v>
      </c>
      <c r="BA227" s="32" t="str">
        <f ca="1">IFERROR(IF(BB227&lt;&gt;"",INDEX('M04-S08'!$BG$18:$BG$199,2*(ROWS(BA227:BA$227)-1)+1),""),"")</f>
        <v/>
      </c>
      <c r="BB227" t="str">
        <f ca="1">IFERROR(INDEX('M04-S08'!$BY$18:$BY$199,2*(ROWS(BB227:BB$227)-1)+1),"")</f>
        <v>Submit for Review</v>
      </c>
    </row>
    <row r="228" spans="1:54">
      <c r="A228" s="10">
        <f t="shared" si="35"/>
        <v>0</v>
      </c>
      <c r="B228" t="str">
        <f t="shared" si="36"/>
        <v/>
      </c>
      <c r="C228" t="str" cm="1">
        <f t="array" ref="C228">IFERROR(_xlfn.VALUETOTEXT(INDEX('M04-S08'!$BW$18:$BW$199,2*(ROWS($C$227:C228)-1)+1)),"")</f>
        <v/>
      </c>
      <c r="D228">
        <f>IFERROR(INDEX('M04-S08'!$B$18:$B$199,2*(ROWS(D$227:D228)-1)+1),"")</f>
        <v>2</v>
      </c>
      <c r="E228" s="51" t="str" cm="1">
        <f t="array" ref="E228">IFERROR(_xlfn.VALUETOTEXT(INDEX('M04-S08'!$BX$18:$BX$199,2*(ROWS($E$227:E228)-1)+1)),"")</f>
        <v/>
      </c>
      <c r="F228" t="str" cm="1">
        <f t="array" ref="F228">IF(C228&lt;&gt;"", _xlfn.SWITCH(Program_Banner, "Small Business / Non-Profit", "Hard-To-Reach Business", "Business Energy Savings", "Whole Business Efficiency", ""), "")</f>
        <v/>
      </c>
      <c r="G228" t="s">
        <v>135</v>
      </c>
      <c r="H228" t="str">
        <f>IFERROR(INDEX('M04-S08'!$BC$18:$BC$199,2*(ROWS(H$227:H228)-1)+1),"")</f>
        <v/>
      </c>
      <c r="I228" t="str">
        <f>IFERROR(INDEX('M04-S08'!$BJ$18:$BJ$199,2*(ROWS(I$227:I228)-1)+1),"")</f>
        <v/>
      </c>
      <c r="J228" s="9" t="str">
        <f>IFERROR(INDEX('M04-S08'!$BN$18:$BN$199,2*(ROWS(J$227:J228)-1)+1),"")</f>
        <v/>
      </c>
      <c r="K228" s="9" t="str">
        <f>IFERROR(INDEX('M04-S08'!$BO$18:$BO$199,2*(ROWS(K$227:K228)-1)+1),"")</f>
        <v/>
      </c>
      <c r="L228" s="51" t="str">
        <f>IFERROR(INDEX('M04-S08'!$BD$18:$BD$199,2*(ROWS(L$227:L228)-1)+1),"")</f>
        <v/>
      </c>
      <c r="M228" s="171"/>
      <c r="N228" s="171"/>
      <c r="O228">
        <f>IFERROR(INDEX('M04-S08'!$H$18:$H$199,2*(ROWS(O$227:O228)-1)+1),"")</f>
        <v>0</v>
      </c>
      <c r="P228">
        <f>IFERROR(INDEX('M04-S08'!$N$18:$N$199,2*(ROWS(P$227:P228)-1)+1),"")</f>
        <v>0</v>
      </c>
      <c r="Q228">
        <f>IFERROR(INDEX('M04-S08'!$W$18:$W$199,2*(ROWS(Q$227:Q228)-1)+1),"")</f>
        <v>0</v>
      </c>
      <c r="S228" t="str">
        <f>IFERROR(INDEX('M04-S08'!$AX$18:$AX$199,2*(ROWS(S$227:S228)-1)+1),"")</f>
        <v/>
      </c>
      <c r="T228" s="5" t="str">
        <f>IFERROR(ROUND(INDEX('M04-S08'!$AY$18:$AY$199,2*(ROWS(T$227:T228)-1)+1),3),"")</f>
        <v/>
      </c>
      <c r="U228" s="5" t="str">
        <f>IFERROR(ROUND(INDEX('M04-S08'!$AZ$18:$AZ$199,2*(ROWS(U$227:U228)-1)+1),3),"")</f>
        <v/>
      </c>
      <c r="V228" s="184"/>
      <c r="W228" s="184"/>
      <c r="X228" s="184"/>
      <c r="Y228" s="184"/>
      <c r="Z228" s="184"/>
      <c r="AA228" s="9" t="str" cm="1">
        <f t="array" ref="AA228">IFERROR(ROUND(INDEX('M04-S08'!$AR$18:$AR$199,2*(ROWS(AA$227:AA228)-1)+1), 2),"")</f>
        <v/>
      </c>
      <c r="AB228" s="164"/>
      <c r="AC228" s="9" t="str" cm="1">
        <f t="array" aca="1" ref="AC228" ca="1">IFERROR(ROUND(IF(BB228&lt;&gt;"","",INDEX('M04-S08'!$AH$18:$AH$199,2*(ROWS(AC$227:AC228)-1)+1)),2),"")</f>
        <v/>
      </c>
      <c r="AD228" s="9" t="str" cm="1">
        <f t="array" aca="1" ref="AD228" ca="1">IFERROR(ROUND(IF(BB228&lt;&gt;"","",INDEX('M04-S08'!$AJ$18:$AJ$199,2*(ROWS(AD$227:AD228)-1)+1)),2),"")</f>
        <v/>
      </c>
      <c r="AE228" s="9" t="str">
        <f t="shared" ca="1" si="37"/>
        <v/>
      </c>
      <c r="AF228" t="str">
        <f ca="1">IFERROR(IF(BB228&lt;&gt;"","",INDEX('M04-S08'!$AF$18:$AF$199,2*(ROWS(AG$227:AG228)-1)+1)),"")</f>
        <v/>
      </c>
      <c r="AG228" s="9" t="str" cm="1">
        <f t="array" aca="1" ref="AG228" ca="1">IFERROR(ROUND(IF(BB228&lt;&gt;"","",INDEX('M04-S08'!$AL$18:$AL$199,2*(ROWS(AG$227:AG228)-1)+1)),2),"")</f>
        <v/>
      </c>
      <c r="AH228" s="184"/>
      <c r="AI228" s="184"/>
      <c r="AJ228" s="26" t="str">
        <f ca="1">IFERROR(ROUND(IF(BA228&lt;&gt;"","",INDEX('M04-S08'!$AO$18:$AO$199,2*(ROWS(AJ$227:AJ228)-1)+1)),4),"")</f>
        <v/>
      </c>
      <c r="AK228" s="32">
        <f ca="1">IFERROR(ROUND(IF(BA228&lt;&gt;"","",INDEX('M04-S08'!$BF$18:$BF$199,2*(ROWS(AK$227:AK228)-1)+1)),4),"")</f>
        <v>0</v>
      </c>
      <c r="AL228" s="32" t="str">
        <f ca="1">IFERROR(ROUND(IF(BA228&lt;&gt;"","",INDEX('M04-S08'!$BG$18:$BG$199,2*(ROWS(AL$227:AL228)-1)+1)),4),"")</f>
        <v/>
      </c>
      <c r="AM228" s="32" t="str" cm="1">
        <f t="array" ref="AM228">IFERROR(ROUND(INDEX('M04-S08'!$BA$18:$BA$199,2*(ROWS(AM$227:AM228)-1)+1),4),"")</f>
        <v/>
      </c>
      <c r="AN228" s="32" t="str" cm="1">
        <f t="array" ref="AN228">IFERROR(ROUND(INDEX('M04-S08'!$BB$18:$BB$199,2*(ROWS(AN$227:AN228)-1)+1),4),"")</f>
        <v/>
      </c>
      <c r="AO228" s="32"/>
      <c r="AP228" s="9">
        <f ca="1">IFERROR(ROUND(IF(BB228&lt;&gt;"",INDEX('M04-S08'!$AH$18:$AH$199,2*(ROWS(AP$227:AP228)-1)+1),""),2),"")</f>
        <v>0</v>
      </c>
      <c r="AQ228" s="9" t="str">
        <f ca="1">IFERROR(ROUND(IF(BB228&lt;&gt;"",INDEX('M04-S08'!$AJ$18:$AJ$199,2*(ROWS(AQ$227:AQ228)-1)+1),""),2),"")</f>
        <v/>
      </c>
      <c r="AR228" s="9" t="str">
        <f t="shared" ref="AR228:AR246" ca="1" si="38">IF(BB228&lt;&gt;"", "", IF(AS228="Total", AT228, ""))</f>
        <v/>
      </c>
      <c r="AS228" t="str">
        <f ca="1">IFERROR(IF(BB228&lt;&gt;"",INDEX('M04-S08'!$AF$18:$AF$199,2*(ROWS(AS$227:AS228)-1)+1),""),"")</f>
        <v/>
      </c>
      <c r="AT228" s="9" t="str" cm="1">
        <f t="array" aca="1" ref="AT228" ca="1">IFERROR(ROUND(IF(BB228&lt;&gt;"", INDEX('M04-S08'!$AL$18:$AL$199,2*(ROWS(AG$227:AG228)-1)+1), ""),2),"")</f>
        <v/>
      </c>
      <c r="AU228" s="184"/>
      <c r="AV228" s="5" t="str">
        <f ca="1">IFERROR(IF(BB228&lt;&gt;"",ROUND(INDEX('M04-S08'!$AY$18:$AY$199,2*(ROWS(AV$227:AV228)-1)+1),3),""),"")</f>
        <v/>
      </c>
      <c r="AW228" s="5" t="str">
        <f ca="1">IFERROR(IF(BB228&lt;&gt;"",ROUND(INDEX('M04-S08'!$AZ$18:$AZ$199,2*(ROWS(AW$227:AW228)-1)+1),3),""),"")</f>
        <v/>
      </c>
      <c r="AX228" s="184"/>
      <c r="AY228" s="26" t="str">
        <f ca="1">IFERROR(IF(BB228&lt;&gt;"",INDEX('M04-S08'!$AO$18:$AO$199,2*(ROWS(AY$227:AY228)-1)+1),""),"")</f>
        <v/>
      </c>
      <c r="AZ228" s="32">
        <f ca="1">IFERROR(IF(BB228&lt;&gt;"",INDEX('M04-S08'!$BF$18:$BF$199,2*(ROWS(AZ$227:AZ228)-1)+1),""),"")</f>
        <v>0</v>
      </c>
      <c r="BA228" s="32" t="str">
        <f ca="1">IFERROR(IF(BB228&lt;&gt;"",INDEX('M04-S08'!$BG$18:$BG$199,2*(ROWS(BA$227:BA228)-1)+1),""),"")</f>
        <v/>
      </c>
      <c r="BB228" t="str">
        <f ca="1">IFERROR(INDEX('M04-S08'!$BY$18:$BY$199,2*(ROWS(BB$227:BB228)-1)+1),"")</f>
        <v>Submit for Review</v>
      </c>
    </row>
    <row r="229" spans="1:54">
      <c r="A229" s="10">
        <f t="shared" si="35"/>
        <v>0</v>
      </c>
      <c r="B229" t="str">
        <f t="shared" si="36"/>
        <v/>
      </c>
      <c r="C229" t="str" cm="1">
        <f t="array" ref="C229">IFERROR(_xlfn.VALUETOTEXT(INDEX('M04-S08'!$BW$18:$BW$199,2*(ROWS($C$227:C229)-1)+1)),"")</f>
        <v/>
      </c>
      <c r="D229">
        <f>IFERROR(INDEX('M04-S08'!$B$18:$B$199,2*(ROWS(D$227:D229)-1)+1),"")</f>
        <v>3</v>
      </c>
      <c r="E229" s="51" t="str" cm="1">
        <f t="array" ref="E229">IFERROR(_xlfn.VALUETOTEXT(INDEX('M04-S08'!$BX$18:$BX$199,2*(ROWS($E$227:E229)-1)+1)),"")</f>
        <v/>
      </c>
      <c r="F229" t="str" cm="1">
        <f t="array" ref="F229">IF(C229&lt;&gt;"", _xlfn.SWITCH(Program_Banner, "Small Business / Non-Profit", "Hard-To-Reach Business", "Business Energy Savings", "Whole Business Efficiency", ""), "")</f>
        <v/>
      </c>
      <c r="G229" t="s">
        <v>135</v>
      </c>
      <c r="H229" t="str">
        <f>IFERROR(INDEX('M04-S08'!$BC$18:$BC$199,2*(ROWS(H$227:H229)-1)+1),"")</f>
        <v/>
      </c>
      <c r="I229" t="str">
        <f>IFERROR(INDEX('M04-S08'!$BJ$18:$BJ$199,2*(ROWS(I$227:I229)-1)+1),"")</f>
        <v/>
      </c>
      <c r="J229" s="9" t="str">
        <f>IFERROR(INDEX('M04-S08'!$BN$18:$BN$199,2*(ROWS(J$227:J229)-1)+1),"")</f>
        <v/>
      </c>
      <c r="K229" s="9" t="str">
        <f>IFERROR(INDEX('M04-S08'!$BO$18:$BO$199,2*(ROWS(K$227:K229)-1)+1),"")</f>
        <v/>
      </c>
      <c r="L229" s="51" t="str">
        <f>IFERROR(INDEX('M04-S08'!$BD$18:$BD$199,2*(ROWS(L$227:L229)-1)+1),"")</f>
        <v/>
      </c>
      <c r="M229" s="171"/>
      <c r="N229" s="171"/>
      <c r="O229">
        <f>IFERROR(INDEX('M04-S08'!$H$18:$H$199,2*(ROWS(O$227:O229)-1)+1),"")</f>
        <v>0</v>
      </c>
      <c r="P229">
        <f>IFERROR(INDEX('M04-S08'!$N$18:$N$199,2*(ROWS(P$227:P229)-1)+1),"")</f>
        <v>0</v>
      </c>
      <c r="Q229">
        <f>IFERROR(INDEX('M04-S08'!$W$18:$W$199,2*(ROWS(Q$227:Q229)-1)+1),"")</f>
        <v>0</v>
      </c>
      <c r="S229" t="str">
        <f>IFERROR(INDEX('M04-S08'!$AX$18:$AX$199,2*(ROWS(S$227:S229)-1)+1),"")</f>
        <v/>
      </c>
      <c r="T229" s="5" t="str">
        <f>IFERROR(ROUND(INDEX('M04-S08'!$AY$18:$AY$199,2*(ROWS(T$227:T229)-1)+1),3),"")</f>
        <v/>
      </c>
      <c r="U229" s="5" t="str">
        <f>IFERROR(ROUND(INDEX('M04-S08'!$AZ$18:$AZ$199,2*(ROWS(U$227:U229)-1)+1),3),"")</f>
        <v/>
      </c>
      <c r="V229" s="184"/>
      <c r="W229" s="184"/>
      <c r="X229" s="184"/>
      <c r="Y229" s="184"/>
      <c r="Z229" s="184"/>
      <c r="AA229" s="9" t="str" cm="1">
        <f t="array" ref="AA229">IFERROR(ROUND(INDEX('M04-S08'!$AR$18:$AR$199,2*(ROWS(AA$227:AA229)-1)+1), 2),"")</f>
        <v/>
      </c>
      <c r="AB229" s="164"/>
      <c r="AC229" s="9" t="str" cm="1">
        <f t="array" aca="1" ref="AC229" ca="1">IFERROR(ROUND(IF(BB229&lt;&gt;"","",INDEX('M04-S08'!$AH$18:$AH$199,2*(ROWS(AC$227:AC229)-1)+1)),2),"")</f>
        <v/>
      </c>
      <c r="AD229" s="9" t="str" cm="1">
        <f t="array" aca="1" ref="AD229" ca="1">IFERROR(ROUND(IF(BB229&lt;&gt;"","",INDEX('M04-S08'!$AJ$18:$AJ$199,2*(ROWS(AD$227:AD229)-1)+1)),2),"")</f>
        <v/>
      </c>
      <c r="AE229" s="9" t="str">
        <f t="shared" ca="1" si="37"/>
        <v/>
      </c>
      <c r="AF229" t="str">
        <f ca="1">IFERROR(IF(BB229&lt;&gt;"","",INDEX('M04-S08'!$AF$18:$AF$199,2*(ROWS(AG$227:AG229)-1)+1)),"")</f>
        <v/>
      </c>
      <c r="AG229" s="9" t="str" cm="1">
        <f t="array" aca="1" ref="AG229" ca="1">IFERROR(ROUND(IF(BB229&lt;&gt;"","",INDEX('M04-S08'!$AL$18:$AL$199,2*(ROWS(AG$227:AG229)-1)+1)),2),"")</f>
        <v/>
      </c>
      <c r="AH229" s="184"/>
      <c r="AI229" s="184"/>
      <c r="AJ229" s="26" t="str">
        <f ca="1">IFERROR(ROUND(IF(BA229&lt;&gt;"","",INDEX('M04-S08'!$AO$18:$AO$199,2*(ROWS(AJ$227:AJ229)-1)+1)),4),"")</f>
        <v/>
      </c>
      <c r="AK229" s="32">
        <f ca="1">IFERROR(ROUND(IF(BA229&lt;&gt;"","",INDEX('M04-S08'!$BF$18:$BF$199,2*(ROWS(AK$227:AK229)-1)+1)),4),"")</f>
        <v>0</v>
      </c>
      <c r="AL229" s="32" t="str">
        <f ca="1">IFERROR(ROUND(IF(BA229&lt;&gt;"","",INDEX('M04-S08'!$BG$18:$BG$199,2*(ROWS(AL$227:AL229)-1)+1)),4),"")</f>
        <v/>
      </c>
      <c r="AM229" s="32" t="str" cm="1">
        <f t="array" ref="AM229">IFERROR(ROUND(INDEX('M04-S08'!$BA$18:$BA$199,2*(ROWS(AM$227:AM229)-1)+1),4),"")</f>
        <v/>
      </c>
      <c r="AN229" s="32" t="str" cm="1">
        <f t="array" ref="AN229">IFERROR(ROUND(INDEX('M04-S08'!$BB$18:$BB$199,2*(ROWS(AN$227:AN229)-1)+1),4),"")</f>
        <v/>
      </c>
      <c r="AO229" s="32"/>
      <c r="AP229" s="9">
        <f ca="1">IFERROR(ROUND(IF(BB229&lt;&gt;"",INDEX('M04-S08'!$AH$18:$AH$199,2*(ROWS(AP$227:AP229)-1)+1),""),2),"")</f>
        <v>0</v>
      </c>
      <c r="AQ229" s="9" t="str">
        <f ca="1">IFERROR(ROUND(IF(BB229&lt;&gt;"",INDEX('M04-S08'!$AJ$18:$AJ$199,2*(ROWS(AQ$227:AQ229)-1)+1),""),2),"")</f>
        <v/>
      </c>
      <c r="AR229" s="9" t="str">
        <f t="shared" ca="1" si="38"/>
        <v/>
      </c>
      <c r="AS229" t="str">
        <f ca="1">IFERROR(IF(BB229&lt;&gt;"",INDEX('M04-S08'!$AF$18:$AF$199,2*(ROWS(AS$227:AS229)-1)+1),""),"")</f>
        <v/>
      </c>
      <c r="AT229" s="9" t="str" cm="1">
        <f t="array" aca="1" ref="AT229" ca="1">IFERROR(ROUND(IF(BB229&lt;&gt;"", INDEX('M04-S08'!$AL$18:$AL$199,2*(ROWS(AG$227:AG229)-1)+1), ""),2),"")</f>
        <v/>
      </c>
      <c r="AU229" s="184"/>
      <c r="AV229" s="5" t="str">
        <f ca="1">IFERROR(IF(BB229&lt;&gt;"",ROUND(INDEX('M04-S08'!$AY$18:$AY$199,2*(ROWS(AV$227:AV229)-1)+1),3),""),"")</f>
        <v/>
      </c>
      <c r="AW229" s="5" t="str">
        <f ca="1">IFERROR(IF(BB229&lt;&gt;"",ROUND(INDEX('M04-S08'!$AZ$18:$AZ$199,2*(ROWS(AW$227:AW229)-1)+1),3),""),"")</f>
        <v/>
      </c>
      <c r="AX229" s="184"/>
      <c r="AY229" s="26" t="str">
        <f ca="1">IFERROR(IF(BB229&lt;&gt;"",INDEX('M04-S08'!$AO$18:$AO$199,2*(ROWS(AY$227:AY229)-1)+1),""),"")</f>
        <v/>
      </c>
      <c r="AZ229" s="32">
        <f ca="1">IFERROR(IF(BB229&lt;&gt;"",INDEX('M04-S08'!$BF$18:$BF$199,2*(ROWS(AZ$227:AZ229)-1)+1),""),"")</f>
        <v>0</v>
      </c>
      <c r="BA229" s="32" t="str">
        <f ca="1">IFERROR(IF(BB229&lt;&gt;"",INDEX('M04-S08'!$BG$18:$BG$199,2*(ROWS(BA$227:BA229)-1)+1),""),"")</f>
        <v/>
      </c>
      <c r="BB229" t="str">
        <f ca="1">IFERROR(INDEX('M04-S08'!$BY$18:$BY$199,2*(ROWS(BB$227:BB229)-1)+1),"")</f>
        <v>Submit for Review</v>
      </c>
    </row>
    <row r="230" spans="1:54">
      <c r="A230" s="10">
        <f t="shared" si="35"/>
        <v>0</v>
      </c>
      <c r="B230" t="str">
        <f t="shared" si="36"/>
        <v/>
      </c>
      <c r="C230" t="str" cm="1">
        <f t="array" ref="C230">IFERROR(_xlfn.VALUETOTEXT(INDEX('M04-S08'!$BW$18:$BW$199,2*(ROWS($C$227:C230)-1)+1)),"")</f>
        <v/>
      </c>
      <c r="D230">
        <f>IFERROR(INDEX('M04-S08'!$B$18:$B$199,2*(ROWS(D$227:D230)-1)+1),"")</f>
        <v>4</v>
      </c>
      <c r="E230" s="51" t="str" cm="1">
        <f t="array" ref="E230">IFERROR(_xlfn.VALUETOTEXT(INDEX('M04-S08'!$BX$18:$BX$199,2*(ROWS($E$227:E230)-1)+1)),"")</f>
        <v/>
      </c>
      <c r="F230" t="str" cm="1">
        <f t="array" ref="F230">IF(C230&lt;&gt;"", _xlfn.SWITCH(Program_Banner, "Small Business / Non-Profit", "Hard-To-Reach Business", "Business Energy Savings", "Whole Business Efficiency", ""), "")</f>
        <v/>
      </c>
      <c r="G230" t="s">
        <v>135</v>
      </c>
      <c r="H230" t="str">
        <f>IFERROR(INDEX('M04-S08'!$BC$18:$BC$199,2*(ROWS(H$227:H230)-1)+1),"")</f>
        <v/>
      </c>
      <c r="I230" t="str">
        <f>IFERROR(INDEX('M04-S08'!$BJ$18:$BJ$199,2*(ROWS(I$227:I230)-1)+1),"")</f>
        <v/>
      </c>
      <c r="J230" s="9" t="str">
        <f>IFERROR(INDEX('M04-S08'!$BN$18:$BN$199,2*(ROWS(J$227:J230)-1)+1),"")</f>
        <v/>
      </c>
      <c r="K230" s="9" t="str">
        <f>IFERROR(INDEX('M04-S08'!$BO$18:$BO$199,2*(ROWS(K$227:K230)-1)+1),"")</f>
        <v/>
      </c>
      <c r="L230" s="51" t="str">
        <f>IFERROR(INDEX('M04-S08'!$BD$18:$BD$199,2*(ROWS(L$227:L230)-1)+1),"")</f>
        <v/>
      </c>
      <c r="M230" s="171"/>
      <c r="N230" s="171"/>
      <c r="O230">
        <f>IFERROR(INDEX('M04-S08'!$H$18:$H$199,2*(ROWS(O$227:O230)-1)+1),"")</f>
        <v>0</v>
      </c>
      <c r="P230">
        <f>IFERROR(INDEX('M04-S08'!$N$18:$N$199,2*(ROWS(P$227:P230)-1)+1),"")</f>
        <v>0</v>
      </c>
      <c r="Q230">
        <f>IFERROR(INDEX('M04-S08'!$W$18:$W$199,2*(ROWS(Q$227:Q230)-1)+1),"")</f>
        <v>0</v>
      </c>
      <c r="S230" t="str">
        <f>IFERROR(INDEX('M04-S08'!$AX$18:$AX$199,2*(ROWS(S$227:S230)-1)+1),"")</f>
        <v/>
      </c>
      <c r="T230" s="5" t="str">
        <f>IFERROR(ROUND(INDEX('M04-S08'!$AY$18:$AY$199,2*(ROWS(T$227:T230)-1)+1),3),"")</f>
        <v/>
      </c>
      <c r="U230" s="5" t="str">
        <f>IFERROR(ROUND(INDEX('M04-S08'!$AZ$18:$AZ$199,2*(ROWS(U$227:U230)-1)+1),3),"")</f>
        <v/>
      </c>
      <c r="V230" s="184"/>
      <c r="W230" s="184"/>
      <c r="X230" s="184"/>
      <c r="Y230" s="184"/>
      <c r="Z230" s="184"/>
      <c r="AA230" s="9" t="str" cm="1">
        <f t="array" ref="AA230">IFERROR(ROUND(INDEX('M04-S08'!$AR$18:$AR$199,2*(ROWS(AA$227:AA230)-1)+1), 2),"")</f>
        <v/>
      </c>
      <c r="AB230" s="164"/>
      <c r="AC230" s="9" t="str" cm="1">
        <f t="array" aca="1" ref="AC230" ca="1">IFERROR(ROUND(IF(BB230&lt;&gt;"","",INDEX('M04-S08'!$AH$18:$AH$199,2*(ROWS(AC$227:AC230)-1)+1)),2),"")</f>
        <v/>
      </c>
      <c r="AD230" s="9" t="str" cm="1">
        <f t="array" aca="1" ref="AD230" ca="1">IFERROR(ROUND(IF(BB230&lt;&gt;"","",INDEX('M04-S08'!$AJ$18:$AJ$199,2*(ROWS(AD$227:AD230)-1)+1)),2),"")</f>
        <v/>
      </c>
      <c r="AE230" s="9" t="str">
        <f t="shared" ca="1" si="37"/>
        <v/>
      </c>
      <c r="AF230" t="str">
        <f ca="1">IFERROR(IF(BB230&lt;&gt;"","",INDEX('M04-S08'!$AF$18:$AF$199,2*(ROWS(AG$227:AG230)-1)+1)),"")</f>
        <v/>
      </c>
      <c r="AG230" s="9" t="str" cm="1">
        <f t="array" aca="1" ref="AG230" ca="1">IFERROR(ROUND(IF(BB230&lt;&gt;"","",INDEX('M04-S08'!$AL$18:$AL$199,2*(ROWS(AG$227:AG230)-1)+1)),2),"")</f>
        <v/>
      </c>
      <c r="AH230" s="184"/>
      <c r="AI230" s="184"/>
      <c r="AJ230" s="26" t="str">
        <f ca="1">IFERROR(ROUND(IF(BA230&lt;&gt;"","",INDEX('M04-S08'!$AO$18:$AO$199,2*(ROWS(AJ$227:AJ230)-1)+1)),4),"")</f>
        <v/>
      </c>
      <c r="AK230" s="32">
        <f ca="1">IFERROR(ROUND(IF(BA230&lt;&gt;"","",INDEX('M04-S08'!$BF$18:$BF$199,2*(ROWS(AK$227:AK230)-1)+1)),4),"")</f>
        <v>0</v>
      </c>
      <c r="AL230" s="32" t="str">
        <f ca="1">IFERROR(ROUND(IF(BA230&lt;&gt;"","",INDEX('M04-S08'!$BG$18:$BG$199,2*(ROWS(AL$227:AL230)-1)+1)),4),"")</f>
        <v/>
      </c>
      <c r="AM230" s="32" t="str" cm="1">
        <f t="array" ref="AM230">IFERROR(ROUND(INDEX('M04-S08'!$BA$18:$BA$199,2*(ROWS(AM$227:AM230)-1)+1),4),"")</f>
        <v/>
      </c>
      <c r="AN230" s="32" t="str" cm="1">
        <f t="array" ref="AN230">IFERROR(ROUND(INDEX('M04-S08'!$BB$18:$BB$199,2*(ROWS(AN$227:AN230)-1)+1),4),"")</f>
        <v/>
      </c>
      <c r="AO230" s="32"/>
      <c r="AP230" s="9">
        <f ca="1">IFERROR(ROUND(IF(BB230&lt;&gt;"",INDEX('M04-S08'!$AH$18:$AH$199,2*(ROWS(AP$227:AP230)-1)+1),""),2),"")</f>
        <v>0</v>
      </c>
      <c r="AQ230" s="9" t="str">
        <f ca="1">IFERROR(ROUND(IF(BB230&lt;&gt;"",INDEX('M04-S08'!$AJ$18:$AJ$199,2*(ROWS(AQ$227:AQ230)-1)+1),""),2),"")</f>
        <v/>
      </c>
      <c r="AR230" s="9" t="str">
        <f t="shared" ca="1" si="38"/>
        <v/>
      </c>
      <c r="AS230" t="str">
        <f ca="1">IFERROR(IF(BB230&lt;&gt;"",INDEX('M04-S08'!$AF$18:$AF$199,2*(ROWS(AS$227:AS230)-1)+1),""),"")</f>
        <v/>
      </c>
      <c r="AT230" s="9" t="str" cm="1">
        <f t="array" aca="1" ref="AT230" ca="1">IFERROR(ROUND(IF(BB230&lt;&gt;"", INDEX('M04-S08'!$AL$18:$AL$199,2*(ROWS(AG$227:AG230)-1)+1), ""),2),"")</f>
        <v/>
      </c>
      <c r="AU230" s="184"/>
      <c r="AV230" s="5" t="str">
        <f ca="1">IFERROR(IF(BB230&lt;&gt;"",ROUND(INDEX('M04-S08'!$AY$18:$AY$199,2*(ROWS(AV$227:AV230)-1)+1),3),""),"")</f>
        <v/>
      </c>
      <c r="AW230" s="5" t="str">
        <f ca="1">IFERROR(IF(BB230&lt;&gt;"",ROUND(INDEX('M04-S08'!$AZ$18:$AZ$199,2*(ROWS(AW$227:AW230)-1)+1),3),""),"")</f>
        <v/>
      </c>
      <c r="AX230" s="184"/>
      <c r="AY230" s="26" t="str">
        <f ca="1">IFERROR(IF(BB230&lt;&gt;"",INDEX('M04-S08'!$AO$18:$AO$199,2*(ROWS(AY$227:AY230)-1)+1),""),"")</f>
        <v/>
      </c>
      <c r="AZ230" s="32">
        <f ca="1">IFERROR(IF(BB230&lt;&gt;"",INDEX('M04-S08'!$BF$18:$BF$199,2*(ROWS(AZ$227:AZ230)-1)+1),""),"")</f>
        <v>0</v>
      </c>
      <c r="BA230" s="32" t="str">
        <f ca="1">IFERROR(IF(BB230&lt;&gt;"",INDEX('M04-S08'!$BG$18:$BG$199,2*(ROWS(BA$227:BA230)-1)+1),""),"")</f>
        <v/>
      </c>
      <c r="BB230" t="str">
        <f ca="1">IFERROR(INDEX('M04-S08'!$BY$18:$BY$199,2*(ROWS(BB$227:BB230)-1)+1),"")</f>
        <v>Submit for Review</v>
      </c>
    </row>
    <row r="231" spans="1:54">
      <c r="A231" s="10">
        <f t="shared" si="35"/>
        <v>0</v>
      </c>
      <c r="B231" t="str">
        <f t="shared" si="36"/>
        <v/>
      </c>
      <c r="C231" t="str" cm="1">
        <f t="array" ref="C231">IFERROR(_xlfn.VALUETOTEXT(INDEX('M04-S08'!$BW$18:$BW$199,2*(ROWS($C$227:C231)-1)+1)),"")</f>
        <v/>
      </c>
      <c r="D231">
        <f>IFERROR(INDEX('M04-S08'!$B$18:$B$199,2*(ROWS(D$227:D231)-1)+1),"")</f>
        <v>5</v>
      </c>
      <c r="E231" s="51" t="str" cm="1">
        <f t="array" ref="E231">IFERROR(_xlfn.VALUETOTEXT(INDEX('M04-S08'!$BX$18:$BX$199,2*(ROWS($E$227:E231)-1)+1)),"")</f>
        <v/>
      </c>
      <c r="F231" t="str" cm="1">
        <f t="array" ref="F231">IF(C231&lt;&gt;"", _xlfn.SWITCH(Program_Banner, "Small Business / Non-Profit", "Hard-To-Reach Business", "Business Energy Savings", "Whole Business Efficiency", ""), "")</f>
        <v/>
      </c>
      <c r="G231" t="s">
        <v>135</v>
      </c>
      <c r="H231" t="str">
        <f>IFERROR(INDEX('M04-S08'!$BC$18:$BC$199,2*(ROWS(H$227:H231)-1)+1),"")</f>
        <v/>
      </c>
      <c r="I231" t="str">
        <f>IFERROR(INDEX('M04-S08'!$BJ$18:$BJ$199,2*(ROWS(I$227:I231)-1)+1),"")</f>
        <v/>
      </c>
      <c r="J231" s="9" t="str">
        <f>IFERROR(INDEX('M04-S08'!$BN$18:$BN$199,2*(ROWS(J$227:J231)-1)+1),"")</f>
        <v/>
      </c>
      <c r="K231" s="9" t="str">
        <f>IFERROR(INDEX('M04-S08'!$BO$18:$BO$199,2*(ROWS(K$227:K231)-1)+1),"")</f>
        <v/>
      </c>
      <c r="L231" s="51" t="str">
        <f>IFERROR(INDEX('M04-S08'!$BD$18:$BD$199,2*(ROWS(L$227:L231)-1)+1),"")</f>
        <v/>
      </c>
      <c r="M231" s="171"/>
      <c r="N231" s="171"/>
      <c r="O231">
        <f>IFERROR(INDEX('M04-S08'!$H$18:$H$199,2*(ROWS(O$227:O231)-1)+1),"")</f>
        <v>0</v>
      </c>
      <c r="P231">
        <f>IFERROR(INDEX('M04-S08'!$N$18:$N$199,2*(ROWS(P$227:P231)-1)+1),"")</f>
        <v>0</v>
      </c>
      <c r="Q231">
        <f>IFERROR(INDEX('M04-S08'!$W$18:$W$199,2*(ROWS(Q$227:Q231)-1)+1),"")</f>
        <v>0</v>
      </c>
      <c r="S231" t="str">
        <f>IFERROR(INDEX('M04-S08'!$AX$18:$AX$199,2*(ROWS(S$227:S231)-1)+1),"")</f>
        <v/>
      </c>
      <c r="T231" s="5" t="str">
        <f>IFERROR(ROUND(INDEX('M04-S08'!$AY$18:$AY$199,2*(ROWS(T$227:T231)-1)+1),3),"")</f>
        <v/>
      </c>
      <c r="U231" s="5" t="str">
        <f>IFERROR(ROUND(INDEX('M04-S08'!$AZ$18:$AZ$199,2*(ROWS(U$227:U231)-1)+1),3),"")</f>
        <v/>
      </c>
      <c r="V231" s="184"/>
      <c r="W231" s="184"/>
      <c r="X231" s="184"/>
      <c r="Y231" s="184"/>
      <c r="Z231" s="184"/>
      <c r="AA231" s="9" t="str" cm="1">
        <f t="array" ref="AA231">IFERROR(ROUND(INDEX('M04-S08'!$AR$18:$AR$199,2*(ROWS(AA$227:AA231)-1)+1), 2),"")</f>
        <v/>
      </c>
      <c r="AB231" s="164"/>
      <c r="AC231" s="9" t="str" cm="1">
        <f t="array" aca="1" ref="AC231" ca="1">IFERROR(ROUND(IF(BB231&lt;&gt;"","",INDEX('M04-S08'!$AH$18:$AH$199,2*(ROWS(AC$227:AC231)-1)+1)),2),"")</f>
        <v/>
      </c>
      <c r="AD231" s="9" t="str" cm="1">
        <f t="array" aca="1" ref="AD231" ca="1">IFERROR(ROUND(IF(BB231&lt;&gt;"","",INDEX('M04-S08'!$AJ$18:$AJ$199,2*(ROWS(AD$227:AD231)-1)+1)),2),"")</f>
        <v/>
      </c>
      <c r="AE231" s="9" t="str">
        <f t="shared" ca="1" si="37"/>
        <v/>
      </c>
      <c r="AF231" t="str">
        <f ca="1">IFERROR(IF(BB231&lt;&gt;"","",INDEX('M04-S08'!$AF$18:$AF$199,2*(ROWS(AG$227:AG231)-1)+1)),"")</f>
        <v/>
      </c>
      <c r="AG231" s="9" t="str" cm="1">
        <f t="array" aca="1" ref="AG231" ca="1">IFERROR(ROUND(IF(BB231&lt;&gt;"","",INDEX('M04-S08'!$AL$18:$AL$199,2*(ROWS(AG$227:AG231)-1)+1)),2),"")</f>
        <v/>
      </c>
      <c r="AH231" s="184"/>
      <c r="AI231" s="184"/>
      <c r="AJ231" s="26" t="str">
        <f ca="1">IFERROR(ROUND(IF(BA231&lt;&gt;"","",INDEX('M04-S08'!$AO$18:$AO$199,2*(ROWS(AJ$227:AJ231)-1)+1)),4),"")</f>
        <v/>
      </c>
      <c r="AK231" s="32">
        <f ca="1">IFERROR(ROUND(IF(BA231&lt;&gt;"","",INDEX('M04-S08'!$BF$18:$BF$199,2*(ROWS(AK$227:AK231)-1)+1)),4),"")</f>
        <v>0</v>
      </c>
      <c r="AL231" s="32" t="str">
        <f ca="1">IFERROR(ROUND(IF(BA231&lt;&gt;"","",INDEX('M04-S08'!$BG$18:$BG$199,2*(ROWS(AL$227:AL231)-1)+1)),4),"")</f>
        <v/>
      </c>
      <c r="AM231" s="32" t="str" cm="1">
        <f t="array" ref="AM231">IFERROR(ROUND(INDEX('M04-S08'!$BA$18:$BA$199,2*(ROWS(AM$227:AM231)-1)+1),4),"")</f>
        <v/>
      </c>
      <c r="AN231" s="32" t="str" cm="1">
        <f t="array" ref="AN231">IFERROR(ROUND(INDEX('M04-S08'!$BB$18:$BB$199,2*(ROWS(AN$227:AN231)-1)+1),4),"")</f>
        <v/>
      </c>
      <c r="AO231" s="32"/>
      <c r="AP231" s="9">
        <f ca="1">IFERROR(ROUND(IF(BB231&lt;&gt;"",INDEX('M04-S08'!$AH$18:$AH$199,2*(ROWS(AP$227:AP231)-1)+1),""),2),"")</f>
        <v>0</v>
      </c>
      <c r="AQ231" s="9" t="str">
        <f ca="1">IFERROR(ROUND(IF(BB231&lt;&gt;"",INDEX('M04-S08'!$AJ$18:$AJ$199,2*(ROWS(AQ$227:AQ231)-1)+1),""),2),"")</f>
        <v/>
      </c>
      <c r="AR231" s="9" t="str">
        <f t="shared" ca="1" si="38"/>
        <v/>
      </c>
      <c r="AS231" t="str">
        <f ca="1">IFERROR(IF(BB231&lt;&gt;"",INDEX('M04-S08'!$AF$18:$AF$199,2*(ROWS(AS$227:AS231)-1)+1),""),"")</f>
        <v/>
      </c>
      <c r="AT231" s="9" t="str" cm="1">
        <f t="array" aca="1" ref="AT231" ca="1">IFERROR(ROUND(IF(BB231&lt;&gt;"", INDEX('M04-S08'!$AL$18:$AL$199,2*(ROWS(AG$227:AG231)-1)+1), ""),2),"")</f>
        <v/>
      </c>
      <c r="AU231" s="184"/>
      <c r="AV231" s="5" t="str">
        <f ca="1">IFERROR(IF(BB231&lt;&gt;"",ROUND(INDEX('M04-S08'!$AY$18:$AY$199,2*(ROWS(AV$227:AV231)-1)+1),3),""),"")</f>
        <v/>
      </c>
      <c r="AW231" s="5" t="str">
        <f ca="1">IFERROR(IF(BB231&lt;&gt;"",ROUND(INDEX('M04-S08'!$AZ$18:$AZ$199,2*(ROWS(AW$227:AW231)-1)+1),3),""),"")</f>
        <v/>
      </c>
      <c r="AX231" s="184"/>
      <c r="AY231" s="26" t="str">
        <f ca="1">IFERROR(IF(BB231&lt;&gt;"",INDEX('M04-S08'!$AO$18:$AO$199,2*(ROWS(AY$227:AY231)-1)+1),""),"")</f>
        <v/>
      </c>
      <c r="AZ231" s="32">
        <f ca="1">IFERROR(IF(BB231&lt;&gt;"",INDEX('M04-S08'!$BF$18:$BF$199,2*(ROWS(AZ$227:AZ231)-1)+1),""),"")</f>
        <v>0</v>
      </c>
      <c r="BA231" s="32" t="str">
        <f ca="1">IFERROR(IF(BB231&lt;&gt;"",INDEX('M04-S08'!$BG$18:$BG$199,2*(ROWS(BA$227:BA231)-1)+1),""),"")</f>
        <v/>
      </c>
      <c r="BB231" t="str">
        <f ca="1">IFERROR(INDEX('M04-S08'!$BY$18:$BY$199,2*(ROWS(BB$227:BB231)-1)+1),"")</f>
        <v>Submit for Review</v>
      </c>
    </row>
    <row r="232" spans="1:54">
      <c r="A232" s="10">
        <f t="shared" si="35"/>
        <v>0</v>
      </c>
      <c r="B232" t="str">
        <f t="shared" si="36"/>
        <v/>
      </c>
      <c r="C232" t="str" cm="1">
        <f t="array" ref="C232">IFERROR(_xlfn.VALUETOTEXT(INDEX('M04-S08'!$BW$18:$BW$199,2*(ROWS($C$227:C232)-1)+1)),"")</f>
        <v/>
      </c>
      <c r="D232">
        <f>IFERROR(INDEX('M04-S08'!$B$18:$B$199,2*(ROWS(D$227:D232)-1)+1),"")</f>
        <v>6</v>
      </c>
      <c r="E232" s="51" t="str" cm="1">
        <f t="array" ref="E232">IFERROR(_xlfn.VALUETOTEXT(INDEX('M04-S08'!$BX$18:$BX$199,2*(ROWS($E$227:E232)-1)+1)),"")</f>
        <v/>
      </c>
      <c r="F232" t="str" cm="1">
        <f t="array" ref="F232">IF(C232&lt;&gt;"", _xlfn.SWITCH(Program_Banner, "Small Business / Non-Profit", "Hard-To-Reach Business", "Business Energy Savings", "Whole Business Efficiency", ""), "")</f>
        <v/>
      </c>
      <c r="G232" t="s">
        <v>135</v>
      </c>
      <c r="H232" t="str">
        <f>IFERROR(INDEX('M04-S08'!$BC$18:$BC$199,2*(ROWS(H$227:H232)-1)+1),"")</f>
        <v/>
      </c>
      <c r="I232" t="str">
        <f>IFERROR(INDEX('M04-S08'!$BJ$18:$BJ$199,2*(ROWS(I$227:I232)-1)+1),"")</f>
        <v/>
      </c>
      <c r="J232" s="9" t="str">
        <f>IFERROR(INDEX('M04-S08'!$BN$18:$BN$199,2*(ROWS(J$227:J232)-1)+1),"")</f>
        <v/>
      </c>
      <c r="K232" s="9" t="str">
        <f>IFERROR(INDEX('M04-S08'!$BO$18:$BO$199,2*(ROWS(K$227:K232)-1)+1),"")</f>
        <v/>
      </c>
      <c r="L232" s="51" t="str">
        <f>IFERROR(INDEX('M04-S08'!$BD$18:$BD$199,2*(ROWS(L$227:L232)-1)+1),"")</f>
        <v/>
      </c>
      <c r="M232" s="171"/>
      <c r="N232" s="171"/>
      <c r="O232">
        <f>IFERROR(INDEX('M04-S08'!$H$18:$H$199,2*(ROWS(O$227:O232)-1)+1),"")</f>
        <v>0</v>
      </c>
      <c r="P232">
        <f>IFERROR(INDEX('M04-S08'!$N$18:$N$199,2*(ROWS(P$227:P232)-1)+1),"")</f>
        <v>0</v>
      </c>
      <c r="Q232">
        <f>IFERROR(INDEX('M04-S08'!$W$18:$W$199,2*(ROWS(Q$227:Q232)-1)+1),"")</f>
        <v>0</v>
      </c>
      <c r="S232" t="str">
        <f>IFERROR(INDEX('M04-S08'!$AX$18:$AX$199,2*(ROWS(S$227:S232)-1)+1),"")</f>
        <v/>
      </c>
      <c r="T232" s="5" t="str">
        <f>IFERROR(ROUND(INDEX('M04-S08'!$AY$18:$AY$199,2*(ROWS(T$227:T232)-1)+1),3),"")</f>
        <v/>
      </c>
      <c r="U232" s="5" t="str">
        <f>IFERROR(ROUND(INDEX('M04-S08'!$AZ$18:$AZ$199,2*(ROWS(U$227:U232)-1)+1),3),"")</f>
        <v/>
      </c>
      <c r="V232" s="184"/>
      <c r="W232" s="184"/>
      <c r="X232" s="184"/>
      <c r="Y232" s="184"/>
      <c r="Z232" s="184"/>
      <c r="AA232" s="9" t="str" cm="1">
        <f t="array" ref="AA232">IFERROR(ROUND(INDEX('M04-S08'!$AR$18:$AR$199,2*(ROWS(AA$227:AA232)-1)+1), 2),"")</f>
        <v/>
      </c>
      <c r="AB232" s="164"/>
      <c r="AC232" s="9" t="str" cm="1">
        <f t="array" aca="1" ref="AC232" ca="1">IFERROR(ROUND(IF(BB232&lt;&gt;"","",INDEX('M04-S08'!$AH$18:$AH$199,2*(ROWS(AC$227:AC232)-1)+1)),2),"")</f>
        <v/>
      </c>
      <c r="AD232" s="9" t="str" cm="1">
        <f t="array" aca="1" ref="AD232" ca="1">IFERROR(ROUND(IF(BB232&lt;&gt;"","",INDEX('M04-S08'!$AJ$18:$AJ$199,2*(ROWS(AD$227:AD232)-1)+1)),2),"")</f>
        <v/>
      </c>
      <c r="AE232" s="9" t="str">
        <f t="shared" ca="1" si="37"/>
        <v/>
      </c>
      <c r="AF232" t="str">
        <f ca="1">IFERROR(IF(BB232&lt;&gt;"","",INDEX('M04-S08'!$AF$18:$AF$199,2*(ROWS(AG$227:AG232)-1)+1)),"")</f>
        <v/>
      </c>
      <c r="AG232" s="9" t="str" cm="1">
        <f t="array" aca="1" ref="AG232" ca="1">IFERROR(ROUND(IF(BB232&lt;&gt;"","",INDEX('M04-S08'!$AL$18:$AL$199,2*(ROWS(AG$227:AG232)-1)+1)),2),"")</f>
        <v/>
      </c>
      <c r="AH232" s="184"/>
      <c r="AI232" s="184"/>
      <c r="AJ232" s="26" t="str">
        <f ca="1">IFERROR(ROUND(IF(BA232&lt;&gt;"","",INDEX('M04-S08'!$AO$18:$AO$199,2*(ROWS(AJ$227:AJ232)-1)+1)),4),"")</f>
        <v/>
      </c>
      <c r="AK232" s="32">
        <f ca="1">IFERROR(ROUND(IF(BA232&lt;&gt;"","",INDEX('M04-S08'!$BF$18:$BF$199,2*(ROWS(AK$227:AK232)-1)+1)),4),"")</f>
        <v>0</v>
      </c>
      <c r="AL232" s="32" t="str">
        <f ca="1">IFERROR(ROUND(IF(BA232&lt;&gt;"","",INDEX('M04-S08'!$BG$18:$BG$199,2*(ROWS(AL$227:AL232)-1)+1)),4),"")</f>
        <v/>
      </c>
      <c r="AM232" s="32" t="str" cm="1">
        <f t="array" ref="AM232">IFERROR(ROUND(INDEX('M04-S08'!$BA$18:$BA$199,2*(ROWS(AM$227:AM232)-1)+1),4),"")</f>
        <v/>
      </c>
      <c r="AN232" s="32" t="str" cm="1">
        <f t="array" ref="AN232">IFERROR(ROUND(INDEX('M04-S08'!$BB$18:$BB$199,2*(ROWS(AN$227:AN232)-1)+1),4),"")</f>
        <v/>
      </c>
      <c r="AO232" s="32"/>
      <c r="AP232" s="9">
        <f ca="1">IFERROR(ROUND(IF(BB232&lt;&gt;"",INDEX('M04-S08'!$AH$18:$AH$199,2*(ROWS(AP$227:AP232)-1)+1),""),2),"")</f>
        <v>0</v>
      </c>
      <c r="AQ232" s="9" t="str">
        <f ca="1">IFERROR(ROUND(IF(BB232&lt;&gt;"",INDEX('M04-S08'!$AJ$18:$AJ$199,2*(ROWS(AQ$227:AQ232)-1)+1),""),2),"")</f>
        <v/>
      </c>
      <c r="AR232" s="9" t="str">
        <f t="shared" ca="1" si="38"/>
        <v/>
      </c>
      <c r="AS232" t="str">
        <f ca="1">IFERROR(IF(BB232&lt;&gt;"",INDEX('M04-S08'!$AF$18:$AF$199,2*(ROWS(AS$227:AS232)-1)+1),""),"")</f>
        <v/>
      </c>
      <c r="AT232" s="9" t="str" cm="1">
        <f t="array" aca="1" ref="AT232" ca="1">IFERROR(ROUND(IF(BB232&lt;&gt;"", INDEX('M04-S08'!$AL$18:$AL$199,2*(ROWS(AG$227:AG232)-1)+1), ""),2),"")</f>
        <v/>
      </c>
      <c r="AU232" s="184"/>
      <c r="AV232" s="5" t="str">
        <f ca="1">IFERROR(IF(BB232&lt;&gt;"",ROUND(INDEX('M04-S08'!$AY$18:$AY$199,2*(ROWS(AV$227:AV232)-1)+1),3),""),"")</f>
        <v/>
      </c>
      <c r="AW232" s="5" t="str">
        <f ca="1">IFERROR(IF(BB232&lt;&gt;"",ROUND(INDEX('M04-S08'!$AZ$18:$AZ$199,2*(ROWS(AW$227:AW232)-1)+1),3),""),"")</f>
        <v/>
      </c>
      <c r="AX232" s="184"/>
      <c r="AY232" s="26" t="str">
        <f ca="1">IFERROR(IF(BB232&lt;&gt;"",INDEX('M04-S08'!$AO$18:$AO$199,2*(ROWS(AY$227:AY232)-1)+1),""),"")</f>
        <v/>
      </c>
      <c r="AZ232" s="32">
        <f ca="1">IFERROR(IF(BB232&lt;&gt;"",INDEX('M04-S08'!$BF$18:$BF$199,2*(ROWS(AZ$227:AZ232)-1)+1),""),"")</f>
        <v>0</v>
      </c>
      <c r="BA232" s="32" t="str">
        <f ca="1">IFERROR(IF(BB232&lt;&gt;"",INDEX('M04-S08'!$BG$18:$BG$199,2*(ROWS(BA$227:BA232)-1)+1),""),"")</f>
        <v/>
      </c>
      <c r="BB232" t="str">
        <f ca="1">IFERROR(INDEX('M04-S08'!$BY$18:$BY$199,2*(ROWS(BB$227:BB232)-1)+1),"")</f>
        <v>Submit for Review</v>
      </c>
    </row>
    <row r="233" spans="1:54">
      <c r="A233" s="10">
        <f t="shared" si="35"/>
        <v>0</v>
      </c>
      <c r="B233" t="str">
        <f t="shared" si="36"/>
        <v/>
      </c>
      <c r="C233" t="str" cm="1">
        <f t="array" ref="C233">IFERROR(_xlfn.VALUETOTEXT(INDEX('M04-S08'!$BW$18:$BW$199,2*(ROWS($C$227:C233)-1)+1)),"")</f>
        <v/>
      </c>
      <c r="D233">
        <f>IFERROR(INDEX('M04-S08'!$B$18:$B$199,2*(ROWS(D$227:D233)-1)+1),"")</f>
        <v>7</v>
      </c>
      <c r="E233" s="51" t="str" cm="1">
        <f t="array" ref="E233">IFERROR(_xlfn.VALUETOTEXT(INDEX('M04-S08'!$BX$18:$BX$199,2*(ROWS($E$227:E233)-1)+1)),"")</f>
        <v/>
      </c>
      <c r="F233" t="str" cm="1">
        <f t="array" ref="F233">IF(C233&lt;&gt;"", _xlfn.SWITCH(Program_Banner, "Small Business / Non-Profit", "Hard-To-Reach Business", "Business Energy Savings", "Whole Business Efficiency", ""), "")</f>
        <v/>
      </c>
      <c r="G233" t="s">
        <v>135</v>
      </c>
      <c r="H233" t="str">
        <f>IFERROR(INDEX('M04-S08'!$BC$18:$BC$199,2*(ROWS(H$227:H233)-1)+1),"")</f>
        <v/>
      </c>
      <c r="I233" t="str">
        <f>IFERROR(INDEX('M04-S08'!$BJ$18:$BJ$199,2*(ROWS(I$227:I233)-1)+1),"")</f>
        <v/>
      </c>
      <c r="J233" s="9" t="str">
        <f>IFERROR(INDEX('M04-S08'!$BN$18:$BN$199,2*(ROWS(J$227:J233)-1)+1),"")</f>
        <v/>
      </c>
      <c r="K233" s="9" t="str">
        <f>IFERROR(INDEX('M04-S08'!$BO$18:$BO$199,2*(ROWS(K$227:K233)-1)+1),"")</f>
        <v/>
      </c>
      <c r="L233" s="51" t="str">
        <f>IFERROR(INDEX('M04-S08'!$BD$18:$BD$199,2*(ROWS(L$227:L233)-1)+1),"")</f>
        <v/>
      </c>
      <c r="M233" s="171"/>
      <c r="N233" s="171"/>
      <c r="O233">
        <f>IFERROR(INDEX('M04-S08'!$H$18:$H$199,2*(ROWS(O$227:O233)-1)+1),"")</f>
        <v>0</v>
      </c>
      <c r="P233">
        <f>IFERROR(INDEX('M04-S08'!$N$18:$N$199,2*(ROWS(P$227:P233)-1)+1),"")</f>
        <v>0</v>
      </c>
      <c r="Q233">
        <f>IFERROR(INDEX('M04-S08'!$W$18:$W$199,2*(ROWS(Q$227:Q233)-1)+1),"")</f>
        <v>0</v>
      </c>
      <c r="S233" t="str">
        <f>IFERROR(INDEX('M04-S08'!$AX$18:$AX$199,2*(ROWS(S$227:S233)-1)+1),"")</f>
        <v/>
      </c>
      <c r="T233" s="5" t="str">
        <f>IFERROR(ROUND(INDEX('M04-S08'!$AY$18:$AY$199,2*(ROWS(T$227:T233)-1)+1),3),"")</f>
        <v/>
      </c>
      <c r="U233" s="5" t="str">
        <f>IFERROR(ROUND(INDEX('M04-S08'!$AZ$18:$AZ$199,2*(ROWS(U$227:U233)-1)+1),3),"")</f>
        <v/>
      </c>
      <c r="V233" s="184"/>
      <c r="W233" s="184"/>
      <c r="X233" s="184"/>
      <c r="Y233" s="184"/>
      <c r="Z233" s="184"/>
      <c r="AA233" s="9" t="str" cm="1">
        <f t="array" ref="AA233">IFERROR(ROUND(INDEX('M04-S08'!$AR$18:$AR$199,2*(ROWS(AA$227:AA233)-1)+1), 2),"")</f>
        <v/>
      </c>
      <c r="AB233" s="164"/>
      <c r="AC233" s="9" t="str" cm="1">
        <f t="array" aca="1" ref="AC233" ca="1">IFERROR(ROUND(IF(BB233&lt;&gt;"","",INDEX('M04-S08'!$AH$18:$AH$199,2*(ROWS(AC$227:AC233)-1)+1)),2),"")</f>
        <v/>
      </c>
      <c r="AD233" s="9" t="str" cm="1">
        <f t="array" aca="1" ref="AD233" ca="1">IFERROR(ROUND(IF(BB233&lt;&gt;"","",INDEX('M04-S08'!$AJ$18:$AJ$199,2*(ROWS(AD$227:AD233)-1)+1)),2),"")</f>
        <v/>
      </c>
      <c r="AE233" s="9" t="str">
        <f t="shared" ca="1" si="37"/>
        <v/>
      </c>
      <c r="AF233" t="str">
        <f ca="1">IFERROR(IF(BB233&lt;&gt;"","",INDEX('M04-S08'!$AF$18:$AF$199,2*(ROWS(AG$227:AG233)-1)+1)),"")</f>
        <v/>
      </c>
      <c r="AG233" s="9" t="str" cm="1">
        <f t="array" aca="1" ref="AG233" ca="1">IFERROR(ROUND(IF(BB233&lt;&gt;"","",INDEX('M04-S08'!$AL$18:$AL$199,2*(ROWS(AG$227:AG233)-1)+1)),2),"")</f>
        <v/>
      </c>
      <c r="AH233" s="184"/>
      <c r="AI233" s="184"/>
      <c r="AJ233" s="26" t="str">
        <f ca="1">IFERROR(ROUND(IF(BA233&lt;&gt;"","",INDEX('M04-S08'!$AO$18:$AO$199,2*(ROWS(AJ$227:AJ233)-1)+1)),4),"")</f>
        <v/>
      </c>
      <c r="AK233" s="32">
        <f ca="1">IFERROR(ROUND(IF(BA233&lt;&gt;"","",INDEX('M04-S08'!$BF$18:$BF$199,2*(ROWS(AK$227:AK233)-1)+1)),4),"")</f>
        <v>0</v>
      </c>
      <c r="AL233" s="32" t="str">
        <f ca="1">IFERROR(ROUND(IF(BA233&lt;&gt;"","",INDEX('M04-S08'!$BG$18:$BG$199,2*(ROWS(AL$227:AL233)-1)+1)),4),"")</f>
        <v/>
      </c>
      <c r="AM233" s="32" t="str" cm="1">
        <f t="array" ref="AM233">IFERROR(ROUND(INDEX('M04-S08'!$BA$18:$BA$199,2*(ROWS(AM$227:AM233)-1)+1),4),"")</f>
        <v/>
      </c>
      <c r="AN233" s="32" t="str" cm="1">
        <f t="array" ref="AN233">IFERROR(ROUND(INDEX('M04-S08'!$BB$18:$BB$199,2*(ROWS(AN$227:AN233)-1)+1),4),"")</f>
        <v/>
      </c>
      <c r="AO233" s="32"/>
      <c r="AP233" s="9">
        <f ca="1">IFERROR(ROUND(IF(BB233&lt;&gt;"",INDEX('M04-S08'!$AH$18:$AH$199,2*(ROWS(AP$227:AP233)-1)+1),""),2),"")</f>
        <v>0</v>
      </c>
      <c r="AQ233" s="9" t="str">
        <f ca="1">IFERROR(ROUND(IF(BB233&lt;&gt;"",INDEX('M04-S08'!$AJ$18:$AJ$199,2*(ROWS(AQ$227:AQ233)-1)+1),""),2),"")</f>
        <v/>
      </c>
      <c r="AR233" s="9" t="str">
        <f t="shared" ca="1" si="38"/>
        <v/>
      </c>
      <c r="AS233" t="str">
        <f ca="1">IFERROR(IF(BB233&lt;&gt;"",INDEX('M04-S08'!$AF$18:$AF$199,2*(ROWS(AS$227:AS233)-1)+1),""),"")</f>
        <v/>
      </c>
      <c r="AT233" s="9" t="str" cm="1">
        <f t="array" aca="1" ref="AT233" ca="1">IFERROR(ROUND(IF(BB233&lt;&gt;"", INDEX('M04-S08'!$AL$18:$AL$199,2*(ROWS(AG$227:AG233)-1)+1), ""),2),"")</f>
        <v/>
      </c>
      <c r="AU233" s="184"/>
      <c r="AV233" s="5" t="str">
        <f ca="1">IFERROR(IF(BB233&lt;&gt;"",ROUND(INDEX('M04-S08'!$AY$18:$AY$199,2*(ROWS(AV$227:AV233)-1)+1),3),""),"")</f>
        <v/>
      </c>
      <c r="AW233" s="5" t="str">
        <f ca="1">IFERROR(IF(BB233&lt;&gt;"",ROUND(INDEX('M04-S08'!$AZ$18:$AZ$199,2*(ROWS(AW$227:AW233)-1)+1),3),""),"")</f>
        <v/>
      </c>
      <c r="AX233" s="184"/>
      <c r="AY233" s="26" t="str">
        <f ca="1">IFERROR(IF(BB233&lt;&gt;"",INDEX('M04-S08'!$AO$18:$AO$199,2*(ROWS(AY$227:AY233)-1)+1),""),"")</f>
        <v/>
      </c>
      <c r="AZ233" s="32">
        <f ca="1">IFERROR(IF(BB233&lt;&gt;"",INDEX('M04-S08'!$BF$18:$BF$199,2*(ROWS(AZ$227:AZ233)-1)+1),""),"")</f>
        <v>0</v>
      </c>
      <c r="BA233" s="32" t="str">
        <f ca="1">IFERROR(IF(BB233&lt;&gt;"",INDEX('M04-S08'!$BG$18:$BG$199,2*(ROWS(BA$227:BA233)-1)+1),""),"")</f>
        <v/>
      </c>
      <c r="BB233" t="str">
        <f ca="1">IFERROR(INDEX('M04-S08'!$BY$18:$BY$199,2*(ROWS(BB$227:BB233)-1)+1),"")</f>
        <v>Submit for Review</v>
      </c>
    </row>
    <row r="234" spans="1:54">
      <c r="A234" s="10">
        <f t="shared" si="35"/>
        <v>0</v>
      </c>
      <c r="B234" t="str">
        <f t="shared" si="36"/>
        <v/>
      </c>
      <c r="C234" t="str" cm="1">
        <f t="array" ref="C234">IFERROR(_xlfn.VALUETOTEXT(INDEX('M04-S08'!$BW$18:$BW$199,2*(ROWS($C$227:C234)-1)+1)),"")</f>
        <v/>
      </c>
      <c r="D234">
        <f>IFERROR(INDEX('M04-S08'!$B$18:$B$199,2*(ROWS(D$227:D234)-1)+1),"")</f>
        <v>8</v>
      </c>
      <c r="E234" s="51" t="str" cm="1">
        <f t="array" ref="E234">IFERROR(_xlfn.VALUETOTEXT(INDEX('M04-S08'!$BX$18:$BX$199,2*(ROWS($E$227:E234)-1)+1)),"")</f>
        <v/>
      </c>
      <c r="F234" t="str" cm="1">
        <f t="array" ref="F234">IF(C234&lt;&gt;"", _xlfn.SWITCH(Program_Banner, "Small Business / Non-Profit", "Hard-To-Reach Business", "Business Energy Savings", "Whole Business Efficiency", ""), "")</f>
        <v/>
      </c>
      <c r="G234" t="s">
        <v>135</v>
      </c>
      <c r="H234" t="str">
        <f>IFERROR(INDEX('M04-S08'!$BC$18:$BC$199,2*(ROWS(H$227:H234)-1)+1),"")</f>
        <v/>
      </c>
      <c r="I234" t="str">
        <f>IFERROR(INDEX('M04-S08'!$BJ$18:$BJ$199,2*(ROWS(I$227:I234)-1)+1),"")</f>
        <v/>
      </c>
      <c r="J234" s="9" t="str">
        <f>IFERROR(INDEX('M04-S08'!$BN$18:$BN$199,2*(ROWS(J$227:J234)-1)+1),"")</f>
        <v/>
      </c>
      <c r="K234" s="9" t="str">
        <f>IFERROR(INDEX('M04-S08'!$BO$18:$BO$199,2*(ROWS(K$227:K234)-1)+1),"")</f>
        <v/>
      </c>
      <c r="L234" s="51" t="str">
        <f>IFERROR(INDEX('M04-S08'!$BD$18:$BD$199,2*(ROWS(L$227:L234)-1)+1),"")</f>
        <v/>
      </c>
      <c r="M234" s="171"/>
      <c r="N234" s="171"/>
      <c r="O234">
        <f>IFERROR(INDEX('M04-S08'!$H$18:$H$199,2*(ROWS(O$227:O234)-1)+1),"")</f>
        <v>0</v>
      </c>
      <c r="P234">
        <f>IFERROR(INDEX('M04-S08'!$N$18:$N$199,2*(ROWS(P$227:P234)-1)+1),"")</f>
        <v>0</v>
      </c>
      <c r="Q234">
        <f>IFERROR(INDEX('M04-S08'!$W$18:$W$199,2*(ROWS(Q$227:Q234)-1)+1),"")</f>
        <v>0</v>
      </c>
      <c r="S234" t="str">
        <f>IFERROR(INDEX('M04-S08'!$AX$18:$AX$199,2*(ROWS(S$227:S234)-1)+1),"")</f>
        <v/>
      </c>
      <c r="T234" s="5" t="str">
        <f>IFERROR(ROUND(INDEX('M04-S08'!$AY$18:$AY$199,2*(ROWS(T$227:T234)-1)+1),3),"")</f>
        <v/>
      </c>
      <c r="U234" s="5" t="str">
        <f>IFERROR(ROUND(INDEX('M04-S08'!$AZ$18:$AZ$199,2*(ROWS(U$227:U234)-1)+1),3),"")</f>
        <v/>
      </c>
      <c r="V234" s="184"/>
      <c r="W234" s="184"/>
      <c r="X234" s="184"/>
      <c r="Y234" s="184"/>
      <c r="Z234" s="184"/>
      <c r="AA234" s="9" t="str" cm="1">
        <f t="array" ref="AA234">IFERROR(ROUND(INDEX('M04-S08'!$AR$18:$AR$199,2*(ROWS(AA$227:AA234)-1)+1), 2),"")</f>
        <v/>
      </c>
      <c r="AB234" s="164"/>
      <c r="AC234" s="9" t="str" cm="1">
        <f t="array" aca="1" ref="AC234" ca="1">IFERROR(ROUND(IF(BB234&lt;&gt;"","",INDEX('M04-S08'!$AH$18:$AH$199,2*(ROWS(AC$227:AC234)-1)+1)),2),"")</f>
        <v/>
      </c>
      <c r="AD234" s="9" t="str" cm="1">
        <f t="array" aca="1" ref="AD234" ca="1">IFERROR(ROUND(IF(BB234&lt;&gt;"","",INDEX('M04-S08'!$AJ$18:$AJ$199,2*(ROWS(AD$227:AD234)-1)+1)),2),"")</f>
        <v/>
      </c>
      <c r="AE234" s="9" t="str">
        <f t="shared" ca="1" si="37"/>
        <v/>
      </c>
      <c r="AF234" t="str">
        <f ca="1">IFERROR(IF(BB234&lt;&gt;"","",INDEX('M04-S08'!$AF$18:$AF$199,2*(ROWS(AG$227:AG234)-1)+1)),"")</f>
        <v/>
      </c>
      <c r="AG234" s="9" t="str" cm="1">
        <f t="array" aca="1" ref="AG234" ca="1">IFERROR(ROUND(IF(BB234&lt;&gt;"","",INDEX('M04-S08'!$AL$18:$AL$199,2*(ROWS(AG$227:AG234)-1)+1)),2),"")</f>
        <v/>
      </c>
      <c r="AH234" s="184"/>
      <c r="AI234" s="184"/>
      <c r="AJ234" s="26" t="str">
        <f ca="1">IFERROR(ROUND(IF(BA234&lt;&gt;"","",INDEX('M04-S08'!$AO$18:$AO$199,2*(ROWS(AJ$227:AJ234)-1)+1)),4),"")</f>
        <v/>
      </c>
      <c r="AK234" s="32">
        <f ca="1">IFERROR(ROUND(IF(BA234&lt;&gt;"","",INDEX('M04-S08'!$BF$18:$BF$199,2*(ROWS(AK$227:AK234)-1)+1)),4),"")</f>
        <v>0</v>
      </c>
      <c r="AL234" s="32" t="str">
        <f ca="1">IFERROR(ROUND(IF(BA234&lt;&gt;"","",INDEX('M04-S08'!$BG$18:$BG$199,2*(ROWS(AL$227:AL234)-1)+1)),4),"")</f>
        <v/>
      </c>
      <c r="AM234" s="32" t="str" cm="1">
        <f t="array" ref="AM234">IFERROR(ROUND(INDEX('M04-S08'!$BA$18:$BA$199,2*(ROWS(AM$227:AM234)-1)+1),4),"")</f>
        <v/>
      </c>
      <c r="AN234" s="32" t="str" cm="1">
        <f t="array" ref="AN234">IFERROR(ROUND(INDEX('M04-S08'!$BB$18:$BB$199,2*(ROWS(AN$227:AN234)-1)+1),4),"")</f>
        <v/>
      </c>
      <c r="AO234" s="32"/>
      <c r="AP234" s="9">
        <f ca="1">IFERROR(ROUND(IF(BB234&lt;&gt;"",INDEX('M04-S08'!$AH$18:$AH$199,2*(ROWS(AP$227:AP234)-1)+1),""),2),"")</f>
        <v>0</v>
      </c>
      <c r="AQ234" s="9" t="str">
        <f ca="1">IFERROR(ROUND(IF(BB234&lt;&gt;"",INDEX('M04-S08'!$AJ$18:$AJ$199,2*(ROWS(AQ$227:AQ234)-1)+1),""),2),"")</f>
        <v/>
      </c>
      <c r="AR234" s="9" t="str">
        <f t="shared" ca="1" si="38"/>
        <v/>
      </c>
      <c r="AS234" t="str">
        <f ca="1">IFERROR(IF(BB234&lt;&gt;"",INDEX('M04-S08'!$AF$18:$AF$199,2*(ROWS(AS$227:AS234)-1)+1),""),"")</f>
        <v/>
      </c>
      <c r="AT234" s="9" t="str" cm="1">
        <f t="array" aca="1" ref="AT234" ca="1">IFERROR(ROUND(IF(BB234&lt;&gt;"", INDEX('M04-S08'!$AL$18:$AL$199,2*(ROWS(AG$227:AG234)-1)+1), ""),2),"")</f>
        <v/>
      </c>
      <c r="AU234" s="184"/>
      <c r="AV234" s="5" t="str">
        <f ca="1">IFERROR(IF(BB234&lt;&gt;"",ROUND(INDEX('M04-S08'!$AY$18:$AY$199,2*(ROWS(AV$227:AV234)-1)+1),3),""),"")</f>
        <v/>
      </c>
      <c r="AW234" s="5" t="str">
        <f ca="1">IFERROR(IF(BB234&lt;&gt;"",ROUND(INDEX('M04-S08'!$AZ$18:$AZ$199,2*(ROWS(AW$227:AW234)-1)+1),3),""),"")</f>
        <v/>
      </c>
      <c r="AX234" s="184"/>
      <c r="AY234" s="26" t="str">
        <f ca="1">IFERROR(IF(BB234&lt;&gt;"",INDEX('M04-S08'!$AO$18:$AO$199,2*(ROWS(AY$227:AY234)-1)+1),""),"")</f>
        <v/>
      </c>
      <c r="AZ234" s="32">
        <f ca="1">IFERROR(IF(BB234&lt;&gt;"",INDEX('M04-S08'!$BF$18:$BF$199,2*(ROWS(AZ$227:AZ234)-1)+1),""),"")</f>
        <v>0</v>
      </c>
      <c r="BA234" s="32" t="str">
        <f ca="1">IFERROR(IF(BB234&lt;&gt;"",INDEX('M04-S08'!$BG$18:$BG$199,2*(ROWS(BA$227:BA234)-1)+1),""),"")</f>
        <v/>
      </c>
      <c r="BB234" t="str">
        <f ca="1">IFERROR(INDEX('M04-S08'!$BY$18:$BY$199,2*(ROWS(BB$227:BB234)-1)+1),"")</f>
        <v>Submit for Review</v>
      </c>
    </row>
    <row r="235" spans="1:54">
      <c r="A235" s="10">
        <f t="shared" si="35"/>
        <v>0</v>
      </c>
      <c r="B235" t="str">
        <f t="shared" si="36"/>
        <v/>
      </c>
      <c r="C235" t="str" cm="1">
        <f t="array" ref="C235">IFERROR(_xlfn.VALUETOTEXT(INDEX('M04-S08'!$BW$18:$BW$199,2*(ROWS($C$227:C235)-1)+1)),"")</f>
        <v/>
      </c>
      <c r="D235">
        <f>IFERROR(INDEX('M04-S08'!$B$18:$B$199,2*(ROWS(D$227:D235)-1)+1),"")</f>
        <v>9</v>
      </c>
      <c r="E235" s="51" t="str" cm="1">
        <f t="array" ref="E235">IFERROR(_xlfn.VALUETOTEXT(INDEX('M04-S08'!$BX$18:$BX$199,2*(ROWS($E$227:E235)-1)+1)),"")</f>
        <v/>
      </c>
      <c r="F235" t="str" cm="1">
        <f t="array" ref="F235">IF(C235&lt;&gt;"", _xlfn.SWITCH(Program_Banner, "Small Business / Non-Profit", "Hard-To-Reach Business", "Business Energy Savings", "Whole Business Efficiency", ""), "")</f>
        <v/>
      </c>
      <c r="G235" t="s">
        <v>135</v>
      </c>
      <c r="H235" t="str">
        <f>IFERROR(INDEX('M04-S08'!$BC$18:$BC$199,2*(ROWS(H$227:H235)-1)+1),"")</f>
        <v/>
      </c>
      <c r="I235" t="str">
        <f>IFERROR(INDEX('M04-S08'!$BJ$18:$BJ$199,2*(ROWS(I$227:I235)-1)+1),"")</f>
        <v/>
      </c>
      <c r="J235" s="9" t="str">
        <f>IFERROR(INDEX('M04-S08'!$BN$18:$BN$199,2*(ROWS(J$227:J235)-1)+1),"")</f>
        <v/>
      </c>
      <c r="K235" s="9" t="str">
        <f>IFERROR(INDEX('M04-S08'!$BO$18:$BO$199,2*(ROWS(K$227:K235)-1)+1),"")</f>
        <v/>
      </c>
      <c r="L235" s="51" t="str">
        <f>IFERROR(INDEX('M04-S08'!$BD$18:$BD$199,2*(ROWS(L$227:L235)-1)+1),"")</f>
        <v/>
      </c>
      <c r="M235" s="171"/>
      <c r="N235" s="171"/>
      <c r="O235">
        <f>IFERROR(INDEX('M04-S08'!$H$18:$H$199,2*(ROWS(O$227:O235)-1)+1),"")</f>
        <v>0</v>
      </c>
      <c r="P235">
        <f>IFERROR(INDEX('M04-S08'!$N$18:$N$199,2*(ROWS(P$227:P235)-1)+1),"")</f>
        <v>0</v>
      </c>
      <c r="Q235">
        <f>IFERROR(INDEX('M04-S08'!$W$18:$W$199,2*(ROWS(Q$227:Q235)-1)+1),"")</f>
        <v>0</v>
      </c>
      <c r="S235" t="str">
        <f>IFERROR(INDEX('M04-S08'!$AX$18:$AX$199,2*(ROWS(S$227:S235)-1)+1),"")</f>
        <v/>
      </c>
      <c r="T235" s="5" t="str">
        <f>IFERROR(ROUND(INDEX('M04-S08'!$AY$18:$AY$199,2*(ROWS(T$227:T235)-1)+1),3),"")</f>
        <v/>
      </c>
      <c r="U235" s="5" t="str">
        <f>IFERROR(ROUND(INDEX('M04-S08'!$AZ$18:$AZ$199,2*(ROWS(U$227:U235)-1)+1),3),"")</f>
        <v/>
      </c>
      <c r="V235" s="184"/>
      <c r="W235" s="184"/>
      <c r="X235" s="184"/>
      <c r="Y235" s="184"/>
      <c r="Z235" s="184"/>
      <c r="AA235" s="9" t="str" cm="1">
        <f t="array" ref="AA235">IFERROR(ROUND(INDEX('M04-S08'!$AR$18:$AR$199,2*(ROWS(AA$227:AA235)-1)+1), 2),"")</f>
        <v/>
      </c>
      <c r="AB235" s="164"/>
      <c r="AC235" s="9" t="str" cm="1">
        <f t="array" aca="1" ref="AC235" ca="1">IFERROR(ROUND(IF(BB235&lt;&gt;"","",INDEX('M04-S08'!$AH$18:$AH$199,2*(ROWS(AC$227:AC235)-1)+1)),2),"")</f>
        <v/>
      </c>
      <c r="AD235" s="9" t="str" cm="1">
        <f t="array" aca="1" ref="AD235" ca="1">IFERROR(ROUND(IF(BB235&lt;&gt;"","",INDEX('M04-S08'!$AJ$18:$AJ$199,2*(ROWS(AD$227:AD235)-1)+1)),2),"")</f>
        <v/>
      </c>
      <c r="AE235" s="9" t="str">
        <f t="shared" ca="1" si="37"/>
        <v/>
      </c>
      <c r="AF235" t="str">
        <f ca="1">IFERROR(IF(BB235&lt;&gt;"","",INDEX('M04-S08'!$AF$18:$AF$199,2*(ROWS(AG$227:AG235)-1)+1)),"")</f>
        <v/>
      </c>
      <c r="AG235" s="9" t="str" cm="1">
        <f t="array" aca="1" ref="AG235" ca="1">IFERROR(ROUND(IF(BB235&lt;&gt;"","",INDEX('M04-S08'!$AL$18:$AL$199,2*(ROWS(AG$227:AG235)-1)+1)),2),"")</f>
        <v/>
      </c>
      <c r="AH235" s="184"/>
      <c r="AI235" s="184"/>
      <c r="AJ235" s="26" t="str">
        <f ca="1">IFERROR(ROUND(IF(BA235&lt;&gt;"","",INDEX('M04-S08'!$AO$18:$AO$199,2*(ROWS(AJ$227:AJ235)-1)+1)),4),"")</f>
        <v/>
      </c>
      <c r="AK235" s="32">
        <f ca="1">IFERROR(ROUND(IF(BA235&lt;&gt;"","",INDEX('M04-S08'!$BF$18:$BF$199,2*(ROWS(AK$227:AK235)-1)+1)),4),"")</f>
        <v>0</v>
      </c>
      <c r="AL235" s="32" t="str">
        <f ca="1">IFERROR(ROUND(IF(BA235&lt;&gt;"","",INDEX('M04-S08'!$BG$18:$BG$199,2*(ROWS(AL$227:AL235)-1)+1)),4),"")</f>
        <v/>
      </c>
      <c r="AM235" s="32" t="str" cm="1">
        <f t="array" ref="AM235">IFERROR(ROUND(INDEX('M04-S08'!$BA$18:$BA$199,2*(ROWS(AM$227:AM235)-1)+1),4),"")</f>
        <v/>
      </c>
      <c r="AN235" s="32" t="str" cm="1">
        <f t="array" ref="AN235">IFERROR(ROUND(INDEX('M04-S08'!$BB$18:$BB$199,2*(ROWS(AN$227:AN235)-1)+1),4),"")</f>
        <v/>
      </c>
      <c r="AO235" s="32"/>
      <c r="AP235" s="9">
        <f ca="1">IFERROR(ROUND(IF(BB235&lt;&gt;"",INDEX('M04-S08'!$AH$18:$AH$199,2*(ROWS(AP$227:AP235)-1)+1),""),2),"")</f>
        <v>0</v>
      </c>
      <c r="AQ235" s="9" t="str">
        <f ca="1">IFERROR(ROUND(IF(BB235&lt;&gt;"",INDEX('M04-S08'!$AJ$18:$AJ$199,2*(ROWS(AQ$227:AQ235)-1)+1),""),2),"")</f>
        <v/>
      </c>
      <c r="AR235" s="9" t="str">
        <f t="shared" ca="1" si="38"/>
        <v/>
      </c>
      <c r="AS235" t="str">
        <f ca="1">IFERROR(IF(BB235&lt;&gt;"",INDEX('M04-S08'!$AF$18:$AF$199,2*(ROWS(AS$227:AS235)-1)+1),""),"")</f>
        <v/>
      </c>
      <c r="AT235" s="9" t="str" cm="1">
        <f t="array" aca="1" ref="AT235" ca="1">IFERROR(ROUND(IF(BB235&lt;&gt;"", INDEX('M04-S08'!$AL$18:$AL$199,2*(ROWS(AG$227:AG235)-1)+1), ""),2),"")</f>
        <v/>
      </c>
      <c r="AU235" s="184"/>
      <c r="AV235" s="5" t="str">
        <f ca="1">IFERROR(IF(BB235&lt;&gt;"",ROUND(INDEX('M04-S08'!$AY$18:$AY$199,2*(ROWS(AV$227:AV235)-1)+1),3),""),"")</f>
        <v/>
      </c>
      <c r="AW235" s="5" t="str">
        <f ca="1">IFERROR(IF(BB235&lt;&gt;"",ROUND(INDEX('M04-S08'!$AZ$18:$AZ$199,2*(ROWS(AW$227:AW235)-1)+1),3),""),"")</f>
        <v/>
      </c>
      <c r="AX235" s="184"/>
      <c r="AY235" s="26" t="str">
        <f ca="1">IFERROR(IF(BB235&lt;&gt;"",INDEX('M04-S08'!$AO$18:$AO$199,2*(ROWS(AY$227:AY235)-1)+1),""),"")</f>
        <v/>
      </c>
      <c r="AZ235" s="32">
        <f ca="1">IFERROR(IF(BB235&lt;&gt;"",INDEX('M04-S08'!$BF$18:$BF$199,2*(ROWS(AZ$227:AZ235)-1)+1),""),"")</f>
        <v>0</v>
      </c>
      <c r="BA235" s="32" t="str">
        <f ca="1">IFERROR(IF(BB235&lt;&gt;"",INDEX('M04-S08'!$BG$18:$BG$199,2*(ROWS(BA$227:BA235)-1)+1),""),"")</f>
        <v/>
      </c>
      <c r="BB235" t="str">
        <f ca="1">IFERROR(INDEX('M04-S08'!$BY$18:$BY$199,2*(ROWS(BB$227:BB235)-1)+1),"")</f>
        <v>Submit for Review</v>
      </c>
    </row>
    <row r="236" spans="1:54">
      <c r="A236" s="10">
        <f t="shared" si="35"/>
        <v>0</v>
      </c>
      <c r="B236" t="str">
        <f t="shared" si="36"/>
        <v/>
      </c>
      <c r="C236" t="str" cm="1">
        <f t="array" ref="C236">IFERROR(_xlfn.VALUETOTEXT(INDEX('M04-S08'!$BW$18:$BW$199,2*(ROWS($C$227:C236)-1)+1)),"")</f>
        <v/>
      </c>
      <c r="D236">
        <f>IFERROR(INDEX('M04-S08'!$B$18:$B$199,2*(ROWS(D$227:D236)-1)+1),"")</f>
        <v>10</v>
      </c>
      <c r="E236" s="51" t="str" cm="1">
        <f t="array" ref="E236">IFERROR(_xlfn.VALUETOTEXT(INDEX('M04-S08'!$BX$18:$BX$199,2*(ROWS($E$227:E236)-1)+1)),"")</f>
        <v/>
      </c>
      <c r="F236" t="str" cm="1">
        <f t="array" ref="F236">IF(C236&lt;&gt;"", _xlfn.SWITCH(Program_Banner, "Small Business / Non-Profit", "Hard-To-Reach Business", "Business Energy Savings", "Whole Business Efficiency", ""), "")</f>
        <v/>
      </c>
      <c r="G236" t="s">
        <v>135</v>
      </c>
      <c r="H236" t="str">
        <f>IFERROR(INDEX('M04-S08'!$BC$18:$BC$199,2*(ROWS(H$227:H236)-1)+1),"")</f>
        <v/>
      </c>
      <c r="I236" t="str">
        <f>IFERROR(INDEX('M04-S08'!$BJ$18:$BJ$199,2*(ROWS(I$227:I236)-1)+1),"")</f>
        <v/>
      </c>
      <c r="J236" s="9" t="str">
        <f>IFERROR(INDEX('M04-S08'!$BN$18:$BN$199,2*(ROWS(J$227:J236)-1)+1),"")</f>
        <v/>
      </c>
      <c r="K236" s="9" t="str">
        <f>IFERROR(INDEX('M04-S08'!$BO$18:$BO$199,2*(ROWS(K$227:K236)-1)+1),"")</f>
        <v/>
      </c>
      <c r="L236" s="51" t="str">
        <f>IFERROR(INDEX('M04-S08'!$BD$18:$BD$199,2*(ROWS(L$227:L236)-1)+1),"")</f>
        <v/>
      </c>
      <c r="M236" s="171"/>
      <c r="N236" s="171"/>
      <c r="O236">
        <f>IFERROR(INDEX('M04-S08'!$H$18:$H$199,2*(ROWS(O$227:O236)-1)+1),"")</f>
        <v>0</v>
      </c>
      <c r="P236">
        <f>IFERROR(INDEX('M04-S08'!$N$18:$N$199,2*(ROWS(P$227:P236)-1)+1),"")</f>
        <v>0</v>
      </c>
      <c r="Q236">
        <f>IFERROR(INDEX('M04-S08'!$W$18:$W$199,2*(ROWS(Q$227:Q236)-1)+1),"")</f>
        <v>0</v>
      </c>
      <c r="S236" t="str">
        <f>IFERROR(INDEX('M04-S08'!$AX$18:$AX$199,2*(ROWS(S$227:S236)-1)+1),"")</f>
        <v/>
      </c>
      <c r="T236" s="5" t="str">
        <f>IFERROR(ROUND(INDEX('M04-S08'!$AY$18:$AY$199,2*(ROWS(T$227:T236)-1)+1),3),"")</f>
        <v/>
      </c>
      <c r="U236" s="5" t="str">
        <f>IFERROR(ROUND(INDEX('M04-S08'!$AZ$18:$AZ$199,2*(ROWS(U$227:U236)-1)+1),3),"")</f>
        <v/>
      </c>
      <c r="V236" s="184"/>
      <c r="W236" s="184"/>
      <c r="X236" s="184"/>
      <c r="Y236" s="184"/>
      <c r="Z236" s="184"/>
      <c r="AA236" s="9" t="str" cm="1">
        <f t="array" ref="AA236">IFERROR(ROUND(INDEX('M04-S08'!$AR$18:$AR$199,2*(ROWS(AA$227:AA236)-1)+1), 2),"")</f>
        <v/>
      </c>
      <c r="AB236" s="164"/>
      <c r="AC236" s="9" t="str" cm="1">
        <f t="array" aca="1" ref="AC236" ca="1">IFERROR(ROUND(IF(BB236&lt;&gt;"","",INDEX('M04-S08'!$AH$18:$AH$199,2*(ROWS(AC$227:AC236)-1)+1)),2),"")</f>
        <v/>
      </c>
      <c r="AD236" s="9" t="str" cm="1">
        <f t="array" aca="1" ref="AD236" ca="1">IFERROR(ROUND(IF(BB236&lt;&gt;"","",INDEX('M04-S08'!$AJ$18:$AJ$199,2*(ROWS(AD$227:AD236)-1)+1)),2),"")</f>
        <v/>
      </c>
      <c r="AE236" s="9" t="str">
        <f t="shared" ca="1" si="37"/>
        <v/>
      </c>
      <c r="AF236" t="str">
        <f ca="1">IFERROR(IF(BB236&lt;&gt;"","",INDEX('M04-S08'!$AF$18:$AF$199,2*(ROWS(AG$227:AG236)-1)+1)),"")</f>
        <v/>
      </c>
      <c r="AG236" s="9" t="str" cm="1">
        <f t="array" aca="1" ref="AG236" ca="1">IFERROR(ROUND(IF(BB236&lt;&gt;"","",INDEX('M04-S08'!$AL$18:$AL$199,2*(ROWS(AG$227:AG236)-1)+1)),2),"")</f>
        <v/>
      </c>
      <c r="AH236" s="184"/>
      <c r="AI236" s="184"/>
      <c r="AJ236" s="26" t="str">
        <f ca="1">IFERROR(ROUND(IF(BA236&lt;&gt;"","",INDEX('M04-S08'!$AO$18:$AO$199,2*(ROWS(AJ$227:AJ236)-1)+1)),4),"")</f>
        <v/>
      </c>
      <c r="AK236" s="32">
        <f ca="1">IFERROR(ROUND(IF(BA236&lt;&gt;"","",INDEX('M04-S08'!$BF$18:$BF$199,2*(ROWS(AK$227:AK236)-1)+1)),4),"")</f>
        <v>0</v>
      </c>
      <c r="AL236" s="32" t="str">
        <f ca="1">IFERROR(ROUND(IF(BA236&lt;&gt;"","",INDEX('M04-S08'!$BG$18:$BG$199,2*(ROWS(AL$227:AL236)-1)+1)),4),"")</f>
        <v/>
      </c>
      <c r="AM236" s="32" t="str" cm="1">
        <f t="array" ref="AM236">IFERROR(ROUND(INDEX('M04-S08'!$BA$18:$BA$199,2*(ROWS(AM$227:AM236)-1)+1),4),"")</f>
        <v/>
      </c>
      <c r="AN236" s="32" t="str" cm="1">
        <f t="array" ref="AN236">IFERROR(ROUND(INDEX('M04-S08'!$BB$18:$BB$199,2*(ROWS(AN$227:AN236)-1)+1),4),"")</f>
        <v/>
      </c>
      <c r="AO236" s="32"/>
      <c r="AP236" s="9">
        <f ca="1">IFERROR(ROUND(IF(BB236&lt;&gt;"",INDEX('M04-S08'!$AH$18:$AH$199,2*(ROWS(AP$227:AP236)-1)+1),""),2),"")</f>
        <v>0</v>
      </c>
      <c r="AQ236" s="9" t="str">
        <f ca="1">IFERROR(ROUND(IF(BB236&lt;&gt;"",INDEX('M04-S08'!$AJ$18:$AJ$199,2*(ROWS(AQ$227:AQ236)-1)+1),""),2),"")</f>
        <v/>
      </c>
      <c r="AR236" s="9" t="str">
        <f t="shared" ca="1" si="38"/>
        <v/>
      </c>
      <c r="AS236" t="str">
        <f ca="1">IFERROR(IF(BB236&lt;&gt;"",INDEX('M04-S08'!$AF$18:$AF$199,2*(ROWS(AS$227:AS236)-1)+1),""),"")</f>
        <v/>
      </c>
      <c r="AT236" s="9" t="str" cm="1">
        <f t="array" aca="1" ref="AT236" ca="1">IFERROR(ROUND(IF(BB236&lt;&gt;"", INDEX('M04-S08'!$AL$18:$AL$199,2*(ROWS(AG$227:AG236)-1)+1), ""),2),"")</f>
        <v/>
      </c>
      <c r="AU236" s="184"/>
      <c r="AV236" s="5" t="str">
        <f ca="1">IFERROR(IF(BB236&lt;&gt;"",ROUND(INDEX('M04-S08'!$AY$18:$AY$199,2*(ROWS(AV$227:AV236)-1)+1),3),""),"")</f>
        <v/>
      </c>
      <c r="AW236" s="5" t="str">
        <f ca="1">IFERROR(IF(BB236&lt;&gt;"",ROUND(INDEX('M04-S08'!$AZ$18:$AZ$199,2*(ROWS(AW$227:AW236)-1)+1),3),""),"")</f>
        <v/>
      </c>
      <c r="AX236" s="184"/>
      <c r="AY236" s="26" t="str">
        <f ca="1">IFERROR(IF(BB236&lt;&gt;"",INDEX('M04-S08'!$AO$18:$AO$199,2*(ROWS(AY$227:AY236)-1)+1),""),"")</f>
        <v/>
      </c>
      <c r="AZ236" s="32">
        <f ca="1">IFERROR(IF(BB236&lt;&gt;"",INDEX('M04-S08'!$BF$18:$BF$199,2*(ROWS(AZ$227:AZ236)-1)+1),""),"")</f>
        <v>0</v>
      </c>
      <c r="BA236" s="32" t="str">
        <f ca="1">IFERROR(IF(BB236&lt;&gt;"",INDEX('M04-S08'!$BG$18:$BG$199,2*(ROWS(BA$227:BA236)-1)+1),""),"")</f>
        <v/>
      </c>
      <c r="BB236" t="str">
        <f ca="1">IFERROR(INDEX('M04-S08'!$BY$18:$BY$199,2*(ROWS(BB$227:BB236)-1)+1),"")</f>
        <v>Submit for Review</v>
      </c>
    </row>
    <row r="237" spans="1:54">
      <c r="A237" s="10">
        <f t="shared" si="35"/>
        <v>0</v>
      </c>
      <c r="B237" t="str">
        <f t="shared" si="36"/>
        <v/>
      </c>
      <c r="C237" t="str" cm="1">
        <f t="array" ref="C237">IFERROR(_xlfn.VALUETOTEXT(INDEX('M04-S08'!$BW$18:$BW$199,2*(ROWS($C$227:C237)-1)+1)),"")</f>
        <v/>
      </c>
      <c r="D237">
        <f>IFERROR(INDEX('M04-S08'!$B$18:$B$199,2*(ROWS(D$227:D237)-1)+1),"")</f>
        <v>0</v>
      </c>
      <c r="E237" s="51" t="str" cm="1">
        <f t="array" ref="E237">IFERROR(_xlfn.VALUETOTEXT(INDEX('M04-S08'!$BX$18:$BX$199,2*(ROWS($E$227:E237)-1)+1)),"")</f>
        <v/>
      </c>
      <c r="F237" t="str" cm="1">
        <f t="array" ref="F237">IF(C237&lt;&gt;"", _xlfn.SWITCH(Program_Banner, "Small Business / Non-Profit", "Hard-To-Reach Business", "Business Energy Savings", "Whole Business Efficiency", ""), "")</f>
        <v/>
      </c>
      <c r="G237" t="s">
        <v>135</v>
      </c>
      <c r="H237">
        <f>IFERROR(INDEX('M04-S08'!$BC$18:$BC$199,2*(ROWS(H$227:H237)-1)+1),"")</f>
        <v>0</v>
      </c>
      <c r="I237">
        <f>IFERROR(INDEX('M04-S08'!$BJ$18:$BJ$199,2*(ROWS(I$227:I237)-1)+1),"")</f>
        <v>0</v>
      </c>
      <c r="J237" s="9">
        <f>IFERROR(INDEX('M04-S08'!$BN$18:$BN$199,2*(ROWS(J$227:J237)-1)+1),"")</f>
        <v>0</v>
      </c>
      <c r="K237" s="9">
        <f>IFERROR(INDEX('M04-S08'!$BO$18:$BO$199,2*(ROWS(K$227:K237)-1)+1),"")</f>
        <v>0</v>
      </c>
      <c r="L237" s="51">
        <f>IFERROR(INDEX('M04-S08'!$BD$18:$BD$199,2*(ROWS(L$227:L237)-1)+1),"")</f>
        <v>0</v>
      </c>
      <c r="M237" s="171"/>
      <c r="N237" s="171"/>
      <c r="O237">
        <f>IFERROR(INDEX('M04-S08'!$H$18:$H$199,2*(ROWS(O$227:O237)-1)+1),"")</f>
        <v>0</v>
      </c>
      <c r="P237">
        <f>IFERROR(INDEX('M04-S08'!$N$18:$N$199,2*(ROWS(P$227:P237)-1)+1),"")</f>
        <v>0</v>
      </c>
      <c r="Q237">
        <f>IFERROR(INDEX('M04-S08'!$W$18:$W$199,2*(ROWS(Q$227:Q237)-1)+1),"")</f>
        <v>0</v>
      </c>
      <c r="S237">
        <f>IFERROR(INDEX('M04-S08'!$AX$18:$AX$199,2*(ROWS(S$227:S237)-1)+1),"")</f>
        <v>0</v>
      </c>
      <c r="T237" s="5">
        <f>IFERROR(ROUND(INDEX('M04-S08'!$AY$18:$AY$199,2*(ROWS(T$227:T237)-1)+1),3),"")</f>
        <v>0</v>
      </c>
      <c r="U237" s="5">
        <f>IFERROR(ROUND(INDEX('M04-S08'!$AZ$18:$AZ$199,2*(ROWS(U$227:U237)-1)+1),3),"")</f>
        <v>0</v>
      </c>
      <c r="V237" s="184"/>
      <c r="W237" s="184"/>
      <c r="X237" s="184"/>
      <c r="Y237" s="184"/>
      <c r="Z237" s="184"/>
      <c r="AA237" s="9" cm="1">
        <f t="array" ref="AA237">IFERROR(ROUND(INDEX('M04-S08'!$AR$18:$AR$199,2*(ROWS(AA$227:AA237)-1)+1), 2),"")</f>
        <v>0</v>
      </c>
      <c r="AB237" s="164"/>
      <c r="AC237" s="9" t="str" cm="1">
        <f t="array" ref="AC237">IFERROR(ROUND(IF(BB237&lt;&gt;"","",INDEX('M04-S08'!$AH$18:$AH$199,2*(ROWS(AC$227:AC237)-1)+1)),2),"")</f>
        <v/>
      </c>
      <c r="AD237" s="9" t="str" cm="1">
        <f t="array" ref="AD237">IFERROR(ROUND(IF(BB237&lt;&gt;"","",INDEX('M04-S08'!$AJ$18:$AJ$199,2*(ROWS(AD$227:AD237)-1)+1)),2),"")</f>
        <v/>
      </c>
      <c r="AE237" s="9" t="str">
        <f t="shared" si="37"/>
        <v/>
      </c>
      <c r="AF237" t="str">
        <f>IFERROR(IF(BB237&lt;&gt;"","",INDEX('M04-S08'!$AF$18:$AF$199,2*(ROWS(AG$227:AG237)-1)+1)),"")</f>
        <v/>
      </c>
      <c r="AG237" s="9" t="str" cm="1">
        <f t="array" ref="AG237">IFERROR(ROUND(IF(BB237&lt;&gt;"","",INDEX('M04-S08'!$AL$18:$AL$199,2*(ROWS(AG$227:AG237)-1)+1)),2),"")</f>
        <v/>
      </c>
      <c r="AH237" s="184"/>
      <c r="AI237" s="184"/>
      <c r="AJ237" s="26" t="str">
        <f>IFERROR(ROUND(IF(BA237&lt;&gt;"","",INDEX('M04-S08'!$AO$18:$AO$199,2*(ROWS(AJ$227:AJ237)-1)+1)),4),"")</f>
        <v/>
      </c>
      <c r="AK237" s="32" t="str">
        <f>IFERROR(ROUND(IF(BA237&lt;&gt;"","",INDEX('M04-S08'!$BF$18:$BF$199,2*(ROWS(AK$227:AK237)-1)+1)),4),"")</f>
        <v/>
      </c>
      <c r="AL237" s="32" t="str">
        <f>IFERROR(ROUND(IF(BA237&lt;&gt;"","",INDEX('M04-S08'!$BG$18:$BG$199,2*(ROWS(AL$227:AL237)-1)+1)),4),"")</f>
        <v/>
      </c>
      <c r="AM237" s="32" cm="1">
        <f t="array" ref="AM237">IFERROR(ROUND(INDEX('M04-S08'!$BA$18:$BA$199,2*(ROWS(AM$227:AM237)-1)+1),4),"")</f>
        <v>0</v>
      </c>
      <c r="AN237" s="32" cm="1">
        <f t="array" ref="AN237">IFERROR(ROUND(INDEX('M04-S08'!$BB$18:$BB$199,2*(ROWS(AN$227:AN237)-1)+1),4),"")</f>
        <v>0</v>
      </c>
      <c r="AO237" s="32"/>
      <c r="AP237" s="9">
        <f>IFERROR(ROUND(IF(BB237&lt;&gt;"",INDEX('M04-S08'!$AH$18:$AH$199,2*(ROWS(AP$227:AP237)-1)+1),""),2),"")</f>
        <v>0</v>
      </c>
      <c r="AQ237" s="9">
        <f>IFERROR(ROUND(IF(BB237&lt;&gt;"",INDEX('M04-S08'!$AJ$18:$AJ$199,2*(ROWS(AQ$227:AQ237)-1)+1),""),2),"")</f>
        <v>0</v>
      </c>
      <c r="AR237" s="9" t="str">
        <f t="shared" si="38"/>
        <v/>
      </c>
      <c r="AS237">
        <f>IFERROR(IF(BB237&lt;&gt;"",INDEX('M04-S08'!$AF$18:$AF$199,2*(ROWS(AS$227:AS237)-1)+1),""),"")</f>
        <v>0</v>
      </c>
      <c r="AT237" s="9" cm="1">
        <f t="array" ref="AT237">IFERROR(ROUND(IF(BB237&lt;&gt;"", INDEX('M04-S08'!$AL$18:$AL$199,2*(ROWS(AG$227:AG237)-1)+1), ""),2),"")</f>
        <v>0</v>
      </c>
      <c r="AU237" s="184"/>
      <c r="AV237" s="5">
        <f>IFERROR(IF(BB237&lt;&gt;"",ROUND(INDEX('M04-S08'!$AY$18:$AY$199,2*(ROWS(AV$227:AV237)-1)+1),3),""),"")</f>
        <v>0</v>
      </c>
      <c r="AW237" s="5">
        <f>IFERROR(IF(BB237&lt;&gt;"",ROUND(INDEX('M04-S08'!$AZ$18:$AZ$199,2*(ROWS(AW$227:AW237)-1)+1),3),""),"")</f>
        <v>0</v>
      </c>
      <c r="AX237" s="184"/>
      <c r="AY237" s="26">
        <f>IFERROR(IF(BB237&lt;&gt;"",INDEX('M04-S08'!$AO$18:$AO$199,2*(ROWS(AY$227:AY237)-1)+1),""),"")</f>
        <v>0</v>
      </c>
      <c r="AZ237" s="32">
        <f>IFERROR(IF(BB237&lt;&gt;"",INDEX('M04-S08'!$BF$18:$BF$199,2*(ROWS(AZ$227:AZ237)-1)+1),""),"")</f>
        <v>0</v>
      </c>
      <c r="BA237" s="32">
        <f>IFERROR(IF(BB237&lt;&gt;"",INDEX('M04-S08'!$BG$18:$BG$199,2*(ROWS(BA$227:BA237)-1)+1),""),"")</f>
        <v>0</v>
      </c>
      <c r="BB237">
        <f>IFERROR(INDEX('M04-S08'!$BY$18:$BY$199,2*(ROWS(BB$227:BB237)-1)+1),"")</f>
        <v>0</v>
      </c>
    </row>
    <row r="238" spans="1:54">
      <c r="A238" s="10">
        <f t="shared" si="35"/>
        <v>0</v>
      </c>
      <c r="B238" t="str">
        <f t="shared" si="36"/>
        <v/>
      </c>
      <c r="C238" t="str" cm="1">
        <f t="array" ref="C238">IFERROR(_xlfn.VALUETOTEXT(INDEX('M04-S08'!$BW$18:$BW$199,2*(ROWS($C$227:C238)-1)+1)),"")</f>
        <v/>
      </c>
      <c r="D238">
        <f>IFERROR(INDEX('M04-S08'!$B$18:$B$199,2*(ROWS(D$227:D238)-1)+1),"")</f>
        <v>0</v>
      </c>
      <c r="E238" s="51" t="str" cm="1">
        <f t="array" ref="E238">IFERROR(_xlfn.VALUETOTEXT(INDEX('M04-S08'!$BX$18:$BX$199,2*(ROWS($E$227:E238)-1)+1)),"")</f>
        <v/>
      </c>
      <c r="F238" t="str" cm="1">
        <f t="array" ref="F238">IF(C238&lt;&gt;"", _xlfn.SWITCH(Program_Banner, "Small Business / Non-Profit", "Hard-To-Reach Business", "Business Energy Savings", "Whole Business Efficiency", ""), "")</f>
        <v/>
      </c>
      <c r="G238" t="s">
        <v>135</v>
      </c>
      <c r="H238">
        <f>IFERROR(INDEX('M04-S08'!$BC$18:$BC$199,2*(ROWS(H$227:H238)-1)+1),"")</f>
        <v>0</v>
      </c>
      <c r="I238">
        <f>IFERROR(INDEX('M04-S08'!$BJ$18:$BJ$199,2*(ROWS(I$227:I238)-1)+1),"")</f>
        <v>0</v>
      </c>
      <c r="J238" s="9">
        <f>IFERROR(INDEX('M04-S08'!$BN$18:$BN$199,2*(ROWS(J$227:J238)-1)+1),"")</f>
        <v>0</v>
      </c>
      <c r="K238" s="9">
        <f>IFERROR(INDEX('M04-S08'!$BO$18:$BO$199,2*(ROWS(K$227:K238)-1)+1),"")</f>
        <v>0</v>
      </c>
      <c r="L238" s="51">
        <f>IFERROR(INDEX('M04-S08'!$BD$18:$BD$199,2*(ROWS(L$227:L238)-1)+1),"")</f>
        <v>0</v>
      </c>
      <c r="M238" s="171"/>
      <c r="N238" s="171"/>
      <c r="O238">
        <f>IFERROR(INDEX('M04-S08'!$H$18:$H$199,2*(ROWS(O$227:O238)-1)+1),"")</f>
        <v>0</v>
      </c>
      <c r="P238">
        <f>IFERROR(INDEX('M04-S08'!$N$18:$N$199,2*(ROWS(P$227:P238)-1)+1),"")</f>
        <v>0</v>
      </c>
      <c r="Q238">
        <f>IFERROR(INDEX('M04-S08'!$W$18:$W$199,2*(ROWS(Q$227:Q238)-1)+1),"")</f>
        <v>0</v>
      </c>
      <c r="S238">
        <f>IFERROR(INDEX('M04-S08'!$AX$18:$AX$199,2*(ROWS(S$227:S238)-1)+1),"")</f>
        <v>0</v>
      </c>
      <c r="T238" s="5">
        <f>IFERROR(ROUND(INDEX('M04-S08'!$AY$18:$AY$199,2*(ROWS(T$227:T238)-1)+1),3),"")</f>
        <v>0</v>
      </c>
      <c r="U238" s="5">
        <f>IFERROR(ROUND(INDEX('M04-S08'!$AZ$18:$AZ$199,2*(ROWS(U$227:U238)-1)+1),3),"")</f>
        <v>0</v>
      </c>
      <c r="V238" s="184"/>
      <c r="W238" s="184"/>
      <c r="X238" s="184"/>
      <c r="Y238" s="184"/>
      <c r="Z238" s="184"/>
      <c r="AA238" s="9" cm="1">
        <f t="array" ref="AA238">IFERROR(ROUND(INDEX('M04-S08'!$AR$18:$AR$199,2*(ROWS(AA$227:AA238)-1)+1), 2),"")</f>
        <v>0</v>
      </c>
      <c r="AB238" s="164"/>
      <c r="AC238" s="9" t="str" cm="1">
        <f t="array" ref="AC238">IFERROR(ROUND(IF(BB238&lt;&gt;"","",INDEX('M04-S08'!$AH$18:$AH$199,2*(ROWS(AC$227:AC238)-1)+1)),2),"")</f>
        <v/>
      </c>
      <c r="AD238" s="9" t="str" cm="1">
        <f t="array" ref="AD238">IFERROR(ROUND(IF(BB238&lt;&gt;"","",INDEX('M04-S08'!$AJ$18:$AJ$199,2*(ROWS(AD$227:AD238)-1)+1)),2),"")</f>
        <v/>
      </c>
      <c r="AE238" s="9" t="str">
        <f t="shared" si="37"/>
        <v/>
      </c>
      <c r="AF238" t="str">
        <f>IFERROR(IF(BB238&lt;&gt;"","",INDEX('M04-S08'!$AF$18:$AF$199,2*(ROWS(AG$227:AG238)-1)+1)),"")</f>
        <v/>
      </c>
      <c r="AG238" s="9" t="str" cm="1">
        <f t="array" ref="AG238">IFERROR(ROUND(IF(BB238&lt;&gt;"","",INDEX('M04-S08'!$AL$18:$AL$199,2*(ROWS(AG$227:AG238)-1)+1)),2),"")</f>
        <v/>
      </c>
      <c r="AH238" s="184"/>
      <c r="AI238" s="184"/>
      <c r="AJ238" s="26" t="str">
        <f>IFERROR(ROUND(IF(BA238&lt;&gt;"","",INDEX('M04-S08'!$AO$18:$AO$199,2*(ROWS(AJ$227:AJ238)-1)+1)),4),"")</f>
        <v/>
      </c>
      <c r="AK238" s="32" t="str">
        <f>IFERROR(ROUND(IF(BA238&lt;&gt;"","",INDEX('M04-S08'!$BF$18:$BF$199,2*(ROWS(AK$227:AK238)-1)+1)),4),"")</f>
        <v/>
      </c>
      <c r="AL238" s="32" t="str">
        <f>IFERROR(ROUND(IF(BA238&lt;&gt;"","",INDEX('M04-S08'!$BG$18:$BG$199,2*(ROWS(AL$227:AL238)-1)+1)),4),"")</f>
        <v/>
      </c>
      <c r="AM238" s="32" cm="1">
        <f t="array" ref="AM238">IFERROR(ROUND(INDEX('M04-S08'!$BA$18:$BA$199,2*(ROWS(AM$227:AM238)-1)+1),4),"")</f>
        <v>0</v>
      </c>
      <c r="AN238" s="32" cm="1">
        <f t="array" ref="AN238">IFERROR(ROUND(INDEX('M04-S08'!$BB$18:$BB$199,2*(ROWS(AN$227:AN238)-1)+1),4),"")</f>
        <v>0</v>
      </c>
      <c r="AO238" s="32"/>
      <c r="AP238" s="9">
        <f>IFERROR(ROUND(IF(BB238&lt;&gt;"",INDEX('M04-S08'!$AH$18:$AH$199,2*(ROWS(AP$227:AP238)-1)+1),""),2),"")</f>
        <v>0</v>
      </c>
      <c r="AQ238" s="9">
        <f>IFERROR(ROUND(IF(BB238&lt;&gt;"",INDEX('M04-S08'!$AJ$18:$AJ$199,2*(ROWS(AQ$227:AQ238)-1)+1),""),2),"")</f>
        <v>0</v>
      </c>
      <c r="AR238" s="9" t="str">
        <f t="shared" si="38"/>
        <v/>
      </c>
      <c r="AS238">
        <f>IFERROR(IF(BB238&lt;&gt;"",INDEX('M04-S08'!$AF$18:$AF$199,2*(ROWS(AS$227:AS238)-1)+1),""),"")</f>
        <v>0</v>
      </c>
      <c r="AT238" s="9" cm="1">
        <f t="array" ref="AT238">IFERROR(ROUND(IF(BB238&lt;&gt;"", INDEX('M04-S08'!$AL$18:$AL$199,2*(ROWS(AG$227:AG238)-1)+1), ""),2),"")</f>
        <v>0</v>
      </c>
      <c r="AU238" s="184"/>
      <c r="AV238" s="5">
        <f>IFERROR(IF(BB238&lt;&gt;"",ROUND(INDEX('M04-S08'!$AY$18:$AY$199,2*(ROWS(AV$227:AV238)-1)+1),3),""),"")</f>
        <v>0</v>
      </c>
      <c r="AW238" s="5">
        <f>IFERROR(IF(BB238&lt;&gt;"",ROUND(INDEX('M04-S08'!$AZ$18:$AZ$199,2*(ROWS(AW$227:AW238)-1)+1),3),""),"")</f>
        <v>0</v>
      </c>
      <c r="AX238" s="184"/>
      <c r="AY238" s="26">
        <f>IFERROR(IF(BB238&lt;&gt;"",INDEX('M04-S08'!$AO$18:$AO$199,2*(ROWS(AY$227:AY238)-1)+1),""),"")</f>
        <v>0</v>
      </c>
      <c r="AZ238" s="32">
        <f>IFERROR(IF(BB238&lt;&gt;"",INDEX('M04-S08'!$BF$18:$BF$199,2*(ROWS(AZ$227:AZ238)-1)+1),""),"")</f>
        <v>0</v>
      </c>
      <c r="BA238" s="32">
        <f>IFERROR(IF(BB238&lt;&gt;"",INDEX('M04-S08'!$BG$18:$BG$199,2*(ROWS(BA$227:BA238)-1)+1),""),"")</f>
        <v>0</v>
      </c>
      <c r="BB238">
        <f>IFERROR(INDEX('M04-S08'!$BY$18:$BY$199,2*(ROWS(BB$227:BB238)-1)+1),"")</f>
        <v>0</v>
      </c>
    </row>
    <row r="239" spans="1:54">
      <c r="A239" s="10">
        <f t="shared" si="35"/>
        <v>0</v>
      </c>
      <c r="B239" t="str">
        <f t="shared" si="36"/>
        <v/>
      </c>
      <c r="C239" t="str" cm="1">
        <f t="array" ref="C239">IFERROR(_xlfn.VALUETOTEXT(INDEX('M04-S08'!$BW$18:$BW$199,2*(ROWS($C$227:C239)-1)+1)),"")</f>
        <v/>
      </c>
      <c r="D239">
        <f>IFERROR(INDEX('M04-S08'!$B$18:$B$199,2*(ROWS(D$227:D239)-1)+1),"")</f>
        <v>0</v>
      </c>
      <c r="E239" s="51" t="str" cm="1">
        <f t="array" ref="E239">IFERROR(_xlfn.VALUETOTEXT(INDEX('M04-S08'!$BX$18:$BX$199,2*(ROWS($E$227:E239)-1)+1)),"")</f>
        <v/>
      </c>
      <c r="F239" t="str" cm="1">
        <f t="array" ref="F239">IF(C239&lt;&gt;"", _xlfn.SWITCH(Program_Banner, "Small Business / Non-Profit", "Hard-To-Reach Business", "Business Energy Savings", "Whole Business Efficiency", ""), "")</f>
        <v/>
      </c>
      <c r="G239" t="s">
        <v>135</v>
      </c>
      <c r="H239">
        <f>IFERROR(INDEX('M04-S08'!$BC$18:$BC$199,2*(ROWS(H$227:H239)-1)+1),"")</f>
        <v>0</v>
      </c>
      <c r="I239">
        <f>IFERROR(INDEX('M04-S08'!$BJ$18:$BJ$199,2*(ROWS(I$227:I239)-1)+1),"")</f>
        <v>0</v>
      </c>
      <c r="J239" s="9">
        <f>IFERROR(INDEX('M04-S08'!$BN$18:$BN$199,2*(ROWS(J$227:J239)-1)+1),"")</f>
        <v>0</v>
      </c>
      <c r="K239" s="9">
        <f>IFERROR(INDEX('M04-S08'!$BO$18:$BO$199,2*(ROWS(K$227:K239)-1)+1),"")</f>
        <v>0</v>
      </c>
      <c r="L239" s="51">
        <f>IFERROR(INDEX('M04-S08'!$BD$18:$BD$199,2*(ROWS(L$227:L239)-1)+1),"")</f>
        <v>0</v>
      </c>
      <c r="M239" s="171"/>
      <c r="N239" s="171"/>
      <c r="O239">
        <f>IFERROR(INDEX('M04-S08'!$H$18:$H$199,2*(ROWS(O$227:O239)-1)+1),"")</f>
        <v>0</v>
      </c>
      <c r="P239">
        <f>IFERROR(INDEX('M04-S08'!$N$18:$N$199,2*(ROWS(P$227:P239)-1)+1),"")</f>
        <v>0</v>
      </c>
      <c r="Q239">
        <f>IFERROR(INDEX('M04-S08'!$W$18:$W$199,2*(ROWS(Q$227:Q239)-1)+1),"")</f>
        <v>0</v>
      </c>
      <c r="S239">
        <f>IFERROR(INDEX('M04-S08'!$AX$18:$AX$199,2*(ROWS(S$227:S239)-1)+1),"")</f>
        <v>0</v>
      </c>
      <c r="T239" s="5">
        <f>IFERROR(ROUND(INDEX('M04-S08'!$AY$18:$AY$199,2*(ROWS(T$227:T239)-1)+1),3),"")</f>
        <v>0</v>
      </c>
      <c r="U239" s="5">
        <f>IFERROR(ROUND(INDEX('M04-S08'!$AZ$18:$AZ$199,2*(ROWS(U$227:U239)-1)+1),3),"")</f>
        <v>0</v>
      </c>
      <c r="V239" s="184"/>
      <c r="W239" s="184"/>
      <c r="X239" s="184"/>
      <c r="Y239" s="184"/>
      <c r="Z239" s="184"/>
      <c r="AA239" s="9" cm="1">
        <f t="array" ref="AA239">IFERROR(ROUND(INDEX('M04-S08'!$AR$18:$AR$199,2*(ROWS(AA$227:AA239)-1)+1), 2),"")</f>
        <v>0</v>
      </c>
      <c r="AB239" s="164"/>
      <c r="AC239" s="9" t="str" cm="1">
        <f t="array" ref="AC239">IFERROR(ROUND(IF(BB239&lt;&gt;"","",INDEX('M04-S08'!$AH$18:$AH$199,2*(ROWS(AC$227:AC239)-1)+1)),2),"")</f>
        <v/>
      </c>
      <c r="AD239" s="9" t="str" cm="1">
        <f t="array" ref="AD239">IFERROR(ROUND(IF(BB239&lt;&gt;"","",INDEX('M04-S08'!$AJ$18:$AJ$199,2*(ROWS(AD$227:AD239)-1)+1)),2),"")</f>
        <v/>
      </c>
      <c r="AE239" s="9" t="str">
        <f t="shared" si="37"/>
        <v/>
      </c>
      <c r="AF239" t="str">
        <f>IFERROR(IF(BB239&lt;&gt;"","",INDEX('M04-S08'!$AF$18:$AF$199,2*(ROWS(AG$227:AG239)-1)+1)),"")</f>
        <v/>
      </c>
      <c r="AG239" s="9" t="str" cm="1">
        <f t="array" ref="AG239">IFERROR(ROUND(IF(BB239&lt;&gt;"","",INDEX('M04-S08'!$AL$18:$AL$199,2*(ROWS(AG$227:AG239)-1)+1)),2),"")</f>
        <v/>
      </c>
      <c r="AH239" s="184"/>
      <c r="AI239" s="184"/>
      <c r="AJ239" s="26" t="str">
        <f>IFERROR(ROUND(IF(BA239&lt;&gt;"","",INDEX('M04-S08'!$AO$18:$AO$199,2*(ROWS(AJ$227:AJ239)-1)+1)),4),"")</f>
        <v/>
      </c>
      <c r="AK239" s="32" t="str">
        <f>IFERROR(ROUND(IF(BA239&lt;&gt;"","",INDEX('M04-S08'!$BF$18:$BF$199,2*(ROWS(AK$227:AK239)-1)+1)),4),"")</f>
        <v/>
      </c>
      <c r="AL239" s="32" t="str">
        <f>IFERROR(ROUND(IF(BA239&lt;&gt;"","",INDEX('M04-S08'!$BG$18:$BG$199,2*(ROWS(AL$227:AL239)-1)+1)),4),"")</f>
        <v/>
      </c>
      <c r="AM239" s="32" cm="1">
        <f t="array" ref="AM239">IFERROR(ROUND(INDEX('M04-S08'!$BA$18:$BA$199,2*(ROWS(AM$227:AM239)-1)+1),4),"")</f>
        <v>0</v>
      </c>
      <c r="AN239" s="32" cm="1">
        <f t="array" ref="AN239">IFERROR(ROUND(INDEX('M04-S08'!$BB$18:$BB$199,2*(ROWS(AN$227:AN239)-1)+1),4),"")</f>
        <v>0</v>
      </c>
      <c r="AO239" s="32"/>
      <c r="AP239" s="9">
        <f>IFERROR(ROUND(IF(BB239&lt;&gt;"",INDEX('M04-S08'!$AH$18:$AH$199,2*(ROWS(AP$227:AP239)-1)+1),""),2),"")</f>
        <v>0</v>
      </c>
      <c r="AQ239" s="9">
        <f>IFERROR(ROUND(IF(BB239&lt;&gt;"",INDEX('M04-S08'!$AJ$18:$AJ$199,2*(ROWS(AQ$227:AQ239)-1)+1),""),2),"")</f>
        <v>0</v>
      </c>
      <c r="AR239" s="9" t="str">
        <f t="shared" si="38"/>
        <v/>
      </c>
      <c r="AS239">
        <f>IFERROR(IF(BB239&lt;&gt;"",INDEX('M04-S08'!$AF$18:$AF$199,2*(ROWS(AS$227:AS239)-1)+1),""),"")</f>
        <v>0</v>
      </c>
      <c r="AT239" s="9" cm="1">
        <f t="array" ref="AT239">IFERROR(ROUND(IF(BB239&lt;&gt;"", INDEX('M04-S08'!$AL$18:$AL$199,2*(ROWS(AG$227:AG239)-1)+1), ""),2),"")</f>
        <v>0</v>
      </c>
      <c r="AU239" s="184"/>
      <c r="AV239" s="5">
        <f>IFERROR(IF(BB239&lt;&gt;"",ROUND(INDEX('M04-S08'!$AY$18:$AY$199,2*(ROWS(AV$227:AV239)-1)+1),3),""),"")</f>
        <v>0</v>
      </c>
      <c r="AW239" s="5">
        <f>IFERROR(IF(BB239&lt;&gt;"",ROUND(INDEX('M04-S08'!$AZ$18:$AZ$199,2*(ROWS(AW$227:AW239)-1)+1),3),""),"")</f>
        <v>0</v>
      </c>
      <c r="AX239" s="184"/>
      <c r="AY239" s="26">
        <f>IFERROR(IF(BB239&lt;&gt;"",INDEX('M04-S08'!$AO$18:$AO$199,2*(ROWS(AY$227:AY239)-1)+1),""),"")</f>
        <v>0</v>
      </c>
      <c r="AZ239" s="32">
        <f>IFERROR(IF(BB239&lt;&gt;"",INDEX('M04-S08'!$BF$18:$BF$199,2*(ROWS(AZ$227:AZ239)-1)+1),""),"")</f>
        <v>0</v>
      </c>
      <c r="BA239" s="32">
        <f>IFERROR(IF(BB239&lt;&gt;"",INDEX('M04-S08'!$BG$18:$BG$199,2*(ROWS(BA$227:BA239)-1)+1),""),"")</f>
        <v>0</v>
      </c>
      <c r="BB239">
        <f>IFERROR(INDEX('M04-S08'!$BY$18:$BY$199,2*(ROWS(BB$227:BB239)-1)+1),"")</f>
        <v>0</v>
      </c>
    </row>
    <row r="240" spans="1:54">
      <c r="A240" s="10">
        <f t="shared" si="35"/>
        <v>0</v>
      </c>
      <c r="B240" t="str">
        <f t="shared" si="36"/>
        <v/>
      </c>
      <c r="C240" t="str" cm="1">
        <f t="array" ref="C240">IFERROR(_xlfn.VALUETOTEXT(INDEX('M04-S08'!$BW$18:$BW$199,2*(ROWS($C$227:C240)-1)+1)),"")</f>
        <v/>
      </c>
      <c r="D240">
        <f>IFERROR(INDEX('M04-S08'!$B$18:$B$199,2*(ROWS(D$227:D240)-1)+1),"")</f>
        <v>0</v>
      </c>
      <c r="E240" s="51" t="str" cm="1">
        <f t="array" ref="E240">IFERROR(_xlfn.VALUETOTEXT(INDEX('M04-S08'!$BX$18:$BX$199,2*(ROWS($E$227:E240)-1)+1)),"")</f>
        <v/>
      </c>
      <c r="F240" t="str" cm="1">
        <f t="array" ref="F240">IF(C240&lt;&gt;"", _xlfn.SWITCH(Program_Banner, "Small Business / Non-Profit", "Hard-To-Reach Business", "Business Energy Savings", "Whole Business Efficiency", ""), "")</f>
        <v/>
      </c>
      <c r="G240" t="s">
        <v>135</v>
      </c>
      <c r="H240">
        <f>IFERROR(INDEX('M04-S08'!$BC$18:$BC$199,2*(ROWS(H$227:H240)-1)+1),"")</f>
        <v>0</v>
      </c>
      <c r="I240">
        <f>IFERROR(INDEX('M04-S08'!$BJ$18:$BJ$199,2*(ROWS(I$227:I240)-1)+1),"")</f>
        <v>0</v>
      </c>
      <c r="J240" s="9">
        <f>IFERROR(INDEX('M04-S08'!$BN$18:$BN$199,2*(ROWS(J$227:J240)-1)+1),"")</f>
        <v>0</v>
      </c>
      <c r="K240" s="9">
        <f>IFERROR(INDEX('M04-S08'!$BO$18:$BO$199,2*(ROWS(K$227:K240)-1)+1),"")</f>
        <v>0</v>
      </c>
      <c r="L240" s="51">
        <f>IFERROR(INDEX('M04-S08'!$BD$18:$BD$199,2*(ROWS(L$227:L240)-1)+1),"")</f>
        <v>0</v>
      </c>
      <c r="M240" s="171"/>
      <c r="N240" s="171"/>
      <c r="O240">
        <f>IFERROR(INDEX('M04-S08'!$H$18:$H$199,2*(ROWS(O$227:O240)-1)+1),"")</f>
        <v>0</v>
      </c>
      <c r="P240">
        <f>IFERROR(INDEX('M04-S08'!$N$18:$N$199,2*(ROWS(P$227:P240)-1)+1),"")</f>
        <v>0</v>
      </c>
      <c r="Q240">
        <f>IFERROR(INDEX('M04-S08'!$W$18:$W$199,2*(ROWS(Q$227:Q240)-1)+1),"")</f>
        <v>0</v>
      </c>
      <c r="S240">
        <f>IFERROR(INDEX('M04-S08'!$AX$18:$AX$199,2*(ROWS(S$227:S240)-1)+1),"")</f>
        <v>0</v>
      </c>
      <c r="T240" s="5">
        <f>IFERROR(ROUND(INDEX('M04-S08'!$AY$18:$AY$199,2*(ROWS(T$227:T240)-1)+1),3),"")</f>
        <v>0</v>
      </c>
      <c r="U240" s="5">
        <f>IFERROR(ROUND(INDEX('M04-S08'!$AZ$18:$AZ$199,2*(ROWS(U$227:U240)-1)+1),3),"")</f>
        <v>0</v>
      </c>
      <c r="V240" s="184"/>
      <c r="W240" s="184"/>
      <c r="X240" s="184"/>
      <c r="Y240" s="184"/>
      <c r="Z240" s="184"/>
      <c r="AA240" s="9" cm="1">
        <f t="array" ref="AA240">IFERROR(ROUND(INDEX('M04-S08'!$AR$18:$AR$199,2*(ROWS(AA$227:AA240)-1)+1), 2),"")</f>
        <v>0</v>
      </c>
      <c r="AB240" s="164"/>
      <c r="AC240" s="9" t="str" cm="1">
        <f t="array" ref="AC240">IFERROR(ROUND(IF(BB240&lt;&gt;"","",INDEX('M04-S08'!$AH$18:$AH$199,2*(ROWS(AC$227:AC240)-1)+1)),2),"")</f>
        <v/>
      </c>
      <c r="AD240" s="9" t="str" cm="1">
        <f t="array" ref="AD240">IFERROR(ROUND(IF(BB240&lt;&gt;"","",INDEX('M04-S08'!$AJ$18:$AJ$199,2*(ROWS(AD$227:AD240)-1)+1)),2),"")</f>
        <v/>
      </c>
      <c r="AE240" s="9" t="str">
        <f t="shared" si="37"/>
        <v/>
      </c>
      <c r="AF240" t="str">
        <f>IFERROR(IF(BB240&lt;&gt;"","",INDEX('M04-S08'!$AF$18:$AF$199,2*(ROWS(AG$227:AG240)-1)+1)),"")</f>
        <v/>
      </c>
      <c r="AG240" s="9" t="str" cm="1">
        <f t="array" ref="AG240">IFERROR(ROUND(IF(BB240&lt;&gt;"","",INDEX('M04-S08'!$AL$18:$AL$199,2*(ROWS(AG$227:AG240)-1)+1)),2),"")</f>
        <v/>
      </c>
      <c r="AH240" s="184"/>
      <c r="AI240" s="184"/>
      <c r="AJ240" s="26" t="str">
        <f>IFERROR(ROUND(IF(BA240&lt;&gt;"","",INDEX('M04-S08'!$AO$18:$AO$199,2*(ROWS(AJ$227:AJ240)-1)+1)),4),"")</f>
        <v/>
      </c>
      <c r="AK240" s="32" t="str">
        <f>IFERROR(ROUND(IF(BA240&lt;&gt;"","",INDEX('M04-S08'!$BF$18:$BF$199,2*(ROWS(AK$227:AK240)-1)+1)),4),"")</f>
        <v/>
      </c>
      <c r="AL240" s="32" t="str">
        <f>IFERROR(ROUND(IF(BA240&lt;&gt;"","",INDEX('M04-S08'!$BG$18:$BG$199,2*(ROWS(AL$227:AL240)-1)+1)),4),"")</f>
        <v/>
      </c>
      <c r="AM240" s="32" cm="1">
        <f t="array" ref="AM240">IFERROR(ROUND(INDEX('M04-S08'!$BA$18:$BA$199,2*(ROWS(AM$227:AM240)-1)+1),4),"")</f>
        <v>0</v>
      </c>
      <c r="AN240" s="32" cm="1">
        <f t="array" ref="AN240">IFERROR(ROUND(INDEX('M04-S08'!$BB$18:$BB$199,2*(ROWS(AN$227:AN240)-1)+1),4),"")</f>
        <v>0</v>
      </c>
      <c r="AO240" s="32"/>
      <c r="AP240" s="9">
        <f>IFERROR(ROUND(IF(BB240&lt;&gt;"",INDEX('M04-S08'!$AH$18:$AH$199,2*(ROWS(AP$227:AP240)-1)+1),""),2),"")</f>
        <v>0</v>
      </c>
      <c r="AQ240" s="9">
        <f>IFERROR(ROUND(IF(BB240&lt;&gt;"",INDEX('M04-S08'!$AJ$18:$AJ$199,2*(ROWS(AQ$227:AQ240)-1)+1),""),2),"")</f>
        <v>0</v>
      </c>
      <c r="AR240" s="9" t="str">
        <f t="shared" si="38"/>
        <v/>
      </c>
      <c r="AS240">
        <f>IFERROR(IF(BB240&lt;&gt;"",INDEX('M04-S08'!$AF$18:$AF$199,2*(ROWS(AS$227:AS240)-1)+1),""),"")</f>
        <v>0</v>
      </c>
      <c r="AT240" s="9" cm="1">
        <f t="array" ref="AT240">IFERROR(ROUND(IF(BB240&lt;&gt;"", INDEX('M04-S08'!$AL$18:$AL$199,2*(ROWS(AG$227:AG240)-1)+1), ""),2),"")</f>
        <v>0</v>
      </c>
      <c r="AU240" s="184"/>
      <c r="AV240" s="5">
        <f>IFERROR(IF(BB240&lt;&gt;"",ROUND(INDEX('M04-S08'!$AY$18:$AY$199,2*(ROWS(AV$227:AV240)-1)+1),3),""),"")</f>
        <v>0</v>
      </c>
      <c r="AW240" s="5">
        <f>IFERROR(IF(BB240&lt;&gt;"",ROUND(INDEX('M04-S08'!$AZ$18:$AZ$199,2*(ROWS(AW$227:AW240)-1)+1),3),""),"")</f>
        <v>0</v>
      </c>
      <c r="AX240" s="184"/>
      <c r="AY240" s="26">
        <f>IFERROR(IF(BB240&lt;&gt;"",INDEX('M04-S08'!$AO$18:$AO$199,2*(ROWS(AY$227:AY240)-1)+1),""),"")</f>
        <v>0</v>
      </c>
      <c r="AZ240" s="32">
        <f>IFERROR(IF(BB240&lt;&gt;"",INDEX('M04-S08'!$BF$18:$BF$199,2*(ROWS(AZ$227:AZ240)-1)+1),""),"")</f>
        <v>0</v>
      </c>
      <c r="BA240" s="32">
        <f>IFERROR(IF(BB240&lt;&gt;"",INDEX('M04-S08'!$BG$18:$BG$199,2*(ROWS(BA$227:BA240)-1)+1),""),"")</f>
        <v>0</v>
      </c>
      <c r="BB240">
        <f>IFERROR(INDEX('M04-S08'!$BY$18:$BY$199,2*(ROWS(BB$227:BB240)-1)+1),"")</f>
        <v>0</v>
      </c>
    </row>
    <row r="241" spans="1:54">
      <c r="A241" s="10">
        <f t="shared" si="35"/>
        <v>0</v>
      </c>
      <c r="B241" t="str">
        <f t="shared" si="36"/>
        <v/>
      </c>
      <c r="C241" t="str" cm="1">
        <f t="array" ref="C241">IFERROR(_xlfn.VALUETOTEXT(INDEX('M04-S08'!$BW$18:$BW$199,2*(ROWS($C$227:C241)-1)+1)),"")</f>
        <v/>
      </c>
      <c r="D241">
        <f>IFERROR(INDEX('M04-S08'!$B$18:$B$199,2*(ROWS(D$227:D241)-1)+1),"")</f>
        <v>0</v>
      </c>
      <c r="E241" s="51" t="str" cm="1">
        <f t="array" ref="E241">IFERROR(_xlfn.VALUETOTEXT(INDEX('M04-S08'!$BX$18:$BX$199,2*(ROWS($E$227:E241)-1)+1)),"")</f>
        <v/>
      </c>
      <c r="F241" t="str" cm="1">
        <f t="array" ref="F241">IF(C241&lt;&gt;"", _xlfn.SWITCH(Program_Banner, "Small Business / Non-Profit", "Hard-To-Reach Business", "Business Energy Savings", "Whole Business Efficiency", ""), "")</f>
        <v/>
      </c>
      <c r="G241" t="s">
        <v>135</v>
      </c>
      <c r="H241">
        <f>IFERROR(INDEX('M04-S08'!$BC$18:$BC$199,2*(ROWS(H$227:H241)-1)+1),"")</f>
        <v>0</v>
      </c>
      <c r="I241">
        <f>IFERROR(INDEX('M04-S08'!$BJ$18:$BJ$199,2*(ROWS(I$227:I241)-1)+1),"")</f>
        <v>0</v>
      </c>
      <c r="J241" s="9">
        <f>IFERROR(INDEX('M04-S08'!$BN$18:$BN$199,2*(ROWS(J$227:J241)-1)+1),"")</f>
        <v>0</v>
      </c>
      <c r="K241" s="9">
        <f>IFERROR(INDEX('M04-S08'!$BO$18:$BO$199,2*(ROWS(K$227:K241)-1)+1),"")</f>
        <v>0</v>
      </c>
      <c r="L241" s="51">
        <f>IFERROR(INDEX('M04-S08'!$BD$18:$BD$199,2*(ROWS(L$227:L241)-1)+1),"")</f>
        <v>0</v>
      </c>
      <c r="M241" s="171"/>
      <c r="N241" s="171"/>
      <c r="O241">
        <f>IFERROR(INDEX('M04-S08'!$H$18:$H$199,2*(ROWS(O$227:O241)-1)+1),"")</f>
        <v>0</v>
      </c>
      <c r="P241">
        <f>IFERROR(INDEX('M04-S08'!$N$18:$N$199,2*(ROWS(P$227:P241)-1)+1),"")</f>
        <v>0</v>
      </c>
      <c r="Q241">
        <f>IFERROR(INDEX('M04-S08'!$W$18:$W$199,2*(ROWS(Q$227:Q241)-1)+1),"")</f>
        <v>0</v>
      </c>
      <c r="S241">
        <f>IFERROR(INDEX('M04-S08'!$AX$18:$AX$199,2*(ROWS(S$227:S241)-1)+1),"")</f>
        <v>0</v>
      </c>
      <c r="T241" s="5">
        <f>IFERROR(ROUND(INDEX('M04-S08'!$AY$18:$AY$199,2*(ROWS(T$227:T241)-1)+1),3),"")</f>
        <v>0</v>
      </c>
      <c r="U241" s="5">
        <f>IFERROR(ROUND(INDEX('M04-S08'!$AZ$18:$AZ$199,2*(ROWS(U$227:U241)-1)+1),3),"")</f>
        <v>0</v>
      </c>
      <c r="V241" s="184"/>
      <c r="W241" s="184"/>
      <c r="X241" s="184"/>
      <c r="Y241" s="184"/>
      <c r="Z241" s="184"/>
      <c r="AA241" s="9" cm="1">
        <f t="array" ref="AA241">IFERROR(ROUND(INDEX('M04-S08'!$AR$18:$AR$199,2*(ROWS(AA$227:AA241)-1)+1), 2),"")</f>
        <v>0</v>
      </c>
      <c r="AB241" s="164"/>
      <c r="AC241" s="9" t="str" cm="1">
        <f t="array" ref="AC241">IFERROR(ROUND(IF(BB241&lt;&gt;"","",INDEX('M04-S08'!$AH$18:$AH$199,2*(ROWS(AC$227:AC241)-1)+1)),2),"")</f>
        <v/>
      </c>
      <c r="AD241" s="9" t="str" cm="1">
        <f t="array" ref="AD241">IFERROR(ROUND(IF(BB241&lt;&gt;"","",INDEX('M04-S08'!$AJ$18:$AJ$199,2*(ROWS(AD$227:AD241)-1)+1)),2),"")</f>
        <v/>
      </c>
      <c r="AE241" s="9" t="str">
        <f t="shared" si="37"/>
        <v/>
      </c>
      <c r="AF241" t="str">
        <f>IFERROR(IF(BB241&lt;&gt;"","",INDEX('M04-S08'!$AF$18:$AF$199,2*(ROWS(AG$227:AG241)-1)+1)),"")</f>
        <v/>
      </c>
      <c r="AG241" s="9" t="str" cm="1">
        <f t="array" ref="AG241">IFERROR(ROUND(IF(BB241&lt;&gt;"","",INDEX('M04-S08'!$AL$18:$AL$199,2*(ROWS(AG$227:AG241)-1)+1)),2),"")</f>
        <v/>
      </c>
      <c r="AH241" s="184"/>
      <c r="AI241" s="184"/>
      <c r="AJ241" s="26" t="str">
        <f>IFERROR(ROUND(IF(BA241&lt;&gt;"","",INDEX('M04-S08'!$AO$18:$AO$199,2*(ROWS(AJ$227:AJ241)-1)+1)),4),"")</f>
        <v/>
      </c>
      <c r="AK241" s="32" t="str">
        <f>IFERROR(ROUND(IF(BA241&lt;&gt;"","",INDEX('M04-S08'!$BF$18:$BF$199,2*(ROWS(AK$227:AK241)-1)+1)),4),"")</f>
        <v/>
      </c>
      <c r="AL241" s="32" t="str">
        <f>IFERROR(ROUND(IF(BA241&lt;&gt;"","",INDEX('M04-S08'!$BG$18:$BG$199,2*(ROWS(AL$227:AL241)-1)+1)),4),"")</f>
        <v/>
      </c>
      <c r="AM241" s="32" cm="1">
        <f t="array" ref="AM241">IFERROR(ROUND(INDEX('M04-S08'!$BA$18:$BA$199,2*(ROWS(AM$227:AM241)-1)+1),4),"")</f>
        <v>0</v>
      </c>
      <c r="AN241" s="32" cm="1">
        <f t="array" ref="AN241">IFERROR(ROUND(INDEX('M04-S08'!$BB$18:$BB$199,2*(ROWS(AN$227:AN241)-1)+1),4),"")</f>
        <v>0</v>
      </c>
      <c r="AO241" s="32"/>
      <c r="AP241" s="9">
        <f>IFERROR(ROUND(IF(BB241&lt;&gt;"",INDEX('M04-S08'!$AH$18:$AH$199,2*(ROWS(AP$227:AP241)-1)+1),""),2),"")</f>
        <v>0</v>
      </c>
      <c r="AQ241" s="9">
        <f>IFERROR(ROUND(IF(BB241&lt;&gt;"",INDEX('M04-S08'!$AJ$18:$AJ$199,2*(ROWS(AQ$227:AQ241)-1)+1),""),2),"")</f>
        <v>0</v>
      </c>
      <c r="AR241" s="9" t="str">
        <f t="shared" si="38"/>
        <v/>
      </c>
      <c r="AS241">
        <f>IFERROR(IF(BB241&lt;&gt;"",INDEX('M04-S08'!$AF$18:$AF$199,2*(ROWS(AS$227:AS241)-1)+1),""),"")</f>
        <v>0</v>
      </c>
      <c r="AT241" s="9" cm="1">
        <f t="array" ref="AT241">IFERROR(ROUND(IF(BB241&lt;&gt;"", INDEX('M04-S08'!$AL$18:$AL$199,2*(ROWS(AG$227:AG241)-1)+1), ""),2),"")</f>
        <v>0</v>
      </c>
      <c r="AU241" s="184"/>
      <c r="AV241" s="5">
        <f>IFERROR(IF(BB241&lt;&gt;"",ROUND(INDEX('M04-S08'!$AY$18:$AY$199,2*(ROWS(AV$227:AV241)-1)+1),3),""),"")</f>
        <v>0</v>
      </c>
      <c r="AW241" s="5">
        <f>IFERROR(IF(BB241&lt;&gt;"",ROUND(INDEX('M04-S08'!$AZ$18:$AZ$199,2*(ROWS(AW$227:AW241)-1)+1),3),""),"")</f>
        <v>0</v>
      </c>
      <c r="AX241" s="184"/>
      <c r="AY241" s="26">
        <f>IFERROR(IF(BB241&lt;&gt;"",INDEX('M04-S08'!$AO$18:$AO$199,2*(ROWS(AY$227:AY241)-1)+1),""),"")</f>
        <v>0</v>
      </c>
      <c r="AZ241" s="32">
        <f>IFERROR(IF(BB241&lt;&gt;"",INDEX('M04-S08'!$BF$18:$BF$199,2*(ROWS(AZ$227:AZ241)-1)+1),""),"")</f>
        <v>0</v>
      </c>
      <c r="BA241" s="32">
        <f>IFERROR(IF(BB241&lt;&gt;"",INDEX('M04-S08'!$BG$18:$BG$199,2*(ROWS(BA$227:BA241)-1)+1),""),"")</f>
        <v>0</v>
      </c>
      <c r="BB241">
        <f>IFERROR(INDEX('M04-S08'!$BY$18:$BY$199,2*(ROWS(BB$227:BB241)-1)+1),"")</f>
        <v>0</v>
      </c>
    </row>
    <row r="242" spans="1:54">
      <c r="A242" s="477" t="str">
        <f>"Custom "&amp;M4S9</f>
        <v>Custom Miscellaneous</v>
      </c>
      <c r="B242" s="31"/>
      <c r="C242" s="31"/>
      <c r="D242" s="31"/>
      <c r="E242" s="31"/>
      <c r="F242" s="31"/>
      <c r="G242" s="31"/>
      <c r="H242" s="31"/>
      <c r="I242" s="31"/>
      <c r="J242" s="181"/>
      <c r="K242" s="181"/>
      <c r="L242" s="31"/>
      <c r="M242" s="31"/>
      <c r="N242" s="31"/>
      <c r="O242" s="98"/>
      <c r="P242" s="31"/>
      <c r="Q242" s="31"/>
      <c r="R242" s="31"/>
      <c r="S242" s="31"/>
      <c r="T242" s="187"/>
      <c r="U242" s="187"/>
      <c r="V242" s="185"/>
      <c r="W242" s="185"/>
      <c r="X242" s="185"/>
      <c r="Y242" s="185"/>
      <c r="Z242" s="185"/>
      <c r="AA242" s="181"/>
      <c r="AB242" s="31"/>
      <c r="AC242" s="181"/>
      <c r="AD242" s="181"/>
      <c r="AE242" s="181"/>
      <c r="AF242" s="31"/>
      <c r="AG242" s="181"/>
      <c r="AH242" s="31"/>
      <c r="AI242" s="185"/>
      <c r="AJ242" s="185"/>
      <c r="AK242" s="189"/>
      <c r="AL242" s="189"/>
      <c r="AM242" s="189"/>
      <c r="AN242" s="189"/>
      <c r="AO242" s="189"/>
      <c r="AP242" s="181"/>
      <c r="AQ242" s="181"/>
      <c r="AR242" s="181"/>
      <c r="AS242" s="31"/>
      <c r="AT242" s="31"/>
      <c r="AU242" s="31"/>
      <c r="AV242" s="187"/>
      <c r="AW242" s="187"/>
      <c r="AX242" s="185"/>
      <c r="AY242" s="185"/>
      <c r="AZ242" s="189"/>
      <c r="BA242" s="189"/>
      <c r="BB242" s="31"/>
    </row>
    <row r="243" spans="1:54">
      <c r="A243" s="10">
        <f>PROJID</f>
        <v>0</v>
      </c>
      <c r="B243" t="str">
        <f>IF(C243="","",CONCATENATE(ROW(),"-",C243))</f>
        <v/>
      </c>
      <c r="C243" t="str" cm="1">
        <f t="array" ref="C243">IFERROR(_xlfn.VALUETOTEXT(INDEX('M04-S09'!$BW$18:$BW$199,2*(ROWS($C$243:C243)-1)+1)),"")</f>
        <v/>
      </c>
      <c r="D243">
        <f>IFERROR(INDEX('M04-S09'!$B$18:$B$199,2*(ROWS(D$243:D243)-1)+1),"")</f>
        <v>1</v>
      </c>
      <c r="E243" s="51" t="str" cm="1">
        <f t="array" ref="E243">IFERROR(_xlfn.VALUETOTEXT(INDEX('M04-S09'!$BX$18:$BX$199,2*(ROWS($E$243:E243)-1)+1)),"")</f>
        <v/>
      </c>
      <c r="F243" t="str" cm="1">
        <f t="array" ref="F243">IF(C243&lt;&gt;"", _xlfn.SWITCH(Program_Banner, "Small Business / Non-Profit", "Hard-To-Reach Business", "Business Energy Savings", "Whole Business Efficiency", ""), "")</f>
        <v/>
      </c>
      <c r="G243" t="s">
        <v>135</v>
      </c>
      <c r="H243" t="str">
        <f>IFERROR(INDEX('M04-S09'!$BC$18:$BC$199,2*(ROWS(H$243:H243)-1)+1),"")</f>
        <v/>
      </c>
      <c r="I243" t="str">
        <f>IFERROR(INDEX('M04-S09'!$BJ$18:$BJ$199,2*(ROWS(I$243:I243)-1)+1),"")</f>
        <v/>
      </c>
      <c r="J243" s="9" t="str">
        <f>IFERROR(INDEX('M04-S09'!$BN$18:$BN$199,2*(ROWS(J$243:J243)-1)+1),"")</f>
        <v/>
      </c>
      <c r="K243" s="9" t="str">
        <f>IFERROR(INDEX('M04-S09'!$BO$18:$BO$199,2*(ROWS(K$243:K243)-1)+1),"")</f>
        <v/>
      </c>
      <c r="L243" s="51" t="str">
        <f>IFERROR(INDEX('M04-S09'!$BD$18:$BD$199,2*(ROWS(L$243:L243)-1)+1),"")</f>
        <v/>
      </c>
      <c r="M243" s="171"/>
      <c r="N243" s="171"/>
      <c r="O243">
        <f>IFERROR(INDEX('M04-S09'!$H$18:$H$199,2*(ROWS(O$243:O243)-1)+1),"")</f>
        <v>0</v>
      </c>
      <c r="P243">
        <f>IFERROR(INDEX('M04-S09'!$N$18:$N$199,2*(ROWS(P$243:P243)-1)+1),"")</f>
        <v>0</v>
      </c>
      <c r="Q243">
        <f>IFERROR(INDEX('M04-S09'!$W$18:$W$199,2*(ROWS(Q$243:Q243)-1)+1),"")</f>
        <v>0</v>
      </c>
      <c r="S243" t="str">
        <f>IFERROR(INDEX('M04-S09'!$AX$18:$AX$199,2*(ROWS(S$243:S243)-1)+1),"")</f>
        <v/>
      </c>
      <c r="T243" s="5" t="str">
        <f>IFERROR(ROUND(INDEX('M04-S09'!$AY$18:$AY$199,2*(ROWS(T$243:T243)-1)+1),3),"")</f>
        <v/>
      </c>
      <c r="U243" s="5" t="str">
        <f>IFERROR(ROUND(INDEX('M04-S09'!$AZ$18:$AZ$199,2*(ROWS(U$243:U243)-1)+1),3),"")</f>
        <v/>
      </c>
      <c r="V243" s="184"/>
      <c r="W243" s="184"/>
      <c r="X243" s="184"/>
      <c r="Y243" s="184"/>
      <c r="Z243" s="184"/>
      <c r="AA243" s="9" t="str" cm="1">
        <f t="array" ref="AA243">IFERROR(ROUND(INDEX('M04-S09'!$AR$18:$AR$199,2*(ROWS(AA$243:AA243)-1)+1), 2),"")</f>
        <v/>
      </c>
      <c r="AB243" s="164"/>
      <c r="AC243" s="9" t="str" cm="1">
        <f t="array" aca="1" ref="AC243" ca="1">IFERROR(ROUND(IF(BB243&lt;&gt;"","",INDEX('M04-S09'!$AH$18:$AH$199,2*(ROWS(AC$243:AC243)-1)+1)),2),"")</f>
        <v/>
      </c>
      <c r="AD243" s="9" t="str" cm="1">
        <f t="array" aca="1" ref="AD243" ca="1">IFERROR(ROUND(IF(BB243&lt;&gt;"","",INDEX('M04-S09'!$AJ$18:$AJ$199,2*(ROWS(AD$243:AD243)-1)+1)),2),"")</f>
        <v/>
      </c>
      <c r="AE243" s="9" t="str">
        <f t="shared" ca="1" si="37"/>
        <v/>
      </c>
      <c r="AF243" t="str">
        <f ca="1">IFERROR(IF(BB243&lt;&gt;"","",INDEX('M04-S09'!$AF$18:$AF$199,2*(ROWS(AG$243:AG243)-1)+1)),"")</f>
        <v/>
      </c>
      <c r="AG243" s="9" t="str" cm="1">
        <f t="array" aca="1" ref="AG243" ca="1">IFERROR(ROUND(IF(BB243&lt;&gt;"","",INDEX('M04-S09'!$AL$18:$AL$199,2*(ROWS(AG$243:AG243)-1)+1)),2),"")</f>
        <v/>
      </c>
      <c r="AH243" s="184"/>
      <c r="AI243" s="184"/>
      <c r="AJ243" s="26" t="str">
        <f ca="1">IFERROR(ROUND(IF(BA243&lt;&gt;"","",INDEX('M04-S09'!$AO$18:$AO$199,2*(ROWS(AJ$243:AJ243)-1)+1)),4),"")</f>
        <v/>
      </c>
      <c r="AK243" s="32">
        <f ca="1">IFERROR(ROUND(IF(BA243&lt;&gt;"","",INDEX('M04-S09'!$BF$18:$BF$199,2*(ROWS(AK$243:AK243)-1)+1)),4),"")</f>
        <v>0</v>
      </c>
      <c r="AL243" s="32" t="str">
        <f ca="1">IFERROR(ROUND(IF(BA243&lt;&gt;"","",INDEX('M04-S09'!$BG$18:$BG$199,2*(ROWS(AL$243:AL243)-1)+1)),4),"")</f>
        <v/>
      </c>
      <c r="AM243" s="32" t="str" cm="1">
        <f t="array" ref="AM243">IFERROR(ROUND(INDEX('M04-S09'!$BA$18:$BA$199,2*(ROWS(AM$243:AM243)-1)+1),4),"")</f>
        <v/>
      </c>
      <c r="AN243" s="32" t="str" cm="1">
        <f t="array" ref="AN243">IFERROR(ROUND(INDEX('M04-S09'!$BB$18:$BB$199,2*(ROWS(AN$243:AN243)-1)+1),4),"")</f>
        <v/>
      </c>
      <c r="AO243" s="32"/>
      <c r="AP243" s="9">
        <f ca="1">IFERROR(ROUND(IF(BB243&lt;&gt;"",INDEX('M04-S09'!$AH$18:$AH$199,2*(ROWS(AP$243:AP243)-1)+1),""),2),"")</f>
        <v>0</v>
      </c>
      <c r="AQ243" s="9" t="str">
        <f ca="1">IFERROR(ROUND(IF(BB243&lt;&gt;"",INDEX('M04-S09'!$AJ$18:$AJ$199,2*(ROWS(AQ$243:AQ243)-1)+1),""),2),"")</f>
        <v/>
      </c>
      <c r="AR243" s="9" t="str">
        <f t="shared" ca="1" si="38"/>
        <v/>
      </c>
      <c r="AS243" t="str">
        <f ca="1">IFERROR(IF(BB243&lt;&gt;"",INDEX('M04-S09'!$AF$18:$AF$199,2*(ROWS(AS$243:AS243)-1)+1),""),"")</f>
        <v/>
      </c>
      <c r="AT243" s="9" t="str" cm="1">
        <f t="array" aca="1" ref="AT243" ca="1">IFERROR(ROUND(IF(BB243&lt;&gt;"", INDEX('M04-S09'!$AL$18:$AL$199,2*(ROWS(AG$243:AG243)-1)+1), ""),2),"")</f>
        <v/>
      </c>
      <c r="AU243" s="184"/>
      <c r="AV243" s="5" t="str">
        <f ca="1">IFERROR(IF(BB243&lt;&gt;"",ROUND(INDEX('M04-S09'!$AY$18:$AY$199,2*(ROWS(AV$243:AV243)-1)+1),3),""),"")</f>
        <v/>
      </c>
      <c r="AW243" s="5" t="str">
        <f ca="1">IFERROR(IF(BB243&lt;&gt;"",ROUND(INDEX('M04-S09'!$AZ$18:$AZ$199,2*(ROWS(AW$243:AW243)-1)+1),3),""),"")</f>
        <v/>
      </c>
      <c r="AX243" s="184"/>
      <c r="AY243" s="26" t="str">
        <f ca="1">IFERROR(IF(BB243&lt;&gt;"",INDEX('M04-S09'!$AO$18:$AO$199,2*(ROWS(AY$243:AY243)-1)+1),""),"")</f>
        <v/>
      </c>
      <c r="AZ243" s="32">
        <f ca="1">IFERROR(IF(BB243&lt;&gt;"",INDEX('M04-S09'!$BF$18:$BF$199,2*(ROWS(AZ$243:AZ243)-1)+1),""),"")</f>
        <v>0</v>
      </c>
      <c r="BA243" s="32" t="str">
        <f ca="1">IFERROR(IF(BB243&lt;&gt;"",INDEX('M04-S09'!$BG$18:$BG$199,2*(ROWS(BA$243:BA243)-1)+1),""),"")</f>
        <v/>
      </c>
      <c r="BB243" t="str">
        <f ca="1">IFERROR(INDEX('M04-S09'!$BY$18:$BY$199,2*(ROWS(BB$243:BB243)-1)+1),"")</f>
        <v>Submit for Review</v>
      </c>
    </row>
    <row r="244" spans="1:54">
      <c r="A244" s="10">
        <f>PROJID</f>
        <v>0</v>
      </c>
      <c r="B244" t="str">
        <f>IF(C244="","",CONCATENATE(ROW(),"-",C244))</f>
        <v/>
      </c>
      <c r="C244" t="str" cm="1">
        <f t="array" ref="C244">IFERROR(_xlfn.VALUETOTEXT(INDEX('M04-S09'!$BW$18:$BW$199,2*(ROWS($C$243:C244)-1)+1)),"")</f>
        <v/>
      </c>
      <c r="D244">
        <f>IFERROR(INDEX('M04-S09'!$B$18:$B$199,2*(ROWS(D$243:D244)-1)+1),"")</f>
        <v>2</v>
      </c>
      <c r="E244" s="51" t="str" cm="1">
        <f t="array" ref="E244">IFERROR(_xlfn.VALUETOTEXT(INDEX('M04-S09'!$BX$18:$BX$199,2*(ROWS($E$243:E244)-1)+1)),"")</f>
        <v/>
      </c>
      <c r="F244" t="str" cm="1">
        <f t="array" ref="F244">IF(C244&lt;&gt;"", _xlfn.SWITCH(Program_Banner, "Small Business / Non-Profit", "Hard-To-Reach Business", "Business Energy Savings", "Whole Business Efficiency", ""), "")</f>
        <v/>
      </c>
      <c r="G244" t="s">
        <v>135</v>
      </c>
      <c r="H244" t="str">
        <f>IFERROR(INDEX('M04-S09'!$BC$18:$BC$199,2*(ROWS(H$243:H244)-1)+1),"")</f>
        <v/>
      </c>
      <c r="I244" t="str">
        <f>IFERROR(INDEX('M04-S09'!$BJ$18:$BJ$199,2*(ROWS(I$243:I244)-1)+1),"")</f>
        <v/>
      </c>
      <c r="J244" s="9" t="str">
        <f>IFERROR(INDEX('M04-S09'!$BN$18:$BN$199,2*(ROWS(J$243:J244)-1)+1),"")</f>
        <v/>
      </c>
      <c r="K244" s="9" t="str">
        <f>IFERROR(INDEX('M04-S09'!$BO$18:$BO$199,2*(ROWS(K$243:K244)-1)+1),"")</f>
        <v/>
      </c>
      <c r="L244" s="51" t="str">
        <f>IFERROR(INDEX('M04-S09'!$BD$18:$BD$199,2*(ROWS(L$243:L244)-1)+1),"")</f>
        <v/>
      </c>
      <c r="M244" s="171"/>
      <c r="N244" s="171"/>
      <c r="O244">
        <f>IFERROR(INDEX('M04-S09'!$H$18:$H$199,2*(ROWS(O$243:O244)-1)+1),"")</f>
        <v>0</v>
      </c>
      <c r="P244">
        <f>IFERROR(INDEX('M04-S09'!$N$18:$N$199,2*(ROWS(P$243:P244)-1)+1),"")</f>
        <v>0</v>
      </c>
      <c r="Q244">
        <f>IFERROR(INDEX('M04-S09'!$W$18:$W$199,2*(ROWS(Q$243:Q244)-1)+1),"")</f>
        <v>0</v>
      </c>
      <c r="S244" t="str">
        <f>IFERROR(INDEX('M04-S09'!$AX$18:$AX$199,2*(ROWS(S$243:S244)-1)+1),"")</f>
        <v/>
      </c>
      <c r="T244" s="5" t="str">
        <f>IFERROR(ROUND(INDEX('M04-S09'!$AY$18:$AY$199,2*(ROWS(T$243:T244)-1)+1),3),"")</f>
        <v/>
      </c>
      <c r="U244" s="5" t="str">
        <f>IFERROR(ROUND(INDEX('M04-S09'!$AZ$18:$AZ$199,2*(ROWS(U$243:U244)-1)+1),3),"")</f>
        <v/>
      </c>
      <c r="V244" s="184"/>
      <c r="W244" s="184"/>
      <c r="X244" s="184"/>
      <c r="Y244" s="184"/>
      <c r="Z244" s="184"/>
      <c r="AA244" s="9" t="str" cm="1">
        <f t="array" ref="AA244">IFERROR(ROUND(INDEX('M04-S09'!$AR$18:$AR$199,2*(ROWS(AA$243:AA244)-1)+1), 2),"")</f>
        <v/>
      </c>
      <c r="AB244" s="164"/>
      <c r="AC244" s="9" t="str" cm="1">
        <f t="array" aca="1" ref="AC244" ca="1">IFERROR(ROUND(IF(BB244&lt;&gt;"","",INDEX('M04-S09'!$AH$18:$AH$199,2*(ROWS(AC$243:AC244)-1)+1)),2),"")</f>
        <v/>
      </c>
      <c r="AD244" s="9" t="str" cm="1">
        <f t="array" aca="1" ref="AD244" ca="1">IFERROR(ROUND(IF(BB244&lt;&gt;"","",INDEX('M04-S09'!$AJ$18:$AJ$199,2*(ROWS(AD$243:AD244)-1)+1)),2),"")</f>
        <v/>
      </c>
      <c r="AE244" s="9" t="str">
        <f t="shared" ca="1" si="37"/>
        <v/>
      </c>
      <c r="AF244" t="str">
        <f ca="1">IFERROR(IF(BB244&lt;&gt;"","",INDEX('M04-S09'!$AF$18:$AF$199,2*(ROWS(AG$243:AG244)-1)+1)),"")</f>
        <v/>
      </c>
      <c r="AG244" s="9" t="str" cm="1">
        <f t="array" aca="1" ref="AG244" ca="1">IFERROR(ROUND(IF(BB244&lt;&gt;"","",INDEX('M04-S09'!$AL$18:$AL$199,2*(ROWS(AG$243:AG244)-1)+1)),2),"")</f>
        <v/>
      </c>
      <c r="AH244" s="184"/>
      <c r="AI244" s="184"/>
      <c r="AJ244" s="26" t="str">
        <f ca="1">IFERROR(ROUND(IF(BA244&lt;&gt;"","",INDEX('M04-S09'!$AO$18:$AO$199,2*(ROWS(AJ$243:AJ244)-1)+1)),4),"")</f>
        <v/>
      </c>
      <c r="AK244" s="32">
        <f ca="1">IFERROR(ROUND(IF(BA244&lt;&gt;"","",INDEX('M04-S09'!$BF$18:$BF$199,2*(ROWS(AK$243:AK244)-1)+1)),4),"")</f>
        <v>0</v>
      </c>
      <c r="AL244" s="32" t="str">
        <f ca="1">IFERROR(ROUND(IF(BA244&lt;&gt;"","",INDEX('M04-S09'!$BG$18:$BG$199,2*(ROWS(AL$243:AL244)-1)+1)),4),"")</f>
        <v/>
      </c>
      <c r="AM244" s="32" t="str" cm="1">
        <f t="array" ref="AM244">IFERROR(ROUND(INDEX('M04-S09'!$BA$18:$BA$199,2*(ROWS(AM$243:AM244)-1)+1),4),"")</f>
        <v/>
      </c>
      <c r="AN244" s="32" t="str" cm="1">
        <f t="array" ref="AN244">IFERROR(ROUND(INDEX('M04-S09'!$BB$18:$BB$199,2*(ROWS(AN$243:AN244)-1)+1),4),"")</f>
        <v/>
      </c>
      <c r="AO244" s="32"/>
      <c r="AP244" s="9">
        <f ca="1">IFERROR(ROUND(IF(BB244&lt;&gt;"",INDEX('M04-S09'!$AH$18:$AH$199,2*(ROWS(AP$243:AP244)-1)+1),""),2),"")</f>
        <v>0</v>
      </c>
      <c r="AQ244" s="9" t="str">
        <f ca="1">IFERROR(ROUND(IF(BB244&lt;&gt;"",INDEX('M04-S09'!$AJ$18:$AJ$199,2*(ROWS(AQ$243:AQ244)-1)+1),""),2),"")</f>
        <v/>
      </c>
      <c r="AR244" s="9" t="str">
        <f t="shared" ca="1" si="38"/>
        <v/>
      </c>
      <c r="AS244" t="str">
        <f ca="1">IFERROR(IF(BB244&lt;&gt;"",INDEX('M04-S09'!$AF$18:$AF$199,2*(ROWS(AS$243:AS244)-1)+1),""),"")</f>
        <v/>
      </c>
      <c r="AT244" s="9" t="str" cm="1">
        <f t="array" aca="1" ref="AT244" ca="1">IFERROR(ROUND(IF(BB244&lt;&gt;"", INDEX('M04-S09'!$AL$18:$AL$199,2*(ROWS(AG$243:AG244)-1)+1), ""),2),"")</f>
        <v/>
      </c>
      <c r="AU244" s="184"/>
      <c r="AV244" s="5" t="str">
        <f ca="1">IFERROR(IF(BB244&lt;&gt;"",ROUND(INDEX('M04-S09'!$AY$18:$AY$199,2*(ROWS(AV$243:AV244)-1)+1),3),""),"")</f>
        <v/>
      </c>
      <c r="AW244" s="5" t="str">
        <f ca="1">IFERROR(IF(BB244&lt;&gt;"",ROUND(INDEX('M04-S09'!$AZ$18:$AZ$199,2*(ROWS(AW$243:AW244)-1)+1),3),""),"")</f>
        <v/>
      </c>
      <c r="AX244" s="184"/>
      <c r="AY244" s="26" t="str">
        <f ca="1">IFERROR(IF(BB244&lt;&gt;"",INDEX('M04-S09'!$AO$18:$AO$199,2*(ROWS(AY$243:AY244)-1)+1),""),"")</f>
        <v/>
      </c>
      <c r="AZ244" s="32">
        <f ca="1">IFERROR(IF(BB244&lt;&gt;"",INDEX('M04-S09'!$BF$18:$BF$199,2*(ROWS(AZ$243:AZ244)-1)+1),""),"")</f>
        <v>0</v>
      </c>
      <c r="BA244" s="32" t="str">
        <f ca="1">IFERROR(IF(BB244&lt;&gt;"",INDEX('M04-S09'!$BG$18:$BG$199,2*(ROWS(BA$243:BA244)-1)+1),""),"")</f>
        <v/>
      </c>
      <c r="BB244" t="str">
        <f ca="1">IFERROR(INDEX('M04-S09'!$BY$18:$BY$199,2*(ROWS(BB$243:BB244)-1)+1),"")</f>
        <v>Submit for Review</v>
      </c>
    </row>
    <row r="245" spans="1:54">
      <c r="A245" s="10">
        <f>PROJID</f>
        <v>0</v>
      </c>
      <c r="B245" t="str">
        <f>IF(C245="","",CONCATENATE(ROW(),"-",C245))</f>
        <v/>
      </c>
      <c r="C245" t="str" cm="1">
        <f t="array" ref="C245">IFERROR(_xlfn.VALUETOTEXT(INDEX('M04-S09'!$BW$18:$BW$199,2*(ROWS($C$243:C245)-1)+1)),"")</f>
        <v/>
      </c>
      <c r="D245">
        <f>IFERROR(INDEX('M04-S09'!$B$18:$B$199,2*(ROWS(D$243:D245)-1)+1),"")</f>
        <v>3</v>
      </c>
      <c r="E245" s="51" t="str" cm="1">
        <f t="array" ref="E245">IFERROR(_xlfn.VALUETOTEXT(INDEX('M04-S09'!$BX$18:$BX$199,2*(ROWS($E$243:E245)-1)+1)),"")</f>
        <v/>
      </c>
      <c r="F245" t="str" cm="1">
        <f t="array" ref="F245">IF(C245&lt;&gt;"", _xlfn.SWITCH(Program_Banner, "Small Business / Non-Profit", "Hard-To-Reach Business", "Business Energy Savings", "Whole Business Efficiency", ""), "")</f>
        <v/>
      </c>
      <c r="G245" t="s">
        <v>135</v>
      </c>
      <c r="H245" t="str">
        <f>IFERROR(INDEX('M04-S09'!$BC$18:$BC$199,2*(ROWS(H$243:H245)-1)+1),"")</f>
        <v/>
      </c>
      <c r="I245" t="str">
        <f>IFERROR(INDEX('M04-S09'!$BJ$18:$BJ$199,2*(ROWS(I$243:I245)-1)+1),"")</f>
        <v/>
      </c>
      <c r="J245" s="9" t="str">
        <f>IFERROR(INDEX('M04-S09'!$BN$18:$BN$199,2*(ROWS(J$243:J245)-1)+1),"")</f>
        <v/>
      </c>
      <c r="K245" s="9" t="str">
        <f>IFERROR(INDEX('M04-S09'!$BO$18:$BO$199,2*(ROWS(K$243:K245)-1)+1),"")</f>
        <v/>
      </c>
      <c r="L245" s="51" t="str">
        <f>IFERROR(INDEX('M04-S09'!$BD$18:$BD$199,2*(ROWS(L$243:L245)-1)+1),"")</f>
        <v/>
      </c>
      <c r="M245" s="171"/>
      <c r="N245" s="171"/>
      <c r="O245">
        <f>IFERROR(INDEX('M04-S09'!$H$18:$H$199,2*(ROWS(O$243:O245)-1)+1),"")</f>
        <v>0</v>
      </c>
      <c r="P245">
        <f>IFERROR(INDEX('M04-S09'!$N$18:$N$199,2*(ROWS(P$243:P245)-1)+1),"")</f>
        <v>0</v>
      </c>
      <c r="Q245">
        <f>IFERROR(INDEX('M04-S09'!$W$18:$W$199,2*(ROWS(Q$243:Q245)-1)+1),"")</f>
        <v>0</v>
      </c>
      <c r="S245" t="str">
        <f>IFERROR(INDEX('M04-S09'!$AX$18:$AX$199,2*(ROWS(S$243:S245)-1)+1),"")</f>
        <v/>
      </c>
      <c r="T245" s="5" t="str">
        <f>IFERROR(ROUND(INDEX('M04-S09'!$AY$18:$AY$199,2*(ROWS(T$243:T245)-1)+1),3),"")</f>
        <v/>
      </c>
      <c r="U245" s="5" t="str">
        <f>IFERROR(ROUND(INDEX('M04-S09'!$AZ$18:$AZ$199,2*(ROWS(U$243:U245)-1)+1),3),"")</f>
        <v/>
      </c>
      <c r="V245" s="184"/>
      <c r="W245" s="184"/>
      <c r="X245" s="184"/>
      <c r="Y245" s="184"/>
      <c r="Z245" s="184"/>
      <c r="AA245" s="9" t="str" cm="1">
        <f t="array" ref="AA245">IFERROR(ROUND(INDEX('M04-S09'!$AR$18:$AR$199,2*(ROWS(AA$243:AA245)-1)+1), 2),"")</f>
        <v/>
      </c>
      <c r="AB245" s="164"/>
      <c r="AC245" s="9" t="str" cm="1">
        <f t="array" aca="1" ref="AC245" ca="1">IFERROR(ROUND(IF(BB245&lt;&gt;"","",INDEX('M04-S09'!$AH$18:$AH$199,2*(ROWS(AC$243:AC245)-1)+1)),2),"")</f>
        <v/>
      </c>
      <c r="AD245" s="9" t="str" cm="1">
        <f t="array" aca="1" ref="AD245" ca="1">IFERROR(ROUND(IF(BB245&lt;&gt;"","",INDEX('M04-S09'!$AJ$18:$AJ$199,2*(ROWS(AD$243:AD245)-1)+1)),2),"")</f>
        <v/>
      </c>
      <c r="AE245" s="9" t="str">
        <f t="shared" ca="1" si="37"/>
        <v/>
      </c>
      <c r="AF245" t="str">
        <f ca="1">IFERROR(IF(BB245&lt;&gt;"","",INDEX('M04-S09'!$AF$18:$AF$199,2*(ROWS(AG$243:AG245)-1)+1)),"")</f>
        <v/>
      </c>
      <c r="AG245" s="9" t="str" cm="1">
        <f t="array" aca="1" ref="AG245" ca="1">IFERROR(ROUND(IF(BB245&lt;&gt;"","",INDEX('M04-S09'!$AL$18:$AL$199,2*(ROWS(AG$243:AG245)-1)+1)),2),"")</f>
        <v/>
      </c>
      <c r="AH245" s="184"/>
      <c r="AI245" s="184"/>
      <c r="AJ245" s="26" t="str">
        <f ca="1">IFERROR(ROUND(IF(BA245&lt;&gt;"","",INDEX('M04-S09'!$AO$18:$AO$199,2*(ROWS(AJ$243:AJ245)-1)+1)),4),"")</f>
        <v/>
      </c>
      <c r="AK245" s="32">
        <f ca="1">IFERROR(ROUND(IF(BA245&lt;&gt;"","",INDEX('M04-S09'!$BF$18:$BF$199,2*(ROWS(AK$243:AK245)-1)+1)),4),"")</f>
        <v>0</v>
      </c>
      <c r="AL245" s="32" t="str">
        <f ca="1">IFERROR(ROUND(IF(BA245&lt;&gt;"","",INDEX('M04-S09'!$BG$18:$BG$199,2*(ROWS(AL$243:AL245)-1)+1)),4),"")</f>
        <v/>
      </c>
      <c r="AM245" s="32" t="str" cm="1">
        <f t="array" ref="AM245">IFERROR(ROUND(INDEX('M04-S09'!$BA$18:$BA$199,2*(ROWS(AM$243:AM245)-1)+1),4),"")</f>
        <v/>
      </c>
      <c r="AN245" s="32" t="str" cm="1">
        <f t="array" ref="AN245">IFERROR(ROUND(INDEX('M04-S09'!$BB$18:$BB$199,2*(ROWS(AN$243:AN245)-1)+1),4),"")</f>
        <v/>
      </c>
      <c r="AO245" s="32"/>
      <c r="AP245" s="9">
        <f ca="1">IFERROR(ROUND(IF(BB245&lt;&gt;"",INDEX('M04-S09'!$AH$18:$AH$199,2*(ROWS(AP$243:AP245)-1)+1),""),2),"")</f>
        <v>0</v>
      </c>
      <c r="AQ245" s="9" t="str">
        <f ca="1">IFERROR(ROUND(IF(BB245&lt;&gt;"",INDEX('M04-S09'!$AJ$18:$AJ$199,2*(ROWS(AQ$243:AQ245)-1)+1),""),2),"")</f>
        <v/>
      </c>
      <c r="AR245" s="9" t="str">
        <f t="shared" ca="1" si="38"/>
        <v/>
      </c>
      <c r="AS245" t="str">
        <f ca="1">IFERROR(IF(BB245&lt;&gt;"",INDEX('M04-S09'!$AF$18:$AF$199,2*(ROWS(AS$243:AS245)-1)+1),""),"")</f>
        <v/>
      </c>
      <c r="AT245" s="9" t="str" cm="1">
        <f t="array" aca="1" ref="AT245" ca="1">IFERROR(ROUND(IF(BB245&lt;&gt;"", INDEX('M04-S09'!$AL$18:$AL$199,2*(ROWS(AG$243:AG245)-1)+1), ""),2),"")</f>
        <v/>
      </c>
      <c r="AU245" s="184"/>
      <c r="AV245" s="5" t="str">
        <f ca="1">IFERROR(IF(BB245&lt;&gt;"",ROUND(INDEX('M04-S09'!$AY$18:$AY$199,2*(ROWS(AV$243:AV245)-1)+1),3),""),"")</f>
        <v/>
      </c>
      <c r="AW245" s="5" t="str">
        <f ca="1">IFERROR(IF(BB245&lt;&gt;"",ROUND(INDEX('M04-S09'!$AZ$18:$AZ$199,2*(ROWS(AW$243:AW245)-1)+1),3),""),"")</f>
        <v/>
      </c>
      <c r="AX245" s="184"/>
      <c r="AY245" s="26" t="str">
        <f ca="1">IFERROR(IF(BB245&lt;&gt;"",INDEX('M04-S09'!$AO$18:$AO$199,2*(ROWS(AY$243:AY245)-1)+1),""),"")</f>
        <v/>
      </c>
      <c r="AZ245" s="32">
        <f ca="1">IFERROR(IF(BB245&lt;&gt;"",INDEX('M04-S09'!$BF$18:$BF$199,2*(ROWS(AZ$243:AZ245)-1)+1),""),"")</f>
        <v>0</v>
      </c>
      <c r="BA245" s="32" t="str">
        <f ca="1">IFERROR(IF(BB245&lt;&gt;"",INDEX('M04-S09'!$BG$18:$BG$199,2*(ROWS(BA$243:BA245)-1)+1),""),"")</f>
        <v/>
      </c>
      <c r="BB245" t="str">
        <f ca="1">IFERROR(INDEX('M04-S09'!$BY$18:$BY$199,2*(ROWS(BB$243:BB245)-1)+1),"")</f>
        <v>Submit for Review</v>
      </c>
    </row>
    <row r="246" spans="1:54">
      <c r="A246" s="10">
        <f>PROJID</f>
        <v>0</v>
      </c>
      <c r="B246" t="str">
        <f>IF(C246="","",CONCATENATE(ROW(),"-",C246))</f>
        <v/>
      </c>
      <c r="C246" t="str" cm="1">
        <f t="array" ref="C246">IFERROR(_xlfn.VALUETOTEXT(INDEX('M04-S09'!$BW$18:$BW$199,2*(ROWS($C$243:C246)-1)+1)),"")</f>
        <v/>
      </c>
      <c r="D246">
        <f>IFERROR(INDEX('M04-S09'!$B$18:$B$199,2*(ROWS(D$243:D246)-1)+1),"")</f>
        <v>4</v>
      </c>
      <c r="E246" s="51" t="str" cm="1">
        <f t="array" ref="E246">IFERROR(_xlfn.VALUETOTEXT(INDEX('M04-S09'!$BX$18:$BX$199,2*(ROWS($E$243:E246)-1)+1)),"")</f>
        <v/>
      </c>
      <c r="F246" t="str" cm="1">
        <f t="array" ref="F246">IF(C246&lt;&gt;"", _xlfn.SWITCH(Program_Banner, "Small Business / Non-Profit", "Hard-To-Reach Business", "Business Energy Savings", "Whole Business Efficiency", ""), "")</f>
        <v/>
      </c>
      <c r="G246" t="s">
        <v>135</v>
      </c>
      <c r="H246" t="str">
        <f>IFERROR(INDEX('M04-S09'!$BC$18:$BC$199,2*(ROWS(H$243:H246)-1)+1),"")</f>
        <v/>
      </c>
      <c r="I246" t="str">
        <f>IFERROR(INDEX('M04-S09'!$BJ$18:$BJ$199,2*(ROWS(I$243:I246)-1)+1),"")</f>
        <v/>
      </c>
      <c r="J246" s="9" t="str">
        <f>IFERROR(INDEX('M04-S09'!$BN$18:$BN$199,2*(ROWS(J$243:J246)-1)+1),"")</f>
        <v/>
      </c>
      <c r="K246" s="9" t="str">
        <f>IFERROR(INDEX('M04-S09'!$BO$18:$BO$199,2*(ROWS(K$243:K246)-1)+1),"")</f>
        <v/>
      </c>
      <c r="L246" s="51" t="str">
        <f>IFERROR(INDEX('M04-S09'!$BD$18:$BD$199,2*(ROWS(L$243:L246)-1)+1),"")</f>
        <v/>
      </c>
      <c r="M246" s="171"/>
      <c r="N246" s="171"/>
      <c r="O246">
        <f>IFERROR(INDEX('M04-S09'!$H$18:$H$199,2*(ROWS(O$243:O246)-1)+1),"")</f>
        <v>0</v>
      </c>
      <c r="P246">
        <f>IFERROR(INDEX('M04-S09'!$N$18:$N$199,2*(ROWS(P$243:P246)-1)+1),"")</f>
        <v>0</v>
      </c>
      <c r="Q246">
        <f>IFERROR(INDEX('M04-S09'!$W$18:$W$199,2*(ROWS(Q$243:Q246)-1)+1),"")</f>
        <v>0</v>
      </c>
      <c r="S246" t="str">
        <f>IFERROR(INDEX('M04-S09'!$AX$18:$AX$199,2*(ROWS(S$243:S246)-1)+1),"")</f>
        <v/>
      </c>
      <c r="T246" s="5" t="str">
        <f>IFERROR(ROUND(INDEX('M04-S09'!$AY$18:$AY$199,2*(ROWS(T$243:T246)-1)+1),3),"")</f>
        <v/>
      </c>
      <c r="U246" s="5" t="str">
        <f>IFERROR(ROUND(INDEX('M04-S09'!$AZ$18:$AZ$199,2*(ROWS(U$243:U246)-1)+1),3),"")</f>
        <v/>
      </c>
      <c r="V246" s="184"/>
      <c r="W246" s="184"/>
      <c r="X246" s="184"/>
      <c r="Y246" s="184"/>
      <c r="Z246" s="184"/>
      <c r="AA246" s="9" t="str" cm="1">
        <f t="array" ref="AA246">IFERROR(ROUND(INDEX('M04-S09'!$AR$18:$AR$199,2*(ROWS(AA$243:AA246)-1)+1), 2),"")</f>
        <v/>
      </c>
      <c r="AB246" s="164"/>
      <c r="AC246" s="9" t="str" cm="1">
        <f t="array" aca="1" ref="AC246" ca="1">IFERROR(ROUND(IF(BB246&lt;&gt;"","",INDEX('M04-S09'!$AH$18:$AH$199,2*(ROWS(AC$243:AC246)-1)+1)),2),"")</f>
        <v/>
      </c>
      <c r="AD246" s="9" t="str" cm="1">
        <f t="array" aca="1" ref="AD246" ca="1">IFERROR(ROUND(IF(BB246&lt;&gt;"","",INDEX('M04-S09'!$AJ$18:$AJ$199,2*(ROWS(AD$243:AD246)-1)+1)),2),"")</f>
        <v/>
      </c>
      <c r="AE246" s="9" t="str">
        <f t="shared" ca="1" si="37"/>
        <v/>
      </c>
      <c r="AF246" t="str">
        <f ca="1">IFERROR(IF(BB246&lt;&gt;"","",INDEX('M04-S09'!$AF$18:$AF$199,2*(ROWS(AG$243:AG246)-1)+1)),"")</f>
        <v/>
      </c>
      <c r="AG246" s="9" t="str" cm="1">
        <f t="array" aca="1" ref="AG246" ca="1">IFERROR(ROUND(IF(BB246&lt;&gt;"","",INDEX('M04-S09'!$AL$18:$AL$199,2*(ROWS(AG$243:AG246)-1)+1)),2),"")</f>
        <v/>
      </c>
      <c r="AH246" s="184"/>
      <c r="AI246" s="184"/>
      <c r="AJ246" s="26" t="str">
        <f ca="1">IFERROR(ROUND(IF(BA246&lt;&gt;"","",INDEX('M04-S09'!$AO$18:$AO$199,2*(ROWS(AJ$243:AJ246)-1)+1)),4),"")</f>
        <v/>
      </c>
      <c r="AK246" s="32">
        <f ca="1">IFERROR(ROUND(IF(BA246&lt;&gt;"","",INDEX('M04-S09'!$BF$18:$BF$199,2*(ROWS(AK$243:AK246)-1)+1)),4),"")</f>
        <v>0</v>
      </c>
      <c r="AL246" s="32" t="str">
        <f ca="1">IFERROR(ROUND(IF(BA246&lt;&gt;"","",INDEX('M04-S09'!$BG$18:$BG$199,2*(ROWS(AL$243:AL246)-1)+1)),4),"")</f>
        <v/>
      </c>
      <c r="AM246" s="32" t="str" cm="1">
        <f t="array" ref="AM246">IFERROR(ROUND(INDEX('M04-S09'!$BA$18:$BA$199,2*(ROWS(AM$243:AM246)-1)+1),4),"")</f>
        <v/>
      </c>
      <c r="AN246" s="32" t="str" cm="1">
        <f t="array" ref="AN246">IFERROR(ROUND(INDEX('M04-S09'!$BB$18:$BB$199,2*(ROWS(AN$243:AN246)-1)+1),4),"")</f>
        <v/>
      </c>
      <c r="AO246" s="32"/>
      <c r="AP246" s="9">
        <f ca="1">IFERROR(ROUND(IF(BB246&lt;&gt;"",INDEX('M04-S09'!$AH$18:$AH$199,2*(ROWS(AP$243:AP246)-1)+1),""),2),"")</f>
        <v>0</v>
      </c>
      <c r="AQ246" s="9" t="str">
        <f ca="1">IFERROR(ROUND(IF(BB246&lt;&gt;"",INDEX('M04-S09'!$AJ$18:$AJ$199,2*(ROWS(AQ$243:AQ246)-1)+1),""),2),"")</f>
        <v/>
      </c>
      <c r="AR246" s="9" t="str">
        <f t="shared" ca="1" si="38"/>
        <v/>
      </c>
      <c r="AS246" t="str">
        <f ca="1">IFERROR(IF(BB246&lt;&gt;"",INDEX('M04-S09'!$AF$18:$AF$199,2*(ROWS(AS$243:AS246)-1)+1),""),"")</f>
        <v/>
      </c>
      <c r="AT246" s="9" t="str" cm="1">
        <f t="array" aca="1" ref="AT246" ca="1">IFERROR(ROUND(IF(BB246&lt;&gt;"", INDEX('M04-S09'!$AL$18:$AL$199,2*(ROWS(AG$243:AG246)-1)+1), ""),2),"")</f>
        <v/>
      </c>
      <c r="AU246" s="184"/>
      <c r="AV246" s="5" t="str">
        <f ca="1">IFERROR(IF(BB246&lt;&gt;"",ROUND(INDEX('M04-S09'!$AY$18:$AY$199,2*(ROWS(AV$243:AV246)-1)+1),3),""),"")</f>
        <v/>
      </c>
      <c r="AW246" s="5" t="str">
        <f ca="1">IFERROR(IF(BB246&lt;&gt;"",ROUND(INDEX('M04-S09'!$AZ$18:$AZ$199,2*(ROWS(AW$243:AW246)-1)+1),3),""),"")</f>
        <v/>
      </c>
      <c r="AX246" s="184"/>
      <c r="AY246" s="26" t="str">
        <f ca="1">IFERROR(IF(BB246&lt;&gt;"",INDEX('M04-S09'!$AO$18:$AO$199,2*(ROWS(AY$243:AY246)-1)+1),""),"")</f>
        <v/>
      </c>
      <c r="AZ246" s="32">
        <f ca="1">IFERROR(IF(BB246&lt;&gt;"",INDEX('M04-S09'!$BF$18:$BF$199,2*(ROWS(AZ$243:AZ246)-1)+1),""),"")</f>
        <v>0</v>
      </c>
      <c r="BA246" s="32" t="str">
        <f ca="1">IFERROR(IF(BB246&lt;&gt;"",INDEX('M04-S09'!$BG$18:$BG$199,2*(ROWS(BA$243:BA246)-1)+1),""),"")</f>
        <v/>
      </c>
      <c r="BB246" t="str">
        <f ca="1">IFERROR(INDEX('M04-S09'!$BY$18:$BY$199,2*(ROWS(BB$243:BB246)-1)+1),"")</f>
        <v>Submit for Review</v>
      </c>
    </row>
    <row r="247" spans="1:54">
      <c r="A247" s="184"/>
      <c r="B247" s="184"/>
      <c r="C247" s="184"/>
      <c r="D247" s="184"/>
      <c r="E247" s="184"/>
      <c r="F247" s="184"/>
      <c r="G247" s="184"/>
      <c r="H247" s="184"/>
      <c r="I247" s="184"/>
      <c r="J247" s="184"/>
      <c r="K247" s="184"/>
      <c r="M247" s="184"/>
      <c r="N247" s="184"/>
      <c r="O247" s="184"/>
      <c r="P247" s="184"/>
      <c r="Q247" s="184"/>
      <c r="R247" s="184"/>
      <c r="S247" s="184"/>
      <c r="T247" s="184"/>
      <c r="U247" s="184"/>
      <c r="V247" s="184"/>
      <c r="W247" s="184"/>
      <c r="X247" s="184"/>
      <c r="Y247" s="184"/>
      <c r="Z247" s="184"/>
      <c r="AA247" s="184"/>
      <c r="AB247" s="16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91"/>
      <c r="BA247" s="191"/>
      <c r="BB247" s="184"/>
    </row>
    <row r="248" spans="1:54">
      <c r="A248" s="184"/>
      <c r="B248" s="184"/>
      <c r="C248" s="184"/>
      <c r="D248" s="184"/>
      <c r="E248" s="184"/>
      <c r="F248" s="184"/>
      <c r="G248" s="184"/>
      <c r="H248" s="184"/>
      <c r="I248" s="184"/>
      <c r="J248" s="184"/>
      <c r="K248" s="184"/>
      <c r="M248" s="184"/>
      <c r="N248" s="184"/>
      <c r="O248" s="184"/>
      <c r="P248" s="184"/>
      <c r="Q248" s="184"/>
      <c r="R248" s="184"/>
      <c r="S248" s="184"/>
      <c r="T248" s="184"/>
      <c r="U248" s="184"/>
      <c r="V248" s="184"/>
      <c r="W248" s="184"/>
      <c r="X248" s="184"/>
      <c r="Y248" s="184"/>
      <c r="Z248" s="184"/>
      <c r="AA248" s="184"/>
      <c r="AB248" s="16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91"/>
      <c r="BA248" s="191"/>
      <c r="BB248" s="184"/>
    </row>
    <row r="249" spans="1:54">
      <c r="A249" s="10">
        <f>PROJID</f>
        <v>0</v>
      </c>
      <c r="B249" t="str">
        <f>IF(C249="","",CONCATENATE(ROW(),"-",C249))</f>
        <v/>
      </c>
      <c r="C249" t="str" cm="1">
        <f t="array" ref="C249">IFERROR(_xlfn.VALUETOTEXT(INDEX('M04-S09'!$BW$18:$BW$199,2*(ROWS($C$243:C249)-1)+1)),"")</f>
        <v/>
      </c>
      <c r="D249">
        <f>IFERROR(INDEX('M04-S09'!$B$18:$B$199,2*(ROWS(D$243:D249)-1)+1),"")</f>
        <v>1</v>
      </c>
      <c r="E249" s="184"/>
      <c r="F249" t="str" cm="1">
        <f t="array" ref="F249">IF(C249&lt;&gt;"", _xlfn.SWITCH(Program_Banner, "Small Business / Non-Profit", "Hard-To-Reach Business", "Business Energy Savings", "Whole Business Efficiency", ""), "")</f>
        <v/>
      </c>
      <c r="G249" t="s">
        <v>135</v>
      </c>
      <c r="H249" s="184"/>
      <c r="I249" t="str">
        <f>IFERROR(INDEX('M04-S09'!$BJ$18:$BJ$199,2*(ROWS(I$243:I249)-1)+1),"")</f>
        <v/>
      </c>
      <c r="J249" s="9" t="str">
        <f>IFERROR(INDEX('M04-S09'!$BN$18:$BN$199,2*(ROWS(J$243:J249)-1)+1),"")</f>
        <v/>
      </c>
      <c r="K249" s="9" t="str">
        <f>IFERROR(INDEX('M04-S09'!$BO$18:$BO$199,2*(ROWS(K$243:K249)-1)+1),"")</f>
        <v/>
      </c>
      <c r="L249" s="51" t="str">
        <f>IFERROR(INDEX('M04-S09'!$BD$18:$BD$199,2*(ROWS(L$243:L249)-1)+1),"")</f>
        <v/>
      </c>
      <c r="M249" s="171"/>
      <c r="N249" s="171"/>
      <c r="O249">
        <f>IFERROR(INDEX('M04-S09'!$H$18:$H$199,2*(ROWS(O$243:O249)-1)+1),"")</f>
        <v>0</v>
      </c>
      <c r="P249">
        <f>IFERROR(INDEX('M04-S09'!$N$18:$N$199,2*(ROWS(P$243:P249)-1)+1),"")</f>
        <v>0</v>
      </c>
      <c r="Q249">
        <f>IFERROR(INDEX('M04-S09'!$W$18:$W$199,2*(ROWS(Q$243:Q249)-1)+1),"")</f>
        <v>0</v>
      </c>
      <c r="S249" t="str">
        <f>IFERROR(INDEX('M04-S09'!$AX$18:$AX$199,2*(ROWS(S$243:S249)-1)+1),"")</f>
        <v/>
      </c>
      <c r="T249" s="5" t="str">
        <f>IFERROR(ROUND(INDEX('M04-S09'!$AY$18:$AY$199,2*(ROWS(T$243:T249)-1)+1),3),"")</f>
        <v/>
      </c>
      <c r="U249" s="5" t="str">
        <f>IFERROR(ROUND(INDEX('M04-S09'!$AZ$18:$AZ$199,2*(ROWS(U$243:U249)-1)+1),3),"")</f>
        <v/>
      </c>
      <c r="V249" s="184"/>
      <c r="W249" s="184"/>
      <c r="X249" s="184"/>
      <c r="Y249" s="184"/>
      <c r="Z249" s="184"/>
      <c r="AA249" s="9" t="str" cm="1">
        <f t="array" ref="AA249">IFERROR(ROUND(INDEX('M04-S09'!$AR$18:$AR$199,2*(ROWS(AA$243:AA249)-1)+1), 2),"")</f>
        <v/>
      </c>
      <c r="AB249" s="164"/>
      <c r="AC249" s="9" t="str" cm="1">
        <f t="array" aca="1" ref="AC249" ca="1">IFERROR(ROUND(IF(BB249&lt;&gt;"","",INDEX('M04-S09'!$AH$18:$AH$199,2*(ROWS(AC$243:AC249)-1)+1)),2),"")</f>
        <v/>
      </c>
      <c r="AD249" s="9" t="str" cm="1">
        <f t="array" aca="1" ref="AD249" ca="1">IFERROR(ROUND(IF(BB249&lt;&gt;"","",INDEX('M04-S09'!$AJ$18:$AJ$199,2*(ROWS(AD$243:AD249)-1)+1)),2),"")</f>
        <v/>
      </c>
      <c r="AE249" s="9" t="str">
        <f t="shared" ref="AE249" ca="1" si="39">IF(BB249&lt;&gt;"", "", IF(AF249="Total", AG249, ""))</f>
        <v/>
      </c>
      <c r="AF249" t="str">
        <f ca="1">IFERROR(IF(BB249&lt;&gt;"","",INDEX('M04-S09'!$AF$18:$AF$199,2*(ROWS(AG$243:AG249)-1)+1)),"")</f>
        <v/>
      </c>
      <c r="AG249" s="9" t="str" cm="1">
        <f t="array" aca="1" ref="AG249" ca="1">IFERROR(ROUND(IF(BB249&lt;&gt;"","",INDEX('M04-S09'!$AL$18:$AL$199,2*(ROWS(AG$243:AG249)-1)+1)),2),"")</f>
        <v/>
      </c>
      <c r="AH249" s="184"/>
      <c r="AI249" s="184"/>
      <c r="AJ249" s="26" t="str">
        <f ca="1">IFERROR(ROUND(IF(BA249&lt;&gt;"","",INDEX('M04-S09'!$AO$18:$AO$199,2*(ROWS(AJ$243:AJ249)-1)+1)),4),"")</f>
        <v/>
      </c>
      <c r="AK249" s="184"/>
      <c r="AL249" s="32" t="str">
        <f ca="1">IFERROR(ROUND(IF(BA249&lt;&gt;"","",INDEX('M04-S09'!$BG$18:$BG$199,2*(ROWS(AL$243:AL249)-1)+1)),4),"")</f>
        <v/>
      </c>
      <c r="AM249" s="32" t="str" cm="1">
        <f t="array" ref="AM249">IFERROR(ROUND(INDEX('M04-S09'!$BA$18:$BA$199,2*(ROWS(AM$243:AM249)-1)+1),4),"")</f>
        <v/>
      </c>
      <c r="AN249" s="32" t="str" cm="1">
        <f t="array" ref="AN249">IFERROR(ROUND(INDEX('M04-S09'!$BB$18:$BB$199,2*(ROWS(AN$243:AN249)-1)+1),4),"")</f>
        <v/>
      </c>
      <c r="AO249" s="32"/>
      <c r="AP249" s="9">
        <f ca="1">IFERROR(ROUND(IF(BB249&lt;&gt;"",INDEX('M04-S09'!$AH$18:$AH$199,2*(ROWS(AP$243:AP249)-1)+1),""),2),"")</f>
        <v>0</v>
      </c>
      <c r="AQ249" s="9">
        <f ca="1">IFERROR(ROUND(IF(BB249&lt;&gt;"",INDEX('M04-S09'!$AJ$18:$AJ$199,2*(ROWS(AQ$243:AQ249)-1)+1),""),2),"")</f>
        <v>0</v>
      </c>
      <c r="AR249" s="9" t="str">
        <f t="shared" ref="AR249" ca="1" si="40">IF(BB249&lt;&gt;"", "", IF(AS249="Total", AT249, ""))</f>
        <v/>
      </c>
      <c r="AS249">
        <f ca="1">IFERROR(IF(BB249&lt;&gt;"",INDEX('M04-S09'!$AF$18:$AF$199,2*(ROWS(AS$243:AS249)-1)+1),""),"")</f>
        <v>0</v>
      </c>
      <c r="AT249" s="9" t="str" cm="1">
        <f t="array" aca="1" ref="AT249" ca="1">IFERROR(ROUND(IF(BB249&lt;&gt;"", INDEX('M04-S09'!$AL$18:$AL$199,2*(ROWS(AG$243:AG249)-1)+1), ""),2),"")</f>
        <v/>
      </c>
      <c r="AU249" s="184"/>
      <c r="AV249" s="5" t="str">
        <f ca="1">IFERROR(IF(BB249&lt;&gt;"",ROUND(INDEX('M04-S09'!$AY$18:$AY$199,2*(ROWS(AV$243:AV249)-1)+1),3),""),"")</f>
        <v/>
      </c>
      <c r="AW249" s="5" t="str">
        <f ca="1">IFERROR(IF(BB249&lt;&gt;"",ROUND(INDEX('M04-S09'!$AZ$18:$AZ$199,2*(ROWS(AW$243:AW249)-1)+1),3),""),"")</f>
        <v/>
      </c>
      <c r="AX249" s="184"/>
      <c r="AY249" s="26" t="str">
        <f ca="1">IFERROR(IF(BB249&lt;&gt;"",INDEX('M04-S09'!$AO$18:$AO$199,2*(ROWS(AY$243:AY249)-1)+1),""),"")</f>
        <v/>
      </c>
      <c r="AZ249" s="191"/>
      <c r="BA249" s="32">
        <f ca="1">IFERROR(IF(BB249&lt;&gt;"",INDEX('M04-S09'!$BG$18:$BG$199,2*(ROWS(BA$243:BA249)-1)+1),""),"")</f>
        <v>0</v>
      </c>
      <c r="BB249" t="str">
        <f ca="1">IFERROR(INDEX('M04-S09'!$BY$18:$BY$199,2*(ROWS(BB$243:BB249)-1)+1),"")</f>
        <v>Submit for Review</v>
      </c>
    </row>
    <row r="250" spans="1:54">
      <c r="A250" s="184"/>
      <c r="B250" s="184"/>
      <c r="C250" s="184"/>
      <c r="D250" s="184"/>
      <c r="E250" s="184"/>
      <c r="F250" s="184"/>
      <c r="G250" s="184"/>
      <c r="H250" s="184"/>
      <c r="I250" s="184"/>
      <c r="J250" s="184"/>
      <c r="K250" s="184"/>
      <c r="M250" s="184"/>
      <c r="N250" s="184"/>
      <c r="O250" s="184"/>
      <c r="P250" s="184"/>
      <c r="Q250" s="184"/>
      <c r="R250" s="184"/>
      <c r="S250" s="184"/>
      <c r="T250" s="184"/>
      <c r="U250" s="184"/>
      <c r="V250" s="184"/>
      <c r="W250" s="184"/>
      <c r="X250" s="184"/>
      <c r="Y250" s="184"/>
      <c r="Z250" s="184"/>
      <c r="AA250" s="184"/>
      <c r="AB250" s="164"/>
      <c r="AC250" s="184"/>
      <c r="AD250" s="184"/>
      <c r="AE250" s="184"/>
      <c r="AF250" s="184"/>
      <c r="AG250" s="184"/>
      <c r="AH250" s="184"/>
      <c r="AI250" s="184"/>
      <c r="AJ250" s="184"/>
      <c r="AK250" s="184"/>
      <c r="AL250" s="184"/>
      <c r="AM250" s="191"/>
      <c r="AN250" s="191"/>
      <c r="AO250" s="191"/>
      <c r="AP250" s="184"/>
      <c r="AQ250" s="184"/>
      <c r="AR250" s="184"/>
      <c r="AS250" s="184"/>
      <c r="AT250" s="184"/>
      <c r="AU250" s="184"/>
      <c r="AV250" s="184"/>
      <c r="AW250" s="184"/>
      <c r="AX250" s="184"/>
      <c r="AY250" s="184"/>
      <c r="AZ250" s="191"/>
      <c r="BA250" s="184"/>
      <c r="BB250" s="184"/>
    </row>
    <row r="251" spans="1:54">
      <c r="A251" s="184"/>
      <c r="B251" s="184"/>
      <c r="C251" s="184"/>
      <c r="D251" s="184"/>
      <c r="E251" s="184"/>
      <c r="F251" s="184"/>
      <c r="G251" s="184"/>
      <c r="H251" s="184"/>
      <c r="I251" s="184"/>
      <c r="J251" s="184"/>
      <c r="K251" s="184"/>
      <c r="M251" s="184"/>
      <c r="N251" s="184"/>
      <c r="O251" s="184"/>
      <c r="P251" s="184"/>
      <c r="Q251" s="184"/>
      <c r="R251" s="184"/>
      <c r="S251" s="184"/>
      <c r="T251" s="184"/>
      <c r="U251" s="184"/>
      <c r="V251" s="184"/>
      <c r="W251" s="184"/>
      <c r="X251" s="184"/>
      <c r="Y251" s="184"/>
      <c r="Z251" s="184"/>
      <c r="AA251" s="184"/>
      <c r="AB251" s="164"/>
      <c r="AC251" s="184"/>
      <c r="AD251" s="184"/>
      <c r="AE251" s="184"/>
      <c r="AF251" s="184"/>
      <c r="AG251" s="184"/>
      <c r="AH251" s="184"/>
      <c r="AI251" s="184"/>
      <c r="AJ251" s="184"/>
      <c r="AK251" s="184"/>
      <c r="AL251" s="184"/>
      <c r="AM251" s="191"/>
      <c r="AN251" s="191"/>
      <c r="AO251" s="191"/>
      <c r="AP251" s="184"/>
      <c r="AQ251" s="184"/>
      <c r="AR251" s="184"/>
      <c r="AS251" s="184"/>
      <c r="AT251" s="184"/>
      <c r="AU251" s="184"/>
      <c r="AV251" s="184"/>
      <c r="AW251" s="184"/>
      <c r="AX251" s="184"/>
      <c r="AY251" s="184"/>
      <c r="AZ251" s="191"/>
      <c r="BA251" s="184"/>
      <c r="BB251" s="184"/>
    </row>
    <row r="252" spans="1:54">
      <c r="A252" s="10">
        <f>PROJID</f>
        <v>0</v>
      </c>
      <c r="B252" t="str">
        <f>IF(C252="","",CONCATENATE(ROW(),"-",C252))</f>
        <v/>
      </c>
      <c r="C252" t="str" cm="1">
        <f t="array" ref="C252">IFERROR(_xlfn.VALUETOTEXT(INDEX('M04-S09'!$BW$18:$BW$199,2*(ROWS($C$243:C252)-1)+1)),"")</f>
        <v/>
      </c>
      <c r="D252">
        <f>IFERROR(INDEX('M04-S09'!$B$18:$B$199,2*(ROWS(D$243:D252)-1)+1),"")</f>
        <v>1</v>
      </c>
      <c r="E252" s="51" t="str" cm="1">
        <f t="array" ref="E252">IFERROR(_xlfn.VALUETOTEXT(INDEX('M04-S09'!$BX$18:$BX$199,2*(ROWS($E$243:E252)-1)+1)),"")</f>
        <v/>
      </c>
      <c r="F252" t="str" cm="1">
        <f t="array" ref="F252">IF(C252&lt;&gt;"", _xlfn.SWITCH(Program_Banner, "Small Business / Non-Profit", "Hard-To-Reach Business", "Business Energy Savings", "Whole Business Efficiency", ""), "")</f>
        <v/>
      </c>
      <c r="G252" t="s">
        <v>135</v>
      </c>
      <c r="H252" t="str">
        <f>IFERROR(INDEX('M04-S09'!$BC$18:$BC$199,2*(ROWS(H$243:H252)-1)+1),"")</f>
        <v/>
      </c>
      <c r="I252" t="str">
        <f>IFERROR(INDEX('M04-S09'!$BJ$18:$BJ$199,2*(ROWS(I$243:I252)-1)+1),"")</f>
        <v/>
      </c>
      <c r="J252" s="9" t="str">
        <f>IFERROR(INDEX('M04-S09'!$BN$18:$BN$199,2*(ROWS(J$243:J252)-1)+1),"")</f>
        <v/>
      </c>
      <c r="K252" s="9" t="str">
        <f>IFERROR(INDEX('M04-S09'!$BO$18:$BO$199,2*(ROWS(K$243:K252)-1)+1),"")</f>
        <v/>
      </c>
      <c r="L252" s="51" t="str">
        <f>IFERROR(INDEX('M04-S09'!$BD$18:$BD$199,2*(ROWS(L$243:L252)-1)+1),"")</f>
        <v/>
      </c>
      <c r="M252" s="171"/>
      <c r="N252" s="171"/>
      <c r="O252">
        <f>IFERROR(INDEX('M04-S09'!$H$18:$H$199,2*(ROWS(O$243:O252)-1)+1),"")</f>
        <v>0</v>
      </c>
      <c r="P252">
        <f>IFERROR(INDEX('M04-S09'!$N$18:$N$199,2*(ROWS(P$243:P252)-1)+1),"")</f>
        <v>0</v>
      </c>
      <c r="Q252">
        <f>IFERROR(INDEX('M04-S09'!$W$26:$W$199,2*(ROWS(Q$243:Q252)-1)+1),"")</f>
        <v>0</v>
      </c>
      <c r="S252" t="str">
        <f>IFERROR(INDEX('M04-S09'!$AX$18:$AX$199,2*(ROWS(S$243:S252)-1)+1),"")</f>
        <v/>
      </c>
      <c r="T252" s="5">
        <f>IFERROR(ROUND(INDEX('M04-S09'!$AY$18:$AY$199,2*(ROWS(T$243:T252)-1)+1),3),"")</f>
        <v>0</v>
      </c>
      <c r="U252" s="5">
        <f>IFERROR(ROUND(INDEX('M04-S09'!$AZ$18:$AZ$199,2*(ROWS(U$243:U252)-1)+1),3),"")</f>
        <v>0</v>
      </c>
      <c r="V252" s="184"/>
      <c r="W252" s="184"/>
      <c r="X252" s="184"/>
      <c r="Y252" s="184"/>
      <c r="Z252" s="184"/>
      <c r="AA252" s="9" t="str" cm="1">
        <f t="array" ref="AA252">IFERROR(ROUND(INDEX('M04-S09'!$AR$18:$AR$199,2*(ROWS(AA$243:AA252)-1)+1), 2),"")</f>
        <v/>
      </c>
      <c r="AB252" s="164"/>
      <c r="AC252" s="9" t="str" cm="1">
        <f t="array" aca="1" ref="AC252" ca="1">IFERROR(ROUND(IF(BB252&lt;&gt;"","",INDEX('M04-S09'!$AH$18:$AH$199,2*(ROWS(AC$243:AC252)-1)+1)),2),"")</f>
        <v/>
      </c>
      <c r="AD252" s="9" t="str" cm="1">
        <f t="array" aca="1" ref="AD252" ca="1">IFERROR(ROUND(IF(BB252&lt;&gt;"","",INDEX('M04-S09'!$AJ$18:$AJ$199,2*(ROWS(AD$243:AD252)-1)+1)),2),"")</f>
        <v/>
      </c>
      <c r="AE252" s="9" t="str">
        <f t="shared" ref="AE252" ca="1" si="41">IF(BB252&lt;&gt;"", "", IF(AF252="Total", AG252, ""))</f>
        <v/>
      </c>
      <c r="AF252" t="str">
        <f ca="1">IFERROR(IF(BB252&lt;&gt;"","",INDEX('M04-S09'!$AF$18:$AF$199,2*(ROWS(AG$243:AG252)-1)+1)),"")</f>
        <v/>
      </c>
      <c r="AG252" s="9" t="str" cm="1">
        <f t="array" aca="1" ref="AG252" ca="1">IFERROR(ROUND(IF(BB252&lt;&gt;"","",INDEX('M04-S09'!$AL$18:$AL$199,2*(ROWS(AG$243:AG252)-1)+1)),2),"")</f>
        <v/>
      </c>
      <c r="AH252" s="184"/>
      <c r="AI252" s="184"/>
      <c r="AJ252" s="26" t="str">
        <f ca="1">IFERROR(ROUND(IF(BA252&lt;&gt;"","",INDEX('M04-S09'!$AO$18:$AO$199,2*(ROWS(AJ$243:AJ252)-1)+1)),4),"")</f>
        <v/>
      </c>
      <c r="AK252" s="32">
        <f ca="1">IFERROR(ROUND(IF(BA252&lt;&gt;"","",INDEX('M04-S09'!$BF$18:$BF$199,2*(ROWS(AK$243:AK252)-1)+1)),4),"")</f>
        <v>0</v>
      </c>
      <c r="AL252" s="32" t="str">
        <f ca="1">IFERROR(ROUND(IF(BA252&lt;&gt;"","",INDEX('M04-S09'!$BG$18:$BG$199,2*(ROWS(AL$243:AL252)-1)+1)),4),"")</f>
        <v/>
      </c>
      <c r="AM252" s="32" t="str" cm="1">
        <f t="array" ref="AM252">IFERROR(ROUND(INDEX('M04-S09'!$BA$18:$BA$199,2*(ROWS(AM$243:AM252)-1)+1),4),"")</f>
        <v/>
      </c>
      <c r="AN252" s="32" t="str" cm="1">
        <f t="array" ref="AN252">IFERROR(ROUND(INDEX('M04-S09'!$BB$18:$BB$199,2*(ROWS(AN$243:AN252)-1)+1),4),"")</f>
        <v/>
      </c>
      <c r="AO252" s="32"/>
      <c r="AP252" s="9">
        <f ca="1">IFERROR(ROUND(IF(BB252&lt;&gt;"",INDEX('M04-S09'!$AH$18:$AH$199,2*(ROWS(AP$243:AP252)-1)+1),""),2),"")</f>
        <v>0</v>
      </c>
      <c r="AQ252" s="9" t="str">
        <f ca="1">IFERROR(ROUND(IF(BB252&lt;&gt;"",INDEX('M04-S09'!$AJ$18:$AJ$199,2*(ROWS(AQ$243:AQ252)-1)+1),""),2),"")</f>
        <v/>
      </c>
      <c r="AR252" s="9" t="str">
        <f t="shared" ref="AR252" ca="1" si="42">IF(BB252&lt;&gt;"", "", IF(AS252="Total", AT252, ""))</f>
        <v/>
      </c>
      <c r="AS252" t="str">
        <f ca="1">IFERROR(IF(BB252&lt;&gt;"",INDEX('M04-S09'!$AF$18:$AF$199,2*(ROWS(AS$243:AS252)-1)+1),""),"")</f>
        <v/>
      </c>
      <c r="AT252" s="9" t="str" cm="1">
        <f t="array" aca="1" ref="AT252" ca="1">IFERROR(ROUND(IF(BB252&lt;&gt;"", INDEX('M04-S09'!$AL$18:$AL$199,2*(ROWS(AG$243:AG252)-1)+1), ""),2),"")</f>
        <v/>
      </c>
      <c r="AU252" s="184"/>
      <c r="AV252" s="5">
        <f ca="1">IFERROR(IF(BB252&lt;&gt;"",ROUND(INDEX('M04-S09'!$AY$18:$AY$199,2*(ROWS(AV$243:AV252)-1)+1),3),""),"")</f>
        <v>0</v>
      </c>
      <c r="AW252" s="5">
        <f ca="1">IFERROR(IF(BB252&lt;&gt;"",ROUND(INDEX('M04-S09'!$AZ$18:$AZ$199,2*(ROWS(AW$243:AW252)-1)+1),3),""),"")</f>
        <v>0</v>
      </c>
      <c r="AX252" s="184"/>
      <c r="AY252" s="26" t="str">
        <f ca="1">IFERROR(IF(BB252&lt;&gt;"",INDEX('M04-S09'!$AO$18:$AO$199,2*(ROWS(AY$243:AY252)-1)+1),""),"")</f>
        <v/>
      </c>
      <c r="AZ252" s="32">
        <f ca="1">IFERROR(IF(BB252&lt;&gt;"",INDEX('M04-S09'!$BF$18:$BF$199,2*(ROWS(AZ$243:AZ252)-1)+1),""),"")</f>
        <v>0</v>
      </c>
      <c r="BA252" s="32" t="str">
        <f ca="1">IFERROR(IF(BB252&lt;&gt;"",INDEX('M04-S09'!$BG$18:$BG$199,2*(ROWS(BA$243:BA252)-1)+1),""),"")</f>
        <v/>
      </c>
      <c r="BB252" t="str">
        <f ca="1">IFERROR(INDEX('M04-S09'!$BY$18:$BY$199,2*(ROWS(BB$243:BB252)-1)+1),"")</f>
        <v>Submit for Review</v>
      </c>
    </row>
    <row r="253" spans="1:54">
      <c r="A253" s="184"/>
      <c r="B253" s="184"/>
      <c r="C253" s="184"/>
      <c r="D253" s="184"/>
      <c r="E253" s="184"/>
      <c r="F253" s="184"/>
      <c r="G253" s="184"/>
      <c r="H253" s="184"/>
      <c r="I253" s="184"/>
      <c r="J253" s="184"/>
      <c r="K253" s="184"/>
      <c r="M253" s="184"/>
      <c r="N253" s="184"/>
      <c r="O253" s="184"/>
      <c r="P253" s="184"/>
      <c r="Q253" s="184"/>
      <c r="R253" s="184"/>
      <c r="S253" s="184"/>
      <c r="T253" s="184"/>
      <c r="U253" s="184"/>
      <c r="V253" s="184"/>
      <c r="W253" s="184"/>
      <c r="X253" s="184"/>
      <c r="Y253" s="184"/>
      <c r="Z253" s="184"/>
      <c r="AA253" s="184"/>
      <c r="AB253" s="164"/>
      <c r="AC253" s="184"/>
      <c r="AD253" s="184"/>
      <c r="AE253" s="184"/>
      <c r="AF253" s="184"/>
      <c r="AG253" s="184"/>
      <c r="AH253" s="184"/>
      <c r="AI253" s="184"/>
      <c r="AJ253" s="184"/>
      <c r="AK253" s="184"/>
      <c r="AL253" s="184"/>
      <c r="AM253" s="191"/>
      <c r="AN253" s="191"/>
      <c r="AO253" s="191"/>
      <c r="AP253" s="184"/>
      <c r="AQ253" s="184"/>
      <c r="AR253" s="184"/>
      <c r="AS253" s="184"/>
      <c r="AT253" s="184"/>
      <c r="AU253" s="184"/>
      <c r="AV253" s="184"/>
      <c r="AW253" s="184"/>
      <c r="AX253" s="184"/>
      <c r="AY253" s="184"/>
      <c r="AZ253" s="191"/>
      <c r="BA253" s="184"/>
      <c r="BB253" s="184"/>
    </row>
    <row r="254" spans="1:54">
      <c r="A254" s="184"/>
      <c r="B254" s="184"/>
      <c r="C254" s="184"/>
      <c r="D254" s="184"/>
      <c r="E254" s="184"/>
      <c r="F254" s="184"/>
      <c r="G254" s="184"/>
      <c r="H254" s="184"/>
      <c r="I254" s="184"/>
      <c r="J254" s="184"/>
      <c r="K254" s="184"/>
      <c r="M254" s="184"/>
      <c r="N254" s="184"/>
      <c r="O254" s="184"/>
      <c r="P254" s="184"/>
      <c r="Q254" s="184"/>
      <c r="R254" s="184"/>
      <c r="S254" s="184"/>
      <c r="T254" s="184"/>
      <c r="U254" s="184"/>
      <c r="V254" s="184"/>
      <c r="W254" s="184"/>
      <c r="X254" s="184"/>
      <c r="Y254" s="184"/>
      <c r="Z254" s="184"/>
      <c r="AA254" s="184"/>
      <c r="AB254" s="164"/>
      <c r="AC254" s="184"/>
      <c r="AD254" s="184"/>
      <c r="AE254" s="184"/>
      <c r="AF254" s="184"/>
      <c r="AG254" s="184"/>
      <c r="AH254" s="184"/>
      <c r="AI254" s="184"/>
      <c r="AJ254" s="184"/>
      <c r="AK254" s="184"/>
      <c r="AL254" s="184"/>
      <c r="AM254" s="191"/>
      <c r="AN254" s="191"/>
      <c r="AO254" s="191"/>
      <c r="AP254" s="184"/>
      <c r="AQ254" s="184"/>
      <c r="AR254" s="184"/>
      <c r="AS254" s="184"/>
      <c r="AT254" s="184"/>
      <c r="AU254" s="184"/>
      <c r="AV254" s="184"/>
      <c r="AW254" s="184"/>
      <c r="AX254" s="184"/>
      <c r="AY254" s="184"/>
      <c r="AZ254" s="191"/>
      <c r="BA254" s="184"/>
      <c r="BB254" s="184"/>
    </row>
    <row r="255" spans="1:54">
      <c r="A255" s="184"/>
      <c r="B255" s="184"/>
      <c r="C255" s="184"/>
      <c r="D255" s="184"/>
      <c r="E255" s="184"/>
      <c r="F255" s="184"/>
      <c r="G255" s="184"/>
      <c r="H255" s="184"/>
      <c r="I255" s="184"/>
      <c r="J255" s="184"/>
      <c r="K255" s="184"/>
      <c r="M255" s="184"/>
      <c r="N255" s="184"/>
      <c r="O255" s="184"/>
      <c r="P255" s="184"/>
      <c r="Q255" s="184"/>
      <c r="R255" s="184"/>
      <c r="S255" s="184"/>
      <c r="T255" s="184"/>
      <c r="U255" s="184"/>
      <c r="V255" s="184"/>
      <c r="W255" s="184"/>
      <c r="X255" s="184"/>
      <c r="Y255" s="184"/>
      <c r="Z255" s="184"/>
      <c r="AA255" s="184"/>
      <c r="AB255" s="164"/>
      <c r="AC255" s="184"/>
      <c r="AD255" s="184"/>
      <c r="AE255" s="184"/>
      <c r="AF255" s="184"/>
      <c r="AG255" s="184"/>
      <c r="AH255" s="184"/>
      <c r="AI255" s="184"/>
      <c r="AJ255" s="184"/>
      <c r="AK255" s="184"/>
      <c r="AL255" s="184"/>
      <c r="AM255" s="191"/>
      <c r="AN255" s="191"/>
      <c r="AO255" s="191"/>
      <c r="AP255" s="184"/>
      <c r="AQ255" s="184"/>
      <c r="AR255" s="184"/>
      <c r="AS255" s="184"/>
      <c r="AT255" s="184"/>
      <c r="AU255" s="184"/>
      <c r="AV255" s="184"/>
      <c r="AW255" s="184"/>
      <c r="AX255" s="184"/>
      <c r="AY255" s="184"/>
      <c r="AZ255" s="191"/>
      <c r="BA255" s="184"/>
      <c r="BB255" s="184"/>
    </row>
    <row r="256" spans="1:54">
      <c r="A256" s="184"/>
      <c r="B256" s="184"/>
      <c r="C256" s="184"/>
      <c r="D256" s="184"/>
      <c r="E256" s="184"/>
      <c r="F256" s="184"/>
      <c r="G256" s="184"/>
      <c r="H256" s="184"/>
      <c r="I256" s="184"/>
      <c r="J256" s="184"/>
      <c r="K256" s="184"/>
      <c r="M256" s="184"/>
      <c r="N256" s="184"/>
      <c r="O256" s="184"/>
      <c r="P256" s="184"/>
      <c r="Q256" s="184"/>
      <c r="R256" s="184"/>
      <c r="S256" s="184"/>
      <c r="T256" s="184"/>
      <c r="U256" s="184"/>
      <c r="V256" s="184"/>
      <c r="W256" s="184"/>
      <c r="X256" s="184"/>
      <c r="Y256" s="184"/>
      <c r="Z256" s="184"/>
      <c r="AA256" s="184"/>
      <c r="AB256" s="164"/>
      <c r="AC256" s="184"/>
      <c r="AD256" s="184"/>
      <c r="AE256" s="184"/>
      <c r="AF256" s="184"/>
      <c r="AG256" s="184"/>
      <c r="AH256" s="184"/>
      <c r="AI256" s="184"/>
      <c r="AJ256" s="184"/>
      <c r="AK256" s="184"/>
      <c r="AL256" s="184"/>
      <c r="AM256" s="191"/>
      <c r="AN256" s="191"/>
      <c r="AO256" s="191"/>
      <c r="AP256" s="184"/>
      <c r="AQ256" s="184"/>
      <c r="AR256" s="184"/>
      <c r="AS256" s="184"/>
      <c r="AT256" s="184"/>
      <c r="AU256" s="184"/>
      <c r="AV256" s="184"/>
      <c r="AW256" s="184"/>
      <c r="AX256" s="184"/>
      <c r="AY256" s="184"/>
      <c r="AZ256" s="191"/>
      <c r="BA256" s="184"/>
      <c r="BB256" s="184"/>
    </row>
    <row r="257" spans="1:54">
      <c r="A257" s="184"/>
      <c r="B257" s="184"/>
      <c r="C257" s="184"/>
      <c r="D257" s="184"/>
      <c r="E257" s="184"/>
      <c r="F257" s="184"/>
      <c r="G257" s="184"/>
      <c r="H257" s="184"/>
      <c r="I257" s="184"/>
      <c r="J257" s="184"/>
      <c r="K257" s="184"/>
      <c r="M257" s="184"/>
      <c r="N257" s="184"/>
      <c r="O257" s="184"/>
      <c r="P257" s="184"/>
      <c r="Q257" s="184"/>
      <c r="R257" s="184"/>
      <c r="S257" s="184"/>
      <c r="T257" s="184"/>
      <c r="U257" s="184"/>
      <c r="V257" s="184"/>
      <c r="W257" s="184"/>
      <c r="X257" s="184"/>
      <c r="Y257" s="184"/>
      <c r="Z257" s="184"/>
      <c r="AA257" s="184"/>
      <c r="AB257" s="164"/>
      <c r="AC257" s="184"/>
      <c r="AD257" s="184"/>
      <c r="AE257" s="184"/>
      <c r="AF257" s="184"/>
      <c r="AG257" s="184"/>
      <c r="AH257" s="184"/>
      <c r="AI257" s="184"/>
      <c r="AJ257" s="184"/>
      <c r="AK257" s="184"/>
      <c r="AL257" s="184"/>
      <c r="AM257" s="191"/>
      <c r="AN257" s="191"/>
      <c r="AO257" s="191"/>
      <c r="AP257" s="184"/>
      <c r="AQ257" s="184"/>
      <c r="AR257" s="184"/>
      <c r="AS257" s="184"/>
      <c r="AT257" s="184"/>
      <c r="AU257" s="184"/>
      <c r="AV257" s="184"/>
      <c r="AW257" s="184"/>
      <c r="AX257" s="184"/>
      <c r="AY257" s="184"/>
      <c r="AZ257" s="191"/>
      <c r="BA257" s="184"/>
      <c r="BB257" s="184"/>
    </row>
    <row r="258" spans="1:54">
      <c r="A258" s="476" t="str">
        <f>"Custom Lite "&amp;M4S10</f>
        <v>Custom Lite Lighting</v>
      </c>
      <c r="B258" s="470"/>
      <c r="C258" s="470"/>
      <c r="D258" s="470"/>
      <c r="E258" s="470"/>
      <c r="F258" s="470"/>
      <c r="G258" s="470"/>
      <c r="H258" s="470"/>
      <c r="I258" s="470"/>
      <c r="J258" s="471"/>
      <c r="K258" s="471"/>
      <c r="L258" s="470"/>
      <c r="M258" s="470"/>
      <c r="N258" s="470"/>
      <c r="O258" s="472"/>
      <c r="P258" s="470"/>
      <c r="Q258" s="470"/>
      <c r="R258" s="470"/>
      <c r="S258" s="470"/>
      <c r="T258" s="473"/>
      <c r="U258" s="473"/>
      <c r="V258" s="474"/>
      <c r="W258" s="474"/>
      <c r="X258" s="474"/>
      <c r="Y258" s="474"/>
      <c r="Z258" s="474"/>
      <c r="AA258" s="471"/>
      <c r="AB258" s="470"/>
      <c r="AC258" s="471"/>
      <c r="AD258" s="471"/>
      <c r="AE258" s="471"/>
      <c r="AF258" s="470"/>
      <c r="AG258" s="470"/>
      <c r="AH258" s="470"/>
      <c r="AI258" s="474"/>
      <c r="AJ258" s="474"/>
      <c r="AK258" s="475"/>
      <c r="AL258" s="475"/>
      <c r="AM258" s="474"/>
      <c r="AN258" s="474"/>
      <c r="AO258" s="474"/>
      <c r="AP258" s="471"/>
      <c r="AQ258" s="471"/>
      <c r="AR258" s="471"/>
      <c r="AS258" s="470"/>
      <c r="AT258" s="470"/>
      <c r="AU258" s="470"/>
      <c r="AV258" s="473"/>
      <c r="AW258" s="473"/>
      <c r="AX258" s="474"/>
      <c r="AY258" s="474"/>
      <c r="AZ258" s="475"/>
      <c r="BA258" s="475"/>
      <c r="BB258" s="470"/>
    </row>
    <row r="259" spans="1:54">
      <c r="A259" s="10">
        <f t="shared" ref="A259:A288" si="43">PROJID</f>
        <v>0</v>
      </c>
      <c r="B259" t="str">
        <f t="shared" ref="B259" si="44">IF(C259="","",CONCATENATE(ROW(),"-",C259))</f>
        <v/>
      </c>
      <c r="C259" t="str" cm="1">
        <f t="array" ref="C259">IFERROR(_xlfn.VALUETOTEXT(INDEX('M04-S10'!$BW$18:$BW$199,2*(ROWS($C$259:C259)-1)+1)),"")</f>
        <v/>
      </c>
      <c r="D259">
        <f>IFERROR(INDEX('M04-S10'!$B$18:$B$199,2*(ROWS(D$259:D259)-1)+1),"")</f>
        <v>1</v>
      </c>
      <c r="E259" s="51" t="str" cm="1">
        <f t="array" ref="E259">IFERROR(_xlfn.VALUETOTEXT(INDEX('M04-S10'!$BX$18:$BX$199,2*(ROWS($E$259:E259)-1)+1)),"")</f>
        <v/>
      </c>
      <c r="F259" t="str" cm="1">
        <f t="array" ref="F259">IF(C259&lt;&gt;"", _xlfn.SWITCH(Program_Banner, "Small Business / Non-Profit", "Hard-To-Reach Business", "Business Energy Savings", "Whole Business Efficiency", ""), "")</f>
        <v/>
      </c>
      <c r="G259" t="s">
        <v>2779</v>
      </c>
      <c r="H259" t="str">
        <f>IFERROR(INDEX('M04-S10'!$BC$18:$BC$199,2*(ROWS($H$259:H259)-1)+1),"")</f>
        <v/>
      </c>
      <c r="I259" t="str">
        <f>IFERROR(INDEX('M04-S10'!$BJ$18:$BJ$199,2*(ROWS(I$259:I259)-1)+1),"")</f>
        <v/>
      </c>
      <c r="J259" s="9" t="str">
        <f>IFERROR(INDEX('M04-S10'!$BN$18:$BN$199,2*(ROWS(J$259:J259)-1)+1),"")</f>
        <v/>
      </c>
      <c r="K259" s="9" t="str">
        <f>IFERROR(INDEX('M04-S10'!$BO$18:$BO$199,2*(ROWS(K$259:K259)-1)+1),"")</f>
        <v/>
      </c>
      <c r="L259" s="51" t="str">
        <f>IFERROR(INDEX('M04-S10'!$BD$18:$BD$199,2*(ROWS(L$259:L259)-1)+1),"")</f>
        <v/>
      </c>
      <c r="M259" s="51">
        <f>IFERROR(INDEX('M04-S10'!$AG$18:$AG$199,2*(ROWS($M$259:M259)-1)+1),"")</f>
        <v>0</v>
      </c>
      <c r="O259">
        <f>IFERROR(INDEX('M04-S10'!$G$18:$G$199,2*(ROWS(O$259:O259)-1)+1),"")</f>
        <v>0</v>
      </c>
      <c r="P259">
        <f>IFERROR(INDEX('M04-S10'!$O$18:$O$199,2*(ROWS(P$259:P259)-1)+1),"")</f>
        <v>0</v>
      </c>
      <c r="Q259">
        <f>IFERROR(INDEX('M04-S10'!$AC$18:$AC$199,2*(ROWS(Q$259:Q259)-1)+1),"")</f>
        <v>0</v>
      </c>
      <c r="R259">
        <f>IFERROR(INDEX('M04-S10'!$Z$18:$Z$199,2*(ROWS(R$259:R259)-1)+1),"")</f>
        <v>0</v>
      </c>
      <c r="S259" t="str">
        <f>IFERROR(INDEX('M04-S10'!$AX$18:$AX$199,2*(ROWS(S$259:S259)-1)+1),"")</f>
        <v/>
      </c>
      <c r="T259" s="545" t="str" cm="1">
        <f t="array" ref="T259">IFERROR(ROUND(IF(BB259&lt;&gt;"", "", INDEX('M04-S10'!$AY$18:$AY$199,2*(ROWS(T$259:T259)-1)+1)),3),"")</f>
        <v/>
      </c>
      <c r="U259" s="545" t="str" cm="1">
        <f t="array" ref="U259">IFERROR(ROUND(IF(BB259&lt;&gt;"", "", INDEX('M04-S10'!$AZ$18:$AZ$199,2*(ROWS(U$259:U259)-1)+1)),3),"")</f>
        <v/>
      </c>
      <c r="V259" s="26">
        <f>IFERROR(INDEX('M04-S10'!$X$18:$X$199,2*(ROWS($G$259:V259)-1)+1),"")</f>
        <v>0</v>
      </c>
      <c r="W259" s="27" t="str">
        <f>IFERROR(INDEX('M04-S10'!$R$18:$R$199,2*(ROWS(W$259:W259)-1)+1),"")</f>
        <v/>
      </c>
      <c r="X259" s="27" t="str">
        <f>IFERROR(INDEX('M04-S10'!$T$18:$T$199,2*(ROWS(X$259:X259)-1)+1),"")</f>
        <v/>
      </c>
      <c r="Y259" s="184"/>
      <c r="Z259" s="184"/>
      <c r="AA259" s="9" t="str" cm="1">
        <f t="array" ref="AA259">IFERROR(ROUND(INDEX('M04-S10'!$AR$18:$AR$199,2*(ROWS(AA$259:AA259)-1)+1), 2),"")</f>
        <v/>
      </c>
      <c r="AB259" s="9" t="str" cm="1">
        <f t="array" ref="AB259">_xlfn.LET(_xlpm.ROWS, 2*(ROWS(AB$259:AB259)-1)+1,IFERROR(INDEX('M04-S10'!$AR$18:$AR$199, _xlpm.ROWS)-INDEX('M04-S10'!$BS$18:$BS$199, _xlpm.ROWS),""))</f>
        <v/>
      </c>
      <c r="AC259" s="9" cm="1">
        <f t="array" ref="AC259">IFERROR(ROUND(IF(BB259&lt;&gt;"", "", INDEX('M04-S10'!$AI$18:$AI$199,2*(ROWS(AC$259:AC259)-1)+1)),2),"")</f>
        <v>0</v>
      </c>
      <c r="AD259" s="9" cm="1">
        <f t="array" ref="AD259">IFERROR(ROUND(IF(BB259&lt;&gt;"", "", INDEX('M04-S10'!$AK$18:$AK$199,2*(ROWS(AD$259:AD259)-1)+1)),2),"")</f>
        <v>0</v>
      </c>
      <c r="AE259" s="9" t="str" cm="1">
        <f t="array" ref="AE259">IFERROR(ROUND(IF(BB259&lt;&gt;"", "", INDEX('M04-S10'!$BL$18:$BL$199,2*(ROWS(AG$259:AG259)-1)+1)),2),"")</f>
        <v/>
      </c>
      <c r="AF259" t="str">
        <f>IF(BB259&lt;&gt;"", "", "Incremental")</f>
        <v>Incremental</v>
      </c>
      <c r="AG259" s="9" t="str" cm="1">
        <f t="array" ref="AG259">IFERROR(ROUND(IF(BB259&lt;&gt;"", "", INDEX('M04-S10'!$BL$18:$BL$199,2*(ROWS(AG$259:AG259)-1)+1)),2),"")</f>
        <v/>
      </c>
      <c r="AH259" s="184"/>
      <c r="AI259" s="184"/>
      <c r="AJ259" s="32" t="str" cm="1">
        <f t="array" ref="AJ259">IFERROR(ROUND(IF(BB259&lt;&gt;"", "", INDEX('M04-S10'!$BE$18:$BE$199,2*(ROWS(AJ$259:AJ259)-1)+1)),4),"")</f>
        <v/>
      </c>
      <c r="AK259" s="184"/>
      <c r="AL259" s="32" t="str" cm="1">
        <f t="array" ref="AL259">IFERROR(ROUND(IF(BB259&lt;&gt;"", "", INDEX('M04-S10'!$BG$18:$BG$199,2*(ROWS(AL$259:AL259)-1)+1)),4),"")</f>
        <v/>
      </c>
      <c r="AM259" s="32" t="str">
        <f>IFERROR(ROUND(INDEX('M04-S10'!$BA$18:$BA$199,2*(ROWS(AM$259:AM259)-1)+1),4),"")</f>
        <v/>
      </c>
      <c r="AN259" s="32" t="str">
        <f>IFERROR(ROUND(INDEX('M04-S10'!$BB$18:$BB$199,2*(ROWS(AN$259:AN259)-1)+1),4),"")</f>
        <v/>
      </c>
      <c r="AO259" s="184"/>
      <c r="AP259" s="9" t="str">
        <f>IFERROR(ROUND(IF(BB259&lt;&gt;"",INDEX('M04-S10'!$AI$18:$AI$199,2*(ROWS(AP$259:AP259)-1)+1),""),2),"")</f>
        <v/>
      </c>
      <c r="AQ259" s="9" t="str">
        <f>IFERROR(ROUND(IF(BB259&lt;&gt;"",INDEX('M04-S10'!$AK$18:$AK$199,2*(ROWS(AQ$259:AQ259)-1)+1),""),2),"")</f>
        <v/>
      </c>
      <c r="AR259" s="9" t="str" cm="1">
        <f t="array" ref="AR259">IFERROR(ROUND(IF(BB259&lt;&gt;"", INDEX('M04-S10'!$BL$18:$BL$199,2*(ROWS(AG$259:AG259)-1)+1), ""),2),"")</f>
        <v/>
      </c>
      <c r="AS259" t="str">
        <f>IFERROR(IF(BB259&lt;&gt;"","Incremental",""),"")</f>
        <v/>
      </c>
      <c r="AT259" s="9" t="str" cm="1">
        <f t="array" ref="AT259">IFERROR(ROUND(IF(BB259&lt;&gt;"", INDEX('M04-S10'!$BL$18:$BL$199,2*(ROWS(AG$259:AG259)-1)+1), ""),2),"")</f>
        <v/>
      </c>
      <c r="AU259" s="184"/>
      <c r="AV259" s="5" t="str">
        <f>IFERROR(IF(BB259&lt;&gt;"",ROUND(INDEX('M04-S10'!$V$18:$V$199,2*(ROWS(AV$259:AV259)-1)+1),3),""),"")</f>
        <v/>
      </c>
      <c r="AW259" s="5" t="str">
        <f>IFERROR(IF(BB259&lt;&gt;"",ROUND(INDEX('M04-S10'!$V$18:$V$199,2*(ROWS(AW$259:AW259)-1)+1),3),""),"")</f>
        <v/>
      </c>
      <c r="AX259" s="184"/>
      <c r="AY259" s="26" t="str">
        <f>IFERROR(IF(BB259&lt;&gt;"",INDEX('M04-S10'!$BE$18:$BE$199,2*(ROWS(AY$259:AY259)-1)+1),""),"")</f>
        <v/>
      </c>
      <c r="AZ259" s="184"/>
      <c r="BA259" s="32" t="str">
        <f>IFERROR(IF(BB259&lt;&gt;"",INDEX('M04-S10'!$BG$18:$BG$199,2*(ROWS(BA$259:BA259)-1)+1),""),"")</f>
        <v/>
      </c>
      <c r="BB259" t="str">
        <f>IFERROR(INDEX('M04-S10'!$BY$18:$BY$199,2*(ROWS(BB$259:BB259)-1)+1),"")</f>
        <v/>
      </c>
    </row>
    <row r="260" spans="1:54">
      <c r="A260" s="10">
        <f t="shared" si="43"/>
        <v>0</v>
      </c>
      <c r="B260" t="str">
        <f t="shared" ref="B260:B288" si="45">IF(C260="","",CONCATENATE(ROW(),"-",C260))</f>
        <v/>
      </c>
      <c r="C260" t="str" cm="1">
        <f t="array" ref="C260">IFERROR(_xlfn.VALUETOTEXT(INDEX('M04-S10'!$BW$18:$BW$199,2*(ROWS($C$259:C260)-1)+1)),"")</f>
        <v/>
      </c>
      <c r="D260">
        <f>IFERROR(INDEX('M04-S10'!$B$18:$B$199,2*(ROWS(D$259:D260)-1)+1),"")</f>
        <v>2</v>
      </c>
      <c r="E260" s="51" t="str" cm="1">
        <f t="array" ref="E260">IFERROR(_xlfn.VALUETOTEXT(INDEX('M04-S10'!$BX$18:$BX$199,2*(ROWS($E$259:E260)-1)+1)),"")</f>
        <v/>
      </c>
      <c r="F260" t="str" cm="1">
        <f t="array" ref="F260">IF(C260&lt;&gt;"", _xlfn.SWITCH(Program_Banner, "Small Business / Non-Profit", "Hard-To-Reach Business", "Business Energy Savings", "Whole Business Efficiency", ""), "")</f>
        <v/>
      </c>
      <c r="G260" t="s">
        <v>2779</v>
      </c>
      <c r="H260" t="str">
        <f>IFERROR(INDEX('M04-S10'!$BC$18:$BC$199,2*(ROWS($H$259:H260)-1)+1),"")</f>
        <v/>
      </c>
      <c r="I260" t="str">
        <f>IFERROR(INDEX('M04-S10'!$BJ$18:$BJ$199,2*(ROWS(I$259:I260)-1)+1),"")</f>
        <v/>
      </c>
      <c r="J260" s="9" t="str">
        <f>IFERROR(INDEX('M04-S10'!$BN$18:$BN$199,2*(ROWS(J$259:J260)-1)+1),"")</f>
        <v/>
      </c>
      <c r="K260" s="9" t="str">
        <f>IFERROR(INDEX('M04-S10'!$BO$18:$BO$199,2*(ROWS(K$259:K260)-1)+1),"")</f>
        <v/>
      </c>
      <c r="L260" s="51" t="str">
        <f>IFERROR(INDEX('M04-S10'!$BD$18:$BD$199,2*(ROWS(L$259:L260)-1)+1),"")</f>
        <v/>
      </c>
      <c r="M260" s="51">
        <f>IFERROR(INDEX('M04-S10'!$AG$18:$AG$199,2*(ROWS($M$259:M260)-1)+1),"")</f>
        <v>0</v>
      </c>
      <c r="O260">
        <f>IFERROR(INDEX('M04-S10'!$G$18:$G$199,2*(ROWS(O$259:O260)-1)+1),"")</f>
        <v>0</v>
      </c>
      <c r="P260">
        <f>IFERROR(INDEX('M04-S10'!$O$18:$O$199,2*(ROWS(P$259:P260)-1)+1),"")</f>
        <v>0</v>
      </c>
      <c r="Q260">
        <f>IFERROR(INDEX('M04-S10'!$AC$18:$AC$199,2*(ROWS(Q$259:Q260)-1)+1),"")</f>
        <v>0</v>
      </c>
      <c r="R260">
        <f>IFERROR(INDEX('M04-S10'!$Z$18:$Z$199,2*(ROWS(R$259:R260)-1)+1),"")</f>
        <v>0</v>
      </c>
      <c r="S260" t="str">
        <f>IFERROR(INDEX('M04-S10'!$AX$18:$AX$199,2*(ROWS(S$259:S260)-1)+1),"")</f>
        <v/>
      </c>
      <c r="T260" s="545" t="str" cm="1">
        <f t="array" ref="T260">IFERROR(ROUND(IF(BB260&lt;&gt;"", "", INDEX('M04-S10'!$AY$18:$AY$199,2*(ROWS(T$259:T260)-1)+1)),3),"")</f>
        <v/>
      </c>
      <c r="U260" s="545" t="str" cm="1">
        <f t="array" ref="U260">IFERROR(ROUND(IF(BB260&lt;&gt;"", "", INDEX('M04-S10'!$AZ$18:$AZ$199,2*(ROWS(U$259:U260)-1)+1)),3),"")</f>
        <v/>
      </c>
      <c r="V260" s="26">
        <f>IFERROR(INDEX('M04-S10'!$X$18:$X$199,2*(ROWS($G$259:V260)-1)+1),"")</f>
        <v>0</v>
      </c>
      <c r="W260" s="27" t="str">
        <f>IFERROR(INDEX('M04-S10'!$R$18:$R$199,2*(ROWS(W$259:W260)-1)+1),"")</f>
        <v/>
      </c>
      <c r="X260" s="27" t="str">
        <f>IFERROR(INDEX('M04-S10'!$T$18:$T$199,2*(ROWS(X$259:X260)-1)+1),"")</f>
        <v/>
      </c>
      <c r="Y260" s="184"/>
      <c r="Z260" s="184"/>
      <c r="AA260" s="9" t="str" cm="1">
        <f t="array" ref="AA260">IFERROR(ROUND(INDEX('M04-S10'!$AR$18:$AR$199,2*(ROWS(AA$259:AA260)-1)+1), 2),"")</f>
        <v/>
      </c>
      <c r="AB260" s="9" t="str" cm="1">
        <f t="array" ref="AB260">_xlfn.LET(_xlpm.ROWS, 2*(ROWS(AB$259:AB260)-1)+1,IFERROR(INDEX('M04-S10'!$AR$18:$AR$199, _xlpm.ROWS)-INDEX('M04-S10'!$BS$18:$BS$199, _xlpm.ROWS),""))</f>
        <v/>
      </c>
      <c r="AC260" s="9" cm="1">
        <f t="array" ref="AC260">IFERROR(ROUND(IF(BB260&lt;&gt;"", "", INDEX('M04-S10'!$AI$18:$AI$199,2*(ROWS(AC$259:AC260)-1)+1)),2),"")</f>
        <v>0</v>
      </c>
      <c r="AD260" s="9" cm="1">
        <f t="array" ref="AD260">IFERROR(ROUND(IF(BB260&lt;&gt;"", "", INDEX('M04-S10'!$AK$18:$AK$199,2*(ROWS(AD$259:AD260)-1)+1)),2),"")</f>
        <v>0</v>
      </c>
      <c r="AE260" s="9" t="str" cm="1">
        <f t="array" ref="AE260">IFERROR(ROUND(IF(BB260&lt;&gt;"", "", INDEX('M04-S10'!$BL$18:$BL$199,2*(ROWS(AG$259:AG260)-1)+1)),2),"")</f>
        <v/>
      </c>
      <c r="AF260" t="str">
        <f t="shared" ref="AF260:AF323" si="46">IF(BB260&lt;&gt;"", "", "Incremental")</f>
        <v>Incremental</v>
      </c>
      <c r="AG260" s="9" t="str" cm="1">
        <f t="array" ref="AG260">IFERROR(ROUND(IF(BB260&lt;&gt;"", "", INDEX('M04-S10'!$BL$18:$BL$199,2*(ROWS(AG$259:AG260)-1)+1)),2),"")</f>
        <v/>
      </c>
      <c r="AH260" s="184"/>
      <c r="AI260" s="184"/>
      <c r="AJ260" s="32" t="str" cm="1">
        <f t="array" ref="AJ260">IFERROR(ROUND(IF(BB260&lt;&gt;"", "", INDEX('M04-S10'!$BE$18:$BE$199,2*(ROWS(AJ$259:AJ260)-1)+1)),4),"")</f>
        <v/>
      </c>
      <c r="AK260" s="184"/>
      <c r="AL260" s="32" t="str" cm="1">
        <f t="array" ref="AL260">IFERROR(ROUND(IF(BB260&lt;&gt;"", "", INDEX('M04-S10'!$BG$18:$BG$199,2*(ROWS(AL$259:AL260)-1)+1)),4),"")</f>
        <v/>
      </c>
      <c r="AM260" s="32" t="str">
        <f>IFERROR(ROUND(INDEX('M04-S10'!$BA$18:$BA$199,2*(ROWS(AM$259:AM260)-1)+1),4),"")</f>
        <v/>
      </c>
      <c r="AN260" s="32" t="str">
        <f>IFERROR(ROUND(INDEX('M04-S10'!$BB$18:$BB$199,2*(ROWS(AN$259:AN260)-1)+1),4),"")</f>
        <v/>
      </c>
      <c r="AO260" s="184"/>
      <c r="AP260" s="9" t="str">
        <f>IFERROR(ROUND(IF(BB260&lt;&gt;"",INDEX('M04-S10'!$AI$18:$AI$199,2*(ROWS(AP$259:AP260)-1)+1),""),2),"")</f>
        <v/>
      </c>
      <c r="AQ260" s="9" t="str">
        <f>IFERROR(ROUND(IF(BB260&lt;&gt;"",INDEX('M04-S10'!$AK$18:$AK$199,2*(ROWS(AQ$259:AQ260)-1)+1),""),2),"")</f>
        <v/>
      </c>
      <c r="AR260" s="9" t="str" cm="1">
        <f t="array" ref="AR260">IFERROR(ROUND(IF(BB260&lt;&gt;"", INDEX('M04-S10'!$BL$18:$BL$199,2*(ROWS(AG$259:AG260)-1)+1), ""),2),"")</f>
        <v/>
      </c>
      <c r="AS260" t="str">
        <f t="shared" ref="AS260:AS288" si="47">IFERROR(IF(BB260&lt;&gt;"","Incremental",""),"")</f>
        <v/>
      </c>
      <c r="AT260" s="9" t="str" cm="1">
        <f t="array" ref="AT260">IFERROR(ROUND(IF(BB260&lt;&gt;"", INDEX('M04-S10'!$BL$18:$BL$199,2*(ROWS(AG$259:AG260)-1)+1), ""),2),"")</f>
        <v/>
      </c>
      <c r="AU260" s="184"/>
      <c r="AV260" s="5" t="str">
        <f>IFERROR(IF(BB260&lt;&gt;"",ROUND(INDEX('M04-S10'!$V$18:$V$199,2*(ROWS(AV$259:AV260)-1)+1),3),""),"")</f>
        <v/>
      </c>
      <c r="AW260" s="5" t="str">
        <f>IFERROR(IF(BB260&lt;&gt;"",ROUND(INDEX('M04-S10'!$V$18:$V$199,2*(ROWS(AW$259:AW260)-1)+1),3),""),"")</f>
        <v/>
      </c>
      <c r="AX260" s="184"/>
      <c r="AY260" s="26" t="str">
        <f>IFERROR(IF(BB260&lt;&gt;"",INDEX('M04-S10'!$BE$18:$BE$199,2*(ROWS(AY$259:AY260)-1)+1),""),"")</f>
        <v/>
      </c>
      <c r="AZ260" s="184"/>
      <c r="BA260" s="32" t="str">
        <f>IFERROR(IF(BB260&lt;&gt;"",INDEX('M04-S10'!$BG$18:$BG$199,2*(ROWS(BA$259:BA260)-1)+1),""),"")</f>
        <v/>
      </c>
      <c r="BB260" t="str">
        <f>IFERROR(INDEX('M04-S10'!$BY$18:$BY$199,2*(ROWS(BB$259:BB260)-1)+1),"")</f>
        <v/>
      </c>
    </row>
    <row r="261" spans="1:54">
      <c r="A261" s="10">
        <f t="shared" si="43"/>
        <v>0</v>
      </c>
      <c r="B261" t="str">
        <f t="shared" si="45"/>
        <v/>
      </c>
      <c r="C261" t="str" cm="1">
        <f t="array" ref="C261">IFERROR(_xlfn.VALUETOTEXT(INDEX('M04-S10'!$BW$18:$BW$199,2*(ROWS($C$259:C261)-1)+1)),"")</f>
        <v/>
      </c>
      <c r="D261">
        <f>IFERROR(INDEX('M04-S10'!$B$18:$B$199,2*(ROWS(D$259:D261)-1)+1),"")</f>
        <v>3</v>
      </c>
      <c r="E261" s="51" t="str" cm="1">
        <f t="array" ref="E261">IFERROR(_xlfn.VALUETOTEXT(INDEX('M04-S10'!$BX$18:$BX$199,2*(ROWS($E$259:E261)-1)+1)),"")</f>
        <v/>
      </c>
      <c r="F261" t="str" cm="1">
        <f t="array" ref="F261">IF(C261&lt;&gt;"", _xlfn.SWITCH(Program_Banner, "Small Business / Non-Profit", "Hard-To-Reach Business", "Business Energy Savings", "Whole Business Efficiency", ""), "")</f>
        <v/>
      </c>
      <c r="G261" t="s">
        <v>2779</v>
      </c>
      <c r="H261" t="str">
        <f>IFERROR(INDEX('M04-S10'!$BC$18:$BC$199,2*(ROWS($H$259:H261)-1)+1),"")</f>
        <v/>
      </c>
      <c r="I261" t="str">
        <f>IFERROR(INDEX('M04-S10'!$BJ$18:$BJ$199,2*(ROWS(I$259:I261)-1)+1),"")</f>
        <v/>
      </c>
      <c r="J261" s="9" t="str">
        <f>IFERROR(INDEX('M04-S10'!$BN$18:$BN$199,2*(ROWS(J$259:J261)-1)+1),"")</f>
        <v/>
      </c>
      <c r="K261" s="9" t="str">
        <f>IFERROR(INDEX('M04-S10'!$BO$18:$BO$199,2*(ROWS(K$259:K261)-1)+1),"")</f>
        <v/>
      </c>
      <c r="L261" s="51" t="str">
        <f>IFERROR(INDEX('M04-S10'!$BD$18:$BD$199,2*(ROWS(L$259:L261)-1)+1),"")</f>
        <v/>
      </c>
      <c r="M261" s="51">
        <f>IFERROR(INDEX('M04-S10'!$AG$18:$AG$199,2*(ROWS($M$259:M261)-1)+1),"")</f>
        <v>0</v>
      </c>
      <c r="O261">
        <f>IFERROR(INDEX('M04-S10'!$G$18:$G$199,2*(ROWS(O$259:O261)-1)+1),"")</f>
        <v>0</v>
      </c>
      <c r="P261">
        <f>IFERROR(INDEX('M04-S10'!$O$18:$O$199,2*(ROWS(P$259:P261)-1)+1),"")</f>
        <v>0</v>
      </c>
      <c r="Q261">
        <f>IFERROR(INDEX('M04-S10'!$AC$18:$AC$199,2*(ROWS(Q$259:Q261)-1)+1),"")</f>
        <v>0</v>
      </c>
      <c r="R261">
        <f>IFERROR(INDEX('M04-S10'!$Z$18:$Z$199,2*(ROWS(R$259:R261)-1)+1),"")</f>
        <v>0</v>
      </c>
      <c r="S261" t="str">
        <f>IFERROR(INDEX('M04-S10'!$AX$18:$AX$199,2*(ROWS(S$259:S261)-1)+1),"")</f>
        <v/>
      </c>
      <c r="T261" s="545" t="str" cm="1">
        <f t="array" ref="T261">IFERROR(ROUND(IF(BB261&lt;&gt;"", "", INDEX('M04-S10'!$AY$18:$AY$199,2*(ROWS(T$259:T261)-1)+1)),3),"")</f>
        <v/>
      </c>
      <c r="U261" s="545" t="str" cm="1">
        <f t="array" ref="U261">IFERROR(ROUND(IF(BB261&lt;&gt;"", "", INDEX('M04-S10'!$AZ$18:$AZ$199,2*(ROWS(U$259:U261)-1)+1)),3),"")</f>
        <v/>
      </c>
      <c r="V261" s="26">
        <f>IFERROR(INDEX('M04-S10'!$X$18:$X$199,2*(ROWS($G$259:V261)-1)+1),"")</f>
        <v>0</v>
      </c>
      <c r="W261" s="27" t="str">
        <f>IFERROR(INDEX('M04-S10'!$R$18:$R$199,2*(ROWS(W$259:W261)-1)+1),"")</f>
        <v/>
      </c>
      <c r="X261" s="27" t="str">
        <f>IFERROR(INDEX('M04-S10'!$T$18:$T$199,2*(ROWS(X$259:X261)-1)+1),"")</f>
        <v/>
      </c>
      <c r="Y261" s="184"/>
      <c r="Z261" s="184"/>
      <c r="AA261" s="9" t="str" cm="1">
        <f t="array" ref="AA261">IFERROR(ROUND(INDEX('M04-S10'!$AR$18:$AR$199,2*(ROWS(AA$259:AA261)-1)+1), 2),"")</f>
        <v/>
      </c>
      <c r="AB261" s="9" t="str" cm="1">
        <f t="array" ref="AB261">_xlfn.LET(_xlpm.ROWS, 2*(ROWS(AB$259:AB261)-1)+1,IFERROR(INDEX('M04-S10'!$AR$18:$AR$199, _xlpm.ROWS)-INDEX('M04-S10'!$BS$18:$BS$199, _xlpm.ROWS),""))</f>
        <v/>
      </c>
      <c r="AC261" s="9" cm="1">
        <f t="array" ref="AC261">IFERROR(ROUND(IF(BB261&lt;&gt;"", "", INDEX('M04-S10'!$AI$18:$AI$199,2*(ROWS(AC$259:AC261)-1)+1)),2),"")</f>
        <v>0</v>
      </c>
      <c r="AD261" s="9" cm="1">
        <f t="array" ref="AD261">IFERROR(ROUND(IF(BB261&lt;&gt;"", "", INDEX('M04-S10'!$AK$18:$AK$199,2*(ROWS(AD$259:AD261)-1)+1)),2),"")</f>
        <v>0</v>
      </c>
      <c r="AE261" s="9" t="str" cm="1">
        <f t="array" ref="AE261">IFERROR(ROUND(IF(BB261&lt;&gt;"", "", INDEX('M04-S10'!$BL$18:$BL$199,2*(ROWS(AG$259:AG261)-1)+1)),2),"")</f>
        <v/>
      </c>
      <c r="AF261" t="str">
        <f t="shared" si="46"/>
        <v>Incremental</v>
      </c>
      <c r="AG261" s="9" t="str" cm="1">
        <f t="array" ref="AG261">IFERROR(ROUND(IF(BB261&lt;&gt;"", "", INDEX('M04-S10'!$BL$18:$BL$199,2*(ROWS(AG$259:AG261)-1)+1)),2),"")</f>
        <v/>
      </c>
      <c r="AH261" s="184"/>
      <c r="AI261" s="184"/>
      <c r="AJ261" s="32" t="str" cm="1">
        <f t="array" ref="AJ261">IFERROR(ROUND(IF(BB261&lt;&gt;"", "", INDEX('M04-S10'!$BE$18:$BE$199,2*(ROWS(AJ$259:AJ261)-1)+1)),4),"")</f>
        <v/>
      </c>
      <c r="AK261" s="184"/>
      <c r="AL261" s="32" t="str" cm="1">
        <f t="array" ref="AL261">IFERROR(ROUND(IF(BB261&lt;&gt;"", "", INDEX('M04-S10'!$BG$18:$BG$199,2*(ROWS(AL$259:AL261)-1)+1)),4),"")</f>
        <v/>
      </c>
      <c r="AM261" s="32" t="str">
        <f>IFERROR(ROUND(INDEX('M04-S10'!$BA$18:$BA$199,2*(ROWS(AM$259:AM261)-1)+1),4),"")</f>
        <v/>
      </c>
      <c r="AN261" s="32" t="str">
        <f>IFERROR(ROUND(INDEX('M04-S10'!$BB$18:$BB$199,2*(ROWS(AN$259:AN261)-1)+1),4),"")</f>
        <v/>
      </c>
      <c r="AO261" s="184"/>
      <c r="AP261" s="9" t="str">
        <f>IFERROR(ROUND(IF(BB261&lt;&gt;"",INDEX('M04-S10'!$AI$18:$AI$199,2*(ROWS(AP$259:AP261)-1)+1),""),2),"")</f>
        <v/>
      </c>
      <c r="AQ261" s="9" t="str">
        <f>IFERROR(ROUND(IF(BB261&lt;&gt;"",INDEX('M04-S10'!$AK$18:$AK$199,2*(ROWS(AQ$259:AQ261)-1)+1),""),2),"")</f>
        <v/>
      </c>
      <c r="AR261" s="9" t="str" cm="1">
        <f t="array" ref="AR261">IFERROR(ROUND(IF(BB261&lt;&gt;"", INDEX('M04-S10'!$BL$18:$BL$199,2*(ROWS(AG$259:AG261)-1)+1), ""),2),"")</f>
        <v/>
      </c>
      <c r="AS261" t="str">
        <f t="shared" si="47"/>
        <v/>
      </c>
      <c r="AT261" s="9" t="str" cm="1">
        <f t="array" ref="AT261">IFERROR(ROUND(IF(BB261&lt;&gt;"", INDEX('M04-S10'!$BL$18:$BL$199,2*(ROWS(AG$259:AG261)-1)+1), ""),2),"")</f>
        <v/>
      </c>
      <c r="AU261" s="184"/>
      <c r="AV261" s="5" t="str">
        <f>IFERROR(IF(BB261&lt;&gt;"",ROUND(INDEX('M04-S10'!$V$18:$V$199,2*(ROWS(AV$259:AV261)-1)+1),3),""),"")</f>
        <v/>
      </c>
      <c r="AW261" s="5" t="str">
        <f>IFERROR(IF(BB261&lt;&gt;"",ROUND(INDEX('M04-S10'!$V$18:$V$199,2*(ROWS(AW$259:AW261)-1)+1),3),""),"")</f>
        <v/>
      </c>
      <c r="AX261" s="184"/>
      <c r="AY261" s="26" t="str">
        <f>IFERROR(IF(BB261&lt;&gt;"",INDEX('M04-S10'!$BE$18:$BE$199,2*(ROWS(AY$259:AY261)-1)+1),""),"")</f>
        <v/>
      </c>
      <c r="AZ261" s="184"/>
      <c r="BA261" s="32" t="str">
        <f>IFERROR(IF(BB261&lt;&gt;"",INDEX('M04-S10'!$BG$18:$BG$199,2*(ROWS(BA$259:BA261)-1)+1),""),"")</f>
        <v/>
      </c>
      <c r="BB261" t="str">
        <f>IFERROR(INDEX('M04-S10'!$BY$18:$BY$199,2*(ROWS(BB$259:BB261)-1)+1),"")</f>
        <v/>
      </c>
    </row>
    <row r="262" spans="1:54">
      <c r="A262" s="10">
        <f t="shared" si="43"/>
        <v>0</v>
      </c>
      <c r="B262" t="str">
        <f t="shared" si="45"/>
        <v/>
      </c>
      <c r="C262" t="str" cm="1">
        <f t="array" ref="C262">IFERROR(_xlfn.VALUETOTEXT(INDEX('M04-S10'!$BW$18:$BW$199,2*(ROWS($C$259:C262)-1)+1)),"")</f>
        <v/>
      </c>
      <c r="D262">
        <f>IFERROR(INDEX('M04-S10'!$B$18:$B$199,2*(ROWS(D$259:D262)-1)+1),"")</f>
        <v>4</v>
      </c>
      <c r="E262" s="51" t="str" cm="1">
        <f t="array" ref="E262">IFERROR(_xlfn.VALUETOTEXT(INDEX('M04-S10'!$BX$18:$BX$199,2*(ROWS($E$259:E262)-1)+1)),"")</f>
        <v/>
      </c>
      <c r="F262" t="str" cm="1">
        <f t="array" ref="F262">IF(C262&lt;&gt;"", _xlfn.SWITCH(Program_Banner, "Small Business / Non-Profit", "Hard-To-Reach Business", "Business Energy Savings", "Whole Business Efficiency", ""), "")</f>
        <v/>
      </c>
      <c r="G262" t="s">
        <v>2779</v>
      </c>
      <c r="H262" t="str">
        <f>IFERROR(INDEX('M04-S10'!$BC$18:$BC$199,2*(ROWS($H$259:H262)-1)+1),"")</f>
        <v/>
      </c>
      <c r="I262" t="str">
        <f>IFERROR(INDEX('M04-S10'!$BJ$18:$BJ$199,2*(ROWS(I$259:I262)-1)+1),"")</f>
        <v/>
      </c>
      <c r="J262" s="9" t="str">
        <f>IFERROR(INDEX('M04-S10'!$BN$18:$BN$199,2*(ROWS(J$259:J262)-1)+1),"")</f>
        <v/>
      </c>
      <c r="K262" s="9" t="str">
        <f>IFERROR(INDEX('M04-S10'!$BO$18:$BO$199,2*(ROWS(K$259:K262)-1)+1),"")</f>
        <v/>
      </c>
      <c r="L262" s="51" t="str">
        <f>IFERROR(INDEX('M04-S10'!$BD$18:$BD$199,2*(ROWS(L$259:L262)-1)+1),"")</f>
        <v/>
      </c>
      <c r="M262" s="51">
        <f>IFERROR(INDEX('M04-S10'!$AG$18:$AG$199,2*(ROWS($M$259:M262)-1)+1),"")</f>
        <v>0</v>
      </c>
      <c r="O262">
        <f>IFERROR(INDEX('M04-S10'!$G$18:$G$199,2*(ROWS(O$259:O262)-1)+1),"")</f>
        <v>0</v>
      </c>
      <c r="P262">
        <f>IFERROR(INDEX('M04-S10'!$O$18:$O$199,2*(ROWS(P$259:P262)-1)+1),"")</f>
        <v>0</v>
      </c>
      <c r="Q262">
        <f>IFERROR(INDEX('M04-S10'!$AC$18:$AC$199,2*(ROWS(Q$259:Q262)-1)+1),"")</f>
        <v>0</v>
      </c>
      <c r="R262">
        <f>IFERROR(INDEX('M04-S10'!$Z$18:$Z$199,2*(ROWS(R$259:R262)-1)+1),"")</f>
        <v>0</v>
      </c>
      <c r="S262" t="str">
        <f>IFERROR(INDEX('M04-S10'!$AX$18:$AX$199,2*(ROWS(S$259:S262)-1)+1),"")</f>
        <v/>
      </c>
      <c r="T262" s="545" t="str" cm="1">
        <f t="array" ref="T262">IFERROR(ROUND(IF(BB262&lt;&gt;"", "", INDEX('M04-S10'!$AY$18:$AY$199,2*(ROWS(T$259:T262)-1)+1)),3),"")</f>
        <v/>
      </c>
      <c r="U262" s="545" t="str" cm="1">
        <f t="array" ref="U262">IFERROR(ROUND(IF(BB262&lt;&gt;"", "", INDEX('M04-S10'!$AZ$18:$AZ$199,2*(ROWS(U$259:U262)-1)+1)),3),"")</f>
        <v/>
      </c>
      <c r="V262" s="26">
        <f>IFERROR(INDEX('M04-S10'!$X$18:$X$199,2*(ROWS($G$259:V262)-1)+1),"")</f>
        <v>0</v>
      </c>
      <c r="W262" s="27" t="str">
        <f>IFERROR(INDEX('M04-S10'!$R$18:$R$199,2*(ROWS(W$259:W262)-1)+1),"")</f>
        <v/>
      </c>
      <c r="X262" s="27" t="str">
        <f>IFERROR(INDEX('M04-S10'!$T$18:$T$199,2*(ROWS(X$259:X262)-1)+1),"")</f>
        <v/>
      </c>
      <c r="Y262" s="184"/>
      <c r="Z262" s="184"/>
      <c r="AA262" s="9" t="str" cm="1">
        <f t="array" ref="AA262">IFERROR(ROUND(INDEX('M04-S10'!$AR$18:$AR$199,2*(ROWS(AA$259:AA262)-1)+1), 2),"")</f>
        <v/>
      </c>
      <c r="AB262" s="9" t="str" cm="1">
        <f t="array" ref="AB262">_xlfn.LET(_xlpm.ROWS, 2*(ROWS(AB$259:AB262)-1)+1,IFERROR(INDEX('M04-S10'!$AR$18:$AR$199, _xlpm.ROWS)-INDEX('M04-S10'!$BS$18:$BS$199, _xlpm.ROWS),""))</f>
        <v/>
      </c>
      <c r="AC262" s="9" cm="1">
        <f t="array" ref="AC262">IFERROR(ROUND(IF(BB262&lt;&gt;"", "", INDEX('M04-S10'!$AI$18:$AI$199,2*(ROWS(AC$259:AC262)-1)+1)),2),"")</f>
        <v>0</v>
      </c>
      <c r="AD262" s="9" cm="1">
        <f t="array" ref="AD262">IFERROR(ROUND(IF(BB262&lt;&gt;"", "", INDEX('M04-S10'!$AK$18:$AK$199,2*(ROWS(AD$259:AD262)-1)+1)),2),"")</f>
        <v>0</v>
      </c>
      <c r="AE262" s="9" t="str" cm="1">
        <f t="array" ref="AE262">IFERROR(ROUND(IF(BB262&lt;&gt;"", "", INDEX('M04-S10'!$BL$18:$BL$199,2*(ROWS(AG$259:AG262)-1)+1)),2),"")</f>
        <v/>
      </c>
      <c r="AF262" t="str">
        <f t="shared" si="46"/>
        <v>Incremental</v>
      </c>
      <c r="AG262" s="9" t="str" cm="1">
        <f t="array" ref="AG262">IFERROR(ROUND(IF(BB262&lt;&gt;"", "", INDEX('M04-S10'!$BL$18:$BL$199,2*(ROWS(AG$259:AG262)-1)+1)),2),"")</f>
        <v/>
      </c>
      <c r="AH262" s="184"/>
      <c r="AI262" s="184"/>
      <c r="AJ262" s="32" t="str" cm="1">
        <f t="array" ref="AJ262">IFERROR(ROUND(IF(BB262&lt;&gt;"", "", INDEX('M04-S10'!$BE$18:$BE$199,2*(ROWS(AJ$259:AJ262)-1)+1)),4),"")</f>
        <v/>
      </c>
      <c r="AK262" s="184"/>
      <c r="AL262" s="32" t="str" cm="1">
        <f t="array" ref="AL262">IFERROR(ROUND(IF(BB262&lt;&gt;"", "", INDEX('M04-S10'!$BG$18:$BG$199,2*(ROWS(AL$259:AL262)-1)+1)),4),"")</f>
        <v/>
      </c>
      <c r="AM262" s="32" t="str">
        <f>IFERROR(ROUND(INDEX('M04-S10'!$BA$18:$BA$199,2*(ROWS(AM$259:AM262)-1)+1),4),"")</f>
        <v/>
      </c>
      <c r="AN262" s="32" t="str">
        <f>IFERROR(ROUND(INDEX('M04-S10'!$BB$18:$BB$199,2*(ROWS(AN$259:AN262)-1)+1),4),"")</f>
        <v/>
      </c>
      <c r="AO262" s="184"/>
      <c r="AP262" s="9" t="str">
        <f>IFERROR(ROUND(IF(BB262&lt;&gt;"",INDEX('M04-S10'!$AI$18:$AI$199,2*(ROWS(AP$259:AP262)-1)+1),""),2),"")</f>
        <v/>
      </c>
      <c r="AQ262" s="9" t="str">
        <f>IFERROR(ROUND(IF(BB262&lt;&gt;"",INDEX('M04-S10'!$AK$18:$AK$199,2*(ROWS(AQ$259:AQ262)-1)+1),""),2),"")</f>
        <v/>
      </c>
      <c r="AR262" s="9" t="str" cm="1">
        <f t="array" ref="AR262">IFERROR(ROUND(IF(BB262&lt;&gt;"", INDEX('M04-S10'!$BL$18:$BL$199,2*(ROWS(AG$259:AG262)-1)+1), ""),2),"")</f>
        <v/>
      </c>
      <c r="AS262" t="str">
        <f t="shared" si="47"/>
        <v/>
      </c>
      <c r="AT262" s="9" t="str" cm="1">
        <f t="array" ref="AT262">IFERROR(ROUND(IF(BB262&lt;&gt;"", INDEX('M04-S10'!$BL$18:$BL$199,2*(ROWS(AG$259:AG262)-1)+1), ""),2),"")</f>
        <v/>
      </c>
      <c r="AU262" s="184"/>
      <c r="AV262" s="5" t="str">
        <f>IFERROR(IF(BB262&lt;&gt;"",ROUND(INDEX('M04-S10'!$V$18:$V$199,2*(ROWS(AV$259:AV262)-1)+1),3),""),"")</f>
        <v/>
      </c>
      <c r="AW262" s="5" t="str">
        <f>IFERROR(IF(BB262&lt;&gt;"",ROUND(INDEX('M04-S10'!$V$18:$V$199,2*(ROWS(AW$259:AW262)-1)+1),3),""),"")</f>
        <v/>
      </c>
      <c r="AX262" s="184"/>
      <c r="AY262" s="26" t="str">
        <f>IFERROR(IF(BB262&lt;&gt;"",INDEX('M04-S10'!$BE$18:$BE$199,2*(ROWS(AY$259:AY262)-1)+1),""),"")</f>
        <v/>
      </c>
      <c r="AZ262" s="184"/>
      <c r="BA262" s="32" t="str">
        <f>IFERROR(IF(BB262&lt;&gt;"",INDEX('M04-S10'!$BG$18:$BG$199,2*(ROWS(BA$259:BA262)-1)+1),""),"")</f>
        <v/>
      </c>
      <c r="BB262" t="str">
        <f>IFERROR(INDEX('M04-S10'!$BY$18:$BY$199,2*(ROWS(BB$259:BB262)-1)+1),"")</f>
        <v/>
      </c>
    </row>
    <row r="263" spans="1:54">
      <c r="A263" s="10">
        <f t="shared" si="43"/>
        <v>0</v>
      </c>
      <c r="B263" t="str">
        <f t="shared" si="45"/>
        <v/>
      </c>
      <c r="C263" t="str" cm="1">
        <f t="array" ref="C263">IFERROR(_xlfn.VALUETOTEXT(INDEX('M04-S10'!$BW$18:$BW$199,2*(ROWS($C$259:C263)-1)+1)),"")</f>
        <v/>
      </c>
      <c r="D263">
        <f>IFERROR(INDEX('M04-S10'!$B$18:$B$199,2*(ROWS(D$259:D263)-1)+1),"")</f>
        <v>5</v>
      </c>
      <c r="E263" s="51" t="str" cm="1">
        <f t="array" ref="E263">IFERROR(_xlfn.VALUETOTEXT(INDEX('M04-S10'!$BX$18:$BX$199,2*(ROWS($E$259:E263)-1)+1)),"")</f>
        <v/>
      </c>
      <c r="F263" t="str" cm="1">
        <f t="array" ref="F263">IF(C263&lt;&gt;"", _xlfn.SWITCH(Program_Banner, "Small Business / Non-Profit", "Hard-To-Reach Business", "Business Energy Savings", "Whole Business Efficiency", ""), "")</f>
        <v/>
      </c>
      <c r="G263" t="s">
        <v>2779</v>
      </c>
      <c r="H263" t="str">
        <f>IFERROR(INDEX('M04-S10'!$BC$18:$BC$199,2*(ROWS($H$259:H263)-1)+1),"")</f>
        <v/>
      </c>
      <c r="I263" t="str">
        <f>IFERROR(INDEX('M04-S10'!$BJ$18:$BJ$199,2*(ROWS(I$259:I263)-1)+1),"")</f>
        <v/>
      </c>
      <c r="J263" s="9" t="str">
        <f>IFERROR(INDEX('M04-S10'!$BN$18:$BN$199,2*(ROWS(J$259:J263)-1)+1),"")</f>
        <v/>
      </c>
      <c r="K263" s="9" t="str">
        <f>IFERROR(INDEX('M04-S10'!$BO$18:$BO$199,2*(ROWS(K$259:K263)-1)+1),"")</f>
        <v/>
      </c>
      <c r="L263" s="51" t="str">
        <f>IFERROR(INDEX('M04-S10'!$BD$18:$BD$199,2*(ROWS(L$259:L263)-1)+1),"")</f>
        <v/>
      </c>
      <c r="M263" s="51">
        <f>IFERROR(INDEX('M04-S10'!$AG$18:$AG$199,2*(ROWS($M$259:M263)-1)+1),"")</f>
        <v>0</v>
      </c>
      <c r="O263">
        <f>IFERROR(INDEX('M04-S10'!$G$18:$G$199,2*(ROWS(O$259:O263)-1)+1),"")</f>
        <v>0</v>
      </c>
      <c r="P263">
        <f>IFERROR(INDEX('M04-S10'!$O$18:$O$199,2*(ROWS(P$259:P263)-1)+1),"")</f>
        <v>0</v>
      </c>
      <c r="Q263">
        <f>IFERROR(INDEX('M04-S10'!$AC$18:$AC$199,2*(ROWS(Q$259:Q263)-1)+1),"")</f>
        <v>0</v>
      </c>
      <c r="R263">
        <f>IFERROR(INDEX('M04-S10'!$Z$18:$Z$199,2*(ROWS(R$259:R263)-1)+1),"")</f>
        <v>0</v>
      </c>
      <c r="S263" t="str">
        <f>IFERROR(INDEX('M04-S10'!$AX$18:$AX$199,2*(ROWS(S$259:S263)-1)+1),"")</f>
        <v/>
      </c>
      <c r="T263" s="545" t="str" cm="1">
        <f t="array" ref="T263">IFERROR(ROUND(IF(BB263&lt;&gt;"", "", INDEX('M04-S10'!$AY$18:$AY$199,2*(ROWS(T$259:T263)-1)+1)),3),"")</f>
        <v/>
      </c>
      <c r="U263" s="545" t="str" cm="1">
        <f t="array" ref="U263">IFERROR(ROUND(IF(BB263&lt;&gt;"", "", INDEX('M04-S10'!$AZ$18:$AZ$199,2*(ROWS(U$259:U263)-1)+1)),3),"")</f>
        <v/>
      </c>
      <c r="V263" s="26">
        <f>IFERROR(INDEX('M04-S10'!$X$18:$X$199,2*(ROWS($G$259:V263)-1)+1),"")</f>
        <v>0</v>
      </c>
      <c r="W263" s="27" t="str">
        <f>IFERROR(INDEX('M04-S10'!$R$18:$R$199,2*(ROWS(W$259:W263)-1)+1),"")</f>
        <v/>
      </c>
      <c r="X263" s="27" t="str">
        <f>IFERROR(INDEX('M04-S10'!$T$18:$T$199,2*(ROWS(X$259:X263)-1)+1),"")</f>
        <v/>
      </c>
      <c r="Y263" s="184"/>
      <c r="Z263" s="184"/>
      <c r="AA263" s="9" t="str" cm="1">
        <f t="array" ref="AA263">IFERROR(ROUND(INDEX('M04-S10'!$AR$18:$AR$199,2*(ROWS(AA$259:AA263)-1)+1), 2),"")</f>
        <v/>
      </c>
      <c r="AB263" s="9" t="str" cm="1">
        <f t="array" ref="AB263">_xlfn.LET(_xlpm.ROWS, 2*(ROWS(AB$259:AB263)-1)+1,IFERROR(INDEX('M04-S10'!$AR$18:$AR$199, _xlpm.ROWS)-INDEX('M04-S10'!$BS$18:$BS$199, _xlpm.ROWS),""))</f>
        <v/>
      </c>
      <c r="AC263" s="9" cm="1">
        <f t="array" ref="AC263">IFERROR(ROUND(IF(BB263&lt;&gt;"", "", INDEX('M04-S10'!$AI$18:$AI$199,2*(ROWS(AC$259:AC263)-1)+1)),2),"")</f>
        <v>0</v>
      </c>
      <c r="AD263" s="9" cm="1">
        <f t="array" ref="AD263">IFERROR(ROUND(IF(BB263&lt;&gt;"", "", INDEX('M04-S10'!$AK$18:$AK$199,2*(ROWS(AD$259:AD263)-1)+1)),2),"")</f>
        <v>0</v>
      </c>
      <c r="AE263" s="9" t="str" cm="1">
        <f t="array" ref="AE263">IFERROR(ROUND(IF(BB263&lt;&gt;"", "", INDEX('M04-S10'!$BL$18:$BL$199,2*(ROWS(AG$259:AG263)-1)+1)),2),"")</f>
        <v/>
      </c>
      <c r="AF263" t="str">
        <f t="shared" si="46"/>
        <v>Incremental</v>
      </c>
      <c r="AG263" s="9" t="str" cm="1">
        <f t="array" ref="AG263">IFERROR(ROUND(IF(BB263&lt;&gt;"", "", INDEX('M04-S10'!$BL$18:$BL$199,2*(ROWS(AG$259:AG263)-1)+1)),2),"")</f>
        <v/>
      </c>
      <c r="AH263" s="184"/>
      <c r="AI263" s="184"/>
      <c r="AJ263" s="32" t="str" cm="1">
        <f t="array" ref="AJ263">IFERROR(ROUND(IF(BB263&lt;&gt;"", "", INDEX('M04-S10'!$BE$18:$BE$199,2*(ROWS(AJ$259:AJ263)-1)+1)),4),"")</f>
        <v/>
      </c>
      <c r="AK263" s="184"/>
      <c r="AL263" s="32" t="str" cm="1">
        <f t="array" ref="AL263">IFERROR(ROUND(IF(BB263&lt;&gt;"", "", INDEX('M04-S10'!$BG$18:$BG$199,2*(ROWS(AL$259:AL263)-1)+1)),4),"")</f>
        <v/>
      </c>
      <c r="AM263" s="32" t="str">
        <f>IFERROR(ROUND(INDEX('M04-S10'!$BA$18:$BA$199,2*(ROWS(AM$259:AM263)-1)+1),4),"")</f>
        <v/>
      </c>
      <c r="AN263" s="32" t="str">
        <f>IFERROR(ROUND(INDEX('M04-S10'!$BB$18:$BB$199,2*(ROWS(AN$259:AN263)-1)+1),4),"")</f>
        <v/>
      </c>
      <c r="AO263" s="184"/>
      <c r="AP263" s="9" t="str">
        <f>IFERROR(ROUND(IF(BB263&lt;&gt;"",INDEX('M04-S10'!$AI$18:$AI$199,2*(ROWS(AP$259:AP263)-1)+1),""),2),"")</f>
        <v/>
      </c>
      <c r="AQ263" s="9" t="str">
        <f>IFERROR(ROUND(IF(BB263&lt;&gt;"",INDEX('M04-S10'!$AK$18:$AK$199,2*(ROWS(AQ$259:AQ263)-1)+1),""),2),"")</f>
        <v/>
      </c>
      <c r="AR263" s="9" t="str" cm="1">
        <f t="array" ref="AR263">IFERROR(ROUND(IF(BB263&lt;&gt;"", INDEX('M04-S10'!$BL$18:$BL$199,2*(ROWS(AG$259:AG263)-1)+1), ""),2),"")</f>
        <v/>
      </c>
      <c r="AS263" t="str">
        <f t="shared" si="47"/>
        <v/>
      </c>
      <c r="AT263" s="9" t="str" cm="1">
        <f t="array" ref="AT263">IFERROR(ROUND(IF(BB263&lt;&gt;"", INDEX('M04-S10'!$BL$18:$BL$199,2*(ROWS(AG$259:AG263)-1)+1), ""),2),"")</f>
        <v/>
      </c>
      <c r="AU263" s="184"/>
      <c r="AV263" s="5" t="str">
        <f>IFERROR(IF(BB263&lt;&gt;"",ROUND(INDEX('M04-S10'!$V$18:$V$199,2*(ROWS(AV$259:AV263)-1)+1),3),""),"")</f>
        <v/>
      </c>
      <c r="AW263" s="5" t="str">
        <f>IFERROR(IF(BB263&lt;&gt;"",ROUND(INDEX('M04-S10'!$V$18:$V$199,2*(ROWS(AW$259:AW263)-1)+1),3),""),"")</f>
        <v/>
      </c>
      <c r="AX263" s="184"/>
      <c r="AY263" s="26" t="str">
        <f>IFERROR(IF(BB263&lt;&gt;"",INDEX('M04-S10'!$BE$18:$BE$199,2*(ROWS(AY$259:AY263)-1)+1),""),"")</f>
        <v/>
      </c>
      <c r="AZ263" s="184"/>
      <c r="BA263" s="32" t="str">
        <f>IFERROR(IF(BB263&lt;&gt;"",INDEX('M04-S10'!$BG$18:$BG$199,2*(ROWS(BA$259:BA263)-1)+1),""),"")</f>
        <v/>
      </c>
      <c r="BB263" t="str">
        <f>IFERROR(INDEX('M04-S10'!$BY$18:$BY$199,2*(ROWS(BB$259:BB263)-1)+1),"")</f>
        <v/>
      </c>
    </row>
    <row r="264" spans="1:54">
      <c r="A264" s="10">
        <f t="shared" si="43"/>
        <v>0</v>
      </c>
      <c r="B264" t="str">
        <f t="shared" si="45"/>
        <v/>
      </c>
      <c r="C264" t="str" cm="1">
        <f t="array" ref="C264">IFERROR(_xlfn.VALUETOTEXT(INDEX('M04-S10'!$BW$18:$BW$199,2*(ROWS($C$259:C264)-1)+1)),"")</f>
        <v/>
      </c>
      <c r="D264">
        <f>IFERROR(INDEX('M04-S10'!$B$18:$B$199,2*(ROWS(D$259:D264)-1)+1),"")</f>
        <v>6</v>
      </c>
      <c r="E264" s="51" t="str" cm="1">
        <f t="array" ref="E264">IFERROR(_xlfn.VALUETOTEXT(INDEX('M04-S10'!$BX$18:$BX$199,2*(ROWS($E$259:E264)-1)+1)),"")</f>
        <v/>
      </c>
      <c r="F264" t="str" cm="1">
        <f t="array" ref="F264">IF(C264&lt;&gt;"", _xlfn.SWITCH(Program_Banner, "Small Business / Non-Profit", "Hard-To-Reach Business", "Business Energy Savings", "Whole Business Efficiency", ""), "")</f>
        <v/>
      </c>
      <c r="G264" t="s">
        <v>2779</v>
      </c>
      <c r="H264" t="str">
        <f>IFERROR(INDEX('M04-S10'!$BC$18:$BC$199,2*(ROWS($H$259:H264)-1)+1),"")</f>
        <v/>
      </c>
      <c r="I264" t="str">
        <f>IFERROR(INDEX('M04-S10'!$BJ$18:$BJ$199,2*(ROWS(I$259:I264)-1)+1),"")</f>
        <v/>
      </c>
      <c r="J264" s="9" t="str">
        <f>IFERROR(INDEX('M04-S10'!$BN$18:$BN$199,2*(ROWS(J$259:J264)-1)+1),"")</f>
        <v/>
      </c>
      <c r="K264" s="9" t="str">
        <f>IFERROR(INDEX('M04-S10'!$BO$18:$BO$199,2*(ROWS(K$259:K264)-1)+1),"")</f>
        <v/>
      </c>
      <c r="L264" s="51" t="str">
        <f>IFERROR(INDEX('M04-S10'!$BD$18:$BD$199,2*(ROWS(L$259:L264)-1)+1),"")</f>
        <v/>
      </c>
      <c r="M264" s="51">
        <f>IFERROR(INDEX('M04-S10'!$AG$18:$AG$199,2*(ROWS($M$259:M264)-1)+1),"")</f>
        <v>0</v>
      </c>
      <c r="O264">
        <f>IFERROR(INDEX('M04-S10'!$G$18:$G$199,2*(ROWS(O$259:O264)-1)+1),"")</f>
        <v>0</v>
      </c>
      <c r="P264">
        <f>IFERROR(INDEX('M04-S10'!$O$18:$O$199,2*(ROWS(P$259:P264)-1)+1),"")</f>
        <v>0</v>
      </c>
      <c r="Q264">
        <f>IFERROR(INDEX('M04-S10'!$AC$18:$AC$199,2*(ROWS(Q$259:Q264)-1)+1),"")</f>
        <v>0</v>
      </c>
      <c r="R264">
        <f>IFERROR(INDEX('M04-S10'!$Z$18:$Z$199,2*(ROWS(R$259:R264)-1)+1),"")</f>
        <v>0</v>
      </c>
      <c r="S264" t="str">
        <f>IFERROR(INDEX('M04-S10'!$AX$18:$AX$199,2*(ROWS(S$259:S264)-1)+1),"")</f>
        <v/>
      </c>
      <c r="T264" s="545" t="str" cm="1">
        <f t="array" ref="T264">IFERROR(ROUND(IF(BB264&lt;&gt;"", "", INDEX('M04-S10'!$AY$18:$AY$199,2*(ROWS(T$259:T264)-1)+1)),3),"")</f>
        <v/>
      </c>
      <c r="U264" s="545" t="str" cm="1">
        <f t="array" ref="U264">IFERROR(ROUND(IF(BB264&lt;&gt;"", "", INDEX('M04-S10'!$AZ$18:$AZ$199,2*(ROWS(U$259:U264)-1)+1)),3),"")</f>
        <v/>
      </c>
      <c r="V264" s="26">
        <f>IFERROR(INDEX('M04-S10'!$X$18:$X$199,2*(ROWS($G$259:V264)-1)+1),"")</f>
        <v>0</v>
      </c>
      <c r="W264" s="27" t="str">
        <f>IFERROR(INDEX('M04-S10'!$R$18:$R$199,2*(ROWS(W$259:W264)-1)+1),"")</f>
        <v/>
      </c>
      <c r="X264" s="27" t="str">
        <f>IFERROR(INDEX('M04-S10'!$T$18:$T$199,2*(ROWS(X$259:X264)-1)+1),"")</f>
        <v/>
      </c>
      <c r="Y264" s="184"/>
      <c r="Z264" s="184"/>
      <c r="AA264" s="9" t="str" cm="1">
        <f t="array" ref="AA264">IFERROR(ROUND(INDEX('M04-S10'!$AR$18:$AR$199,2*(ROWS(AA$259:AA264)-1)+1), 2),"")</f>
        <v/>
      </c>
      <c r="AB264" s="9" t="str" cm="1">
        <f t="array" ref="AB264">_xlfn.LET(_xlpm.ROWS, 2*(ROWS(AB$259:AB264)-1)+1,IFERROR(INDEX('M04-S10'!$AR$18:$AR$199, _xlpm.ROWS)-INDEX('M04-S10'!$BS$18:$BS$199, _xlpm.ROWS),""))</f>
        <v/>
      </c>
      <c r="AC264" s="9" cm="1">
        <f t="array" ref="AC264">IFERROR(ROUND(IF(BB264&lt;&gt;"", "", INDEX('M04-S10'!$AI$18:$AI$199,2*(ROWS(AC$259:AC264)-1)+1)),2),"")</f>
        <v>0</v>
      </c>
      <c r="AD264" s="9" cm="1">
        <f t="array" ref="AD264">IFERROR(ROUND(IF(BB264&lt;&gt;"", "", INDEX('M04-S10'!$AK$18:$AK$199,2*(ROWS(AD$259:AD264)-1)+1)),2),"")</f>
        <v>0</v>
      </c>
      <c r="AE264" s="9" t="str" cm="1">
        <f t="array" ref="AE264">IFERROR(ROUND(IF(BB264&lt;&gt;"", "", INDEX('M04-S10'!$BL$18:$BL$199,2*(ROWS(AG$259:AG264)-1)+1)),2),"")</f>
        <v/>
      </c>
      <c r="AF264" t="str">
        <f t="shared" si="46"/>
        <v>Incremental</v>
      </c>
      <c r="AG264" s="9" t="str" cm="1">
        <f t="array" ref="AG264">IFERROR(ROUND(IF(BB264&lt;&gt;"", "", INDEX('M04-S10'!$BL$18:$BL$199,2*(ROWS(AG$259:AG264)-1)+1)),2),"")</f>
        <v/>
      </c>
      <c r="AH264" s="184"/>
      <c r="AI264" s="184"/>
      <c r="AJ264" s="32" t="str" cm="1">
        <f t="array" ref="AJ264">IFERROR(ROUND(IF(BB264&lt;&gt;"", "", INDEX('M04-S10'!$BE$18:$BE$199,2*(ROWS(AJ$259:AJ264)-1)+1)),4),"")</f>
        <v/>
      </c>
      <c r="AK264" s="184"/>
      <c r="AL264" s="32" t="str" cm="1">
        <f t="array" ref="AL264">IFERROR(ROUND(IF(BB264&lt;&gt;"", "", INDEX('M04-S10'!$BG$18:$BG$199,2*(ROWS(AL$259:AL264)-1)+1)),4),"")</f>
        <v/>
      </c>
      <c r="AM264" s="32" t="str">
        <f>IFERROR(ROUND(INDEX('M04-S10'!$BA$18:$BA$199,2*(ROWS(AM$259:AM264)-1)+1),4),"")</f>
        <v/>
      </c>
      <c r="AN264" s="32" t="str">
        <f>IFERROR(ROUND(INDEX('M04-S10'!$BB$18:$BB$199,2*(ROWS(AN$259:AN264)-1)+1),4),"")</f>
        <v/>
      </c>
      <c r="AO264" s="184"/>
      <c r="AP264" s="9" t="str">
        <f>IFERROR(ROUND(IF(BB264&lt;&gt;"",INDEX('M04-S10'!$AI$18:$AI$199,2*(ROWS(AP$259:AP264)-1)+1),""),2),"")</f>
        <v/>
      </c>
      <c r="AQ264" s="9" t="str">
        <f>IFERROR(ROUND(IF(BB264&lt;&gt;"",INDEX('M04-S10'!$AK$18:$AK$199,2*(ROWS(AQ$259:AQ264)-1)+1),""),2),"")</f>
        <v/>
      </c>
      <c r="AR264" s="9" t="str" cm="1">
        <f t="array" ref="AR264">IFERROR(ROUND(IF(BB264&lt;&gt;"", INDEX('M04-S10'!$BL$18:$BL$199,2*(ROWS(AG$259:AG264)-1)+1), ""),2),"")</f>
        <v/>
      </c>
      <c r="AS264" t="str">
        <f t="shared" si="47"/>
        <v/>
      </c>
      <c r="AT264" s="9" t="str" cm="1">
        <f t="array" ref="AT264">IFERROR(ROUND(IF(BB264&lt;&gt;"", INDEX('M04-S10'!$BL$18:$BL$199,2*(ROWS(AG$259:AG264)-1)+1), ""),2),"")</f>
        <v/>
      </c>
      <c r="AU264" s="184"/>
      <c r="AV264" s="5" t="str">
        <f>IFERROR(IF(BB264&lt;&gt;"",ROUND(INDEX('M04-S10'!$V$18:$V$199,2*(ROWS(AV$259:AV264)-1)+1),3),""),"")</f>
        <v/>
      </c>
      <c r="AW264" s="5" t="str">
        <f>IFERROR(IF(BB264&lt;&gt;"",ROUND(INDEX('M04-S10'!$V$18:$V$199,2*(ROWS(AW$259:AW264)-1)+1),3),""),"")</f>
        <v/>
      </c>
      <c r="AX264" s="184"/>
      <c r="AY264" s="26" t="str">
        <f>IFERROR(IF(BB264&lt;&gt;"",INDEX('M04-S10'!$BE$18:$BE$199,2*(ROWS(AY$259:AY264)-1)+1),""),"")</f>
        <v/>
      </c>
      <c r="AZ264" s="184"/>
      <c r="BA264" s="32" t="str">
        <f>IFERROR(IF(BB264&lt;&gt;"",INDEX('M04-S10'!$BG$18:$BG$199,2*(ROWS(BA$259:BA264)-1)+1),""),"")</f>
        <v/>
      </c>
      <c r="BB264" t="str">
        <f>IFERROR(INDEX('M04-S10'!$BY$18:$BY$199,2*(ROWS(BB$259:BB264)-1)+1),"")</f>
        <v/>
      </c>
    </row>
    <row r="265" spans="1:54">
      <c r="A265" s="10">
        <f t="shared" si="43"/>
        <v>0</v>
      </c>
      <c r="B265" t="str">
        <f t="shared" si="45"/>
        <v/>
      </c>
      <c r="C265" t="str" cm="1">
        <f t="array" ref="C265">IFERROR(_xlfn.VALUETOTEXT(INDEX('M04-S10'!$BW$18:$BW$199,2*(ROWS($C$259:C265)-1)+1)),"")</f>
        <v/>
      </c>
      <c r="D265">
        <f>IFERROR(INDEX('M04-S10'!$B$18:$B$199,2*(ROWS(D$259:D265)-1)+1),"")</f>
        <v>7</v>
      </c>
      <c r="E265" s="51" t="str" cm="1">
        <f t="array" ref="E265">IFERROR(_xlfn.VALUETOTEXT(INDEX('M04-S10'!$BX$18:$BX$199,2*(ROWS($E$259:E265)-1)+1)),"")</f>
        <v/>
      </c>
      <c r="F265" t="str" cm="1">
        <f t="array" ref="F265">IF(C265&lt;&gt;"", _xlfn.SWITCH(Program_Banner, "Small Business / Non-Profit", "Hard-To-Reach Business", "Business Energy Savings", "Whole Business Efficiency", ""), "")</f>
        <v/>
      </c>
      <c r="G265" t="s">
        <v>2779</v>
      </c>
      <c r="H265" t="str">
        <f>IFERROR(INDEX('M04-S10'!$BC$18:$BC$199,2*(ROWS($H$259:H265)-1)+1),"")</f>
        <v/>
      </c>
      <c r="I265" t="str">
        <f>IFERROR(INDEX('M04-S10'!$BJ$18:$BJ$199,2*(ROWS(I$259:I265)-1)+1),"")</f>
        <v/>
      </c>
      <c r="J265" s="9" t="str">
        <f>IFERROR(INDEX('M04-S10'!$BN$18:$BN$199,2*(ROWS(J$259:J265)-1)+1),"")</f>
        <v/>
      </c>
      <c r="K265" s="9" t="str">
        <f>IFERROR(INDEX('M04-S10'!$BO$18:$BO$199,2*(ROWS(K$259:K265)-1)+1),"")</f>
        <v/>
      </c>
      <c r="L265" s="51" t="str">
        <f>IFERROR(INDEX('M04-S10'!$BD$18:$BD$199,2*(ROWS(L$259:L265)-1)+1),"")</f>
        <v/>
      </c>
      <c r="M265" s="51">
        <f>IFERROR(INDEX('M04-S10'!$AG$18:$AG$199,2*(ROWS($M$259:M265)-1)+1),"")</f>
        <v>0</v>
      </c>
      <c r="O265">
        <f>IFERROR(INDEX('M04-S10'!$G$18:$G$199,2*(ROWS(O$259:O265)-1)+1),"")</f>
        <v>0</v>
      </c>
      <c r="P265">
        <f>IFERROR(INDEX('M04-S10'!$O$18:$O$199,2*(ROWS(P$259:P265)-1)+1),"")</f>
        <v>0</v>
      </c>
      <c r="Q265">
        <f>IFERROR(INDEX('M04-S10'!$AC$18:$AC$199,2*(ROWS(Q$259:Q265)-1)+1),"")</f>
        <v>0</v>
      </c>
      <c r="R265">
        <f>IFERROR(INDEX('M04-S10'!$Z$18:$Z$199,2*(ROWS(R$259:R265)-1)+1),"")</f>
        <v>0</v>
      </c>
      <c r="S265" t="str">
        <f>IFERROR(INDEX('M04-S10'!$AX$18:$AX$199,2*(ROWS(S$259:S265)-1)+1),"")</f>
        <v/>
      </c>
      <c r="T265" s="545" t="str" cm="1">
        <f t="array" ref="T265">IFERROR(ROUND(IF(BB265&lt;&gt;"", "", INDEX('M04-S10'!$AY$18:$AY$199,2*(ROWS(T$259:T265)-1)+1)),3),"")</f>
        <v/>
      </c>
      <c r="U265" s="545" t="str" cm="1">
        <f t="array" ref="U265">IFERROR(ROUND(IF(BB265&lt;&gt;"", "", INDEX('M04-S10'!$AZ$18:$AZ$199,2*(ROWS(U$259:U265)-1)+1)),3),"")</f>
        <v/>
      </c>
      <c r="V265" s="26">
        <f>IFERROR(INDEX('M04-S10'!$X$18:$X$199,2*(ROWS($G$259:V265)-1)+1),"")</f>
        <v>0</v>
      </c>
      <c r="W265" s="27" t="str">
        <f>IFERROR(INDEX('M04-S10'!$R$18:$R$199,2*(ROWS(W$259:W265)-1)+1),"")</f>
        <v/>
      </c>
      <c r="X265" s="27" t="str">
        <f>IFERROR(INDEX('M04-S10'!$T$18:$T$199,2*(ROWS(X$259:X265)-1)+1),"")</f>
        <v/>
      </c>
      <c r="Y265" s="184"/>
      <c r="Z265" s="184"/>
      <c r="AA265" s="9" t="str" cm="1">
        <f t="array" ref="AA265">IFERROR(ROUND(INDEX('M04-S10'!$AR$18:$AR$199,2*(ROWS(AA$259:AA265)-1)+1), 2),"")</f>
        <v/>
      </c>
      <c r="AB265" s="9" t="str" cm="1">
        <f t="array" ref="AB265">_xlfn.LET(_xlpm.ROWS, 2*(ROWS(AB$259:AB265)-1)+1,IFERROR(INDEX('M04-S10'!$AR$18:$AR$199, _xlpm.ROWS)-INDEX('M04-S10'!$BS$18:$BS$199, _xlpm.ROWS),""))</f>
        <v/>
      </c>
      <c r="AC265" s="9" cm="1">
        <f t="array" ref="AC265">IFERROR(ROUND(IF(BB265&lt;&gt;"", "", INDEX('M04-S10'!$AI$18:$AI$199,2*(ROWS(AC$259:AC265)-1)+1)),2),"")</f>
        <v>0</v>
      </c>
      <c r="AD265" s="9" cm="1">
        <f t="array" ref="AD265">IFERROR(ROUND(IF(BB265&lt;&gt;"", "", INDEX('M04-S10'!$AK$18:$AK$199,2*(ROWS(AD$259:AD265)-1)+1)),2),"")</f>
        <v>0</v>
      </c>
      <c r="AE265" s="9" t="str" cm="1">
        <f t="array" ref="AE265">IFERROR(ROUND(IF(BB265&lt;&gt;"", "", INDEX('M04-S10'!$BL$18:$BL$199,2*(ROWS(AG$259:AG265)-1)+1)),2),"")</f>
        <v/>
      </c>
      <c r="AF265" t="str">
        <f t="shared" si="46"/>
        <v>Incremental</v>
      </c>
      <c r="AG265" s="9" t="str" cm="1">
        <f t="array" ref="AG265">IFERROR(ROUND(IF(BB265&lt;&gt;"", "", INDEX('M04-S10'!$BL$18:$BL$199,2*(ROWS(AG$259:AG265)-1)+1)),2),"")</f>
        <v/>
      </c>
      <c r="AH265" s="184"/>
      <c r="AI265" s="184"/>
      <c r="AJ265" s="32" t="str" cm="1">
        <f t="array" ref="AJ265">IFERROR(ROUND(IF(BB265&lt;&gt;"", "", INDEX('M04-S10'!$BE$18:$BE$199,2*(ROWS(AJ$259:AJ265)-1)+1)),4),"")</f>
        <v/>
      </c>
      <c r="AK265" s="184"/>
      <c r="AL265" s="32" t="str" cm="1">
        <f t="array" ref="AL265">IFERROR(ROUND(IF(BB265&lt;&gt;"", "", INDEX('M04-S10'!$BG$18:$BG$199,2*(ROWS(AL$259:AL265)-1)+1)),4),"")</f>
        <v/>
      </c>
      <c r="AM265" s="32" t="str">
        <f>IFERROR(ROUND(INDEX('M04-S10'!$BA$18:$BA$199,2*(ROWS(AM$259:AM265)-1)+1),4),"")</f>
        <v/>
      </c>
      <c r="AN265" s="32" t="str">
        <f>IFERROR(ROUND(INDEX('M04-S10'!$BB$18:$BB$199,2*(ROWS(AN$259:AN265)-1)+1),4),"")</f>
        <v/>
      </c>
      <c r="AO265" s="184"/>
      <c r="AP265" s="9" t="str">
        <f>IFERROR(ROUND(IF(BB265&lt;&gt;"",INDEX('M04-S10'!$AI$18:$AI$199,2*(ROWS(AP$259:AP265)-1)+1),""),2),"")</f>
        <v/>
      </c>
      <c r="AQ265" s="9" t="str">
        <f>IFERROR(ROUND(IF(BB265&lt;&gt;"",INDEX('M04-S10'!$AK$18:$AK$199,2*(ROWS(AQ$259:AQ265)-1)+1),""),2),"")</f>
        <v/>
      </c>
      <c r="AR265" s="9" t="str" cm="1">
        <f t="array" ref="AR265">IFERROR(ROUND(IF(BB265&lt;&gt;"", INDEX('M04-S10'!$BL$18:$BL$199,2*(ROWS(AG$259:AG265)-1)+1), ""),2),"")</f>
        <v/>
      </c>
      <c r="AS265" t="str">
        <f t="shared" si="47"/>
        <v/>
      </c>
      <c r="AT265" s="9" t="str" cm="1">
        <f t="array" ref="AT265">IFERROR(ROUND(IF(BB265&lt;&gt;"", INDEX('M04-S10'!$BL$18:$BL$199,2*(ROWS(AG$259:AG265)-1)+1), ""),2),"")</f>
        <v/>
      </c>
      <c r="AU265" s="184"/>
      <c r="AV265" s="5" t="str">
        <f>IFERROR(IF(BB265&lt;&gt;"",ROUND(INDEX('M04-S10'!$V$18:$V$199,2*(ROWS(AV$259:AV265)-1)+1),3),""),"")</f>
        <v/>
      </c>
      <c r="AW265" s="5" t="str">
        <f>IFERROR(IF(BB265&lt;&gt;"",ROUND(INDEX('M04-S10'!$V$18:$V$199,2*(ROWS(AW$259:AW265)-1)+1),3),""),"")</f>
        <v/>
      </c>
      <c r="AX265" s="184"/>
      <c r="AY265" s="26" t="str">
        <f>IFERROR(IF(BB265&lt;&gt;"",INDEX('M04-S10'!$BE$18:$BE$199,2*(ROWS(AY$259:AY265)-1)+1),""),"")</f>
        <v/>
      </c>
      <c r="AZ265" s="184"/>
      <c r="BA265" s="32" t="str">
        <f>IFERROR(IF(BB265&lt;&gt;"",INDEX('M04-S10'!$BG$18:$BG$199,2*(ROWS(BA$259:BA265)-1)+1),""),"")</f>
        <v/>
      </c>
      <c r="BB265" t="str">
        <f>IFERROR(INDEX('M04-S10'!$BY$18:$BY$199,2*(ROWS(BB$259:BB265)-1)+1),"")</f>
        <v/>
      </c>
    </row>
    <row r="266" spans="1:54">
      <c r="A266" s="10">
        <f t="shared" si="43"/>
        <v>0</v>
      </c>
      <c r="B266" t="str">
        <f t="shared" si="45"/>
        <v/>
      </c>
      <c r="C266" t="str" cm="1">
        <f t="array" ref="C266">IFERROR(_xlfn.VALUETOTEXT(INDEX('M04-S10'!$BW$18:$BW$199,2*(ROWS($C$259:C266)-1)+1)),"")</f>
        <v/>
      </c>
      <c r="D266">
        <f>IFERROR(INDEX('M04-S10'!$B$18:$B$199,2*(ROWS(D$259:D266)-1)+1),"")</f>
        <v>8</v>
      </c>
      <c r="E266" s="51" t="str" cm="1">
        <f t="array" ref="E266">IFERROR(_xlfn.VALUETOTEXT(INDEX('M04-S10'!$BX$18:$BX$199,2*(ROWS($E$259:E266)-1)+1)),"")</f>
        <v/>
      </c>
      <c r="F266" t="str" cm="1">
        <f t="array" ref="F266">IF(C266&lt;&gt;"", _xlfn.SWITCH(Program_Banner, "Small Business / Non-Profit", "Hard-To-Reach Business", "Business Energy Savings", "Whole Business Efficiency", ""), "")</f>
        <v/>
      </c>
      <c r="G266" t="s">
        <v>2779</v>
      </c>
      <c r="H266" t="str">
        <f>IFERROR(INDEX('M04-S10'!$BC$18:$BC$199,2*(ROWS($H$259:H266)-1)+1),"")</f>
        <v/>
      </c>
      <c r="I266" t="str">
        <f>IFERROR(INDEX('M04-S10'!$BJ$18:$BJ$199,2*(ROWS(I$259:I266)-1)+1),"")</f>
        <v/>
      </c>
      <c r="J266" s="9" t="str">
        <f>IFERROR(INDEX('M04-S10'!$BN$18:$BN$199,2*(ROWS(J$259:J266)-1)+1),"")</f>
        <v/>
      </c>
      <c r="K266" s="9" t="str">
        <f>IFERROR(INDEX('M04-S10'!$BO$18:$BO$199,2*(ROWS(K$259:K266)-1)+1),"")</f>
        <v/>
      </c>
      <c r="L266" s="51" t="str">
        <f>IFERROR(INDEX('M04-S10'!$BD$18:$BD$199,2*(ROWS(L$259:L266)-1)+1),"")</f>
        <v/>
      </c>
      <c r="M266" s="51">
        <f>IFERROR(INDEX('M04-S10'!$AG$18:$AG$199,2*(ROWS($M$259:M266)-1)+1),"")</f>
        <v>0</v>
      </c>
      <c r="O266">
        <f>IFERROR(INDEX('M04-S10'!$G$18:$G$199,2*(ROWS(O$259:O266)-1)+1),"")</f>
        <v>0</v>
      </c>
      <c r="P266">
        <f>IFERROR(INDEX('M04-S10'!$O$18:$O$199,2*(ROWS(P$259:P266)-1)+1),"")</f>
        <v>0</v>
      </c>
      <c r="Q266">
        <f>IFERROR(INDEX('M04-S10'!$AC$18:$AC$199,2*(ROWS(Q$259:Q266)-1)+1),"")</f>
        <v>0</v>
      </c>
      <c r="R266">
        <f>IFERROR(INDEX('M04-S10'!$Z$18:$Z$199,2*(ROWS(R$259:R266)-1)+1),"")</f>
        <v>0</v>
      </c>
      <c r="S266" t="str">
        <f>IFERROR(INDEX('M04-S10'!$AX$18:$AX$199,2*(ROWS(S$259:S266)-1)+1),"")</f>
        <v/>
      </c>
      <c r="T266" s="545" t="str" cm="1">
        <f t="array" ref="T266">IFERROR(ROUND(IF(BB266&lt;&gt;"", "", INDEX('M04-S10'!$AY$18:$AY$199,2*(ROWS(T$259:T266)-1)+1)),3),"")</f>
        <v/>
      </c>
      <c r="U266" s="545" t="str" cm="1">
        <f t="array" ref="U266">IFERROR(ROUND(IF(BB266&lt;&gt;"", "", INDEX('M04-S10'!$AZ$18:$AZ$199,2*(ROWS(U$259:U266)-1)+1)),3),"")</f>
        <v/>
      </c>
      <c r="V266" s="26">
        <f>IFERROR(INDEX('M04-S10'!$X$18:$X$199,2*(ROWS($G$259:V266)-1)+1),"")</f>
        <v>0</v>
      </c>
      <c r="W266" s="27" t="str">
        <f>IFERROR(INDEX('M04-S10'!$R$18:$R$199,2*(ROWS(W$259:W266)-1)+1),"")</f>
        <v/>
      </c>
      <c r="X266" s="27" t="str">
        <f>IFERROR(INDEX('M04-S10'!$T$18:$T$199,2*(ROWS(X$259:X266)-1)+1),"")</f>
        <v/>
      </c>
      <c r="Y266" s="184"/>
      <c r="Z266" s="184"/>
      <c r="AA266" s="9" t="str" cm="1">
        <f t="array" ref="AA266">IFERROR(ROUND(INDEX('M04-S10'!$AR$18:$AR$199,2*(ROWS(AA$259:AA266)-1)+1), 2),"")</f>
        <v/>
      </c>
      <c r="AB266" s="9" t="str" cm="1">
        <f t="array" ref="AB266">_xlfn.LET(_xlpm.ROWS, 2*(ROWS(AB$259:AB266)-1)+1,IFERROR(INDEX('M04-S10'!$AR$18:$AR$199, _xlpm.ROWS)-INDEX('M04-S10'!$BS$18:$BS$199, _xlpm.ROWS),""))</f>
        <v/>
      </c>
      <c r="AC266" s="9" cm="1">
        <f t="array" ref="AC266">IFERROR(ROUND(IF(BB266&lt;&gt;"", "", INDEX('M04-S10'!$AI$18:$AI$199,2*(ROWS(AC$259:AC266)-1)+1)),2),"")</f>
        <v>0</v>
      </c>
      <c r="AD266" s="9" cm="1">
        <f t="array" ref="AD266">IFERROR(ROUND(IF(BB266&lt;&gt;"", "", INDEX('M04-S10'!$AK$18:$AK$199,2*(ROWS(AD$259:AD266)-1)+1)),2),"")</f>
        <v>0</v>
      </c>
      <c r="AE266" s="9" t="str" cm="1">
        <f t="array" ref="AE266">IFERROR(ROUND(IF(BB266&lt;&gt;"", "", INDEX('M04-S10'!$BL$18:$BL$199,2*(ROWS(AG$259:AG266)-1)+1)),2),"")</f>
        <v/>
      </c>
      <c r="AF266" t="str">
        <f t="shared" si="46"/>
        <v>Incremental</v>
      </c>
      <c r="AG266" s="9" t="str" cm="1">
        <f t="array" ref="AG266">IFERROR(ROUND(IF(BB266&lt;&gt;"", "", INDEX('M04-S10'!$BL$18:$BL$199,2*(ROWS(AG$259:AG266)-1)+1)),2),"")</f>
        <v/>
      </c>
      <c r="AH266" s="184"/>
      <c r="AI266" s="184"/>
      <c r="AJ266" s="32" t="str" cm="1">
        <f t="array" ref="AJ266">IFERROR(ROUND(IF(BB266&lt;&gt;"", "", INDEX('M04-S10'!$BE$18:$BE$199,2*(ROWS(AJ$259:AJ266)-1)+1)),4),"")</f>
        <v/>
      </c>
      <c r="AK266" s="184"/>
      <c r="AL266" s="32" t="str" cm="1">
        <f t="array" ref="AL266">IFERROR(ROUND(IF(BB266&lt;&gt;"", "", INDEX('M04-S10'!$BG$18:$BG$199,2*(ROWS(AL$259:AL266)-1)+1)),4),"")</f>
        <v/>
      </c>
      <c r="AM266" s="32" t="str">
        <f>IFERROR(ROUND(INDEX('M04-S10'!$BA$18:$BA$199,2*(ROWS(AM$259:AM266)-1)+1),4),"")</f>
        <v/>
      </c>
      <c r="AN266" s="32" t="str">
        <f>IFERROR(ROUND(INDEX('M04-S10'!$BB$18:$BB$199,2*(ROWS(AN$259:AN266)-1)+1),4),"")</f>
        <v/>
      </c>
      <c r="AO266" s="184"/>
      <c r="AP266" s="9" t="str">
        <f>IFERROR(ROUND(IF(BB266&lt;&gt;"",INDEX('M04-S10'!$AI$18:$AI$199,2*(ROWS(AP$259:AP266)-1)+1),""),2),"")</f>
        <v/>
      </c>
      <c r="AQ266" s="9" t="str">
        <f>IFERROR(ROUND(IF(BB266&lt;&gt;"",INDEX('M04-S10'!$AK$18:$AK$199,2*(ROWS(AQ$259:AQ266)-1)+1),""),2),"")</f>
        <v/>
      </c>
      <c r="AR266" s="9" t="str" cm="1">
        <f t="array" ref="AR266">IFERROR(ROUND(IF(BB266&lt;&gt;"", INDEX('M04-S10'!$BL$18:$BL$199,2*(ROWS(AG$259:AG266)-1)+1), ""),2),"")</f>
        <v/>
      </c>
      <c r="AS266" t="str">
        <f t="shared" si="47"/>
        <v/>
      </c>
      <c r="AT266" s="9" t="str" cm="1">
        <f t="array" ref="AT266">IFERROR(ROUND(IF(BB266&lt;&gt;"", INDEX('M04-S10'!$BL$18:$BL$199,2*(ROWS(AG$259:AG266)-1)+1), ""),2),"")</f>
        <v/>
      </c>
      <c r="AU266" s="184"/>
      <c r="AV266" s="5" t="str">
        <f>IFERROR(IF(BB266&lt;&gt;"",ROUND(INDEX('M04-S10'!$V$18:$V$199,2*(ROWS(AV$259:AV266)-1)+1),3),""),"")</f>
        <v/>
      </c>
      <c r="AW266" s="5" t="str">
        <f>IFERROR(IF(BB266&lt;&gt;"",ROUND(INDEX('M04-S10'!$V$18:$V$199,2*(ROWS(AW$259:AW266)-1)+1),3),""),"")</f>
        <v/>
      </c>
      <c r="AX266" s="184"/>
      <c r="AY266" s="26" t="str">
        <f>IFERROR(IF(BB266&lt;&gt;"",INDEX('M04-S10'!$BE$18:$BE$199,2*(ROWS(AY$259:AY266)-1)+1),""),"")</f>
        <v/>
      </c>
      <c r="AZ266" s="184"/>
      <c r="BA266" s="32" t="str">
        <f>IFERROR(IF(BB266&lt;&gt;"",INDEX('M04-S10'!$BG$18:$BG$199,2*(ROWS(BA$259:BA266)-1)+1),""),"")</f>
        <v/>
      </c>
      <c r="BB266" t="str">
        <f>IFERROR(INDEX('M04-S10'!$BY$18:$BY$199,2*(ROWS(BB$259:BB266)-1)+1),"")</f>
        <v/>
      </c>
    </row>
    <row r="267" spans="1:54">
      <c r="A267" s="10">
        <f t="shared" si="43"/>
        <v>0</v>
      </c>
      <c r="B267" t="str">
        <f t="shared" si="45"/>
        <v/>
      </c>
      <c r="C267" t="str" cm="1">
        <f t="array" ref="C267">IFERROR(_xlfn.VALUETOTEXT(INDEX('M04-S10'!$BW$18:$BW$199,2*(ROWS($C$259:C267)-1)+1)),"")</f>
        <v/>
      </c>
      <c r="D267">
        <f>IFERROR(INDEX('M04-S10'!$B$18:$B$199,2*(ROWS(D$259:D267)-1)+1),"")</f>
        <v>9</v>
      </c>
      <c r="E267" s="51" t="str" cm="1">
        <f t="array" ref="E267">IFERROR(_xlfn.VALUETOTEXT(INDEX('M04-S10'!$BX$18:$BX$199,2*(ROWS($E$259:E267)-1)+1)),"")</f>
        <v/>
      </c>
      <c r="F267" t="str" cm="1">
        <f t="array" ref="F267">IF(C267&lt;&gt;"", _xlfn.SWITCH(Program_Banner, "Small Business / Non-Profit", "Hard-To-Reach Business", "Business Energy Savings", "Whole Business Efficiency", ""), "")</f>
        <v/>
      </c>
      <c r="G267" t="s">
        <v>2779</v>
      </c>
      <c r="H267" t="str">
        <f>IFERROR(INDEX('M04-S10'!$BC$18:$BC$199,2*(ROWS($H$259:H267)-1)+1),"")</f>
        <v/>
      </c>
      <c r="I267" t="str">
        <f>IFERROR(INDEX('M04-S10'!$BJ$18:$BJ$199,2*(ROWS(I$259:I267)-1)+1),"")</f>
        <v/>
      </c>
      <c r="J267" s="9" t="str">
        <f>IFERROR(INDEX('M04-S10'!$BN$18:$BN$199,2*(ROWS(J$259:J267)-1)+1),"")</f>
        <v/>
      </c>
      <c r="K267" s="9" t="str">
        <f>IFERROR(INDEX('M04-S10'!$BO$18:$BO$199,2*(ROWS(K$259:K267)-1)+1),"")</f>
        <v/>
      </c>
      <c r="L267" s="51" t="str">
        <f>IFERROR(INDEX('M04-S10'!$BD$18:$BD$199,2*(ROWS(L$259:L267)-1)+1),"")</f>
        <v/>
      </c>
      <c r="M267" s="51">
        <f>IFERROR(INDEX('M04-S10'!$AG$18:$AG$199,2*(ROWS($M$259:M267)-1)+1),"")</f>
        <v>0</v>
      </c>
      <c r="O267">
        <f>IFERROR(INDEX('M04-S10'!$G$18:$G$199,2*(ROWS(O$259:O267)-1)+1),"")</f>
        <v>0</v>
      </c>
      <c r="P267">
        <f>IFERROR(INDEX('M04-S10'!$O$18:$O$199,2*(ROWS(P$259:P267)-1)+1),"")</f>
        <v>0</v>
      </c>
      <c r="Q267">
        <f>IFERROR(INDEX('M04-S10'!$AC$18:$AC$199,2*(ROWS(Q$259:Q267)-1)+1),"")</f>
        <v>0</v>
      </c>
      <c r="R267">
        <f>IFERROR(INDEX('M04-S10'!$Z$18:$Z$199,2*(ROWS(R$259:R267)-1)+1),"")</f>
        <v>0</v>
      </c>
      <c r="S267" t="str">
        <f>IFERROR(INDEX('M04-S10'!$AX$18:$AX$199,2*(ROWS(S$259:S267)-1)+1),"")</f>
        <v/>
      </c>
      <c r="T267" s="545" t="str" cm="1">
        <f t="array" ref="T267">IFERROR(ROUND(IF(BB267&lt;&gt;"", "", INDEX('M04-S10'!$AY$18:$AY$199,2*(ROWS(T$259:T267)-1)+1)),3),"")</f>
        <v/>
      </c>
      <c r="U267" s="545" t="str" cm="1">
        <f t="array" ref="U267">IFERROR(ROUND(IF(BB267&lt;&gt;"", "", INDEX('M04-S10'!$AZ$18:$AZ$199,2*(ROWS(U$259:U267)-1)+1)),3),"")</f>
        <v/>
      </c>
      <c r="V267" s="26">
        <f>IFERROR(INDEX('M04-S10'!$X$18:$X$199,2*(ROWS($G$259:V267)-1)+1),"")</f>
        <v>0</v>
      </c>
      <c r="W267" s="27" t="str">
        <f>IFERROR(INDEX('M04-S10'!$R$18:$R$199,2*(ROWS(W$259:W267)-1)+1),"")</f>
        <v/>
      </c>
      <c r="X267" s="27" t="str">
        <f>IFERROR(INDEX('M04-S10'!$T$18:$T$199,2*(ROWS(X$259:X267)-1)+1),"")</f>
        <v/>
      </c>
      <c r="Y267" s="184"/>
      <c r="Z267" s="184"/>
      <c r="AA267" s="9" t="str" cm="1">
        <f t="array" ref="AA267">IFERROR(ROUND(INDEX('M04-S10'!$AR$18:$AR$199,2*(ROWS(AA$259:AA267)-1)+1), 2),"")</f>
        <v/>
      </c>
      <c r="AB267" s="9" t="str" cm="1">
        <f t="array" ref="AB267">_xlfn.LET(_xlpm.ROWS, 2*(ROWS(AB$259:AB267)-1)+1,IFERROR(INDEX('M04-S10'!$AR$18:$AR$199, _xlpm.ROWS)-INDEX('M04-S10'!$BS$18:$BS$199, _xlpm.ROWS),""))</f>
        <v/>
      </c>
      <c r="AC267" s="9" cm="1">
        <f t="array" ref="AC267">IFERROR(ROUND(IF(BB267&lt;&gt;"", "", INDEX('M04-S10'!$AI$18:$AI$199,2*(ROWS(AC$259:AC267)-1)+1)),2),"")</f>
        <v>0</v>
      </c>
      <c r="AD267" s="9" cm="1">
        <f t="array" ref="AD267">IFERROR(ROUND(IF(BB267&lt;&gt;"", "", INDEX('M04-S10'!$AK$18:$AK$199,2*(ROWS(AD$259:AD267)-1)+1)),2),"")</f>
        <v>0</v>
      </c>
      <c r="AE267" s="9" t="str" cm="1">
        <f t="array" ref="AE267">IFERROR(ROUND(IF(BB267&lt;&gt;"", "", INDEX('M04-S10'!$BL$18:$BL$199,2*(ROWS(AG$259:AG267)-1)+1)),2),"")</f>
        <v/>
      </c>
      <c r="AF267" t="str">
        <f t="shared" si="46"/>
        <v>Incremental</v>
      </c>
      <c r="AG267" s="9" t="str" cm="1">
        <f t="array" ref="AG267">IFERROR(ROUND(IF(BB267&lt;&gt;"", "", INDEX('M04-S10'!$BL$18:$BL$199,2*(ROWS(AG$259:AG267)-1)+1)),2),"")</f>
        <v/>
      </c>
      <c r="AH267" s="184"/>
      <c r="AI267" s="184"/>
      <c r="AJ267" s="32" t="str" cm="1">
        <f t="array" ref="AJ267">IFERROR(ROUND(IF(BB267&lt;&gt;"", "", INDEX('M04-S10'!$BE$18:$BE$199,2*(ROWS(AJ$259:AJ267)-1)+1)),4),"")</f>
        <v/>
      </c>
      <c r="AK267" s="184"/>
      <c r="AL267" s="32" t="str" cm="1">
        <f t="array" ref="AL267">IFERROR(ROUND(IF(BB267&lt;&gt;"", "", INDEX('M04-S10'!$BG$18:$BG$199,2*(ROWS(AL$259:AL267)-1)+1)),4),"")</f>
        <v/>
      </c>
      <c r="AM267" s="32" t="str">
        <f>IFERROR(ROUND(INDEX('M04-S10'!$BA$18:$BA$199,2*(ROWS(AM$259:AM267)-1)+1),4),"")</f>
        <v/>
      </c>
      <c r="AN267" s="32" t="str">
        <f>IFERROR(ROUND(INDEX('M04-S10'!$BB$18:$BB$199,2*(ROWS(AN$259:AN267)-1)+1),4),"")</f>
        <v/>
      </c>
      <c r="AO267" s="184"/>
      <c r="AP267" s="9" t="str">
        <f>IFERROR(ROUND(IF(BB267&lt;&gt;"",INDEX('M04-S10'!$AI$18:$AI$199,2*(ROWS(AP$259:AP267)-1)+1),""),2),"")</f>
        <v/>
      </c>
      <c r="AQ267" s="9" t="str">
        <f>IFERROR(ROUND(IF(BB267&lt;&gt;"",INDEX('M04-S10'!$AK$18:$AK$199,2*(ROWS(AQ$259:AQ267)-1)+1),""),2),"")</f>
        <v/>
      </c>
      <c r="AR267" s="9" t="str" cm="1">
        <f t="array" ref="AR267">IFERROR(ROUND(IF(BB267&lt;&gt;"", INDEX('M04-S10'!$BL$18:$BL$199,2*(ROWS(AG$259:AG267)-1)+1), ""),2),"")</f>
        <v/>
      </c>
      <c r="AS267" t="str">
        <f t="shared" si="47"/>
        <v/>
      </c>
      <c r="AT267" s="9" t="str" cm="1">
        <f t="array" ref="AT267">IFERROR(ROUND(IF(BB267&lt;&gt;"", INDEX('M04-S10'!$BL$18:$BL$199,2*(ROWS(AG$259:AG267)-1)+1), ""),2),"")</f>
        <v/>
      </c>
      <c r="AU267" s="184"/>
      <c r="AV267" s="5" t="str">
        <f>IFERROR(IF(BB267&lt;&gt;"",ROUND(INDEX('M04-S10'!$V$18:$V$199,2*(ROWS(AV$259:AV267)-1)+1),3),""),"")</f>
        <v/>
      </c>
      <c r="AW267" s="5" t="str">
        <f>IFERROR(IF(BB267&lt;&gt;"",ROUND(INDEX('M04-S10'!$V$18:$V$199,2*(ROWS(AW$259:AW267)-1)+1),3),""),"")</f>
        <v/>
      </c>
      <c r="AX267" s="184"/>
      <c r="AY267" s="26" t="str">
        <f>IFERROR(IF(BB267&lt;&gt;"",INDEX('M04-S10'!$BE$18:$BE$199,2*(ROWS(AY$259:AY267)-1)+1),""),"")</f>
        <v/>
      </c>
      <c r="AZ267" s="184"/>
      <c r="BA267" s="32" t="str">
        <f>IFERROR(IF(BB267&lt;&gt;"",INDEX('M04-S10'!$BG$18:$BG$199,2*(ROWS(BA$259:BA267)-1)+1),""),"")</f>
        <v/>
      </c>
      <c r="BB267" t="str">
        <f>IFERROR(INDEX('M04-S10'!$BY$18:$BY$199,2*(ROWS(BB$259:BB267)-1)+1),"")</f>
        <v/>
      </c>
    </row>
    <row r="268" spans="1:54">
      <c r="A268" s="10">
        <f t="shared" si="43"/>
        <v>0</v>
      </c>
      <c r="B268" t="str">
        <f t="shared" si="45"/>
        <v/>
      </c>
      <c r="C268" t="str" cm="1">
        <f t="array" ref="C268">IFERROR(_xlfn.VALUETOTEXT(INDEX('M04-S10'!$BW$18:$BW$199,2*(ROWS($C$259:C268)-1)+1)),"")</f>
        <v/>
      </c>
      <c r="D268">
        <f>IFERROR(INDEX('M04-S10'!$B$18:$B$199,2*(ROWS(D$259:D268)-1)+1),"")</f>
        <v>10</v>
      </c>
      <c r="E268" s="51" t="str" cm="1">
        <f t="array" ref="E268">IFERROR(_xlfn.VALUETOTEXT(INDEX('M04-S10'!$BX$18:$BX$199,2*(ROWS($E$259:E268)-1)+1)),"")</f>
        <v/>
      </c>
      <c r="F268" t="str" cm="1">
        <f t="array" ref="F268">IF(C268&lt;&gt;"", _xlfn.SWITCH(Program_Banner, "Small Business / Non-Profit", "Hard-To-Reach Business", "Business Energy Savings", "Whole Business Efficiency", ""), "")</f>
        <v/>
      </c>
      <c r="G268" t="s">
        <v>2779</v>
      </c>
      <c r="H268" t="str">
        <f>IFERROR(INDEX('M04-S10'!$BC$18:$BC$199,2*(ROWS($H$259:H268)-1)+1),"")</f>
        <v/>
      </c>
      <c r="I268" t="str">
        <f>IFERROR(INDEX('M04-S10'!$BJ$18:$BJ$199,2*(ROWS(I$259:I268)-1)+1),"")</f>
        <v/>
      </c>
      <c r="J268" s="9" t="str">
        <f>IFERROR(INDEX('M04-S10'!$BN$18:$BN$199,2*(ROWS(J$259:J268)-1)+1),"")</f>
        <v/>
      </c>
      <c r="K268" s="9" t="str">
        <f>IFERROR(INDEX('M04-S10'!$BO$18:$BO$199,2*(ROWS(K$259:K268)-1)+1),"")</f>
        <v/>
      </c>
      <c r="L268" s="51" t="str">
        <f>IFERROR(INDEX('M04-S10'!$BD$18:$BD$199,2*(ROWS(L$259:L268)-1)+1),"")</f>
        <v/>
      </c>
      <c r="M268" s="51">
        <f>IFERROR(INDEX('M04-S10'!$AG$18:$AG$199,2*(ROWS($M$259:M268)-1)+1),"")</f>
        <v>0</v>
      </c>
      <c r="O268">
        <f>IFERROR(INDEX('M04-S10'!$G$18:$G$199,2*(ROWS(O$259:O268)-1)+1),"")</f>
        <v>0</v>
      </c>
      <c r="P268">
        <f>IFERROR(INDEX('M04-S10'!$O$18:$O$199,2*(ROWS(P$259:P268)-1)+1),"")</f>
        <v>0</v>
      </c>
      <c r="Q268">
        <f>IFERROR(INDEX('M04-S10'!$AC$18:$AC$199,2*(ROWS(Q$259:Q268)-1)+1),"")</f>
        <v>0</v>
      </c>
      <c r="R268">
        <f>IFERROR(INDEX('M04-S10'!$Z$18:$Z$199,2*(ROWS(R$259:R268)-1)+1),"")</f>
        <v>0</v>
      </c>
      <c r="S268" t="str">
        <f>IFERROR(INDEX('M04-S10'!$AX$18:$AX$199,2*(ROWS(S$259:S268)-1)+1),"")</f>
        <v/>
      </c>
      <c r="T268" s="545" t="str" cm="1">
        <f t="array" ref="T268">IFERROR(ROUND(IF(BB268&lt;&gt;"", "", INDEX('M04-S10'!$AY$18:$AY$199,2*(ROWS(T$259:T268)-1)+1)),3),"")</f>
        <v/>
      </c>
      <c r="U268" s="545" t="str" cm="1">
        <f t="array" ref="U268">IFERROR(ROUND(IF(BB268&lt;&gt;"", "", INDEX('M04-S10'!$AZ$18:$AZ$199,2*(ROWS(U$259:U268)-1)+1)),3),"")</f>
        <v/>
      </c>
      <c r="V268" s="26">
        <f>IFERROR(INDEX('M04-S10'!$X$18:$X$199,2*(ROWS($G$259:V268)-1)+1),"")</f>
        <v>0</v>
      </c>
      <c r="W268" s="27" t="str">
        <f>IFERROR(INDEX('M04-S10'!$R$18:$R$199,2*(ROWS(W$259:W268)-1)+1),"")</f>
        <v/>
      </c>
      <c r="X268" s="27" t="str">
        <f>IFERROR(INDEX('M04-S10'!$T$18:$T$199,2*(ROWS(X$259:X268)-1)+1),"")</f>
        <v/>
      </c>
      <c r="Y268" s="184"/>
      <c r="Z268" s="184"/>
      <c r="AA268" s="9" t="str" cm="1">
        <f t="array" ref="AA268">IFERROR(ROUND(INDEX('M04-S10'!$AR$18:$AR$199,2*(ROWS(AA$259:AA268)-1)+1), 2),"")</f>
        <v/>
      </c>
      <c r="AB268" s="9" t="str" cm="1">
        <f t="array" ref="AB268">_xlfn.LET(_xlpm.ROWS, 2*(ROWS(AB$259:AB268)-1)+1,IFERROR(INDEX('M04-S10'!$AR$18:$AR$199, _xlpm.ROWS)-INDEX('M04-S10'!$BS$18:$BS$199, _xlpm.ROWS),""))</f>
        <v/>
      </c>
      <c r="AC268" s="9" cm="1">
        <f t="array" ref="AC268">IFERROR(ROUND(IF(BB268&lt;&gt;"", "", INDEX('M04-S10'!$AI$18:$AI$199,2*(ROWS(AC$259:AC268)-1)+1)),2),"")</f>
        <v>0</v>
      </c>
      <c r="AD268" s="9" cm="1">
        <f t="array" ref="AD268">IFERROR(ROUND(IF(BB268&lt;&gt;"", "", INDEX('M04-S10'!$AK$18:$AK$199,2*(ROWS(AD$259:AD268)-1)+1)),2),"")</f>
        <v>0</v>
      </c>
      <c r="AE268" s="9" t="str" cm="1">
        <f t="array" ref="AE268">IFERROR(ROUND(IF(BB268&lt;&gt;"", "", INDEX('M04-S10'!$BL$18:$BL$199,2*(ROWS(AG$259:AG268)-1)+1)),2),"")</f>
        <v/>
      </c>
      <c r="AF268" t="str">
        <f t="shared" si="46"/>
        <v>Incremental</v>
      </c>
      <c r="AG268" s="9" t="str" cm="1">
        <f t="array" ref="AG268">IFERROR(ROUND(IF(BB268&lt;&gt;"", "", INDEX('M04-S10'!$BL$18:$BL$199,2*(ROWS(AG$259:AG268)-1)+1)),2),"")</f>
        <v/>
      </c>
      <c r="AH268" s="184"/>
      <c r="AI268" s="184"/>
      <c r="AJ268" s="32" t="str" cm="1">
        <f t="array" ref="AJ268">IFERROR(ROUND(IF(BB268&lt;&gt;"", "", INDEX('M04-S10'!$BE$18:$BE$199,2*(ROWS(AJ$259:AJ268)-1)+1)),4),"")</f>
        <v/>
      </c>
      <c r="AK268" s="184"/>
      <c r="AL268" s="32" t="str" cm="1">
        <f t="array" ref="AL268">IFERROR(ROUND(IF(BB268&lt;&gt;"", "", INDEX('M04-S10'!$BG$18:$BG$199,2*(ROWS(AL$259:AL268)-1)+1)),4),"")</f>
        <v/>
      </c>
      <c r="AM268" s="32" t="str">
        <f>IFERROR(ROUND(INDEX('M04-S10'!$BA$18:$BA$199,2*(ROWS(AM$259:AM268)-1)+1),4),"")</f>
        <v/>
      </c>
      <c r="AN268" s="32" t="str">
        <f>IFERROR(ROUND(INDEX('M04-S10'!$BB$18:$BB$199,2*(ROWS(AN$259:AN268)-1)+1),4),"")</f>
        <v/>
      </c>
      <c r="AO268" s="184"/>
      <c r="AP268" s="9" t="str">
        <f>IFERROR(ROUND(IF(BB268&lt;&gt;"",INDEX('M04-S10'!$AI$18:$AI$199,2*(ROWS(AP$259:AP268)-1)+1),""),2),"")</f>
        <v/>
      </c>
      <c r="AQ268" s="9" t="str">
        <f>IFERROR(ROUND(IF(BB268&lt;&gt;"",INDEX('M04-S10'!$AK$18:$AK$199,2*(ROWS(AQ$259:AQ268)-1)+1),""),2),"")</f>
        <v/>
      </c>
      <c r="AR268" s="9" t="str" cm="1">
        <f t="array" ref="AR268">IFERROR(ROUND(IF(BB268&lt;&gt;"", INDEX('M04-S10'!$BL$18:$BL$199,2*(ROWS(AG$259:AG268)-1)+1), ""),2),"")</f>
        <v/>
      </c>
      <c r="AS268" t="str">
        <f t="shared" si="47"/>
        <v/>
      </c>
      <c r="AT268" s="9" t="str" cm="1">
        <f t="array" ref="AT268">IFERROR(ROUND(IF(BB268&lt;&gt;"", INDEX('M04-S10'!$BL$18:$BL$199,2*(ROWS(AG$259:AG268)-1)+1), ""),2),"")</f>
        <v/>
      </c>
      <c r="AU268" s="184"/>
      <c r="AV268" s="5" t="str">
        <f>IFERROR(IF(BB268&lt;&gt;"",ROUND(INDEX('M04-S10'!$V$18:$V$199,2*(ROWS(AV$259:AV268)-1)+1),3),""),"")</f>
        <v/>
      </c>
      <c r="AW268" s="5" t="str">
        <f>IFERROR(IF(BB268&lt;&gt;"",ROUND(INDEX('M04-S10'!$V$18:$V$199,2*(ROWS(AW$259:AW268)-1)+1),3),""),"")</f>
        <v/>
      </c>
      <c r="AX268" s="184"/>
      <c r="AY268" s="26" t="str">
        <f>IFERROR(IF(BB268&lt;&gt;"",INDEX('M04-S10'!$BE$18:$BE$199,2*(ROWS(AY$259:AY268)-1)+1),""),"")</f>
        <v/>
      </c>
      <c r="AZ268" s="184"/>
      <c r="BA268" s="32" t="str">
        <f>IFERROR(IF(BB268&lt;&gt;"",INDEX('M04-S10'!$BG$18:$BG$199,2*(ROWS(BA$259:BA268)-1)+1),""),"")</f>
        <v/>
      </c>
      <c r="BB268" t="str">
        <f>IFERROR(INDEX('M04-S10'!$BY$18:$BY$199,2*(ROWS(BB$259:BB268)-1)+1),"")</f>
        <v/>
      </c>
    </row>
    <row r="269" spans="1:54">
      <c r="A269" s="10">
        <f t="shared" si="43"/>
        <v>0</v>
      </c>
      <c r="B269" t="str">
        <f t="shared" si="45"/>
        <v/>
      </c>
      <c r="C269" t="str" cm="1">
        <f t="array" ref="C269">IFERROR(_xlfn.VALUETOTEXT(INDEX('M04-S10'!$BW$18:$BW$199,2*(ROWS($C$259:C269)-1)+1)),"")</f>
        <v/>
      </c>
      <c r="D269">
        <f>IFERROR(INDEX('M04-S10'!$B$18:$B$199,2*(ROWS(D$259:D269)-1)+1),"")</f>
        <v>11</v>
      </c>
      <c r="E269" s="51" t="str" cm="1">
        <f t="array" ref="E269">IFERROR(_xlfn.VALUETOTEXT(INDEX('M04-S10'!$BX$18:$BX$199,2*(ROWS($E$259:E269)-1)+1)),"")</f>
        <v/>
      </c>
      <c r="F269" t="str" cm="1">
        <f t="array" ref="F269">IF(C269&lt;&gt;"", _xlfn.SWITCH(Program_Banner, "Small Business / Non-Profit", "Hard-To-Reach Business", "Business Energy Savings", "Whole Business Efficiency", ""), "")</f>
        <v/>
      </c>
      <c r="G269" t="s">
        <v>2779</v>
      </c>
      <c r="H269" t="str">
        <f>IFERROR(INDEX('M04-S10'!$BC$18:$BC$199,2*(ROWS($H$259:H269)-1)+1),"")</f>
        <v/>
      </c>
      <c r="I269" t="str">
        <f>IFERROR(INDEX('M04-S10'!$BJ$18:$BJ$199,2*(ROWS(I$259:I269)-1)+1),"")</f>
        <v/>
      </c>
      <c r="J269" s="9" t="str">
        <f>IFERROR(INDEX('M04-S10'!$BN$18:$BN$199,2*(ROWS(J$259:J269)-1)+1),"")</f>
        <v/>
      </c>
      <c r="K269" s="9" t="str">
        <f>IFERROR(INDEX('M04-S10'!$BO$18:$BO$199,2*(ROWS(K$259:K269)-1)+1),"")</f>
        <v/>
      </c>
      <c r="L269" s="51" t="str">
        <f>IFERROR(INDEX('M04-S10'!$BD$18:$BD$199,2*(ROWS(L$259:L269)-1)+1),"")</f>
        <v/>
      </c>
      <c r="M269" s="51">
        <f>IFERROR(INDEX('M04-S10'!$AG$18:$AG$199,2*(ROWS($M$259:M269)-1)+1),"")</f>
        <v>0</v>
      </c>
      <c r="O269">
        <f>IFERROR(INDEX('M04-S10'!$G$18:$G$199,2*(ROWS(O$259:O269)-1)+1),"")</f>
        <v>0</v>
      </c>
      <c r="P269">
        <f>IFERROR(INDEX('M04-S10'!$O$18:$O$199,2*(ROWS(P$259:P269)-1)+1),"")</f>
        <v>0</v>
      </c>
      <c r="Q269">
        <f>IFERROR(INDEX('M04-S10'!$AC$18:$AC$199,2*(ROWS(Q$259:Q269)-1)+1),"")</f>
        <v>0</v>
      </c>
      <c r="R269">
        <f>IFERROR(INDEX('M04-S10'!$Z$18:$Z$199,2*(ROWS(R$259:R269)-1)+1),"")</f>
        <v>0</v>
      </c>
      <c r="S269" t="str">
        <f>IFERROR(INDEX('M04-S10'!$AX$18:$AX$199,2*(ROWS(S$259:S269)-1)+1),"")</f>
        <v/>
      </c>
      <c r="T269" s="545" t="str" cm="1">
        <f t="array" ref="T269">IFERROR(ROUND(IF(BB269&lt;&gt;"", "", INDEX('M04-S10'!$AY$18:$AY$199,2*(ROWS(T$259:T269)-1)+1)),3),"")</f>
        <v/>
      </c>
      <c r="U269" s="545" t="str" cm="1">
        <f t="array" ref="U269">IFERROR(ROUND(IF(BB269&lt;&gt;"", "", INDEX('M04-S10'!$AZ$18:$AZ$199,2*(ROWS(U$259:U269)-1)+1)),3),"")</f>
        <v/>
      </c>
      <c r="V269" s="26">
        <f>IFERROR(INDEX('M04-S10'!$X$18:$X$199,2*(ROWS($G$259:V269)-1)+1),"")</f>
        <v>0</v>
      </c>
      <c r="W269" s="27" t="str">
        <f>IFERROR(INDEX('M04-S10'!$R$18:$R$199,2*(ROWS(W$259:W269)-1)+1),"")</f>
        <v/>
      </c>
      <c r="X269" s="27" t="str">
        <f>IFERROR(INDEX('M04-S10'!$T$18:$T$199,2*(ROWS(X$259:X269)-1)+1),"")</f>
        <v/>
      </c>
      <c r="Y269" s="184"/>
      <c r="Z269" s="184"/>
      <c r="AA269" s="9" t="str" cm="1">
        <f t="array" ref="AA269">IFERROR(ROUND(INDEX('M04-S10'!$AR$18:$AR$199,2*(ROWS(AA$259:AA269)-1)+1), 2),"")</f>
        <v/>
      </c>
      <c r="AB269" s="9" t="str" cm="1">
        <f t="array" ref="AB269">_xlfn.LET(_xlpm.ROWS, 2*(ROWS(AB$259:AB269)-1)+1,IFERROR(INDEX('M04-S10'!$AR$18:$AR$199, _xlpm.ROWS)-INDEX('M04-S10'!$BS$18:$BS$199, _xlpm.ROWS),""))</f>
        <v/>
      </c>
      <c r="AC269" s="9" cm="1">
        <f t="array" ref="AC269">IFERROR(ROUND(IF(BB269&lt;&gt;"", "", INDEX('M04-S10'!$AI$18:$AI$199,2*(ROWS(AC$259:AC269)-1)+1)),2),"")</f>
        <v>0</v>
      </c>
      <c r="AD269" s="9" cm="1">
        <f t="array" ref="AD269">IFERROR(ROUND(IF(BB269&lt;&gt;"", "", INDEX('M04-S10'!$AK$18:$AK$199,2*(ROWS(AD$259:AD269)-1)+1)),2),"")</f>
        <v>0</v>
      </c>
      <c r="AE269" s="9" t="str" cm="1">
        <f t="array" ref="AE269">IFERROR(ROUND(IF(BB269&lt;&gt;"", "", INDEX('M04-S10'!$BL$18:$BL$199,2*(ROWS(AG$259:AG269)-1)+1)),2),"")</f>
        <v/>
      </c>
      <c r="AF269" t="str">
        <f t="shared" si="46"/>
        <v>Incremental</v>
      </c>
      <c r="AG269" s="9" t="str" cm="1">
        <f t="array" ref="AG269">IFERROR(ROUND(IF(BB269&lt;&gt;"", "", INDEX('M04-S10'!$BL$18:$BL$199,2*(ROWS(AG$259:AG269)-1)+1)),2),"")</f>
        <v/>
      </c>
      <c r="AH269" s="184"/>
      <c r="AI269" s="184"/>
      <c r="AJ269" s="32" t="str" cm="1">
        <f t="array" ref="AJ269">IFERROR(ROUND(IF(BB269&lt;&gt;"", "", INDEX('M04-S10'!$BE$18:$BE$199,2*(ROWS(AJ$259:AJ269)-1)+1)),4),"")</f>
        <v/>
      </c>
      <c r="AK269" s="184"/>
      <c r="AL269" s="32" t="str" cm="1">
        <f t="array" ref="AL269">IFERROR(ROUND(IF(BB269&lt;&gt;"", "", INDEX('M04-S10'!$BG$18:$BG$199,2*(ROWS(AL$259:AL269)-1)+1)),4),"")</f>
        <v/>
      </c>
      <c r="AM269" s="32" t="str">
        <f>IFERROR(ROUND(INDEX('M04-S10'!$BA$18:$BA$199,2*(ROWS(AM$259:AM269)-1)+1),4),"")</f>
        <v/>
      </c>
      <c r="AN269" s="32" t="str">
        <f>IFERROR(ROUND(INDEX('M04-S10'!$BB$18:$BB$199,2*(ROWS(AN$259:AN269)-1)+1),4),"")</f>
        <v/>
      </c>
      <c r="AO269" s="184"/>
      <c r="AP269" s="9" t="str">
        <f>IFERROR(ROUND(IF(BB269&lt;&gt;"",INDEX('M04-S10'!$AI$18:$AI$199,2*(ROWS(AP$259:AP269)-1)+1),""),2),"")</f>
        <v/>
      </c>
      <c r="AQ269" s="9" t="str">
        <f>IFERROR(ROUND(IF(BB269&lt;&gt;"",INDEX('M04-S10'!$AK$18:$AK$199,2*(ROWS(AQ$259:AQ269)-1)+1),""),2),"")</f>
        <v/>
      </c>
      <c r="AR269" s="9" t="str" cm="1">
        <f t="array" ref="AR269">IFERROR(ROUND(IF(BB269&lt;&gt;"", INDEX('M04-S10'!$BL$18:$BL$199,2*(ROWS(AG$259:AG269)-1)+1), ""),2),"")</f>
        <v/>
      </c>
      <c r="AS269" t="str">
        <f t="shared" si="47"/>
        <v/>
      </c>
      <c r="AT269" s="9" t="str" cm="1">
        <f t="array" ref="AT269">IFERROR(ROUND(IF(BB269&lt;&gt;"", INDEX('M04-S10'!$BL$18:$BL$199,2*(ROWS(AG$259:AG269)-1)+1), ""),2),"")</f>
        <v/>
      </c>
      <c r="AU269" s="184"/>
      <c r="AV269" s="5" t="str">
        <f>IFERROR(IF(BB269&lt;&gt;"",ROUND(INDEX('M04-S10'!$V$18:$V$199,2*(ROWS(AV$259:AV269)-1)+1),3),""),"")</f>
        <v/>
      </c>
      <c r="AW269" s="5" t="str">
        <f>IFERROR(IF(BB269&lt;&gt;"",ROUND(INDEX('M04-S10'!$V$18:$V$199,2*(ROWS(AW$259:AW269)-1)+1),3),""),"")</f>
        <v/>
      </c>
      <c r="AX269" s="184"/>
      <c r="AY269" s="26" t="str">
        <f>IFERROR(IF(BB269&lt;&gt;"",INDEX('M04-S10'!$BE$18:$BE$199,2*(ROWS(AY$259:AY269)-1)+1),""),"")</f>
        <v/>
      </c>
      <c r="AZ269" s="184"/>
      <c r="BA269" s="32" t="str">
        <f>IFERROR(IF(BB269&lt;&gt;"",INDEX('M04-S10'!$BG$18:$BG$199,2*(ROWS(BA$259:BA269)-1)+1),""),"")</f>
        <v/>
      </c>
      <c r="BB269" t="str">
        <f>IFERROR(INDEX('M04-S10'!$BY$18:$BY$199,2*(ROWS(BB$259:BB269)-1)+1),"")</f>
        <v/>
      </c>
    </row>
    <row r="270" spans="1:54">
      <c r="A270" s="10">
        <f t="shared" si="43"/>
        <v>0</v>
      </c>
      <c r="B270" t="str">
        <f t="shared" si="45"/>
        <v/>
      </c>
      <c r="C270" t="str" cm="1">
        <f t="array" ref="C270">IFERROR(_xlfn.VALUETOTEXT(INDEX('M04-S10'!$BW$18:$BW$199,2*(ROWS($C$259:C270)-1)+1)),"")</f>
        <v/>
      </c>
      <c r="D270">
        <f>IFERROR(INDEX('M04-S10'!$B$18:$B$199,2*(ROWS(D$259:D270)-1)+1),"")</f>
        <v>12</v>
      </c>
      <c r="E270" s="51" t="str" cm="1">
        <f t="array" ref="E270">IFERROR(_xlfn.VALUETOTEXT(INDEX('M04-S10'!$BX$18:$BX$199,2*(ROWS($E$259:E270)-1)+1)),"")</f>
        <v/>
      </c>
      <c r="F270" t="str" cm="1">
        <f t="array" ref="F270">IF(C270&lt;&gt;"", _xlfn.SWITCH(Program_Banner, "Small Business / Non-Profit", "Hard-To-Reach Business", "Business Energy Savings", "Whole Business Efficiency", ""), "")</f>
        <v/>
      </c>
      <c r="G270" t="s">
        <v>2779</v>
      </c>
      <c r="H270" t="str">
        <f>IFERROR(INDEX('M04-S10'!$BC$18:$BC$199,2*(ROWS($H$259:H270)-1)+1),"")</f>
        <v/>
      </c>
      <c r="I270" t="str">
        <f>IFERROR(INDEX('M04-S10'!$BJ$18:$BJ$199,2*(ROWS(I$259:I270)-1)+1),"")</f>
        <v/>
      </c>
      <c r="J270" s="9" t="str">
        <f>IFERROR(INDEX('M04-S10'!$BN$18:$BN$199,2*(ROWS(J$259:J270)-1)+1),"")</f>
        <v/>
      </c>
      <c r="K270" s="9" t="str">
        <f>IFERROR(INDEX('M04-S10'!$BO$18:$BO$199,2*(ROWS(K$259:K270)-1)+1),"")</f>
        <v/>
      </c>
      <c r="L270" s="51" t="str">
        <f>IFERROR(INDEX('M04-S10'!$BD$18:$BD$199,2*(ROWS(L$259:L270)-1)+1),"")</f>
        <v/>
      </c>
      <c r="M270" s="51">
        <f>IFERROR(INDEX('M04-S10'!$AG$18:$AG$199,2*(ROWS($M$259:M270)-1)+1),"")</f>
        <v>0</v>
      </c>
      <c r="O270">
        <f>IFERROR(INDEX('M04-S10'!$G$18:$G$199,2*(ROWS(O$259:O270)-1)+1),"")</f>
        <v>0</v>
      </c>
      <c r="P270">
        <f>IFERROR(INDEX('M04-S10'!$O$18:$O$199,2*(ROWS(P$259:P270)-1)+1),"")</f>
        <v>0</v>
      </c>
      <c r="Q270">
        <f>IFERROR(INDEX('M04-S10'!$AC$18:$AC$199,2*(ROWS(Q$259:Q270)-1)+1),"")</f>
        <v>0</v>
      </c>
      <c r="R270">
        <f>IFERROR(INDEX('M04-S10'!$Z$18:$Z$199,2*(ROWS(R$259:R270)-1)+1),"")</f>
        <v>0</v>
      </c>
      <c r="S270" t="str">
        <f>IFERROR(INDEX('M04-S10'!$AX$18:$AX$199,2*(ROWS(S$259:S270)-1)+1),"")</f>
        <v/>
      </c>
      <c r="T270" s="545" t="str" cm="1">
        <f t="array" ref="T270">IFERROR(ROUND(IF(BB270&lt;&gt;"", "", INDEX('M04-S10'!$AY$18:$AY$199,2*(ROWS(T$259:T270)-1)+1)),3),"")</f>
        <v/>
      </c>
      <c r="U270" s="545" t="str" cm="1">
        <f t="array" ref="U270">IFERROR(ROUND(IF(BB270&lt;&gt;"", "", INDEX('M04-S10'!$AZ$18:$AZ$199,2*(ROWS(U$259:U270)-1)+1)),3),"")</f>
        <v/>
      </c>
      <c r="V270" s="26">
        <f>IFERROR(INDEX('M04-S10'!$X$18:$X$199,2*(ROWS($G$259:V270)-1)+1),"")</f>
        <v>0</v>
      </c>
      <c r="W270" s="27" t="str">
        <f>IFERROR(INDEX('M04-S10'!$R$18:$R$199,2*(ROWS(W$259:W270)-1)+1),"")</f>
        <v/>
      </c>
      <c r="X270" s="27" t="str">
        <f>IFERROR(INDEX('M04-S10'!$T$18:$T$199,2*(ROWS(X$259:X270)-1)+1),"")</f>
        <v/>
      </c>
      <c r="Y270" s="184"/>
      <c r="Z270" s="184"/>
      <c r="AA270" s="9" t="str" cm="1">
        <f t="array" ref="AA270">IFERROR(ROUND(INDEX('M04-S10'!$AR$18:$AR$199,2*(ROWS(AA$259:AA270)-1)+1), 2),"")</f>
        <v/>
      </c>
      <c r="AB270" s="9" t="str" cm="1">
        <f t="array" ref="AB270">_xlfn.LET(_xlpm.ROWS, 2*(ROWS(AB$259:AB270)-1)+1,IFERROR(INDEX('M04-S10'!$AR$18:$AR$199, _xlpm.ROWS)-INDEX('M04-S10'!$BS$18:$BS$199, _xlpm.ROWS),""))</f>
        <v/>
      </c>
      <c r="AC270" s="9" cm="1">
        <f t="array" ref="AC270">IFERROR(ROUND(IF(BB270&lt;&gt;"", "", INDEX('M04-S10'!$AI$18:$AI$199,2*(ROWS(AC$259:AC270)-1)+1)),2),"")</f>
        <v>0</v>
      </c>
      <c r="AD270" s="9" cm="1">
        <f t="array" ref="AD270">IFERROR(ROUND(IF(BB270&lt;&gt;"", "", INDEX('M04-S10'!$AK$18:$AK$199,2*(ROWS(AD$259:AD270)-1)+1)),2),"")</f>
        <v>0</v>
      </c>
      <c r="AE270" s="9" t="str" cm="1">
        <f t="array" ref="AE270">IFERROR(ROUND(IF(BB270&lt;&gt;"", "", INDEX('M04-S10'!$BL$18:$BL$199,2*(ROWS(AG$259:AG270)-1)+1)),2),"")</f>
        <v/>
      </c>
      <c r="AF270" t="str">
        <f t="shared" si="46"/>
        <v>Incremental</v>
      </c>
      <c r="AG270" s="9" t="str" cm="1">
        <f t="array" ref="AG270">IFERROR(ROUND(IF(BB270&lt;&gt;"", "", INDEX('M04-S10'!$BL$18:$BL$199,2*(ROWS(AG$259:AG270)-1)+1)),2),"")</f>
        <v/>
      </c>
      <c r="AH270" s="184"/>
      <c r="AI270" s="184"/>
      <c r="AJ270" s="32" t="str" cm="1">
        <f t="array" ref="AJ270">IFERROR(ROUND(IF(BB270&lt;&gt;"", "", INDEX('M04-S10'!$BE$18:$BE$199,2*(ROWS(AJ$259:AJ270)-1)+1)),4),"")</f>
        <v/>
      </c>
      <c r="AK270" s="184"/>
      <c r="AL270" s="32" t="str" cm="1">
        <f t="array" ref="AL270">IFERROR(ROUND(IF(BB270&lt;&gt;"", "", INDEX('M04-S10'!$BG$18:$BG$199,2*(ROWS(AL$259:AL270)-1)+1)),4),"")</f>
        <v/>
      </c>
      <c r="AM270" s="32" t="str">
        <f>IFERROR(ROUND(INDEX('M04-S10'!$BA$18:$BA$199,2*(ROWS(AM$259:AM270)-1)+1),4),"")</f>
        <v/>
      </c>
      <c r="AN270" s="32" t="str">
        <f>IFERROR(ROUND(INDEX('M04-S10'!$BB$18:$BB$199,2*(ROWS(AN$259:AN270)-1)+1),4),"")</f>
        <v/>
      </c>
      <c r="AO270" s="184"/>
      <c r="AP270" s="9" t="str">
        <f>IFERROR(ROUND(IF(BB270&lt;&gt;"",INDEX('M04-S10'!$AI$18:$AI$199,2*(ROWS(AP$259:AP270)-1)+1),""),2),"")</f>
        <v/>
      </c>
      <c r="AQ270" s="9" t="str">
        <f>IFERROR(ROUND(IF(BB270&lt;&gt;"",INDEX('M04-S10'!$AK$18:$AK$199,2*(ROWS(AQ$259:AQ270)-1)+1),""),2),"")</f>
        <v/>
      </c>
      <c r="AR270" s="9" t="str" cm="1">
        <f t="array" ref="AR270">IFERROR(ROUND(IF(BB270&lt;&gt;"", INDEX('M04-S10'!$BL$18:$BL$199,2*(ROWS(AG$259:AG270)-1)+1), ""),2),"")</f>
        <v/>
      </c>
      <c r="AS270" t="str">
        <f t="shared" si="47"/>
        <v/>
      </c>
      <c r="AT270" s="9" t="str" cm="1">
        <f t="array" ref="AT270">IFERROR(ROUND(IF(BB270&lt;&gt;"", INDEX('M04-S10'!$BL$18:$BL$199,2*(ROWS(AG$259:AG270)-1)+1), ""),2),"")</f>
        <v/>
      </c>
      <c r="AU270" s="184"/>
      <c r="AV270" s="5" t="str">
        <f>IFERROR(IF(BB270&lt;&gt;"",ROUND(INDEX('M04-S10'!$V$18:$V$199,2*(ROWS(AV$259:AV270)-1)+1),3),""),"")</f>
        <v/>
      </c>
      <c r="AW270" s="5" t="str">
        <f>IFERROR(IF(BB270&lt;&gt;"",ROUND(INDEX('M04-S10'!$V$18:$V$199,2*(ROWS(AW$259:AW270)-1)+1),3),""),"")</f>
        <v/>
      </c>
      <c r="AX270" s="184"/>
      <c r="AY270" s="26" t="str">
        <f>IFERROR(IF(BB270&lt;&gt;"",INDEX('M04-S10'!$BE$18:$BE$199,2*(ROWS(AY$259:AY270)-1)+1),""),"")</f>
        <v/>
      </c>
      <c r="AZ270" s="184"/>
      <c r="BA270" s="32" t="str">
        <f>IFERROR(IF(BB270&lt;&gt;"",INDEX('M04-S10'!$BG$18:$BG$199,2*(ROWS(BA$259:BA270)-1)+1),""),"")</f>
        <v/>
      </c>
      <c r="BB270" t="str">
        <f>IFERROR(INDEX('M04-S10'!$BY$18:$BY$199,2*(ROWS(BB$259:BB270)-1)+1),"")</f>
        <v/>
      </c>
    </row>
    <row r="271" spans="1:54">
      <c r="A271" s="10">
        <f t="shared" si="43"/>
        <v>0</v>
      </c>
      <c r="B271" t="str">
        <f t="shared" si="45"/>
        <v/>
      </c>
      <c r="C271" t="str" cm="1">
        <f t="array" ref="C271">IFERROR(_xlfn.VALUETOTEXT(INDEX('M04-S10'!$BW$18:$BW$199,2*(ROWS($C$259:C271)-1)+1)),"")</f>
        <v/>
      </c>
      <c r="D271">
        <f>IFERROR(INDEX('M04-S10'!$B$18:$B$199,2*(ROWS(D$259:D271)-1)+1),"")</f>
        <v>13</v>
      </c>
      <c r="E271" s="51" t="str" cm="1">
        <f t="array" ref="E271">IFERROR(_xlfn.VALUETOTEXT(INDEX('M04-S10'!$BX$18:$BX$199,2*(ROWS($E$259:E271)-1)+1)),"")</f>
        <v/>
      </c>
      <c r="F271" t="str" cm="1">
        <f t="array" ref="F271">IF(C271&lt;&gt;"", _xlfn.SWITCH(Program_Banner, "Small Business / Non-Profit", "Hard-To-Reach Business", "Business Energy Savings", "Whole Business Efficiency", ""), "")</f>
        <v/>
      </c>
      <c r="G271" t="s">
        <v>2779</v>
      </c>
      <c r="H271" t="str">
        <f>IFERROR(INDEX('M04-S10'!$BC$18:$BC$199,2*(ROWS($H$259:H271)-1)+1),"")</f>
        <v/>
      </c>
      <c r="I271" t="str">
        <f>IFERROR(INDEX('M04-S10'!$BJ$18:$BJ$199,2*(ROWS(I$259:I271)-1)+1),"")</f>
        <v/>
      </c>
      <c r="J271" s="9" t="str">
        <f>IFERROR(INDEX('M04-S10'!$BN$18:$BN$199,2*(ROWS(J$259:J271)-1)+1),"")</f>
        <v/>
      </c>
      <c r="K271" s="9" t="str">
        <f>IFERROR(INDEX('M04-S10'!$BO$18:$BO$199,2*(ROWS(K$259:K271)-1)+1),"")</f>
        <v/>
      </c>
      <c r="L271" s="51" t="str">
        <f>IFERROR(INDEX('M04-S10'!$BD$18:$BD$199,2*(ROWS(L$259:L271)-1)+1),"")</f>
        <v/>
      </c>
      <c r="M271" s="51">
        <f>IFERROR(INDEX('M04-S10'!$AG$18:$AG$199,2*(ROWS($M$259:M271)-1)+1),"")</f>
        <v>0</v>
      </c>
      <c r="O271">
        <f>IFERROR(INDEX('M04-S10'!$G$18:$G$199,2*(ROWS(O$259:O271)-1)+1),"")</f>
        <v>0</v>
      </c>
      <c r="P271">
        <f>IFERROR(INDEX('M04-S10'!$O$18:$O$199,2*(ROWS(P$259:P271)-1)+1),"")</f>
        <v>0</v>
      </c>
      <c r="Q271">
        <f>IFERROR(INDEX('M04-S10'!$AC$18:$AC$199,2*(ROWS(Q$259:Q271)-1)+1),"")</f>
        <v>0</v>
      </c>
      <c r="R271">
        <f>IFERROR(INDEX('M04-S10'!$Z$18:$Z$199,2*(ROWS(R$259:R271)-1)+1),"")</f>
        <v>0</v>
      </c>
      <c r="S271" t="str">
        <f>IFERROR(INDEX('M04-S10'!$AX$18:$AX$199,2*(ROWS(S$259:S271)-1)+1),"")</f>
        <v/>
      </c>
      <c r="T271" s="545" t="str" cm="1">
        <f t="array" ref="T271">IFERROR(ROUND(IF(BB271&lt;&gt;"", "", INDEX('M04-S10'!$AY$18:$AY$199,2*(ROWS(T$259:T271)-1)+1)),3),"")</f>
        <v/>
      </c>
      <c r="U271" s="545" t="str" cm="1">
        <f t="array" ref="U271">IFERROR(ROUND(IF(BB271&lt;&gt;"", "", INDEX('M04-S10'!$AZ$18:$AZ$199,2*(ROWS(U$259:U271)-1)+1)),3),"")</f>
        <v/>
      </c>
      <c r="V271" s="26">
        <f>IFERROR(INDEX('M04-S10'!$X$18:$X$199,2*(ROWS($G$259:V271)-1)+1),"")</f>
        <v>0</v>
      </c>
      <c r="W271" s="27" t="str">
        <f>IFERROR(INDEX('M04-S10'!$R$18:$R$199,2*(ROWS(W$259:W271)-1)+1),"")</f>
        <v/>
      </c>
      <c r="X271" s="27" t="str">
        <f>IFERROR(INDEX('M04-S10'!$T$18:$T$199,2*(ROWS(X$259:X271)-1)+1),"")</f>
        <v/>
      </c>
      <c r="Y271" s="184"/>
      <c r="Z271" s="184"/>
      <c r="AA271" s="9" t="str" cm="1">
        <f t="array" ref="AA271">IFERROR(ROUND(INDEX('M04-S10'!$AR$18:$AR$199,2*(ROWS(AA$259:AA271)-1)+1), 2),"")</f>
        <v/>
      </c>
      <c r="AB271" s="9" t="str" cm="1">
        <f t="array" ref="AB271">_xlfn.LET(_xlpm.ROWS, 2*(ROWS(AB$259:AB271)-1)+1,IFERROR(INDEX('M04-S10'!$AR$18:$AR$199, _xlpm.ROWS)-INDEX('M04-S10'!$BS$18:$BS$199, _xlpm.ROWS),""))</f>
        <v/>
      </c>
      <c r="AC271" s="9" cm="1">
        <f t="array" ref="AC271">IFERROR(ROUND(IF(BB271&lt;&gt;"", "", INDEX('M04-S10'!$AI$18:$AI$199,2*(ROWS(AC$259:AC271)-1)+1)),2),"")</f>
        <v>0</v>
      </c>
      <c r="AD271" s="9" cm="1">
        <f t="array" ref="AD271">IFERROR(ROUND(IF(BB271&lt;&gt;"", "", INDEX('M04-S10'!$AK$18:$AK$199,2*(ROWS(AD$259:AD271)-1)+1)),2),"")</f>
        <v>0</v>
      </c>
      <c r="AE271" s="9" t="str" cm="1">
        <f t="array" ref="AE271">IFERROR(ROUND(IF(BB271&lt;&gt;"", "", INDEX('M04-S10'!$BL$18:$BL$199,2*(ROWS(AG$259:AG271)-1)+1)),2),"")</f>
        <v/>
      </c>
      <c r="AF271" t="str">
        <f t="shared" si="46"/>
        <v>Incremental</v>
      </c>
      <c r="AG271" s="9" t="str" cm="1">
        <f t="array" ref="AG271">IFERROR(ROUND(IF(BB271&lt;&gt;"", "", INDEX('M04-S10'!$BL$18:$BL$199,2*(ROWS(AG$259:AG271)-1)+1)),2),"")</f>
        <v/>
      </c>
      <c r="AH271" s="184"/>
      <c r="AI271" s="184"/>
      <c r="AJ271" s="32" t="str" cm="1">
        <f t="array" ref="AJ271">IFERROR(ROUND(IF(BB271&lt;&gt;"", "", INDEX('M04-S10'!$BE$18:$BE$199,2*(ROWS(AJ$259:AJ271)-1)+1)),4),"")</f>
        <v/>
      </c>
      <c r="AK271" s="184"/>
      <c r="AL271" s="32" t="str" cm="1">
        <f t="array" ref="AL271">IFERROR(ROUND(IF(BB271&lt;&gt;"", "", INDEX('M04-S10'!$BG$18:$BG$199,2*(ROWS(AL$259:AL271)-1)+1)),4),"")</f>
        <v/>
      </c>
      <c r="AM271" s="32" t="str">
        <f>IFERROR(ROUND(INDEX('M04-S10'!$BA$18:$BA$199,2*(ROWS(AM$259:AM271)-1)+1),4),"")</f>
        <v/>
      </c>
      <c r="AN271" s="32" t="str">
        <f>IFERROR(ROUND(INDEX('M04-S10'!$BB$18:$BB$199,2*(ROWS(AN$259:AN271)-1)+1),4),"")</f>
        <v/>
      </c>
      <c r="AO271" s="184"/>
      <c r="AP271" s="9" t="str">
        <f>IFERROR(ROUND(IF(BB271&lt;&gt;"",INDEX('M04-S10'!$AI$18:$AI$199,2*(ROWS(AP$259:AP271)-1)+1),""),2),"")</f>
        <v/>
      </c>
      <c r="AQ271" s="9" t="str">
        <f>IFERROR(ROUND(IF(BB271&lt;&gt;"",INDEX('M04-S10'!$AK$18:$AK$199,2*(ROWS(AQ$259:AQ271)-1)+1),""),2),"")</f>
        <v/>
      </c>
      <c r="AR271" s="9" t="str" cm="1">
        <f t="array" ref="AR271">IFERROR(ROUND(IF(BB271&lt;&gt;"", INDEX('M04-S10'!$BL$18:$BL$199,2*(ROWS(AG$259:AG271)-1)+1), ""),2),"")</f>
        <v/>
      </c>
      <c r="AS271" t="str">
        <f t="shared" si="47"/>
        <v/>
      </c>
      <c r="AT271" s="9" t="str" cm="1">
        <f t="array" ref="AT271">IFERROR(ROUND(IF(BB271&lt;&gt;"", INDEX('M04-S10'!$BL$18:$BL$199,2*(ROWS(AG$259:AG271)-1)+1), ""),2),"")</f>
        <v/>
      </c>
      <c r="AU271" s="184"/>
      <c r="AV271" s="5" t="str">
        <f>IFERROR(IF(BB271&lt;&gt;"",ROUND(INDEX('M04-S10'!$V$18:$V$199,2*(ROWS(AV$259:AV271)-1)+1),3),""),"")</f>
        <v/>
      </c>
      <c r="AW271" s="5" t="str">
        <f>IFERROR(IF(BB271&lt;&gt;"",ROUND(INDEX('M04-S10'!$V$18:$V$199,2*(ROWS(AW$259:AW271)-1)+1),3),""),"")</f>
        <v/>
      </c>
      <c r="AX271" s="184"/>
      <c r="AY271" s="26" t="str">
        <f>IFERROR(IF(BB271&lt;&gt;"",INDEX('M04-S10'!$BE$18:$BE$199,2*(ROWS(AY$259:AY271)-1)+1),""),"")</f>
        <v/>
      </c>
      <c r="AZ271" s="184"/>
      <c r="BA271" s="32" t="str">
        <f>IFERROR(IF(BB271&lt;&gt;"",INDEX('M04-S10'!$BG$18:$BG$199,2*(ROWS(BA$259:BA271)-1)+1),""),"")</f>
        <v/>
      </c>
      <c r="BB271" t="str">
        <f>IFERROR(INDEX('M04-S10'!$BY$18:$BY$199,2*(ROWS(BB$259:BB271)-1)+1),"")</f>
        <v/>
      </c>
    </row>
    <row r="272" spans="1:54">
      <c r="A272" s="10">
        <f t="shared" si="43"/>
        <v>0</v>
      </c>
      <c r="B272" t="str">
        <f t="shared" si="45"/>
        <v/>
      </c>
      <c r="C272" t="str" cm="1">
        <f t="array" ref="C272">IFERROR(_xlfn.VALUETOTEXT(INDEX('M04-S10'!$BW$18:$BW$199,2*(ROWS($C$259:C272)-1)+1)),"")</f>
        <v/>
      </c>
      <c r="D272">
        <f>IFERROR(INDEX('M04-S10'!$B$18:$B$199,2*(ROWS(D$259:D272)-1)+1),"")</f>
        <v>14</v>
      </c>
      <c r="E272" s="51" t="str" cm="1">
        <f t="array" ref="E272">IFERROR(_xlfn.VALUETOTEXT(INDEX('M04-S10'!$BX$18:$BX$199,2*(ROWS($E$259:E272)-1)+1)),"")</f>
        <v/>
      </c>
      <c r="F272" t="str" cm="1">
        <f t="array" ref="F272">IF(C272&lt;&gt;"", _xlfn.SWITCH(Program_Banner, "Small Business / Non-Profit", "Hard-To-Reach Business", "Business Energy Savings", "Whole Business Efficiency", ""), "")</f>
        <v/>
      </c>
      <c r="G272" t="s">
        <v>2779</v>
      </c>
      <c r="H272" t="str">
        <f>IFERROR(INDEX('M04-S10'!$BC$18:$BC$199,2*(ROWS($H$259:H272)-1)+1),"")</f>
        <v/>
      </c>
      <c r="I272" t="str">
        <f>IFERROR(INDEX('M04-S10'!$BJ$18:$BJ$199,2*(ROWS(I$259:I272)-1)+1),"")</f>
        <v/>
      </c>
      <c r="J272" s="9" t="str">
        <f>IFERROR(INDEX('M04-S10'!$BN$18:$BN$199,2*(ROWS(J$259:J272)-1)+1),"")</f>
        <v/>
      </c>
      <c r="K272" s="9" t="str">
        <f>IFERROR(INDEX('M04-S10'!$BO$18:$BO$199,2*(ROWS(K$259:K272)-1)+1),"")</f>
        <v/>
      </c>
      <c r="L272" s="51" t="str">
        <f>IFERROR(INDEX('M04-S10'!$BD$18:$BD$199,2*(ROWS(L$259:L272)-1)+1),"")</f>
        <v/>
      </c>
      <c r="M272" s="51">
        <f>IFERROR(INDEX('M04-S10'!$AG$18:$AG$199,2*(ROWS($M$259:M272)-1)+1),"")</f>
        <v>0</v>
      </c>
      <c r="O272">
        <f>IFERROR(INDEX('M04-S10'!$G$18:$G$199,2*(ROWS(O$259:O272)-1)+1),"")</f>
        <v>0</v>
      </c>
      <c r="P272">
        <f>IFERROR(INDEX('M04-S10'!$O$18:$O$199,2*(ROWS(P$259:P272)-1)+1),"")</f>
        <v>0</v>
      </c>
      <c r="Q272">
        <f>IFERROR(INDEX('M04-S10'!$AC$18:$AC$199,2*(ROWS(Q$259:Q272)-1)+1),"")</f>
        <v>0</v>
      </c>
      <c r="R272">
        <f>IFERROR(INDEX('M04-S10'!$Z$18:$Z$199,2*(ROWS(R$259:R272)-1)+1),"")</f>
        <v>0</v>
      </c>
      <c r="S272" t="str">
        <f>IFERROR(INDEX('M04-S10'!$AX$18:$AX$199,2*(ROWS(S$259:S272)-1)+1),"")</f>
        <v/>
      </c>
      <c r="T272" s="545" t="str" cm="1">
        <f t="array" ref="T272">IFERROR(ROUND(IF(BB272&lt;&gt;"", "", INDEX('M04-S10'!$AY$18:$AY$199,2*(ROWS(T$259:T272)-1)+1)),3),"")</f>
        <v/>
      </c>
      <c r="U272" s="545" t="str" cm="1">
        <f t="array" ref="U272">IFERROR(ROUND(IF(BB272&lt;&gt;"", "", INDEX('M04-S10'!$AZ$18:$AZ$199,2*(ROWS(U$259:U272)-1)+1)),3),"")</f>
        <v/>
      </c>
      <c r="V272" s="26">
        <f>IFERROR(INDEX('M04-S10'!$X$18:$X$199,2*(ROWS($G$259:V272)-1)+1),"")</f>
        <v>0</v>
      </c>
      <c r="W272" s="27" t="str">
        <f>IFERROR(INDEX('M04-S10'!$R$18:$R$199,2*(ROWS(W$259:W272)-1)+1),"")</f>
        <v/>
      </c>
      <c r="X272" s="27" t="str">
        <f>IFERROR(INDEX('M04-S10'!$T$18:$T$199,2*(ROWS(X$259:X272)-1)+1),"")</f>
        <v/>
      </c>
      <c r="Y272" s="184"/>
      <c r="Z272" s="184"/>
      <c r="AA272" s="9" t="str" cm="1">
        <f t="array" ref="AA272">IFERROR(ROUND(INDEX('M04-S10'!$AR$18:$AR$199,2*(ROWS(AA$259:AA272)-1)+1), 2),"")</f>
        <v/>
      </c>
      <c r="AB272" s="9" t="str" cm="1">
        <f t="array" ref="AB272">_xlfn.LET(_xlpm.ROWS, 2*(ROWS(AB$259:AB272)-1)+1,IFERROR(INDEX('M04-S10'!$AR$18:$AR$199, _xlpm.ROWS)-INDEX('M04-S10'!$BS$18:$BS$199, _xlpm.ROWS),""))</f>
        <v/>
      </c>
      <c r="AC272" s="9" cm="1">
        <f t="array" ref="AC272">IFERROR(ROUND(IF(BB272&lt;&gt;"", "", INDEX('M04-S10'!$AI$18:$AI$199,2*(ROWS(AC$259:AC272)-1)+1)),2),"")</f>
        <v>0</v>
      </c>
      <c r="AD272" s="9" cm="1">
        <f t="array" ref="AD272">IFERROR(ROUND(IF(BB272&lt;&gt;"", "", INDEX('M04-S10'!$AK$18:$AK$199,2*(ROWS(AD$259:AD272)-1)+1)),2),"")</f>
        <v>0</v>
      </c>
      <c r="AE272" s="9" t="str" cm="1">
        <f t="array" ref="AE272">IFERROR(ROUND(IF(BB272&lt;&gt;"", "", INDEX('M04-S10'!$BL$18:$BL$199,2*(ROWS(AG$259:AG272)-1)+1)),2),"")</f>
        <v/>
      </c>
      <c r="AF272" t="str">
        <f t="shared" si="46"/>
        <v>Incremental</v>
      </c>
      <c r="AG272" s="9" t="str" cm="1">
        <f t="array" ref="AG272">IFERROR(ROUND(IF(BB272&lt;&gt;"", "", INDEX('M04-S10'!$BL$18:$BL$199,2*(ROWS(AG$259:AG272)-1)+1)),2),"")</f>
        <v/>
      </c>
      <c r="AH272" s="184"/>
      <c r="AI272" s="184"/>
      <c r="AJ272" s="32" t="str" cm="1">
        <f t="array" ref="AJ272">IFERROR(ROUND(IF(BB272&lt;&gt;"", "", INDEX('M04-S10'!$BE$18:$BE$199,2*(ROWS(AJ$259:AJ272)-1)+1)),4),"")</f>
        <v/>
      </c>
      <c r="AK272" s="184"/>
      <c r="AL272" s="32" t="str" cm="1">
        <f t="array" ref="AL272">IFERROR(ROUND(IF(BB272&lt;&gt;"", "", INDEX('M04-S10'!$BG$18:$BG$199,2*(ROWS(AL$259:AL272)-1)+1)),4),"")</f>
        <v/>
      </c>
      <c r="AM272" s="32" t="str">
        <f>IFERROR(ROUND(INDEX('M04-S10'!$BA$18:$BA$199,2*(ROWS(AM$259:AM272)-1)+1),4),"")</f>
        <v/>
      </c>
      <c r="AN272" s="32" t="str">
        <f>IFERROR(ROUND(INDEX('M04-S10'!$BB$18:$BB$199,2*(ROWS(AN$259:AN272)-1)+1),4),"")</f>
        <v/>
      </c>
      <c r="AO272" s="184"/>
      <c r="AP272" s="9" t="str">
        <f>IFERROR(ROUND(IF(BB272&lt;&gt;"",INDEX('M04-S10'!$AI$18:$AI$199,2*(ROWS(AP$259:AP272)-1)+1),""),2),"")</f>
        <v/>
      </c>
      <c r="AQ272" s="9" t="str">
        <f>IFERROR(ROUND(IF(BB272&lt;&gt;"",INDEX('M04-S10'!$AK$18:$AK$199,2*(ROWS(AQ$259:AQ272)-1)+1),""),2),"")</f>
        <v/>
      </c>
      <c r="AR272" s="9" t="str" cm="1">
        <f t="array" ref="AR272">IFERROR(ROUND(IF(BB272&lt;&gt;"", INDEX('M04-S10'!$BL$18:$BL$199,2*(ROWS(AG$259:AG272)-1)+1), ""),2),"")</f>
        <v/>
      </c>
      <c r="AS272" t="str">
        <f t="shared" si="47"/>
        <v/>
      </c>
      <c r="AT272" s="9" t="str" cm="1">
        <f t="array" ref="AT272">IFERROR(ROUND(IF(BB272&lt;&gt;"", INDEX('M04-S10'!$BL$18:$BL$199,2*(ROWS(AG$259:AG272)-1)+1), ""),2),"")</f>
        <v/>
      </c>
      <c r="AU272" s="184"/>
      <c r="AV272" s="5" t="str">
        <f>IFERROR(IF(BB272&lt;&gt;"",ROUND(INDEX('M04-S10'!$V$18:$V$199,2*(ROWS(AV$259:AV272)-1)+1),3),""),"")</f>
        <v/>
      </c>
      <c r="AW272" s="5" t="str">
        <f>IFERROR(IF(BB272&lt;&gt;"",ROUND(INDEX('M04-S10'!$V$18:$V$199,2*(ROWS(AW$259:AW272)-1)+1),3),""),"")</f>
        <v/>
      </c>
      <c r="AX272" s="184"/>
      <c r="AY272" s="26" t="str">
        <f>IFERROR(IF(BB272&lt;&gt;"",INDEX('M04-S10'!$BE$18:$BE$199,2*(ROWS(AY$259:AY272)-1)+1),""),"")</f>
        <v/>
      </c>
      <c r="AZ272" s="184"/>
      <c r="BA272" s="32" t="str">
        <f>IFERROR(IF(BB272&lt;&gt;"",INDEX('M04-S10'!$BG$18:$BG$199,2*(ROWS(BA$259:BA272)-1)+1),""),"")</f>
        <v/>
      </c>
      <c r="BB272" t="str">
        <f>IFERROR(INDEX('M04-S10'!$BY$18:$BY$199,2*(ROWS(BB$259:BB272)-1)+1),"")</f>
        <v/>
      </c>
    </row>
    <row r="273" spans="1:54">
      <c r="A273" s="10">
        <f t="shared" si="43"/>
        <v>0</v>
      </c>
      <c r="B273" t="str">
        <f t="shared" si="45"/>
        <v/>
      </c>
      <c r="C273" t="str" cm="1">
        <f t="array" ref="C273">IFERROR(_xlfn.VALUETOTEXT(INDEX('M04-S10'!$BW$18:$BW$199,2*(ROWS($C$259:C273)-1)+1)),"")</f>
        <v/>
      </c>
      <c r="D273">
        <f>IFERROR(INDEX('M04-S10'!$B$18:$B$199,2*(ROWS(D$259:D273)-1)+1),"")</f>
        <v>15</v>
      </c>
      <c r="E273" s="51" t="str" cm="1">
        <f t="array" ref="E273">IFERROR(_xlfn.VALUETOTEXT(INDEX('M04-S10'!$BX$18:$BX$199,2*(ROWS($E$259:E273)-1)+1)),"")</f>
        <v/>
      </c>
      <c r="F273" t="str" cm="1">
        <f t="array" ref="F273">IF(C273&lt;&gt;"", _xlfn.SWITCH(Program_Banner, "Small Business / Non-Profit", "Hard-To-Reach Business", "Business Energy Savings", "Whole Business Efficiency", ""), "")</f>
        <v/>
      </c>
      <c r="G273" t="s">
        <v>2779</v>
      </c>
      <c r="H273" t="str">
        <f>IFERROR(INDEX('M04-S10'!$BC$18:$BC$199,2*(ROWS($H$259:H273)-1)+1),"")</f>
        <v/>
      </c>
      <c r="I273" t="str">
        <f>IFERROR(INDEX('M04-S10'!$BJ$18:$BJ$199,2*(ROWS(I$259:I273)-1)+1),"")</f>
        <v/>
      </c>
      <c r="J273" s="9" t="str">
        <f>IFERROR(INDEX('M04-S10'!$BN$18:$BN$199,2*(ROWS(J$259:J273)-1)+1),"")</f>
        <v/>
      </c>
      <c r="K273" s="9" t="str">
        <f>IFERROR(INDEX('M04-S10'!$BO$18:$BO$199,2*(ROWS(K$259:K273)-1)+1),"")</f>
        <v/>
      </c>
      <c r="L273" s="51" t="str">
        <f>IFERROR(INDEX('M04-S10'!$BD$18:$BD$199,2*(ROWS(L$259:L273)-1)+1),"")</f>
        <v/>
      </c>
      <c r="M273" s="51">
        <f>IFERROR(INDEX('M04-S10'!$AG$18:$AG$199,2*(ROWS($M$259:M273)-1)+1),"")</f>
        <v>0</v>
      </c>
      <c r="O273">
        <f>IFERROR(INDEX('M04-S10'!$G$18:$G$199,2*(ROWS(O$259:O273)-1)+1),"")</f>
        <v>0</v>
      </c>
      <c r="P273">
        <f>IFERROR(INDEX('M04-S10'!$O$18:$O$199,2*(ROWS(P$259:P273)-1)+1),"")</f>
        <v>0</v>
      </c>
      <c r="Q273">
        <f>IFERROR(INDEX('M04-S10'!$AC$18:$AC$199,2*(ROWS(Q$259:Q273)-1)+1),"")</f>
        <v>0</v>
      </c>
      <c r="R273">
        <f>IFERROR(INDEX('M04-S10'!$Z$18:$Z$199,2*(ROWS(R$259:R273)-1)+1),"")</f>
        <v>0</v>
      </c>
      <c r="S273" t="str">
        <f>IFERROR(INDEX('M04-S10'!$AX$18:$AX$199,2*(ROWS(S$259:S273)-1)+1),"")</f>
        <v/>
      </c>
      <c r="T273" s="545" t="str" cm="1">
        <f t="array" ref="T273">IFERROR(ROUND(IF(BB273&lt;&gt;"", "", INDEX('M04-S10'!$AY$18:$AY$199,2*(ROWS(T$259:T273)-1)+1)),3),"")</f>
        <v/>
      </c>
      <c r="U273" s="545" t="str" cm="1">
        <f t="array" ref="U273">IFERROR(ROUND(IF(BB273&lt;&gt;"", "", INDEX('M04-S10'!$AZ$18:$AZ$199,2*(ROWS(U$259:U273)-1)+1)),3),"")</f>
        <v/>
      </c>
      <c r="V273" s="26">
        <f>IFERROR(INDEX('M04-S10'!$X$18:$X$199,2*(ROWS($G$259:V273)-1)+1),"")</f>
        <v>0</v>
      </c>
      <c r="W273" s="27" t="str">
        <f>IFERROR(INDEX('M04-S10'!$R$18:$R$199,2*(ROWS(W$259:W273)-1)+1),"")</f>
        <v/>
      </c>
      <c r="X273" s="27" t="str">
        <f>IFERROR(INDEX('M04-S10'!$T$18:$T$199,2*(ROWS(X$259:X273)-1)+1),"")</f>
        <v/>
      </c>
      <c r="Y273" s="184"/>
      <c r="Z273" s="184"/>
      <c r="AA273" s="9" t="str" cm="1">
        <f t="array" ref="AA273">IFERROR(ROUND(INDEX('M04-S10'!$AR$18:$AR$199,2*(ROWS(AA$259:AA273)-1)+1), 2),"")</f>
        <v/>
      </c>
      <c r="AB273" s="9" t="str" cm="1">
        <f t="array" ref="AB273">_xlfn.LET(_xlpm.ROWS, 2*(ROWS(AB$259:AB273)-1)+1,IFERROR(INDEX('M04-S10'!$AR$18:$AR$199, _xlpm.ROWS)-INDEX('M04-S10'!$BS$18:$BS$199, _xlpm.ROWS),""))</f>
        <v/>
      </c>
      <c r="AC273" s="9" cm="1">
        <f t="array" ref="AC273">IFERROR(ROUND(IF(BB273&lt;&gt;"", "", INDEX('M04-S10'!$AI$18:$AI$199,2*(ROWS(AC$259:AC273)-1)+1)),2),"")</f>
        <v>0</v>
      </c>
      <c r="AD273" s="9" cm="1">
        <f t="array" ref="AD273">IFERROR(ROUND(IF(BB273&lt;&gt;"", "", INDEX('M04-S10'!$AK$18:$AK$199,2*(ROWS(AD$259:AD273)-1)+1)),2),"")</f>
        <v>0</v>
      </c>
      <c r="AE273" s="9" t="str" cm="1">
        <f t="array" ref="AE273">IFERROR(ROUND(IF(BB273&lt;&gt;"", "", INDEX('M04-S10'!$BL$18:$BL$199,2*(ROWS(AG$259:AG273)-1)+1)),2),"")</f>
        <v/>
      </c>
      <c r="AF273" t="str">
        <f t="shared" si="46"/>
        <v>Incremental</v>
      </c>
      <c r="AG273" s="9" t="str" cm="1">
        <f t="array" ref="AG273">IFERROR(ROUND(IF(BB273&lt;&gt;"", "", INDEX('M04-S10'!$BL$18:$BL$199,2*(ROWS(AG$259:AG273)-1)+1)),2),"")</f>
        <v/>
      </c>
      <c r="AH273" s="184"/>
      <c r="AI273" s="184"/>
      <c r="AJ273" s="32" t="str" cm="1">
        <f t="array" ref="AJ273">IFERROR(ROUND(IF(BB273&lt;&gt;"", "", INDEX('M04-S10'!$BE$18:$BE$199,2*(ROWS(AJ$259:AJ273)-1)+1)),4),"")</f>
        <v/>
      </c>
      <c r="AK273" s="184"/>
      <c r="AL273" s="32" t="str" cm="1">
        <f t="array" ref="AL273">IFERROR(ROUND(IF(BB273&lt;&gt;"", "", INDEX('M04-S10'!$BG$18:$BG$199,2*(ROWS(AL$259:AL273)-1)+1)),4),"")</f>
        <v/>
      </c>
      <c r="AM273" s="32" t="str">
        <f>IFERROR(ROUND(INDEX('M04-S10'!$BA$18:$BA$199,2*(ROWS(AM$259:AM273)-1)+1),4),"")</f>
        <v/>
      </c>
      <c r="AN273" s="32" t="str">
        <f>IFERROR(ROUND(INDEX('M04-S10'!$BB$18:$BB$199,2*(ROWS(AN$259:AN273)-1)+1),4),"")</f>
        <v/>
      </c>
      <c r="AO273" s="184"/>
      <c r="AP273" s="9" t="str">
        <f>IFERROR(ROUND(IF(BB273&lt;&gt;"",INDEX('M04-S10'!$AI$18:$AI$199,2*(ROWS(AP$259:AP273)-1)+1),""),2),"")</f>
        <v/>
      </c>
      <c r="AQ273" s="9" t="str">
        <f>IFERROR(ROUND(IF(BB273&lt;&gt;"",INDEX('M04-S10'!$AK$18:$AK$199,2*(ROWS(AQ$259:AQ273)-1)+1),""),2),"")</f>
        <v/>
      </c>
      <c r="AR273" s="9" t="str" cm="1">
        <f t="array" ref="AR273">IFERROR(ROUND(IF(BB273&lt;&gt;"", INDEX('M04-S10'!$BL$18:$BL$199,2*(ROWS(AG$259:AG273)-1)+1), ""),2),"")</f>
        <v/>
      </c>
      <c r="AS273" t="str">
        <f t="shared" si="47"/>
        <v/>
      </c>
      <c r="AT273" s="9" t="str" cm="1">
        <f t="array" ref="AT273">IFERROR(ROUND(IF(BB273&lt;&gt;"", INDEX('M04-S10'!$BL$18:$BL$199,2*(ROWS(AG$259:AG273)-1)+1), ""),2),"")</f>
        <v/>
      </c>
      <c r="AU273" s="184"/>
      <c r="AV273" s="5" t="str">
        <f>IFERROR(IF(BB273&lt;&gt;"",ROUND(INDEX('M04-S10'!$V$18:$V$199,2*(ROWS(AV$259:AV273)-1)+1),3),""),"")</f>
        <v/>
      </c>
      <c r="AW273" s="5" t="str">
        <f>IFERROR(IF(BB273&lt;&gt;"",ROUND(INDEX('M04-S10'!$V$18:$V$199,2*(ROWS(AW$259:AW273)-1)+1),3),""),"")</f>
        <v/>
      </c>
      <c r="AX273" s="184"/>
      <c r="AY273" s="26" t="str">
        <f>IFERROR(IF(BB273&lt;&gt;"",INDEX('M04-S10'!$BE$18:$BE$199,2*(ROWS(AY$259:AY273)-1)+1),""),"")</f>
        <v/>
      </c>
      <c r="AZ273" s="184"/>
      <c r="BA273" s="32" t="str">
        <f>IFERROR(IF(BB273&lt;&gt;"",INDEX('M04-S10'!$BG$18:$BG$199,2*(ROWS(BA$259:BA273)-1)+1),""),"")</f>
        <v/>
      </c>
      <c r="BB273" t="str">
        <f>IFERROR(INDEX('M04-S10'!$BY$18:$BY$199,2*(ROWS(BB$259:BB273)-1)+1),"")</f>
        <v/>
      </c>
    </row>
    <row r="274" spans="1:54">
      <c r="A274" s="10">
        <f t="shared" si="43"/>
        <v>0</v>
      </c>
      <c r="B274" t="str">
        <f t="shared" si="45"/>
        <v/>
      </c>
      <c r="C274" t="str" cm="1">
        <f t="array" ref="C274">IFERROR(_xlfn.VALUETOTEXT(INDEX('M04-S10'!$BW$18:$BW$199,2*(ROWS($C$259:C274)-1)+1)),"")</f>
        <v/>
      </c>
      <c r="D274">
        <f>IFERROR(INDEX('M04-S10'!$B$18:$B$199,2*(ROWS(D$259:D274)-1)+1),"")</f>
        <v>16</v>
      </c>
      <c r="E274" s="51" t="str" cm="1">
        <f t="array" ref="E274">IFERROR(_xlfn.VALUETOTEXT(INDEX('M04-S10'!$BX$18:$BX$199,2*(ROWS($E$259:E274)-1)+1)),"")</f>
        <v/>
      </c>
      <c r="F274" t="str" cm="1">
        <f t="array" ref="F274">IF(C274&lt;&gt;"", _xlfn.SWITCH(Program_Banner, "Small Business / Non-Profit", "Hard-To-Reach Business", "Business Energy Savings", "Whole Business Efficiency", ""), "")</f>
        <v/>
      </c>
      <c r="G274" t="s">
        <v>2779</v>
      </c>
      <c r="H274" t="str">
        <f>IFERROR(INDEX('M04-S10'!$BC$18:$BC$199,2*(ROWS($H$259:H274)-1)+1),"")</f>
        <v/>
      </c>
      <c r="I274" t="str">
        <f>IFERROR(INDEX('M04-S10'!$BJ$18:$BJ$199,2*(ROWS(I$259:I274)-1)+1),"")</f>
        <v/>
      </c>
      <c r="J274" s="9" t="str">
        <f>IFERROR(INDEX('M04-S10'!$BN$18:$BN$199,2*(ROWS(J$259:J274)-1)+1),"")</f>
        <v/>
      </c>
      <c r="K274" s="9" t="str">
        <f>IFERROR(INDEX('M04-S10'!$BO$18:$BO$199,2*(ROWS(K$259:K274)-1)+1),"")</f>
        <v/>
      </c>
      <c r="L274" s="51" t="str">
        <f>IFERROR(INDEX('M04-S10'!$BD$18:$BD$199,2*(ROWS(L$259:L274)-1)+1),"")</f>
        <v/>
      </c>
      <c r="M274" s="51">
        <f>IFERROR(INDEX('M04-S10'!$AG$18:$AG$199,2*(ROWS($M$259:M274)-1)+1),"")</f>
        <v>0</v>
      </c>
      <c r="O274">
        <f>IFERROR(INDEX('M04-S10'!$G$18:$G$199,2*(ROWS(O$259:O274)-1)+1),"")</f>
        <v>0</v>
      </c>
      <c r="P274">
        <f>IFERROR(INDEX('M04-S10'!$O$18:$O$199,2*(ROWS(P$259:P274)-1)+1),"")</f>
        <v>0</v>
      </c>
      <c r="Q274">
        <f>IFERROR(INDEX('M04-S10'!$AC$18:$AC$199,2*(ROWS(Q$259:Q274)-1)+1),"")</f>
        <v>0</v>
      </c>
      <c r="R274">
        <f>IFERROR(INDEX('M04-S10'!$Z$18:$Z$199,2*(ROWS(R$259:R274)-1)+1),"")</f>
        <v>0</v>
      </c>
      <c r="S274" t="str">
        <f>IFERROR(INDEX('M04-S10'!$AX$18:$AX$199,2*(ROWS(S$259:S274)-1)+1),"")</f>
        <v/>
      </c>
      <c r="T274" s="545" t="str" cm="1">
        <f t="array" ref="T274">IFERROR(ROUND(IF(BB274&lt;&gt;"", "", INDEX('M04-S10'!$AY$18:$AY$199,2*(ROWS(T$259:T274)-1)+1)),3),"")</f>
        <v/>
      </c>
      <c r="U274" s="545" t="str" cm="1">
        <f t="array" ref="U274">IFERROR(ROUND(IF(BB274&lt;&gt;"", "", INDEX('M04-S10'!$AZ$18:$AZ$199,2*(ROWS(U$259:U274)-1)+1)),3),"")</f>
        <v/>
      </c>
      <c r="V274" s="26">
        <f>IFERROR(INDEX('M04-S10'!$X$18:$X$199,2*(ROWS($G$259:V274)-1)+1),"")</f>
        <v>0</v>
      </c>
      <c r="W274" s="27" t="str">
        <f>IFERROR(INDEX('M04-S10'!$R$18:$R$199,2*(ROWS(W$259:W274)-1)+1),"")</f>
        <v/>
      </c>
      <c r="X274" s="27" t="str">
        <f>IFERROR(INDEX('M04-S10'!$T$18:$T$199,2*(ROWS(X$259:X274)-1)+1),"")</f>
        <v/>
      </c>
      <c r="Y274" s="184"/>
      <c r="Z274" s="184"/>
      <c r="AA274" s="9" t="str" cm="1">
        <f t="array" ref="AA274">IFERROR(ROUND(INDEX('M04-S10'!$AR$18:$AR$199,2*(ROWS(AA$259:AA274)-1)+1), 2),"")</f>
        <v/>
      </c>
      <c r="AB274" s="9" t="str" cm="1">
        <f t="array" ref="AB274">_xlfn.LET(_xlpm.ROWS, 2*(ROWS(AB$259:AB274)-1)+1,IFERROR(INDEX('M04-S10'!$AR$18:$AR$199, _xlpm.ROWS)-INDEX('M04-S10'!$BS$18:$BS$199, _xlpm.ROWS),""))</f>
        <v/>
      </c>
      <c r="AC274" s="9" cm="1">
        <f t="array" ref="AC274">IFERROR(ROUND(IF(BB274&lt;&gt;"", "", INDEX('M04-S10'!$AI$18:$AI$199,2*(ROWS(AC$259:AC274)-1)+1)),2),"")</f>
        <v>0</v>
      </c>
      <c r="AD274" s="9" cm="1">
        <f t="array" ref="AD274">IFERROR(ROUND(IF(BB274&lt;&gt;"", "", INDEX('M04-S10'!$AK$18:$AK$199,2*(ROWS(AD$259:AD274)-1)+1)),2),"")</f>
        <v>0</v>
      </c>
      <c r="AE274" s="9" t="str" cm="1">
        <f t="array" ref="AE274">IFERROR(ROUND(IF(BB274&lt;&gt;"", "", INDEX('M04-S10'!$BL$18:$BL$199,2*(ROWS(AG$259:AG274)-1)+1)),2),"")</f>
        <v/>
      </c>
      <c r="AF274" t="str">
        <f t="shared" si="46"/>
        <v>Incremental</v>
      </c>
      <c r="AG274" s="9" t="str" cm="1">
        <f t="array" ref="AG274">IFERROR(ROUND(IF(BB274&lt;&gt;"", "", INDEX('M04-S10'!$BL$18:$BL$199,2*(ROWS(AG$259:AG274)-1)+1)),2),"")</f>
        <v/>
      </c>
      <c r="AH274" s="184"/>
      <c r="AI274" s="184"/>
      <c r="AJ274" s="32" t="str" cm="1">
        <f t="array" ref="AJ274">IFERROR(ROUND(IF(BB274&lt;&gt;"", "", INDEX('M04-S10'!$BE$18:$BE$199,2*(ROWS(AJ$259:AJ274)-1)+1)),4),"")</f>
        <v/>
      </c>
      <c r="AK274" s="184"/>
      <c r="AL274" s="32" t="str" cm="1">
        <f t="array" ref="AL274">IFERROR(ROUND(IF(BB274&lt;&gt;"", "", INDEX('M04-S10'!$BG$18:$BG$199,2*(ROWS(AL$259:AL274)-1)+1)),4),"")</f>
        <v/>
      </c>
      <c r="AM274" s="32" t="str">
        <f>IFERROR(ROUND(INDEX('M04-S10'!$BA$18:$BA$199,2*(ROWS(AM$259:AM274)-1)+1),4),"")</f>
        <v/>
      </c>
      <c r="AN274" s="32" t="str">
        <f>IFERROR(ROUND(INDEX('M04-S10'!$BB$18:$BB$199,2*(ROWS(AN$259:AN274)-1)+1),4),"")</f>
        <v/>
      </c>
      <c r="AO274" s="184"/>
      <c r="AP274" s="9" t="str">
        <f>IFERROR(ROUND(IF(BB274&lt;&gt;"",INDEX('M04-S10'!$AI$18:$AI$199,2*(ROWS(AP$259:AP274)-1)+1),""),2),"")</f>
        <v/>
      </c>
      <c r="AQ274" s="9" t="str">
        <f>IFERROR(ROUND(IF(BB274&lt;&gt;"",INDEX('M04-S10'!$AK$18:$AK$199,2*(ROWS(AQ$259:AQ274)-1)+1),""),2),"")</f>
        <v/>
      </c>
      <c r="AR274" s="9" t="str" cm="1">
        <f t="array" ref="AR274">IFERROR(ROUND(IF(BB274&lt;&gt;"", INDEX('M04-S10'!$BL$18:$BL$199,2*(ROWS(AG$259:AG274)-1)+1), ""),2),"")</f>
        <v/>
      </c>
      <c r="AS274" t="str">
        <f t="shared" si="47"/>
        <v/>
      </c>
      <c r="AT274" s="9" t="str" cm="1">
        <f t="array" ref="AT274">IFERROR(ROUND(IF(BB274&lt;&gt;"", INDEX('M04-S10'!$BL$18:$BL$199,2*(ROWS(AG$259:AG274)-1)+1), ""),2),"")</f>
        <v/>
      </c>
      <c r="AU274" s="184"/>
      <c r="AV274" s="5" t="str">
        <f>IFERROR(IF(BB274&lt;&gt;"",ROUND(INDEX('M04-S10'!$V$18:$V$199,2*(ROWS(AV$259:AV274)-1)+1),3),""),"")</f>
        <v/>
      </c>
      <c r="AW274" s="5" t="str">
        <f>IFERROR(IF(BB274&lt;&gt;"",ROUND(INDEX('M04-S10'!$V$18:$V$199,2*(ROWS(AW$259:AW274)-1)+1),3),""),"")</f>
        <v/>
      </c>
      <c r="AX274" s="184"/>
      <c r="AY274" s="26" t="str">
        <f>IFERROR(IF(BB274&lt;&gt;"",INDEX('M04-S10'!$BE$18:$BE$199,2*(ROWS(AY$259:AY274)-1)+1),""),"")</f>
        <v/>
      </c>
      <c r="AZ274" s="184"/>
      <c r="BA274" s="32" t="str">
        <f>IFERROR(IF(BB274&lt;&gt;"",INDEX('M04-S10'!$BG$18:$BG$199,2*(ROWS(BA$259:BA274)-1)+1),""),"")</f>
        <v/>
      </c>
      <c r="BB274" t="str">
        <f>IFERROR(INDEX('M04-S10'!$BY$18:$BY$199,2*(ROWS(BB$259:BB274)-1)+1),"")</f>
        <v/>
      </c>
    </row>
    <row r="275" spans="1:54">
      <c r="A275" s="10">
        <f t="shared" si="43"/>
        <v>0</v>
      </c>
      <c r="B275" t="str">
        <f t="shared" si="45"/>
        <v/>
      </c>
      <c r="C275" t="str" cm="1">
        <f t="array" ref="C275">IFERROR(_xlfn.VALUETOTEXT(INDEX('M04-S10'!$BW$18:$BW$199,2*(ROWS($C$259:C275)-1)+1)),"")</f>
        <v/>
      </c>
      <c r="D275">
        <f>IFERROR(INDEX('M04-S10'!$B$18:$B$199,2*(ROWS(D$259:D275)-1)+1),"")</f>
        <v>17</v>
      </c>
      <c r="E275" s="51" t="str" cm="1">
        <f t="array" ref="E275">IFERROR(_xlfn.VALUETOTEXT(INDEX('M04-S10'!$BX$18:$BX$199,2*(ROWS($E$259:E275)-1)+1)),"")</f>
        <v/>
      </c>
      <c r="F275" t="str" cm="1">
        <f t="array" ref="F275">IF(C275&lt;&gt;"", _xlfn.SWITCH(Program_Banner, "Small Business / Non-Profit", "Hard-To-Reach Business", "Business Energy Savings", "Whole Business Efficiency", ""), "")</f>
        <v/>
      </c>
      <c r="G275" t="s">
        <v>2779</v>
      </c>
      <c r="H275" t="str">
        <f>IFERROR(INDEX('M04-S10'!$BC$18:$BC$199,2*(ROWS($H$259:H275)-1)+1),"")</f>
        <v/>
      </c>
      <c r="I275" t="str">
        <f>IFERROR(INDEX('M04-S10'!$BJ$18:$BJ$199,2*(ROWS(I$259:I275)-1)+1),"")</f>
        <v/>
      </c>
      <c r="J275" s="9" t="str">
        <f>IFERROR(INDEX('M04-S10'!$BN$18:$BN$199,2*(ROWS(J$259:J275)-1)+1),"")</f>
        <v/>
      </c>
      <c r="K275" s="9" t="str">
        <f>IFERROR(INDEX('M04-S10'!$BO$18:$BO$199,2*(ROWS(K$259:K275)-1)+1),"")</f>
        <v/>
      </c>
      <c r="L275" s="51" t="str">
        <f>IFERROR(INDEX('M04-S10'!$BD$18:$BD$199,2*(ROWS(L$259:L275)-1)+1),"")</f>
        <v/>
      </c>
      <c r="M275" s="51">
        <f>IFERROR(INDEX('M04-S10'!$AG$18:$AG$199,2*(ROWS($M$259:M275)-1)+1),"")</f>
        <v>0</v>
      </c>
      <c r="O275">
        <f>IFERROR(INDEX('M04-S10'!$G$18:$G$199,2*(ROWS(O$259:O275)-1)+1),"")</f>
        <v>0</v>
      </c>
      <c r="P275">
        <f>IFERROR(INDEX('M04-S10'!$O$18:$O$199,2*(ROWS(P$259:P275)-1)+1),"")</f>
        <v>0</v>
      </c>
      <c r="Q275">
        <f>IFERROR(INDEX('M04-S10'!$AC$18:$AC$199,2*(ROWS(Q$259:Q275)-1)+1),"")</f>
        <v>0</v>
      </c>
      <c r="R275">
        <f>IFERROR(INDEX('M04-S10'!$Z$18:$Z$199,2*(ROWS(R$259:R275)-1)+1),"")</f>
        <v>0</v>
      </c>
      <c r="S275" t="str">
        <f>IFERROR(INDEX('M04-S10'!$AX$18:$AX$199,2*(ROWS(S$259:S275)-1)+1),"")</f>
        <v/>
      </c>
      <c r="T275" s="545" t="str" cm="1">
        <f t="array" ref="T275">IFERROR(ROUND(IF(BB275&lt;&gt;"", "", INDEX('M04-S10'!$AY$18:$AY$199,2*(ROWS(T$259:T275)-1)+1)),3),"")</f>
        <v/>
      </c>
      <c r="U275" s="545" t="str" cm="1">
        <f t="array" ref="U275">IFERROR(ROUND(IF(BB275&lt;&gt;"", "", INDEX('M04-S10'!$AZ$18:$AZ$199,2*(ROWS(U$259:U275)-1)+1)),3),"")</f>
        <v/>
      </c>
      <c r="V275" s="26">
        <f>IFERROR(INDEX('M04-S10'!$X$18:$X$199,2*(ROWS($G$259:V275)-1)+1),"")</f>
        <v>0</v>
      </c>
      <c r="W275" s="27" t="str">
        <f>IFERROR(INDEX('M04-S10'!$R$18:$R$199,2*(ROWS(W$259:W275)-1)+1),"")</f>
        <v/>
      </c>
      <c r="X275" s="27" t="str">
        <f>IFERROR(INDEX('M04-S10'!$T$18:$T$199,2*(ROWS(X$259:X275)-1)+1),"")</f>
        <v/>
      </c>
      <c r="Y275" s="184"/>
      <c r="Z275" s="184"/>
      <c r="AA275" s="9" t="str" cm="1">
        <f t="array" ref="AA275">IFERROR(ROUND(INDEX('M04-S10'!$AR$18:$AR$199,2*(ROWS(AA$259:AA275)-1)+1), 2),"")</f>
        <v/>
      </c>
      <c r="AB275" s="9" t="str" cm="1">
        <f t="array" ref="AB275">_xlfn.LET(_xlpm.ROWS, 2*(ROWS(AB$259:AB275)-1)+1,IFERROR(INDEX('M04-S10'!$AR$18:$AR$199, _xlpm.ROWS)-INDEX('M04-S10'!$BS$18:$BS$199, _xlpm.ROWS),""))</f>
        <v/>
      </c>
      <c r="AC275" s="9" cm="1">
        <f t="array" ref="AC275">IFERROR(ROUND(IF(BB275&lt;&gt;"", "", INDEX('M04-S10'!$AI$18:$AI$199,2*(ROWS(AC$259:AC275)-1)+1)),2),"")</f>
        <v>0</v>
      </c>
      <c r="AD275" s="9" cm="1">
        <f t="array" ref="AD275">IFERROR(ROUND(IF(BB275&lt;&gt;"", "", INDEX('M04-S10'!$AK$18:$AK$199,2*(ROWS(AD$259:AD275)-1)+1)),2),"")</f>
        <v>0</v>
      </c>
      <c r="AE275" s="9" t="str" cm="1">
        <f t="array" ref="AE275">IFERROR(ROUND(IF(BB275&lt;&gt;"", "", INDEX('M04-S10'!$BL$18:$BL$199,2*(ROWS(AG$259:AG275)-1)+1)),2),"")</f>
        <v/>
      </c>
      <c r="AF275" t="str">
        <f t="shared" si="46"/>
        <v>Incremental</v>
      </c>
      <c r="AG275" s="9" t="str" cm="1">
        <f t="array" ref="AG275">IFERROR(ROUND(IF(BB275&lt;&gt;"", "", INDEX('M04-S10'!$BL$18:$BL$199,2*(ROWS(AG$259:AG275)-1)+1)),2),"")</f>
        <v/>
      </c>
      <c r="AH275" s="184"/>
      <c r="AI275" s="184"/>
      <c r="AJ275" s="32" t="str" cm="1">
        <f t="array" ref="AJ275">IFERROR(ROUND(IF(BB275&lt;&gt;"", "", INDEX('M04-S10'!$BE$18:$BE$199,2*(ROWS(AJ$259:AJ275)-1)+1)),4),"")</f>
        <v/>
      </c>
      <c r="AK275" s="184"/>
      <c r="AL275" s="32" t="str" cm="1">
        <f t="array" ref="AL275">IFERROR(ROUND(IF(BB275&lt;&gt;"", "", INDEX('M04-S10'!$BG$18:$BG$199,2*(ROWS(AL$259:AL275)-1)+1)),4),"")</f>
        <v/>
      </c>
      <c r="AM275" s="32" t="str">
        <f>IFERROR(ROUND(INDEX('M04-S10'!$BA$18:$BA$199,2*(ROWS(AM$259:AM275)-1)+1),4),"")</f>
        <v/>
      </c>
      <c r="AN275" s="32" t="str">
        <f>IFERROR(ROUND(INDEX('M04-S10'!$BB$18:$BB$199,2*(ROWS(AN$259:AN275)-1)+1),4),"")</f>
        <v/>
      </c>
      <c r="AO275" s="184"/>
      <c r="AP275" s="9" t="str">
        <f>IFERROR(ROUND(IF(BB275&lt;&gt;"",INDEX('M04-S10'!$AI$18:$AI$199,2*(ROWS(AP$259:AP275)-1)+1),""),2),"")</f>
        <v/>
      </c>
      <c r="AQ275" s="9" t="str">
        <f>IFERROR(ROUND(IF(BB275&lt;&gt;"",INDEX('M04-S10'!$AK$18:$AK$199,2*(ROWS(AQ$259:AQ275)-1)+1),""),2),"")</f>
        <v/>
      </c>
      <c r="AR275" s="9" t="str" cm="1">
        <f t="array" ref="AR275">IFERROR(ROUND(IF(BB275&lt;&gt;"", INDEX('M04-S10'!$BL$18:$BL$199,2*(ROWS(AG$259:AG275)-1)+1), ""),2),"")</f>
        <v/>
      </c>
      <c r="AS275" t="str">
        <f t="shared" si="47"/>
        <v/>
      </c>
      <c r="AT275" s="9" t="str" cm="1">
        <f t="array" ref="AT275">IFERROR(ROUND(IF(BB275&lt;&gt;"", INDEX('M04-S10'!$BL$18:$BL$199,2*(ROWS(AG$259:AG275)-1)+1), ""),2),"")</f>
        <v/>
      </c>
      <c r="AU275" s="184"/>
      <c r="AV275" s="5" t="str">
        <f>IFERROR(IF(BB275&lt;&gt;"",ROUND(INDEX('M04-S10'!$V$18:$V$199,2*(ROWS(AV$259:AV275)-1)+1),3),""),"")</f>
        <v/>
      </c>
      <c r="AW275" s="5" t="str">
        <f>IFERROR(IF(BB275&lt;&gt;"",ROUND(INDEX('M04-S10'!$V$18:$V$199,2*(ROWS(AW$259:AW275)-1)+1),3),""),"")</f>
        <v/>
      </c>
      <c r="AX275" s="184"/>
      <c r="AY275" s="26" t="str">
        <f>IFERROR(IF(BB275&lt;&gt;"",INDEX('M04-S10'!$BE$18:$BE$199,2*(ROWS(AY$259:AY275)-1)+1),""),"")</f>
        <v/>
      </c>
      <c r="AZ275" s="184"/>
      <c r="BA275" s="32" t="str">
        <f>IFERROR(IF(BB275&lt;&gt;"",INDEX('M04-S10'!$BG$18:$BG$199,2*(ROWS(BA$259:BA275)-1)+1),""),"")</f>
        <v/>
      </c>
      <c r="BB275" t="str">
        <f>IFERROR(INDEX('M04-S10'!$BY$18:$BY$199,2*(ROWS(BB$259:BB275)-1)+1),"")</f>
        <v/>
      </c>
    </row>
    <row r="276" spans="1:54">
      <c r="A276" s="10">
        <f t="shared" si="43"/>
        <v>0</v>
      </c>
      <c r="B276" t="str">
        <f t="shared" si="45"/>
        <v/>
      </c>
      <c r="C276" t="str" cm="1">
        <f t="array" ref="C276">IFERROR(_xlfn.VALUETOTEXT(INDEX('M04-S10'!$BW$18:$BW$199,2*(ROWS($C$259:C276)-1)+1)),"")</f>
        <v/>
      </c>
      <c r="D276">
        <f>IFERROR(INDEX('M04-S10'!$B$18:$B$199,2*(ROWS(D$259:D276)-1)+1),"")</f>
        <v>18</v>
      </c>
      <c r="E276" s="51" t="str" cm="1">
        <f t="array" ref="E276">IFERROR(_xlfn.VALUETOTEXT(INDEX('M04-S10'!$BX$18:$BX$199,2*(ROWS($E$259:E276)-1)+1)),"")</f>
        <v/>
      </c>
      <c r="F276" t="str" cm="1">
        <f t="array" ref="F276">IF(C276&lt;&gt;"", _xlfn.SWITCH(Program_Banner, "Small Business / Non-Profit", "Hard-To-Reach Business", "Business Energy Savings", "Whole Business Efficiency", ""), "")</f>
        <v/>
      </c>
      <c r="G276" t="s">
        <v>2779</v>
      </c>
      <c r="H276" t="str">
        <f>IFERROR(INDEX('M04-S10'!$BC$18:$BC$199,2*(ROWS($H$259:H276)-1)+1),"")</f>
        <v/>
      </c>
      <c r="I276" t="str">
        <f>IFERROR(INDEX('M04-S10'!$BJ$18:$BJ$199,2*(ROWS(I$259:I276)-1)+1),"")</f>
        <v/>
      </c>
      <c r="J276" s="9" t="str">
        <f>IFERROR(INDEX('M04-S10'!$BN$18:$BN$199,2*(ROWS(J$259:J276)-1)+1),"")</f>
        <v/>
      </c>
      <c r="K276" s="9" t="str">
        <f>IFERROR(INDEX('M04-S10'!$BO$18:$BO$199,2*(ROWS(K$259:K276)-1)+1),"")</f>
        <v/>
      </c>
      <c r="L276" s="51" t="str">
        <f>IFERROR(INDEX('M04-S10'!$BD$18:$BD$199,2*(ROWS(L$259:L276)-1)+1),"")</f>
        <v/>
      </c>
      <c r="M276" s="51">
        <f>IFERROR(INDEX('M04-S10'!$AG$18:$AG$199,2*(ROWS($M$259:M276)-1)+1),"")</f>
        <v>0</v>
      </c>
      <c r="O276">
        <f>IFERROR(INDEX('M04-S10'!$G$18:$G$199,2*(ROWS(O$259:O276)-1)+1),"")</f>
        <v>0</v>
      </c>
      <c r="P276">
        <f>IFERROR(INDEX('M04-S10'!$O$18:$O$199,2*(ROWS(P$259:P276)-1)+1),"")</f>
        <v>0</v>
      </c>
      <c r="Q276">
        <f>IFERROR(INDEX('M04-S10'!$AC$18:$AC$199,2*(ROWS(Q$259:Q276)-1)+1),"")</f>
        <v>0</v>
      </c>
      <c r="R276">
        <f>IFERROR(INDEX('M04-S10'!$Z$18:$Z$199,2*(ROWS(R$259:R276)-1)+1),"")</f>
        <v>0</v>
      </c>
      <c r="S276" t="str">
        <f>IFERROR(INDEX('M04-S10'!$AX$18:$AX$199,2*(ROWS(S$259:S276)-1)+1),"")</f>
        <v/>
      </c>
      <c r="T276" s="545" t="str" cm="1">
        <f t="array" ref="T276">IFERROR(ROUND(IF(BB276&lt;&gt;"", "", INDEX('M04-S10'!$AY$18:$AY$199,2*(ROWS(T$259:T276)-1)+1)),3),"")</f>
        <v/>
      </c>
      <c r="U276" s="545" t="str" cm="1">
        <f t="array" ref="U276">IFERROR(ROUND(IF(BB276&lt;&gt;"", "", INDEX('M04-S10'!$AZ$18:$AZ$199,2*(ROWS(U$259:U276)-1)+1)),3),"")</f>
        <v/>
      </c>
      <c r="V276" s="26">
        <f>IFERROR(INDEX('M04-S10'!$X$18:$X$199,2*(ROWS($G$259:V276)-1)+1),"")</f>
        <v>0</v>
      </c>
      <c r="W276" s="27" t="str">
        <f>IFERROR(INDEX('M04-S10'!$R$18:$R$199,2*(ROWS(W$259:W276)-1)+1),"")</f>
        <v/>
      </c>
      <c r="X276" s="27" t="str">
        <f>IFERROR(INDEX('M04-S10'!$T$18:$T$199,2*(ROWS(X$259:X276)-1)+1),"")</f>
        <v/>
      </c>
      <c r="Y276" s="184"/>
      <c r="Z276" s="184"/>
      <c r="AA276" s="9" t="str" cm="1">
        <f t="array" ref="AA276">IFERROR(ROUND(INDEX('M04-S10'!$AR$18:$AR$199,2*(ROWS(AA$259:AA276)-1)+1), 2),"")</f>
        <v/>
      </c>
      <c r="AB276" s="9" t="str" cm="1">
        <f t="array" ref="AB276">_xlfn.LET(_xlpm.ROWS, 2*(ROWS(AB$259:AB276)-1)+1,IFERROR(INDEX('M04-S10'!$AR$18:$AR$199, _xlpm.ROWS)-INDEX('M04-S10'!$BS$18:$BS$199, _xlpm.ROWS),""))</f>
        <v/>
      </c>
      <c r="AC276" s="9" cm="1">
        <f t="array" ref="AC276">IFERROR(ROUND(IF(BB276&lt;&gt;"", "", INDEX('M04-S10'!$AI$18:$AI$199,2*(ROWS(AC$259:AC276)-1)+1)),2),"")</f>
        <v>0</v>
      </c>
      <c r="AD276" s="9" cm="1">
        <f t="array" ref="AD276">IFERROR(ROUND(IF(BB276&lt;&gt;"", "", INDEX('M04-S10'!$AK$18:$AK$199,2*(ROWS(AD$259:AD276)-1)+1)),2),"")</f>
        <v>0</v>
      </c>
      <c r="AE276" s="9" t="str" cm="1">
        <f t="array" ref="AE276">IFERROR(ROUND(IF(BB276&lt;&gt;"", "", INDEX('M04-S10'!$BL$18:$BL$199,2*(ROWS(AG$259:AG276)-1)+1)),2),"")</f>
        <v/>
      </c>
      <c r="AF276" t="str">
        <f t="shared" si="46"/>
        <v>Incremental</v>
      </c>
      <c r="AG276" s="9" t="str" cm="1">
        <f t="array" ref="AG276">IFERROR(ROUND(IF(BB276&lt;&gt;"", "", INDEX('M04-S10'!$BL$18:$BL$199,2*(ROWS(AG$259:AG276)-1)+1)),2),"")</f>
        <v/>
      </c>
      <c r="AH276" s="184"/>
      <c r="AI276" s="184"/>
      <c r="AJ276" s="32" t="str" cm="1">
        <f t="array" ref="AJ276">IFERROR(ROUND(IF(BB276&lt;&gt;"", "", INDEX('M04-S10'!$BE$18:$BE$199,2*(ROWS(AJ$259:AJ276)-1)+1)),4),"")</f>
        <v/>
      </c>
      <c r="AK276" s="184"/>
      <c r="AL276" s="32" t="str" cm="1">
        <f t="array" ref="AL276">IFERROR(ROUND(IF(BB276&lt;&gt;"", "", INDEX('M04-S10'!$BG$18:$BG$199,2*(ROWS(AL$259:AL276)-1)+1)),4),"")</f>
        <v/>
      </c>
      <c r="AM276" s="32" t="str">
        <f>IFERROR(ROUND(INDEX('M04-S10'!$BA$18:$BA$199,2*(ROWS(AM$259:AM276)-1)+1),4),"")</f>
        <v/>
      </c>
      <c r="AN276" s="32" t="str">
        <f>IFERROR(ROUND(INDEX('M04-S10'!$BB$18:$BB$199,2*(ROWS(AN$259:AN276)-1)+1),4),"")</f>
        <v/>
      </c>
      <c r="AO276" s="184"/>
      <c r="AP276" s="9" t="str">
        <f>IFERROR(ROUND(IF(BB276&lt;&gt;"",INDEX('M04-S10'!$AI$18:$AI$199,2*(ROWS(AP$259:AP276)-1)+1),""),2),"")</f>
        <v/>
      </c>
      <c r="AQ276" s="9" t="str">
        <f>IFERROR(ROUND(IF(BB276&lt;&gt;"",INDEX('M04-S10'!$AK$18:$AK$199,2*(ROWS(AQ$259:AQ276)-1)+1),""),2),"")</f>
        <v/>
      </c>
      <c r="AR276" s="9" t="str" cm="1">
        <f t="array" ref="AR276">IFERROR(ROUND(IF(BB276&lt;&gt;"", INDEX('M04-S10'!$BL$18:$BL$199,2*(ROWS(AG$259:AG276)-1)+1), ""),2),"")</f>
        <v/>
      </c>
      <c r="AS276" t="str">
        <f t="shared" si="47"/>
        <v/>
      </c>
      <c r="AT276" s="9" t="str" cm="1">
        <f t="array" ref="AT276">IFERROR(ROUND(IF(BB276&lt;&gt;"", INDEX('M04-S10'!$BL$18:$BL$199,2*(ROWS(AG$259:AG276)-1)+1), ""),2),"")</f>
        <v/>
      </c>
      <c r="AU276" s="184"/>
      <c r="AV276" s="5" t="str">
        <f>IFERROR(IF(BB276&lt;&gt;"",ROUND(INDEX('M04-S10'!$V$18:$V$199,2*(ROWS(AV$259:AV276)-1)+1),3),""),"")</f>
        <v/>
      </c>
      <c r="AW276" s="5" t="str">
        <f>IFERROR(IF(BB276&lt;&gt;"",ROUND(INDEX('M04-S10'!$V$18:$V$199,2*(ROWS(AW$259:AW276)-1)+1),3),""),"")</f>
        <v/>
      </c>
      <c r="AX276" s="184"/>
      <c r="AY276" s="26" t="str">
        <f>IFERROR(IF(BB276&lt;&gt;"",INDEX('M04-S10'!$BE$18:$BE$199,2*(ROWS(AY$259:AY276)-1)+1),""),"")</f>
        <v/>
      </c>
      <c r="AZ276" s="184"/>
      <c r="BA276" s="32" t="str">
        <f>IFERROR(IF(BB276&lt;&gt;"",INDEX('M04-S10'!$BG$18:$BG$199,2*(ROWS(BA$259:BA276)-1)+1),""),"")</f>
        <v/>
      </c>
      <c r="BB276" t="str">
        <f>IFERROR(INDEX('M04-S10'!$BY$18:$BY$199,2*(ROWS(BB$259:BB276)-1)+1),"")</f>
        <v/>
      </c>
    </row>
    <row r="277" spans="1:54">
      <c r="A277" s="10">
        <f t="shared" si="43"/>
        <v>0</v>
      </c>
      <c r="B277" t="str">
        <f t="shared" si="45"/>
        <v/>
      </c>
      <c r="C277" t="str" cm="1">
        <f t="array" ref="C277">IFERROR(_xlfn.VALUETOTEXT(INDEX('M04-S10'!$BW$18:$BW$199,2*(ROWS($C$259:C277)-1)+1)),"")</f>
        <v/>
      </c>
      <c r="D277">
        <f>IFERROR(INDEX('M04-S10'!$B$18:$B$199,2*(ROWS(D$259:D277)-1)+1),"")</f>
        <v>19</v>
      </c>
      <c r="E277" s="51" t="str" cm="1">
        <f t="array" ref="E277">IFERROR(_xlfn.VALUETOTEXT(INDEX('M04-S10'!$BX$18:$BX$199,2*(ROWS($E$259:E277)-1)+1)),"")</f>
        <v/>
      </c>
      <c r="F277" t="str" cm="1">
        <f t="array" ref="F277">IF(C277&lt;&gt;"", _xlfn.SWITCH(Program_Banner, "Small Business / Non-Profit", "Hard-To-Reach Business", "Business Energy Savings", "Whole Business Efficiency", ""), "")</f>
        <v/>
      </c>
      <c r="G277" t="s">
        <v>2779</v>
      </c>
      <c r="H277" t="str">
        <f>IFERROR(INDEX('M04-S10'!$BC$18:$BC$199,2*(ROWS($H$259:H277)-1)+1),"")</f>
        <v/>
      </c>
      <c r="I277" t="str">
        <f>IFERROR(INDEX('M04-S10'!$BJ$18:$BJ$199,2*(ROWS(I$259:I277)-1)+1),"")</f>
        <v/>
      </c>
      <c r="J277" s="9" t="str">
        <f>IFERROR(INDEX('M04-S10'!$BN$18:$BN$199,2*(ROWS(J$259:J277)-1)+1),"")</f>
        <v/>
      </c>
      <c r="K277" s="9" t="str">
        <f>IFERROR(INDEX('M04-S10'!$BO$18:$BO$199,2*(ROWS(K$259:K277)-1)+1),"")</f>
        <v/>
      </c>
      <c r="L277" s="51" t="str">
        <f>IFERROR(INDEX('M04-S10'!$BD$18:$BD$199,2*(ROWS(L$259:L277)-1)+1),"")</f>
        <v/>
      </c>
      <c r="M277" s="51">
        <f>IFERROR(INDEX('M04-S10'!$AG$18:$AG$199,2*(ROWS($M$259:M277)-1)+1),"")</f>
        <v>0</v>
      </c>
      <c r="O277">
        <f>IFERROR(INDEX('M04-S10'!$G$18:$G$199,2*(ROWS(O$259:O277)-1)+1),"")</f>
        <v>0</v>
      </c>
      <c r="P277">
        <f>IFERROR(INDEX('M04-S10'!$O$18:$O$199,2*(ROWS(P$259:P277)-1)+1),"")</f>
        <v>0</v>
      </c>
      <c r="Q277">
        <f>IFERROR(INDEX('M04-S10'!$AC$18:$AC$199,2*(ROWS(Q$259:Q277)-1)+1),"")</f>
        <v>0</v>
      </c>
      <c r="R277">
        <f>IFERROR(INDEX('M04-S10'!$Z$18:$Z$199,2*(ROWS(R$259:R277)-1)+1),"")</f>
        <v>0</v>
      </c>
      <c r="S277" t="str">
        <f>IFERROR(INDEX('M04-S10'!$AX$18:$AX$199,2*(ROWS(S$259:S277)-1)+1),"")</f>
        <v/>
      </c>
      <c r="T277" s="545" t="str" cm="1">
        <f t="array" ref="T277">IFERROR(ROUND(IF(BB277&lt;&gt;"", "", INDEX('M04-S10'!$AY$18:$AY$199,2*(ROWS(T$259:T277)-1)+1)),3),"")</f>
        <v/>
      </c>
      <c r="U277" s="545" t="str" cm="1">
        <f t="array" ref="U277">IFERROR(ROUND(IF(BB277&lt;&gt;"", "", INDEX('M04-S10'!$AZ$18:$AZ$199,2*(ROWS(U$259:U277)-1)+1)),3),"")</f>
        <v/>
      </c>
      <c r="V277" s="26">
        <f>IFERROR(INDEX('M04-S10'!$X$18:$X$199,2*(ROWS($G$259:V277)-1)+1),"")</f>
        <v>0</v>
      </c>
      <c r="W277" s="27" t="str">
        <f>IFERROR(INDEX('M04-S10'!$R$18:$R$199,2*(ROWS(W$259:W277)-1)+1),"")</f>
        <v/>
      </c>
      <c r="X277" s="27" t="str">
        <f>IFERROR(INDEX('M04-S10'!$T$18:$T$199,2*(ROWS(X$259:X277)-1)+1),"")</f>
        <v/>
      </c>
      <c r="Y277" s="184"/>
      <c r="Z277" s="184"/>
      <c r="AA277" s="9" t="str" cm="1">
        <f t="array" ref="AA277">IFERROR(ROUND(INDEX('M04-S10'!$AR$18:$AR$199,2*(ROWS(AA$259:AA277)-1)+1), 2),"")</f>
        <v/>
      </c>
      <c r="AB277" s="9" t="str" cm="1">
        <f t="array" ref="AB277">_xlfn.LET(_xlpm.ROWS, 2*(ROWS(AB$259:AB277)-1)+1,IFERROR(INDEX('M04-S10'!$AR$18:$AR$199, _xlpm.ROWS)-INDEX('M04-S10'!$BS$18:$BS$199, _xlpm.ROWS),""))</f>
        <v/>
      </c>
      <c r="AC277" s="9" cm="1">
        <f t="array" ref="AC277">IFERROR(ROUND(IF(BB277&lt;&gt;"", "", INDEX('M04-S10'!$AI$18:$AI$199,2*(ROWS(AC$259:AC277)-1)+1)),2),"")</f>
        <v>0</v>
      </c>
      <c r="AD277" s="9" cm="1">
        <f t="array" ref="AD277">IFERROR(ROUND(IF(BB277&lt;&gt;"", "", INDEX('M04-S10'!$AK$18:$AK$199,2*(ROWS(AD$259:AD277)-1)+1)),2),"")</f>
        <v>0</v>
      </c>
      <c r="AE277" s="9" t="str" cm="1">
        <f t="array" ref="AE277">IFERROR(ROUND(IF(BB277&lt;&gt;"", "", INDEX('M04-S10'!$BL$18:$BL$199,2*(ROWS(AG$259:AG277)-1)+1)),2),"")</f>
        <v/>
      </c>
      <c r="AF277" t="str">
        <f t="shared" si="46"/>
        <v>Incremental</v>
      </c>
      <c r="AG277" s="9" t="str" cm="1">
        <f t="array" ref="AG277">IFERROR(ROUND(IF(BB277&lt;&gt;"", "", INDEX('M04-S10'!$BL$18:$BL$199,2*(ROWS(AG$259:AG277)-1)+1)),2),"")</f>
        <v/>
      </c>
      <c r="AH277" s="184"/>
      <c r="AI277" s="184"/>
      <c r="AJ277" s="32" t="str" cm="1">
        <f t="array" ref="AJ277">IFERROR(ROUND(IF(BB277&lt;&gt;"", "", INDEX('M04-S10'!$BE$18:$BE$199,2*(ROWS(AJ$259:AJ277)-1)+1)),4),"")</f>
        <v/>
      </c>
      <c r="AK277" s="184"/>
      <c r="AL277" s="32" t="str" cm="1">
        <f t="array" ref="AL277">IFERROR(ROUND(IF(BB277&lt;&gt;"", "", INDEX('M04-S10'!$BG$18:$BG$199,2*(ROWS(AL$259:AL277)-1)+1)),4),"")</f>
        <v/>
      </c>
      <c r="AM277" s="32" t="str">
        <f>IFERROR(ROUND(INDEX('M04-S10'!$BA$18:$BA$199,2*(ROWS(AM$259:AM277)-1)+1),4),"")</f>
        <v/>
      </c>
      <c r="AN277" s="32" t="str">
        <f>IFERROR(ROUND(INDEX('M04-S10'!$BB$18:$BB$199,2*(ROWS(AN$259:AN277)-1)+1),4),"")</f>
        <v/>
      </c>
      <c r="AO277" s="184"/>
      <c r="AP277" s="9" t="str">
        <f>IFERROR(ROUND(IF(BB277&lt;&gt;"",INDEX('M04-S10'!$AI$18:$AI$199,2*(ROWS(AP$259:AP277)-1)+1),""),2),"")</f>
        <v/>
      </c>
      <c r="AQ277" s="9" t="str">
        <f>IFERROR(ROUND(IF(BB277&lt;&gt;"",INDEX('M04-S10'!$AK$18:$AK$199,2*(ROWS(AQ$259:AQ277)-1)+1),""),2),"")</f>
        <v/>
      </c>
      <c r="AR277" s="9" t="str" cm="1">
        <f t="array" ref="AR277">IFERROR(ROUND(IF(BB277&lt;&gt;"", INDEX('M04-S10'!$BL$18:$BL$199,2*(ROWS(AG$259:AG277)-1)+1), ""),2),"")</f>
        <v/>
      </c>
      <c r="AS277" t="str">
        <f t="shared" si="47"/>
        <v/>
      </c>
      <c r="AT277" s="9" t="str" cm="1">
        <f t="array" ref="AT277">IFERROR(ROUND(IF(BB277&lt;&gt;"", INDEX('M04-S10'!$BL$18:$BL$199,2*(ROWS(AG$259:AG277)-1)+1), ""),2),"")</f>
        <v/>
      </c>
      <c r="AU277" s="184"/>
      <c r="AV277" s="5" t="str">
        <f>IFERROR(IF(BB277&lt;&gt;"",ROUND(INDEX('M04-S10'!$V$18:$V$199,2*(ROWS(AV$259:AV277)-1)+1),3),""),"")</f>
        <v/>
      </c>
      <c r="AW277" s="5" t="str">
        <f>IFERROR(IF(BB277&lt;&gt;"",ROUND(INDEX('M04-S10'!$V$18:$V$199,2*(ROWS(AW$259:AW277)-1)+1),3),""),"")</f>
        <v/>
      </c>
      <c r="AX277" s="184"/>
      <c r="AY277" s="26" t="str">
        <f>IFERROR(IF(BB277&lt;&gt;"",INDEX('M04-S10'!$BE$18:$BE$199,2*(ROWS(AY$259:AY277)-1)+1),""),"")</f>
        <v/>
      </c>
      <c r="AZ277" s="184"/>
      <c r="BA277" s="32" t="str">
        <f>IFERROR(IF(BB277&lt;&gt;"",INDEX('M04-S10'!$BG$18:$BG$199,2*(ROWS(BA$259:BA277)-1)+1),""),"")</f>
        <v/>
      </c>
      <c r="BB277" t="str">
        <f>IFERROR(INDEX('M04-S10'!$BY$18:$BY$199,2*(ROWS(BB$259:BB277)-1)+1),"")</f>
        <v/>
      </c>
    </row>
    <row r="278" spans="1:54">
      <c r="A278" s="10">
        <f t="shared" si="43"/>
        <v>0</v>
      </c>
      <c r="B278" t="str">
        <f t="shared" si="45"/>
        <v/>
      </c>
      <c r="C278" t="str" cm="1">
        <f t="array" ref="C278">IFERROR(_xlfn.VALUETOTEXT(INDEX('M04-S10'!$BW$18:$BW$199,2*(ROWS($C$259:C278)-1)+1)),"")</f>
        <v/>
      </c>
      <c r="D278">
        <f>IFERROR(INDEX('M04-S10'!$B$18:$B$199,2*(ROWS(D$259:D278)-1)+1),"")</f>
        <v>20</v>
      </c>
      <c r="E278" s="51" t="str" cm="1">
        <f t="array" ref="E278">IFERROR(_xlfn.VALUETOTEXT(INDEX('M04-S10'!$BX$18:$BX$199,2*(ROWS($E$259:E278)-1)+1)),"")</f>
        <v/>
      </c>
      <c r="F278" t="str" cm="1">
        <f t="array" ref="F278">IF(C278&lt;&gt;"", _xlfn.SWITCH(Program_Banner, "Small Business / Non-Profit", "Hard-To-Reach Business", "Business Energy Savings", "Whole Business Efficiency", ""), "")</f>
        <v/>
      </c>
      <c r="G278" t="s">
        <v>2779</v>
      </c>
      <c r="H278" t="str">
        <f>IFERROR(INDEX('M04-S10'!$BC$18:$BC$199,2*(ROWS($H$259:H278)-1)+1),"")</f>
        <v/>
      </c>
      <c r="I278" t="str">
        <f>IFERROR(INDEX('M04-S10'!$BJ$18:$BJ$199,2*(ROWS(I$259:I278)-1)+1),"")</f>
        <v/>
      </c>
      <c r="J278" s="9" t="str">
        <f>IFERROR(INDEX('M04-S10'!$BN$18:$BN$199,2*(ROWS(J$259:J278)-1)+1),"")</f>
        <v/>
      </c>
      <c r="K278" s="9" t="str">
        <f>IFERROR(INDEX('M04-S10'!$BO$18:$BO$199,2*(ROWS(K$259:K278)-1)+1),"")</f>
        <v/>
      </c>
      <c r="L278" s="51" t="str">
        <f>IFERROR(INDEX('M04-S10'!$BD$18:$BD$199,2*(ROWS(L$259:L278)-1)+1),"")</f>
        <v/>
      </c>
      <c r="M278" s="51">
        <f>IFERROR(INDEX('M04-S10'!$AG$18:$AG$199,2*(ROWS($M$259:M278)-1)+1),"")</f>
        <v>0</v>
      </c>
      <c r="O278">
        <f>IFERROR(INDEX('M04-S10'!$G$18:$G$199,2*(ROWS(O$259:O278)-1)+1),"")</f>
        <v>0</v>
      </c>
      <c r="P278">
        <f>IFERROR(INDEX('M04-S10'!$O$18:$O$199,2*(ROWS(P$259:P278)-1)+1),"")</f>
        <v>0</v>
      </c>
      <c r="Q278">
        <f>IFERROR(INDEX('M04-S10'!$AC$18:$AC$199,2*(ROWS(Q$259:Q278)-1)+1),"")</f>
        <v>0</v>
      </c>
      <c r="R278">
        <f>IFERROR(INDEX('M04-S10'!$Z$18:$Z$199,2*(ROWS(R$259:R278)-1)+1),"")</f>
        <v>0</v>
      </c>
      <c r="S278" t="str">
        <f>IFERROR(INDEX('M04-S10'!$AX$18:$AX$199,2*(ROWS(S$259:S278)-1)+1),"")</f>
        <v/>
      </c>
      <c r="T278" s="545" t="str" cm="1">
        <f t="array" ref="T278">IFERROR(ROUND(IF(BB278&lt;&gt;"", "", INDEX('M04-S10'!$AY$18:$AY$199,2*(ROWS(T$259:T278)-1)+1)),3),"")</f>
        <v/>
      </c>
      <c r="U278" s="545" t="str" cm="1">
        <f t="array" ref="U278">IFERROR(ROUND(IF(BB278&lt;&gt;"", "", INDEX('M04-S10'!$AZ$18:$AZ$199,2*(ROWS(U$259:U278)-1)+1)),3),"")</f>
        <v/>
      </c>
      <c r="V278" s="26">
        <f>IFERROR(INDEX('M04-S10'!$X$18:$X$199,2*(ROWS($G$259:V278)-1)+1),"")</f>
        <v>0</v>
      </c>
      <c r="W278" s="27" t="str">
        <f>IFERROR(INDEX('M04-S10'!$R$18:$R$199,2*(ROWS(W$259:W278)-1)+1),"")</f>
        <v/>
      </c>
      <c r="X278" s="27" t="str">
        <f>IFERROR(INDEX('M04-S10'!$T$18:$T$199,2*(ROWS(X$259:X278)-1)+1),"")</f>
        <v/>
      </c>
      <c r="Y278" s="184"/>
      <c r="Z278" s="184"/>
      <c r="AA278" s="9" t="str" cm="1">
        <f t="array" ref="AA278">IFERROR(ROUND(INDEX('M04-S10'!$AR$18:$AR$199,2*(ROWS(AA$259:AA278)-1)+1), 2),"")</f>
        <v/>
      </c>
      <c r="AB278" s="9" t="str" cm="1">
        <f t="array" ref="AB278">_xlfn.LET(_xlpm.ROWS, 2*(ROWS(AB$259:AB278)-1)+1,IFERROR(INDEX('M04-S10'!$AR$18:$AR$199, _xlpm.ROWS)-INDEX('M04-S10'!$BS$18:$BS$199, _xlpm.ROWS),""))</f>
        <v/>
      </c>
      <c r="AC278" s="9" cm="1">
        <f t="array" ref="AC278">IFERROR(ROUND(IF(BB278&lt;&gt;"", "", INDEX('M04-S10'!$AI$18:$AI$199,2*(ROWS(AC$259:AC278)-1)+1)),2),"")</f>
        <v>0</v>
      </c>
      <c r="AD278" s="9" cm="1">
        <f t="array" ref="AD278">IFERROR(ROUND(IF(BB278&lt;&gt;"", "", INDEX('M04-S10'!$AK$18:$AK$199,2*(ROWS(AD$259:AD278)-1)+1)),2),"")</f>
        <v>0</v>
      </c>
      <c r="AE278" s="9" t="str" cm="1">
        <f t="array" ref="AE278">IFERROR(ROUND(IF(BB278&lt;&gt;"", "", INDEX('M04-S10'!$BL$18:$BL$199,2*(ROWS(AG$259:AG278)-1)+1)),2),"")</f>
        <v/>
      </c>
      <c r="AF278" t="str">
        <f t="shared" si="46"/>
        <v>Incremental</v>
      </c>
      <c r="AG278" s="9" t="str" cm="1">
        <f t="array" ref="AG278">IFERROR(ROUND(IF(BB278&lt;&gt;"", "", INDEX('M04-S10'!$BL$18:$BL$199,2*(ROWS(AG$259:AG278)-1)+1)),2),"")</f>
        <v/>
      </c>
      <c r="AH278" s="184"/>
      <c r="AI278" s="184"/>
      <c r="AJ278" s="32" t="str" cm="1">
        <f t="array" ref="AJ278">IFERROR(ROUND(IF(BB278&lt;&gt;"", "", INDEX('M04-S10'!$BE$18:$BE$199,2*(ROWS(AJ$259:AJ278)-1)+1)),4),"")</f>
        <v/>
      </c>
      <c r="AK278" s="184"/>
      <c r="AL278" s="32" t="str" cm="1">
        <f t="array" ref="AL278">IFERROR(ROUND(IF(BB278&lt;&gt;"", "", INDEX('M04-S10'!$BG$18:$BG$199,2*(ROWS(AL$259:AL278)-1)+1)),4),"")</f>
        <v/>
      </c>
      <c r="AM278" s="32" t="str">
        <f>IFERROR(ROUND(INDEX('M04-S10'!$BA$18:$BA$199,2*(ROWS(AM$259:AM278)-1)+1),4),"")</f>
        <v/>
      </c>
      <c r="AN278" s="32" t="str">
        <f>IFERROR(ROUND(INDEX('M04-S10'!$BB$18:$BB$199,2*(ROWS(AN$259:AN278)-1)+1),4),"")</f>
        <v/>
      </c>
      <c r="AO278" s="184"/>
      <c r="AP278" s="9" t="str">
        <f>IFERROR(ROUND(IF(BB278&lt;&gt;"",INDEX('M04-S10'!$AI$18:$AI$199,2*(ROWS(AP$259:AP278)-1)+1),""),2),"")</f>
        <v/>
      </c>
      <c r="AQ278" s="9" t="str">
        <f>IFERROR(ROUND(IF(BB278&lt;&gt;"",INDEX('M04-S10'!$AK$18:$AK$199,2*(ROWS(AQ$259:AQ278)-1)+1),""),2),"")</f>
        <v/>
      </c>
      <c r="AR278" s="9" t="str" cm="1">
        <f t="array" ref="AR278">IFERROR(ROUND(IF(BB278&lt;&gt;"", INDEX('M04-S10'!$BL$18:$BL$199,2*(ROWS(AG$259:AG278)-1)+1), ""),2),"")</f>
        <v/>
      </c>
      <c r="AS278" t="str">
        <f t="shared" si="47"/>
        <v/>
      </c>
      <c r="AT278" s="9" t="str" cm="1">
        <f t="array" ref="AT278">IFERROR(ROUND(IF(BB278&lt;&gt;"", INDEX('M04-S10'!$BL$18:$BL$199,2*(ROWS(AG$259:AG278)-1)+1), ""),2),"")</f>
        <v/>
      </c>
      <c r="AU278" s="184"/>
      <c r="AV278" s="5" t="str">
        <f>IFERROR(IF(BB278&lt;&gt;"",ROUND(INDEX('M04-S10'!$V$18:$V$199,2*(ROWS(AV$259:AV278)-1)+1),3),""),"")</f>
        <v/>
      </c>
      <c r="AW278" s="5" t="str">
        <f>IFERROR(IF(BB278&lt;&gt;"",ROUND(INDEX('M04-S10'!$V$18:$V$199,2*(ROWS(AW$259:AW278)-1)+1),3),""),"")</f>
        <v/>
      </c>
      <c r="AX278" s="184"/>
      <c r="AY278" s="26" t="str">
        <f>IFERROR(IF(BB278&lt;&gt;"",INDEX('M04-S10'!$BE$18:$BE$199,2*(ROWS(AY$259:AY278)-1)+1),""),"")</f>
        <v/>
      </c>
      <c r="AZ278" s="184"/>
      <c r="BA278" s="32" t="str">
        <f>IFERROR(IF(BB278&lt;&gt;"",INDEX('M04-S10'!$BG$18:$BG$199,2*(ROWS(BA$259:BA278)-1)+1),""),"")</f>
        <v/>
      </c>
      <c r="BB278" t="str">
        <f>IFERROR(INDEX('M04-S10'!$BY$18:$BY$199,2*(ROWS(BB$259:BB278)-1)+1),"")</f>
        <v/>
      </c>
    </row>
    <row r="279" spans="1:54">
      <c r="A279" s="10">
        <f t="shared" si="43"/>
        <v>0</v>
      </c>
      <c r="B279" t="str">
        <f t="shared" si="45"/>
        <v/>
      </c>
      <c r="C279" t="str" cm="1">
        <f t="array" ref="C279">IFERROR(_xlfn.VALUETOTEXT(INDEX('M04-S10'!$BW$18:$BW$199,2*(ROWS($C$259:C279)-1)+1)),"")</f>
        <v/>
      </c>
      <c r="D279">
        <f>IFERROR(INDEX('M04-S10'!$B$18:$B$199,2*(ROWS(D$259:D279)-1)+1),"")</f>
        <v>21</v>
      </c>
      <c r="E279" s="51" t="str" cm="1">
        <f t="array" ref="E279">IFERROR(_xlfn.VALUETOTEXT(INDEX('M04-S10'!$BX$18:$BX$199,2*(ROWS($E$259:E279)-1)+1)),"")</f>
        <v/>
      </c>
      <c r="F279" t="str" cm="1">
        <f t="array" ref="F279">IF(C279&lt;&gt;"", _xlfn.SWITCH(Program_Banner, "Small Business / Non-Profit", "Hard-To-Reach Business", "Business Energy Savings", "Whole Business Efficiency", ""), "")</f>
        <v/>
      </c>
      <c r="G279" t="s">
        <v>2779</v>
      </c>
      <c r="H279" t="str">
        <f>IFERROR(INDEX('M04-S10'!$BC$18:$BC$199,2*(ROWS($H$259:H279)-1)+1),"")</f>
        <v/>
      </c>
      <c r="I279" t="str">
        <f>IFERROR(INDEX('M04-S10'!$BJ$18:$BJ$199,2*(ROWS(I$259:I279)-1)+1),"")</f>
        <v/>
      </c>
      <c r="J279" s="9" t="str">
        <f>IFERROR(INDEX('M04-S10'!$BN$18:$BN$199,2*(ROWS(J$259:J279)-1)+1),"")</f>
        <v/>
      </c>
      <c r="K279" s="9" t="str">
        <f>IFERROR(INDEX('M04-S10'!$BO$18:$BO$199,2*(ROWS(K$259:K279)-1)+1),"")</f>
        <v/>
      </c>
      <c r="L279" s="51" t="str">
        <f>IFERROR(INDEX('M04-S10'!$BD$18:$BD$199,2*(ROWS(L$259:L279)-1)+1),"")</f>
        <v/>
      </c>
      <c r="M279" s="51">
        <f>IFERROR(INDEX('M04-S10'!$AG$18:$AG$199,2*(ROWS($M$259:M279)-1)+1),"")</f>
        <v>0</v>
      </c>
      <c r="O279">
        <f>IFERROR(INDEX('M04-S10'!$G$18:$G$199,2*(ROWS(O$259:O279)-1)+1),"")</f>
        <v>0</v>
      </c>
      <c r="P279">
        <f>IFERROR(INDEX('M04-S10'!$O$18:$O$199,2*(ROWS(P$259:P279)-1)+1),"")</f>
        <v>0</v>
      </c>
      <c r="Q279">
        <f>IFERROR(INDEX('M04-S10'!$AC$18:$AC$199,2*(ROWS(Q$259:Q279)-1)+1),"")</f>
        <v>0</v>
      </c>
      <c r="R279">
        <f>IFERROR(INDEX('M04-S10'!$Z$18:$Z$199,2*(ROWS(R$259:R279)-1)+1),"")</f>
        <v>0</v>
      </c>
      <c r="S279" t="str">
        <f>IFERROR(INDEX('M04-S10'!$AX$18:$AX$199,2*(ROWS(S$259:S279)-1)+1),"")</f>
        <v/>
      </c>
      <c r="T279" s="545" t="str" cm="1">
        <f t="array" ref="T279">IFERROR(ROUND(IF(BB279&lt;&gt;"", "", INDEX('M04-S10'!$AY$18:$AY$199,2*(ROWS(T$259:T279)-1)+1)),3),"")</f>
        <v/>
      </c>
      <c r="U279" s="545" t="str" cm="1">
        <f t="array" ref="U279">IFERROR(ROUND(IF(BB279&lt;&gt;"", "", INDEX('M04-S10'!$AZ$18:$AZ$199,2*(ROWS(U$259:U279)-1)+1)),3),"")</f>
        <v/>
      </c>
      <c r="V279" s="26">
        <f>IFERROR(INDEX('M04-S10'!$X$18:$X$199,2*(ROWS($G$259:V279)-1)+1),"")</f>
        <v>0</v>
      </c>
      <c r="W279" s="27" t="str">
        <f>IFERROR(INDEX('M04-S10'!$R$18:$R$199,2*(ROWS(W$259:W279)-1)+1),"")</f>
        <v/>
      </c>
      <c r="X279" s="27" t="str">
        <f>IFERROR(INDEX('M04-S10'!$T$18:$T$199,2*(ROWS(X$259:X279)-1)+1),"")</f>
        <v/>
      </c>
      <c r="Y279" s="184"/>
      <c r="Z279" s="184"/>
      <c r="AA279" s="9" t="str" cm="1">
        <f t="array" ref="AA279">IFERROR(ROUND(INDEX('M04-S10'!$AR$18:$AR$199,2*(ROWS(AA$259:AA279)-1)+1), 2),"")</f>
        <v/>
      </c>
      <c r="AB279" s="9" t="str" cm="1">
        <f t="array" ref="AB279">_xlfn.LET(_xlpm.ROWS, 2*(ROWS(AB$259:AB279)-1)+1,IFERROR(INDEX('M04-S10'!$AR$18:$AR$199, _xlpm.ROWS)-INDEX('M04-S10'!$BS$18:$BS$199, _xlpm.ROWS),""))</f>
        <v/>
      </c>
      <c r="AC279" s="9" cm="1">
        <f t="array" ref="AC279">IFERROR(ROUND(IF(BB279&lt;&gt;"", "", INDEX('M04-S10'!$AI$18:$AI$199,2*(ROWS(AC$259:AC279)-1)+1)),2),"")</f>
        <v>0</v>
      </c>
      <c r="AD279" s="9" cm="1">
        <f t="array" ref="AD279">IFERROR(ROUND(IF(BB279&lt;&gt;"", "", INDEX('M04-S10'!$AK$18:$AK$199,2*(ROWS(AD$259:AD279)-1)+1)),2),"")</f>
        <v>0</v>
      </c>
      <c r="AE279" s="9" t="str" cm="1">
        <f t="array" ref="AE279">IFERROR(ROUND(IF(BB279&lt;&gt;"", "", INDEX('M04-S10'!$BL$18:$BL$199,2*(ROWS(AG$259:AG279)-1)+1)),2),"")</f>
        <v/>
      </c>
      <c r="AF279" t="str">
        <f t="shared" si="46"/>
        <v>Incremental</v>
      </c>
      <c r="AG279" s="9" t="str" cm="1">
        <f t="array" ref="AG279">IFERROR(ROUND(IF(BB279&lt;&gt;"", "", INDEX('M04-S10'!$BL$18:$BL$199,2*(ROWS(AG$259:AG279)-1)+1)),2),"")</f>
        <v/>
      </c>
      <c r="AH279" s="184"/>
      <c r="AI279" s="184"/>
      <c r="AJ279" s="32" t="str" cm="1">
        <f t="array" ref="AJ279">IFERROR(ROUND(IF(BB279&lt;&gt;"", "", INDEX('M04-S10'!$BE$18:$BE$199,2*(ROWS(AJ$259:AJ279)-1)+1)),4),"")</f>
        <v/>
      </c>
      <c r="AK279" s="184"/>
      <c r="AL279" s="32" t="str" cm="1">
        <f t="array" ref="AL279">IFERROR(ROUND(IF(BB279&lt;&gt;"", "", INDEX('M04-S10'!$BG$18:$BG$199,2*(ROWS(AL$259:AL279)-1)+1)),4),"")</f>
        <v/>
      </c>
      <c r="AM279" s="32" t="str">
        <f>IFERROR(ROUND(INDEX('M04-S10'!$BA$18:$BA$199,2*(ROWS(AM$259:AM279)-1)+1),4),"")</f>
        <v/>
      </c>
      <c r="AN279" s="32" t="str">
        <f>IFERROR(ROUND(INDEX('M04-S10'!$BB$18:$BB$199,2*(ROWS(AN$259:AN279)-1)+1),4),"")</f>
        <v/>
      </c>
      <c r="AO279" s="184"/>
      <c r="AP279" s="9" t="str">
        <f>IFERROR(ROUND(IF(BB279&lt;&gt;"",INDEX('M04-S10'!$AI$18:$AI$199,2*(ROWS(AP$259:AP279)-1)+1),""),2),"")</f>
        <v/>
      </c>
      <c r="AQ279" s="9" t="str">
        <f>IFERROR(ROUND(IF(BB279&lt;&gt;"",INDEX('M04-S10'!$AK$18:$AK$199,2*(ROWS(AQ$259:AQ279)-1)+1),""),2),"")</f>
        <v/>
      </c>
      <c r="AR279" s="9" t="str" cm="1">
        <f t="array" ref="AR279">IFERROR(ROUND(IF(BB279&lt;&gt;"", INDEX('M04-S10'!$BL$18:$BL$199,2*(ROWS(AG$259:AG279)-1)+1), ""),2),"")</f>
        <v/>
      </c>
      <c r="AS279" t="str">
        <f t="shared" si="47"/>
        <v/>
      </c>
      <c r="AT279" s="9" t="str" cm="1">
        <f t="array" ref="AT279">IFERROR(ROUND(IF(BB279&lt;&gt;"", INDEX('M04-S10'!$BL$18:$BL$199,2*(ROWS(AG$259:AG279)-1)+1), ""),2),"")</f>
        <v/>
      </c>
      <c r="AU279" s="184"/>
      <c r="AV279" s="5" t="str">
        <f>IFERROR(IF(BB279&lt;&gt;"",ROUND(INDEX('M04-S10'!$V$18:$V$199,2*(ROWS(AV$259:AV279)-1)+1),3),""),"")</f>
        <v/>
      </c>
      <c r="AW279" s="5" t="str">
        <f>IFERROR(IF(BB279&lt;&gt;"",ROUND(INDEX('M04-S10'!$V$18:$V$199,2*(ROWS(AW$259:AW279)-1)+1),3),""),"")</f>
        <v/>
      </c>
      <c r="AX279" s="184"/>
      <c r="AY279" s="26" t="str">
        <f>IFERROR(IF(BB279&lt;&gt;"",INDEX('M04-S10'!$BE$18:$BE$199,2*(ROWS(AY$259:AY279)-1)+1),""),"")</f>
        <v/>
      </c>
      <c r="AZ279" s="184"/>
      <c r="BA279" s="32" t="str">
        <f>IFERROR(IF(BB279&lt;&gt;"",INDEX('M04-S10'!$BG$18:$BG$199,2*(ROWS(BA$259:BA279)-1)+1),""),"")</f>
        <v/>
      </c>
      <c r="BB279" t="str">
        <f>IFERROR(INDEX('M04-S10'!$BY$18:$BY$199,2*(ROWS(BB$259:BB279)-1)+1),"")</f>
        <v/>
      </c>
    </row>
    <row r="280" spans="1:54">
      <c r="A280" s="10">
        <f t="shared" si="43"/>
        <v>0</v>
      </c>
      <c r="B280" t="str">
        <f t="shared" si="45"/>
        <v/>
      </c>
      <c r="C280" t="str" cm="1">
        <f t="array" ref="C280">IFERROR(_xlfn.VALUETOTEXT(INDEX('M04-S10'!$BW$18:$BW$199,2*(ROWS($C$259:C280)-1)+1)),"")</f>
        <v/>
      </c>
      <c r="D280">
        <f>IFERROR(INDEX('M04-S10'!$B$18:$B$199,2*(ROWS(D$259:D280)-1)+1),"")</f>
        <v>22</v>
      </c>
      <c r="E280" s="51" t="str" cm="1">
        <f t="array" ref="E280">IFERROR(_xlfn.VALUETOTEXT(INDEX('M04-S10'!$BX$18:$BX$199,2*(ROWS($E$259:E280)-1)+1)),"")</f>
        <v/>
      </c>
      <c r="F280" t="str" cm="1">
        <f t="array" ref="F280">IF(C280&lt;&gt;"", _xlfn.SWITCH(Program_Banner, "Small Business / Non-Profit", "Hard-To-Reach Business", "Business Energy Savings", "Whole Business Efficiency", ""), "")</f>
        <v/>
      </c>
      <c r="G280" t="s">
        <v>2779</v>
      </c>
      <c r="H280" t="str">
        <f>IFERROR(INDEX('M04-S10'!$BC$18:$BC$199,2*(ROWS($H$259:H280)-1)+1),"")</f>
        <v/>
      </c>
      <c r="I280" t="str">
        <f>IFERROR(INDEX('M04-S10'!$BJ$18:$BJ$199,2*(ROWS(I$259:I280)-1)+1),"")</f>
        <v/>
      </c>
      <c r="J280" s="9" t="str">
        <f>IFERROR(INDEX('M04-S10'!$BN$18:$BN$199,2*(ROWS(J$259:J280)-1)+1),"")</f>
        <v/>
      </c>
      <c r="K280" s="9" t="str">
        <f>IFERROR(INDEX('M04-S10'!$BO$18:$BO$199,2*(ROWS(K$259:K280)-1)+1),"")</f>
        <v/>
      </c>
      <c r="L280" s="51" t="str">
        <f>IFERROR(INDEX('M04-S10'!$BD$18:$BD$199,2*(ROWS(L$259:L280)-1)+1),"")</f>
        <v/>
      </c>
      <c r="M280" s="51">
        <f>IFERROR(INDEX('M04-S10'!$AG$18:$AG$199,2*(ROWS($M$259:M280)-1)+1),"")</f>
        <v>0</v>
      </c>
      <c r="O280">
        <f>IFERROR(INDEX('M04-S10'!$G$18:$G$199,2*(ROWS(O$259:O280)-1)+1),"")</f>
        <v>0</v>
      </c>
      <c r="P280">
        <f>IFERROR(INDEX('M04-S10'!$O$18:$O$199,2*(ROWS(P$259:P280)-1)+1),"")</f>
        <v>0</v>
      </c>
      <c r="Q280">
        <f>IFERROR(INDEX('M04-S10'!$AC$18:$AC$199,2*(ROWS(Q$259:Q280)-1)+1),"")</f>
        <v>0</v>
      </c>
      <c r="R280">
        <f>IFERROR(INDEX('M04-S10'!$Z$18:$Z$199,2*(ROWS(R$259:R280)-1)+1),"")</f>
        <v>0</v>
      </c>
      <c r="S280" t="str">
        <f>IFERROR(INDEX('M04-S10'!$AX$18:$AX$199,2*(ROWS(S$259:S280)-1)+1),"")</f>
        <v/>
      </c>
      <c r="T280" s="545" t="str" cm="1">
        <f t="array" ref="T280">IFERROR(ROUND(IF(BB280&lt;&gt;"", "", INDEX('M04-S10'!$AY$18:$AY$199,2*(ROWS(T$259:T280)-1)+1)),3),"")</f>
        <v/>
      </c>
      <c r="U280" s="545" t="str" cm="1">
        <f t="array" ref="U280">IFERROR(ROUND(IF(BB280&lt;&gt;"", "", INDEX('M04-S10'!$AZ$18:$AZ$199,2*(ROWS(U$259:U280)-1)+1)),3),"")</f>
        <v/>
      </c>
      <c r="V280" s="26">
        <f>IFERROR(INDEX('M04-S10'!$X$18:$X$199,2*(ROWS($G$259:V280)-1)+1),"")</f>
        <v>0</v>
      </c>
      <c r="W280" s="27" t="str">
        <f>IFERROR(INDEX('M04-S10'!$R$18:$R$199,2*(ROWS(W$259:W280)-1)+1),"")</f>
        <v/>
      </c>
      <c r="X280" s="27" t="str">
        <f>IFERROR(INDEX('M04-S10'!$T$18:$T$199,2*(ROWS(X$259:X280)-1)+1),"")</f>
        <v/>
      </c>
      <c r="Y280" s="184"/>
      <c r="Z280" s="184"/>
      <c r="AA280" s="9" t="str" cm="1">
        <f t="array" ref="AA280">IFERROR(ROUND(INDEX('M04-S10'!$AR$18:$AR$199,2*(ROWS(AA$259:AA280)-1)+1), 2),"")</f>
        <v/>
      </c>
      <c r="AB280" s="9" t="str" cm="1">
        <f t="array" ref="AB280">_xlfn.LET(_xlpm.ROWS, 2*(ROWS(AB$259:AB280)-1)+1,IFERROR(INDEX('M04-S10'!$AR$18:$AR$199, _xlpm.ROWS)-INDEX('M04-S10'!$BS$18:$BS$199, _xlpm.ROWS),""))</f>
        <v/>
      </c>
      <c r="AC280" s="9" cm="1">
        <f t="array" ref="AC280">IFERROR(ROUND(IF(BB280&lt;&gt;"", "", INDEX('M04-S10'!$AI$18:$AI$199,2*(ROWS(AC$259:AC280)-1)+1)),2),"")</f>
        <v>0</v>
      </c>
      <c r="AD280" s="9" cm="1">
        <f t="array" ref="AD280">IFERROR(ROUND(IF(BB280&lt;&gt;"", "", INDEX('M04-S10'!$AK$18:$AK$199,2*(ROWS(AD$259:AD280)-1)+1)),2),"")</f>
        <v>0</v>
      </c>
      <c r="AE280" s="9" t="str" cm="1">
        <f t="array" ref="AE280">IFERROR(ROUND(IF(BB280&lt;&gt;"", "", INDEX('M04-S10'!$BL$18:$BL$199,2*(ROWS(AG$259:AG280)-1)+1)),2),"")</f>
        <v/>
      </c>
      <c r="AF280" t="str">
        <f t="shared" si="46"/>
        <v>Incremental</v>
      </c>
      <c r="AG280" s="9" t="str" cm="1">
        <f t="array" ref="AG280">IFERROR(ROUND(IF(BB280&lt;&gt;"", "", INDEX('M04-S10'!$BL$18:$BL$199,2*(ROWS(AG$259:AG280)-1)+1)),2),"")</f>
        <v/>
      </c>
      <c r="AH280" s="184"/>
      <c r="AI280" s="184"/>
      <c r="AJ280" s="32" t="str" cm="1">
        <f t="array" ref="AJ280">IFERROR(ROUND(IF(BB280&lt;&gt;"", "", INDEX('M04-S10'!$BE$18:$BE$199,2*(ROWS(AJ$259:AJ280)-1)+1)),4),"")</f>
        <v/>
      </c>
      <c r="AK280" s="184"/>
      <c r="AL280" s="32" t="str" cm="1">
        <f t="array" ref="AL280">IFERROR(ROUND(IF(BB280&lt;&gt;"", "", INDEX('M04-S10'!$BG$18:$BG$199,2*(ROWS(AL$259:AL280)-1)+1)),4),"")</f>
        <v/>
      </c>
      <c r="AM280" s="32" t="str">
        <f>IFERROR(ROUND(INDEX('M04-S10'!$BA$18:$BA$199,2*(ROWS(AM$259:AM280)-1)+1),4),"")</f>
        <v/>
      </c>
      <c r="AN280" s="32" t="str">
        <f>IFERROR(ROUND(INDEX('M04-S10'!$BB$18:$BB$199,2*(ROWS(AN$259:AN280)-1)+1),4),"")</f>
        <v/>
      </c>
      <c r="AO280" s="184"/>
      <c r="AP280" s="9" t="str">
        <f>IFERROR(ROUND(IF(BB280&lt;&gt;"",INDEX('M04-S10'!$AI$18:$AI$199,2*(ROWS(AP$259:AP280)-1)+1),""),2),"")</f>
        <v/>
      </c>
      <c r="AQ280" s="9" t="str">
        <f>IFERROR(ROUND(IF(BB280&lt;&gt;"",INDEX('M04-S10'!$AK$18:$AK$199,2*(ROWS(AQ$259:AQ280)-1)+1),""),2),"")</f>
        <v/>
      </c>
      <c r="AR280" s="9" t="str" cm="1">
        <f t="array" ref="AR280">IFERROR(ROUND(IF(BB280&lt;&gt;"", INDEX('M04-S10'!$BL$18:$BL$199,2*(ROWS(AG$259:AG280)-1)+1), ""),2),"")</f>
        <v/>
      </c>
      <c r="AS280" t="str">
        <f t="shared" si="47"/>
        <v/>
      </c>
      <c r="AT280" s="9" t="str" cm="1">
        <f t="array" ref="AT280">IFERROR(ROUND(IF(BB280&lt;&gt;"", INDEX('M04-S10'!$BL$18:$BL$199,2*(ROWS(AG$259:AG280)-1)+1), ""),2),"")</f>
        <v/>
      </c>
      <c r="AU280" s="184"/>
      <c r="AV280" s="5" t="str">
        <f>IFERROR(IF(BB280&lt;&gt;"",ROUND(INDEX('M04-S10'!$V$18:$V$199,2*(ROWS(AV$259:AV280)-1)+1),3),""),"")</f>
        <v/>
      </c>
      <c r="AW280" s="5" t="str">
        <f>IFERROR(IF(BB280&lt;&gt;"",ROUND(INDEX('M04-S10'!$V$18:$V$199,2*(ROWS(AW$259:AW280)-1)+1),3),""),"")</f>
        <v/>
      </c>
      <c r="AX280" s="184"/>
      <c r="AY280" s="26" t="str">
        <f>IFERROR(IF(BB280&lt;&gt;"",INDEX('M04-S10'!$BE$18:$BE$199,2*(ROWS(AY$259:AY280)-1)+1),""),"")</f>
        <v/>
      </c>
      <c r="AZ280" s="184"/>
      <c r="BA280" s="32" t="str">
        <f>IFERROR(IF(BB280&lt;&gt;"",INDEX('M04-S10'!$BG$18:$BG$199,2*(ROWS(BA$259:BA280)-1)+1),""),"")</f>
        <v/>
      </c>
      <c r="BB280" t="str">
        <f>IFERROR(INDEX('M04-S10'!$BY$18:$BY$199,2*(ROWS(BB$259:BB280)-1)+1),"")</f>
        <v/>
      </c>
    </row>
    <row r="281" spans="1:54">
      <c r="A281" s="10">
        <f t="shared" si="43"/>
        <v>0</v>
      </c>
      <c r="B281" t="str">
        <f t="shared" si="45"/>
        <v/>
      </c>
      <c r="C281" t="str" cm="1">
        <f t="array" ref="C281">IFERROR(_xlfn.VALUETOTEXT(INDEX('M04-S10'!$BW$18:$BW$199,2*(ROWS($C$259:C281)-1)+1)),"")</f>
        <v/>
      </c>
      <c r="D281">
        <f>IFERROR(INDEX('M04-S10'!$B$18:$B$199,2*(ROWS(D$259:D281)-1)+1),"")</f>
        <v>23</v>
      </c>
      <c r="E281" s="51" t="str" cm="1">
        <f t="array" ref="E281">IFERROR(_xlfn.VALUETOTEXT(INDEX('M04-S10'!$BX$18:$BX$199,2*(ROWS($E$259:E281)-1)+1)),"")</f>
        <v/>
      </c>
      <c r="F281" t="str" cm="1">
        <f t="array" ref="F281">IF(C281&lt;&gt;"", _xlfn.SWITCH(Program_Banner, "Small Business / Non-Profit", "Hard-To-Reach Business", "Business Energy Savings", "Whole Business Efficiency", ""), "")</f>
        <v/>
      </c>
      <c r="G281" t="s">
        <v>2779</v>
      </c>
      <c r="H281" t="str">
        <f>IFERROR(INDEX('M04-S10'!$BC$18:$BC$199,2*(ROWS($H$259:H281)-1)+1),"")</f>
        <v/>
      </c>
      <c r="I281" t="str">
        <f>IFERROR(INDEX('M04-S10'!$BJ$18:$BJ$199,2*(ROWS(I$259:I281)-1)+1),"")</f>
        <v/>
      </c>
      <c r="J281" s="9" t="str">
        <f>IFERROR(INDEX('M04-S10'!$BN$18:$BN$199,2*(ROWS(J$259:J281)-1)+1),"")</f>
        <v/>
      </c>
      <c r="K281" s="9" t="str">
        <f>IFERROR(INDEX('M04-S10'!$BO$18:$BO$199,2*(ROWS(K$259:K281)-1)+1),"")</f>
        <v/>
      </c>
      <c r="L281" s="51" t="str">
        <f>IFERROR(INDEX('M04-S10'!$BD$18:$BD$199,2*(ROWS(L$259:L281)-1)+1),"")</f>
        <v/>
      </c>
      <c r="M281" s="51">
        <f>IFERROR(INDEX('M04-S10'!$AG$18:$AG$199,2*(ROWS($M$259:M281)-1)+1),"")</f>
        <v>0</v>
      </c>
      <c r="O281">
        <f>IFERROR(INDEX('M04-S10'!$G$18:$G$199,2*(ROWS(O$259:O281)-1)+1),"")</f>
        <v>0</v>
      </c>
      <c r="P281">
        <f>IFERROR(INDEX('M04-S10'!$O$18:$O$199,2*(ROWS(P$259:P281)-1)+1),"")</f>
        <v>0</v>
      </c>
      <c r="Q281">
        <f>IFERROR(INDEX('M04-S10'!$AC$18:$AC$199,2*(ROWS(Q$259:Q281)-1)+1),"")</f>
        <v>0</v>
      </c>
      <c r="R281">
        <f>IFERROR(INDEX('M04-S10'!$Z$18:$Z$199,2*(ROWS(R$259:R281)-1)+1),"")</f>
        <v>0</v>
      </c>
      <c r="S281" t="str">
        <f>IFERROR(INDEX('M04-S10'!$AX$18:$AX$199,2*(ROWS(S$259:S281)-1)+1),"")</f>
        <v/>
      </c>
      <c r="T281" s="545" t="str" cm="1">
        <f t="array" ref="T281">IFERROR(ROUND(IF(BB281&lt;&gt;"", "", INDEX('M04-S10'!$AY$18:$AY$199,2*(ROWS(T$259:T281)-1)+1)),3),"")</f>
        <v/>
      </c>
      <c r="U281" s="545" t="str" cm="1">
        <f t="array" ref="U281">IFERROR(ROUND(IF(BB281&lt;&gt;"", "", INDEX('M04-S10'!$AZ$18:$AZ$199,2*(ROWS(U$259:U281)-1)+1)),3),"")</f>
        <v/>
      </c>
      <c r="V281" s="26">
        <f>IFERROR(INDEX('M04-S10'!$X$18:$X$199,2*(ROWS($G$259:V281)-1)+1),"")</f>
        <v>0</v>
      </c>
      <c r="W281" s="27" t="str">
        <f>IFERROR(INDEX('M04-S10'!$R$18:$R$199,2*(ROWS(W$259:W281)-1)+1),"")</f>
        <v/>
      </c>
      <c r="X281" s="27" t="str">
        <f>IFERROR(INDEX('M04-S10'!$T$18:$T$199,2*(ROWS(X$259:X281)-1)+1),"")</f>
        <v/>
      </c>
      <c r="Y281" s="184"/>
      <c r="Z281" s="184"/>
      <c r="AA281" s="9" t="str" cm="1">
        <f t="array" ref="AA281">IFERROR(ROUND(INDEX('M04-S10'!$AR$18:$AR$199,2*(ROWS(AA$259:AA281)-1)+1), 2),"")</f>
        <v/>
      </c>
      <c r="AB281" s="9" t="str" cm="1">
        <f t="array" ref="AB281">_xlfn.LET(_xlpm.ROWS, 2*(ROWS(AB$259:AB281)-1)+1,IFERROR(INDEX('M04-S10'!$AR$18:$AR$199, _xlpm.ROWS)-INDEX('M04-S10'!$BS$18:$BS$199, _xlpm.ROWS),""))</f>
        <v/>
      </c>
      <c r="AC281" s="9" cm="1">
        <f t="array" ref="AC281">IFERROR(ROUND(IF(BB281&lt;&gt;"", "", INDEX('M04-S10'!$AI$18:$AI$199,2*(ROWS(AC$259:AC281)-1)+1)),2),"")</f>
        <v>0</v>
      </c>
      <c r="AD281" s="9" cm="1">
        <f t="array" ref="AD281">IFERROR(ROUND(IF(BB281&lt;&gt;"", "", INDEX('M04-S10'!$AK$18:$AK$199,2*(ROWS(AD$259:AD281)-1)+1)),2),"")</f>
        <v>0</v>
      </c>
      <c r="AE281" s="9" t="str" cm="1">
        <f t="array" ref="AE281">IFERROR(ROUND(IF(BB281&lt;&gt;"", "", INDEX('M04-S10'!$BL$18:$BL$199,2*(ROWS(AG$259:AG281)-1)+1)),2),"")</f>
        <v/>
      </c>
      <c r="AF281" t="str">
        <f t="shared" si="46"/>
        <v>Incremental</v>
      </c>
      <c r="AG281" s="9" t="str" cm="1">
        <f t="array" ref="AG281">IFERROR(ROUND(IF(BB281&lt;&gt;"", "", INDEX('M04-S10'!$BL$18:$BL$199,2*(ROWS(AG$259:AG281)-1)+1)),2),"")</f>
        <v/>
      </c>
      <c r="AH281" s="184"/>
      <c r="AI281" s="184"/>
      <c r="AJ281" s="32" t="str" cm="1">
        <f t="array" ref="AJ281">IFERROR(ROUND(IF(BB281&lt;&gt;"", "", INDEX('M04-S10'!$BE$18:$BE$199,2*(ROWS(AJ$259:AJ281)-1)+1)),4),"")</f>
        <v/>
      </c>
      <c r="AK281" s="184"/>
      <c r="AL281" s="32" t="str" cm="1">
        <f t="array" ref="AL281">IFERROR(ROUND(IF(BB281&lt;&gt;"", "", INDEX('M04-S10'!$BG$18:$BG$199,2*(ROWS(AL$259:AL281)-1)+1)),4),"")</f>
        <v/>
      </c>
      <c r="AM281" s="32" t="str">
        <f>IFERROR(ROUND(INDEX('M04-S10'!$BA$18:$BA$199,2*(ROWS(AM$259:AM281)-1)+1),4),"")</f>
        <v/>
      </c>
      <c r="AN281" s="32" t="str">
        <f>IFERROR(ROUND(INDEX('M04-S10'!$BB$18:$BB$199,2*(ROWS(AN$259:AN281)-1)+1),4),"")</f>
        <v/>
      </c>
      <c r="AO281" s="184"/>
      <c r="AP281" s="9" t="str">
        <f>IFERROR(ROUND(IF(BB281&lt;&gt;"",INDEX('M04-S10'!$AI$18:$AI$199,2*(ROWS(AP$259:AP281)-1)+1),""),2),"")</f>
        <v/>
      </c>
      <c r="AQ281" s="9" t="str">
        <f>IFERROR(ROUND(IF(BB281&lt;&gt;"",INDEX('M04-S10'!$AK$18:$AK$199,2*(ROWS(AQ$259:AQ281)-1)+1),""),2),"")</f>
        <v/>
      </c>
      <c r="AR281" s="9" t="str" cm="1">
        <f t="array" ref="AR281">IFERROR(ROUND(IF(BB281&lt;&gt;"", INDEX('M04-S10'!$BL$18:$BL$199,2*(ROWS(AG$259:AG281)-1)+1), ""),2),"")</f>
        <v/>
      </c>
      <c r="AS281" t="str">
        <f t="shared" si="47"/>
        <v/>
      </c>
      <c r="AT281" s="9" t="str" cm="1">
        <f t="array" ref="AT281">IFERROR(ROUND(IF(BB281&lt;&gt;"", INDEX('M04-S10'!$BL$18:$BL$199,2*(ROWS(AG$259:AG281)-1)+1), ""),2),"")</f>
        <v/>
      </c>
      <c r="AU281" s="184"/>
      <c r="AV281" s="5" t="str">
        <f>IFERROR(IF(BB281&lt;&gt;"",ROUND(INDEX('M04-S10'!$V$18:$V$199,2*(ROWS(AV$259:AV281)-1)+1),3),""),"")</f>
        <v/>
      </c>
      <c r="AW281" s="5" t="str">
        <f>IFERROR(IF(BB281&lt;&gt;"",ROUND(INDEX('M04-S10'!$V$18:$V$199,2*(ROWS(AW$259:AW281)-1)+1),3),""),"")</f>
        <v/>
      </c>
      <c r="AX281" s="184"/>
      <c r="AY281" s="26" t="str">
        <f>IFERROR(IF(BB281&lt;&gt;"",INDEX('M04-S10'!$BE$18:$BE$199,2*(ROWS(AY$259:AY281)-1)+1),""),"")</f>
        <v/>
      </c>
      <c r="AZ281" s="184"/>
      <c r="BA281" s="32" t="str">
        <f>IFERROR(IF(BB281&lt;&gt;"",INDEX('M04-S10'!$BG$18:$BG$199,2*(ROWS(BA$259:BA281)-1)+1),""),"")</f>
        <v/>
      </c>
      <c r="BB281" t="str">
        <f>IFERROR(INDEX('M04-S10'!$BY$18:$BY$199,2*(ROWS(BB$259:BB281)-1)+1),"")</f>
        <v/>
      </c>
    </row>
    <row r="282" spans="1:54">
      <c r="A282" s="10">
        <f t="shared" si="43"/>
        <v>0</v>
      </c>
      <c r="B282" t="str">
        <f t="shared" si="45"/>
        <v/>
      </c>
      <c r="C282" t="str" cm="1">
        <f t="array" ref="C282">IFERROR(_xlfn.VALUETOTEXT(INDEX('M04-S10'!$BW$18:$BW$199,2*(ROWS($C$259:C282)-1)+1)),"")</f>
        <v/>
      </c>
      <c r="D282">
        <f>IFERROR(INDEX('M04-S10'!$B$18:$B$199,2*(ROWS(D$259:D282)-1)+1),"")</f>
        <v>24</v>
      </c>
      <c r="E282" s="51" t="str" cm="1">
        <f t="array" ref="E282">IFERROR(_xlfn.VALUETOTEXT(INDEX('M04-S10'!$BX$18:$BX$199,2*(ROWS($E$259:E282)-1)+1)),"")</f>
        <v/>
      </c>
      <c r="F282" t="str" cm="1">
        <f t="array" ref="F282">IF(C282&lt;&gt;"", _xlfn.SWITCH(Program_Banner, "Small Business / Non-Profit", "Hard-To-Reach Business", "Business Energy Savings", "Whole Business Efficiency", ""), "")</f>
        <v/>
      </c>
      <c r="G282" t="s">
        <v>2779</v>
      </c>
      <c r="H282" t="str">
        <f>IFERROR(INDEX('M04-S10'!$BC$18:$BC$199,2*(ROWS($H$259:H282)-1)+1),"")</f>
        <v/>
      </c>
      <c r="I282" t="str">
        <f>IFERROR(INDEX('M04-S10'!$BJ$18:$BJ$199,2*(ROWS(I$259:I282)-1)+1),"")</f>
        <v/>
      </c>
      <c r="J282" s="9" t="str">
        <f>IFERROR(INDEX('M04-S10'!$BN$18:$BN$199,2*(ROWS(J$259:J282)-1)+1),"")</f>
        <v/>
      </c>
      <c r="K282" s="9" t="str">
        <f>IFERROR(INDEX('M04-S10'!$BO$18:$BO$199,2*(ROWS(K$259:K282)-1)+1),"")</f>
        <v/>
      </c>
      <c r="L282" s="51" t="str">
        <f>IFERROR(INDEX('M04-S10'!$BD$18:$BD$199,2*(ROWS(L$259:L282)-1)+1),"")</f>
        <v/>
      </c>
      <c r="M282" s="51">
        <f>IFERROR(INDEX('M04-S10'!$AG$18:$AG$199,2*(ROWS($M$259:M282)-1)+1),"")</f>
        <v>0</v>
      </c>
      <c r="O282">
        <f>IFERROR(INDEX('M04-S10'!$G$18:$G$199,2*(ROWS(O$259:O282)-1)+1),"")</f>
        <v>0</v>
      </c>
      <c r="P282">
        <f>IFERROR(INDEX('M04-S10'!$O$18:$O$199,2*(ROWS(P$259:P282)-1)+1),"")</f>
        <v>0</v>
      </c>
      <c r="Q282">
        <f>IFERROR(INDEX('M04-S10'!$AC$18:$AC$199,2*(ROWS(Q$259:Q282)-1)+1),"")</f>
        <v>0</v>
      </c>
      <c r="R282">
        <f>IFERROR(INDEX('M04-S10'!$Z$18:$Z$199,2*(ROWS(R$259:R282)-1)+1),"")</f>
        <v>0</v>
      </c>
      <c r="S282" t="str">
        <f>IFERROR(INDEX('M04-S10'!$AX$18:$AX$199,2*(ROWS(S$259:S282)-1)+1),"")</f>
        <v/>
      </c>
      <c r="T282" s="545" t="str" cm="1">
        <f t="array" ref="T282">IFERROR(ROUND(IF(BB282&lt;&gt;"", "", INDEX('M04-S10'!$AY$18:$AY$199,2*(ROWS(T$259:T282)-1)+1)),3),"")</f>
        <v/>
      </c>
      <c r="U282" s="545" t="str" cm="1">
        <f t="array" ref="U282">IFERROR(ROUND(IF(BB282&lt;&gt;"", "", INDEX('M04-S10'!$AZ$18:$AZ$199,2*(ROWS(U$259:U282)-1)+1)),3),"")</f>
        <v/>
      </c>
      <c r="V282" s="26">
        <f>IFERROR(INDEX('M04-S10'!$X$18:$X$199,2*(ROWS($G$259:V282)-1)+1),"")</f>
        <v>0</v>
      </c>
      <c r="W282" s="27" t="str">
        <f>IFERROR(INDEX('M04-S10'!$R$18:$R$199,2*(ROWS(W$259:W282)-1)+1),"")</f>
        <v/>
      </c>
      <c r="X282" s="27" t="str">
        <f>IFERROR(INDEX('M04-S10'!$T$18:$T$199,2*(ROWS(X$259:X282)-1)+1),"")</f>
        <v/>
      </c>
      <c r="Y282" s="184"/>
      <c r="Z282" s="184"/>
      <c r="AA282" s="9" t="str" cm="1">
        <f t="array" ref="AA282">IFERROR(ROUND(INDEX('M04-S10'!$AR$18:$AR$199,2*(ROWS(AA$259:AA282)-1)+1), 2),"")</f>
        <v/>
      </c>
      <c r="AB282" s="9" t="str" cm="1">
        <f t="array" ref="AB282">_xlfn.LET(_xlpm.ROWS, 2*(ROWS(AB$259:AB282)-1)+1,IFERROR(INDEX('M04-S10'!$AR$18:$AR$199, _xlpm.ROWS)-INDEX('M04-S10'!$BS$18:$BS$199, _xlpm.ROWS),""))</f>
        <v/>
      </c>
      <c r="AC282" s="9" cm="1">
        <f t="array" ref="AC282">IFERROR(ROUND(IF(BB282&lt;&gt;"", "", INDEX('M04-S10'!$AI$18:$AI$199,2*(ROWS(AC$259:AC282)-1)+1)),2),"")</f>
        <v>0</v>
      </c>
      <c r="AD282" s="9" cm="1">
        <f t="array" ref="AD282">IFERROR(ROUND(IF(BB282&lt;&gt;"", "", INDEX('M04-S10'!$AK$18:$AK$199,2*(ROWS(AD$259:AD282)-1)+1)),2),"")</f>
        <v>0</v>
      </c>
      <c r="AE282" s="9" t="str" cm="1">
        <f t="array" ref="AE282">IFERROR(ROUND(IF(BB282&lt;&gt;"", "", INDEX('M04-S10'!$BL$18:$BL$199,2*(ROWS(AG$259:AG282)-1)+1)),2),"")</f>
        <v/>
      </c>
      <c r="AF282" t="str">
        <f t="shared" si="46"/>
        <v>Incremental</v>
      </c>
      <c r="AG282" s="9" t="str" cm="1">
        <f t="array" ref="AG282">IFERROR(ROUND(IF(BB282&lt;&gt;"", "", INDEX('M04-S10'!$BL$18:$BL$199,2*(ROWS(AG$259:AG282)-1)+1)),2),"")</f>
        <v/>
      </c>
      <c r="AH282" s="184"/>
      <c r="AI282" s="184"/>
      <c r="AJ282" s="32" t="str" cm="1">
        <f t="array" ref="AJ282">IFERROR(ROUND(IF(BB282&lt;&gt;"", "", INDEX('M04-S10'!$BE$18:$BE$199,2*(ROWS(AJ$259:AJ282)-1)+1)),4),"")</f>
        <v/>
      </c>
      <c r="AK282" s="184"/>
      <c r="AL282" s="32" t="str" cm="1">
        <f t="array" ref="AL282">IFERROR(ROUND(IF(BB282&lt;&gt;"", "", INDEX('M04-S10'!$BG$18:$BG$199,2*(ROWS(AL$259:AL282)-1)+1)),4),"")</f>
        <v/>
      </c>
      <c r="AM282" s="32" t="str">
        <f>IFERROR(ROUND(INDEX('M04-S10'!$BA$18:$BA$199,2*(ROWS(AM$259:AM282)-1)+1),4),"")</f>
        <v/>
      </c>
      <c r="AN282" s="32" t="str">
        <f>IFERROR(ROUND(INDEX('M04-S10'!$BB$18:$BB$199,2*(ROWS(AN$259:AN282)-1)+1),4),"")</f>
        <v/>
      </c>
      <c r="AO282" s="184"/>
      <c r="AP282" s="9" t="str">
        <f>IFERROR(ROUND(IF(BB282&lt;&gt;"",INDEX('M04-S10'!$AI$18:$AI$199,2*(ROWS(AP$259:AP282)-1)+1),""),2),"")</f>
        <v/>
      </c>
      <c r="AQ282" s="9" t="str">
        <f>IFERROR(ROUND(IF(BB282&lt;&gt;"",INDEX('M04-S10'!$AK$18:$AK$199,2*(ROWS(AQ$259:AQ282)-1)+1),""),2),"")</f>
        <v/>
      </c>
      <c r="AR282" s="9" t="str" cm="1">
        <f t="array" ref="AR282">IFERROR(ROUND(IF(BB282&lt;&gt;"", INDEX('M04-S10'!$BL$18:$BL$199,2*(ROWS(AG$259:AG282)-1)+1), ""),2),"")</f>
        <v/>
      </c>
      <c r="AS282" t="str">
        <f t="shared" si="47"/>
        <v/>
      </c>
      <c r="AT282" s="9" t="str" cm="1">
        <f t="array" ref="AT282">IFERROR(ROUND(IF(BB282&lt;&gt;"", INDEX('M04-S10'!$BL$18:$BL$199,2*(ROWS(AG$259:AG282)-1)+1), ""),2),"")</f>
        <v/>
      </c>
      <c r="AU282" s="184"/>
      <c r="AV282" s="5" t="str">
        <f>IFERROR(IF(BB282&lt;&gt;"",ROUND(INDEX('M04-S10'!$V$18:$V$199,2*(ROWS(AV$259:AV282)-1)+1),3),""),"")</f>
        <v/>
      </c>
      <c r="AW282" s="5" t="str">
        <f>IFERROR(IF(BB282&lt;&gt;"",ROUND(INDEX('M04-S10'!$V$18:$V$199,2*(ROWS(AW$259:AW282)-1)+1),3),""),"")</f>
        <v/>
      </c>
      <c r="AX282" s="184"/>
      <c r="AY282" s="26" t="str">
        <f>IFERROR(IF(BB282&lt;&gt;"",INDEX('M04-S10'!$BE$18:$BE$199,2*(ROWS(AY$259:AY282)-1)+1),""),"")</f>
        <v/>
      </c>
      <c r="AZ282" s="184"/>
      <c r="BA282" s="32" t="str">
        <f>IFERROR(IF(BB282&lt;&gt;"",INDEX('M04-S10'!$BG$18:$BG$199,2*(ROWS(BA$259:BA282)-1)+1),""),"")</f>
        <v/>
      </c>
      <c r="BB282" t="str">
        <f>IFERROR(INDEX('M04-S10'!$BY$18:$BY$199,2*(ROWS(BB$259:BB282)-1)+1),"")</f>
        <v/>
      </c>
    </row>
    <row r="283" spans="1:54">
      <c r="A283" s="10">
        <f t="shared" si="43"/>
        <v>0</v>
      </c>
      <c r="B283" t="str">
        <f t="shared" si="45"/>
        <v/>
      </c>
      <c r="C283" t="str" cm="1">
        <f t="array" ref="C283">IFERROR(_xlfn.VALUETOTEXT(INDEX('M04-S10'!$BW$18:$BW$199,2*(ROWS($C$259:C283)-1)+1)),"")</f>
        <v/>
      </c>
      <c r="D283">
        <f>IFERROR(INDEX('M04-S10'!$B$18:$B$199,2*(ROWS(D$259:D283)-1)+1),"")</f>
        <v>25</v>
      </c>
      <c r="E283" s="51" t="str" cm="1">
        <f t="array" ref="E283">IFERROR(_xlfn.VALUETOTEXT(INDEX('M04-S10'!$BX$18:$BX$199,2*(ROWS($E$259:E283)-1)+1)),"")</f>
        <v/>
      </c>
      <c r="F283" t="str" cm="1">
        <f t="array" ref="F283">IF(C283&lt;&gt;"", _xlfn.SWITCH(Program_Banner, "Small Business / Non-Profit", "Hard-To-Reach Business", "Business Energy Savings", "Whole Business Efficiency", ""), "")</f>
        <v/>
      </c>
      <c r="G283" t="s">
        <v>2779</v>
      </c>
      <c r="H283" t="str">
        <f>IFERROR(INDEX('M04-S10'!$BC$18:$BC$199,2*(ROWS($H$259:H283)-1)+1),"")</f>
        <v/>
      </c>
      <c r="I283" t="str">
        <f>IFERROR(INDEX('M04-S10'!$BJ$18:$BJ$199,2*(ROWS(I$259:I283)-1)+1),"")</f>
        <v/>
      </c>
      <c r="J283" s="9" t="str">
        <f>IFERROR(INDEX('M04-S10'!$BN$18:$BN$199,2*(ROWS(J$259:J283)-1)+1),"")</f>
        <v/>
      </c>
      <c r="K283" s="9" t="str">
        <f>IFERROR(INDEX('M04-S10'!$BO$18:$BO$199,2*(ROWS(K$259:K283)-1)+1),"")</f>
        <v/>
      </c>
      <c r="L283" s="51" t="str">
        <f>IFERROR(INDEX('M04-S10'!$BD$18:$BD$199,2*(ROWS(L$259:L283)-1)+1),"")</f>
        <v/>
      </c>
      <c r="M283" s="51">
        <f>IFERROR(INDEX('M04-S10'!$AG$18:$AG$199,2*(ROWS($M$259:M283)-1)+1),"")</f>
        <v>0</v>
      </c>
      <c r="O283">
        <f>IFERROR(INDEX('M04-S10'!$G$18:$G$199,2*(ROWS(O$259:O283)-1)+1),"")</f>
        <v>0</v>
      </c>
      <c r="P283">
        <f>IFERROR(INDEX('M04-S10'!$O$18:$O$199,2*(ROWS(P$259:P283)-1)+1),"")</f>
        <v>0</v>
      </c>
      <c r="Q283">
        <f>IFERROR(INDEX('M04-S10'!$AC$18:$AC$199,2*(ROWS(Q$259:Q283)-1)+1),"")</f>
        <v>0</v>
      </c>
      <c r="R283">
        <f>IFERROR(INDEX('M04-S10'!$Z$18:$Z$199,2*(ROWS(R$259:R283)-1)+1),"")</f>
        <v>0</v>
      </c>
      <c r="S283" t="str">
        <f>IFERROR(INDEX('M04-S10'!$AX$18:$AX$199,2*(ROWS(S$259:S283)-1)+1),"")</f>
        <v/>
      </c>
      <c r="T283" s="545" t="str" cm="1">
        <f t="array" ref="T283">IFERROR(ROUND(IF(BB283&lt;&gt;"", "", INDEX('M04-S10'!$AY$18:$AY$199,2*(ROWS(T$259:T283)-1)+1)),3),"")</f>
        <v/>
      </c>
      <c r="U283" s="545" t="str" cm="1">
        <f t="array" ref="U283">IFERROR(ROUND(IF(BB283&lt;&gt;"", "", INDEX('M04-S10'!$AZ$18:$AZ$199,2*(ROWS(U$259:U283)-1)+1)),3),"")</f>
        <v/>
      </c>
      <c r="V283" s="26">
        <f>IFERROR(INDEX('M04-S10'!$X$18:$X$199,2*(ROWS($G$259:V283)-1)+1),"")</f>
        <v>0</v>
      </c>
      <c r="W283" s="27" t="str">
        <f>IFERROR(INDEX('M04-S10'!$R$18:$R$199,2*(ROWS(W$259:W283)-1)+1),"")</f>
        <v/>
      </c>
      <c r="X283" s="27" t="str">
        <f>IFERROR(INDEX('M04-S10'!$T$18:$T$199,2*(ROWS(X$259:X283)-1)+1),"")</f>
        <v/>
      </c>
      <c r="Y283" s="184"/>
      <c r="Z283" s="184"/>
      <c r="AA283" s="9" t="str" cm="1">
        <f t="array" ref="AA283">IFERROR(ROUND(INDEX('M04-S10'!$AR$18:$AR$199,2*(ROWS(AA$259:AA283)-1)+1), 2),"")</f>
        <v/>
      </c>
      <c r="AB283" s="9" t="str" cm="1">
        <f t="array" ref="AB283">_xlfn.LET(_xlpm.ROWS, 2*(ROWS(AB$259:AB283)-1)+1,IFERROR(INDEX('M04-S10'!$AR$18:$AR$199, _xlpm.ROWS)-INDEX('M04-S10'!$BS$18:$BS$199, _xlpm.ROWS),""))</f>
        <v/>
      </c>
      <c r="AC283" s="9" cm="1">
        <f t="array" ref="AC283">IFERROR(ROUND(IF(BB283&lt;&gt;"", "", INDEX('M04-S10'!$AI$18:$AI$199,2*(ROWS(AC$259:AC283)-1)+1)),2),"")</f>
        <v>0</v>
      </c>
      <c r="AD283" s="9" cm="1">
        <f t="array" ref="AD283">IFERROR(ROUND(IF(BB283&lt;&gt;"", "", INDEX('M04-S10'!$AK$18:$AK$199,2*(ROWS(AD$259:AD283)-1)+1)),2),"")</f>
        <v>0</v>
      </c>
      <c r="AE283" s="9" t="str" cm="1">
        <f t="array" ref="AE283">IFERROR(ROUND(IF(BB283&lt;&gt;"", "", INDEX('M04-S10'!$BL$18:$BL$199,2*(ROWS(AG$259:AG283)-1)+1)),2),"")</f>
        <v/>
      </c>
      <c r="AF283" t="str">
        <f t="shared" si="46"/>
        <v>Incremental</v>
      </c>
      <c r="AG283" s="9" t="str" cm="1">
        <f t="array" ref="AG283">IFERROR(ROUND(IF(BB283&lt;&gt;"", "", INDEX('M04-S10'!$BL$18:$BL$199,2*(ROWS(AG$259:AG283)-1)+1)),2),"")</f>
        <v/>
      </c>
      <c r="AH283" s="184"/>
      <c r="AI283" s="184"/>
      <c r="AJ283" s="32" t="str" cm="1">
        <f t="array" ref="AJ283">IFERROR(ROUND(IF(BB283&lt;&gt;"", "", INDEX('M04-S10'!$BE$18:$BE$199,2*(ROWS(AJ$259:AJ283)-1)+1)),4),"")</f>
        <v/>
      </c>
      <c r="AK283" s="184"/>
      <c r="AL283" s="32" t="str" cm="1">
        <f t="array" ref="AL283">IFERROR(ROUND(IF(BB283&lt;&gt;"", "", INDEX('M04-S10'!$BG$18:$BG$199,2*(ROWS(AL$259:AL283)-1)+1)),4),"")</f>
        <v/>
      </c>
      <c r="AM283" s="32" t="str">
        <f>IFERROR(ROUND(INDEX('M04-S10'!$BA$18:$BA$199,2*(ROWS(AM$259:AM283)-1)+1),4),"")</f>
        <v/>
      </c>
      <c r="AN283" s="32" t="str">
        <f>IFERROR(ROUND(INDEX('M04-S10'!$BB$18:$BB$199,2*(ROWS(AN$259:AN283)-1)+1),4),"")</f>
        <v/>
      </c>
      <c r="AO283" s="184"/>
      <c r="AP283" s="9" t="str">
        <f>IFERROR(ROUND(IF(BB283&lt;&gt;"",INDEX('M04-S10'!$AI$18:$AI$199,2*(ROWS(AP$259:AP283)-1)+1),""),2),"")</f>
        <v/>
      </c>
      <c r="AQ283" s="9" t="str">
        <f>IFERROR(ROUND(IF(BB283&lt;&gt;"",INDEX('M04-S10'!$AK$18:$AK$199,2*(ROWS(AQ$259:AQ283)-1)+1),""),2),"")</f>
        <v/>
      </c>
      <c r="AR283" s="9" t="str" cm="1">
        <f t="array" ref="AR283">IFERROR(ROUND(IF(BB283&lt;&gt;"", INDEX('M04-S10'!$BL$18:$BL$199,2*(ROWS(AG$259:AG283)-1)+1), ""),2),"")</f>
        <v/>
      </c>
      <c r="AS283" t="str">
        <f t="shared" si="47"/>
        <v/>
      </c>
      <c r="AT283" s="9" t="str" cm="1">
        <f t="array" ref="AT283">IFERROR(ROUND(IF(BB283&lt;&gt;"", INDEX('M04-S10'!$BL$18:$BL$199,2*(ROWS(AG$259:AG283)-1)+1), ""),2),"")</f>
        <v/>
      </c>
      <c r="AU283" s="184"/>
      <c r="AV283" s="5" t="str">
        <f>IFERROR(IF(BB283&lt;&gt;"",ROUND(INDEX('M04-S10'!$V$18:$V$199,2*(ROWS(AV$259:AV283)-1)+1),3),""),"")</f>
        <v/>
      </c>
      <c r="AW283" s="5" t="str">
        <f>IFERROR(IF(BB283&lt;&gt;"",ROUND(INDEX('M04-S10'!$V$18:$V$199,2*(ROWS(AW$259:AW283)-1)+1),3),""),"")</f>
        <v/>
      </c>
      <c r="AX283" s="184"/>
      <c r="AY283" s="26" t="str">
        <f>IFERROR(IF(BB283&lt;&gt;"",INDEX('M04-S10'!$BE$18:$BE$199,2*(ROWS(AY$259:AY283)-1)+1),""),"")</f>
        <v/>
      </c>
      <c r="AZ283" s="184"/>
      <c r="BA283" s="32" t="str">
        <f>IFERROR(IF(BB283&lt;&gt;"",INDEX('M04-S10'!$BG$18:$BG$199,2*(ROWS(BA$259:BA283)-1)+1),""),"")</f>
        <v/>
      </c>
      <c r="BB283" t="str">
        <f>IFERROR(INDEX('M04-S10'!$BY$18:$BY$199,2*(ROWS(BB$259:BB283)-1)+1),"")</f>
        <v/>
      </c>
    </row>
    <row r="284" spans="1:54">
      <c r="A284" s="10">
        <f t="shared" si="43"/>
        <v>0</v>
      </c>
      <c r="B284" t="str">
        <f t="shared" si="45"/>
        <v/>
      </c>
      <c r="C284" t="str" cm="1">
        <f t="array" ref="C284">IFERROR(_xlfn.VALUETOTEXT(INDEX('M04-S10'!$BW$18:$BW$199,2*(ROWS($C$259:C284)-1)+1)),"")</f>
        <v/>
      </c>
      <c r="D284">
        <f>IFERROR(INDEX('M04-S10'!$B$18:$B$199,2*(ROWS(D$259:D284)-1)+1),"")</f>
        <v>26</v>
      </c>
      <c r="E284" s="51" t="str" cm="1">
        <f t="array" ref="E284">IFERROR(_xlfn.VALUETOTEXT(INDEX('M04-S10'!$BX$18:$BX$199,2*(ROWS($E$259:E284)-1)+1)),"")</f>
        <v/>
      </c>
      <c r="F284" t="str" cm="1">
        <f t="array" ref="F284">IF(C284&lt;&gt;"", _xlfn.SWITCH(Program_Banner, "Small Business / Non-Profit", "Hard-To-Reach Business", "Business Energy Savings", "Whole Business Efficiency", ""), "")</f>
        <v/>
      </c>
      <c r="G284" t="s">
        <v>2779</v>
      </c>
      <c r="H284" t="str">
        <f>IFERROR(INDEX('M04-S10'!$BC$18:$BC$199,2*(ROWS($H$259:H284)-1)+1),"")</f>
        <v/>
      </c>
      <c r="I284" t="str">
        <f>IFERROR(INDEX('M04-S10'!$BJ$18:$BJ$199,2*(ROWS(I$259:I284)-1)+1),"")</f>
        <v/>
      </c>
      <c r="J284" s="9" t="str">
        <f>IFERROR(INDEX('M04-S10'!$BN$18:$BN$199,2*(ROWS(J$259:J284)-1)+1),"")</f>
        <v/>
      </c>
      <c r="K284" s="9" t="str">
        <f>IFERROR(INDEX('M04-S10'!$BO$18:$BO$199,2*(ROWS(K$259:K284)-1)+1),"")</f>
        <v/>
      </c>
      <c r="L284" s="51" t="str">
        <f>IFERROR(INDEX('M04-S10'!$BD$18:$BD$199,2*(ROWS(L$259:L284)-1)+1),"")</f>
        <v/>
      </c>
      <c r="M284" s="51">
        <f>IFERROR(INDEX('M04-S10'!$AG$18:$AG$199,2*(ROWS($M$259:M284)-1)+1),"")</f>
        <v>0</v>
      </c>
      <c r="O284">
        <f>IFERROR(INDEX('M04-S10'!$G$18:$G$199,2*(ROWS(O$259:O284)-1)+1),"")</f>
        <v>0</v>
      </c>
      <c r="P284">
        <f>IFERROR(INDEX('M04-S10'!$O$18:$O$199,2*(ROWS(P$259:P284)-1)+1),"")</f>
        <v>0</v>
      </c>
      <c r="Q284">
        <f>IFERROR(INDEX('M04-S10'!$AC$18:$AC$199,2*(ROWS(Q$259:Q284)-1)+1),"")</f>
        <v>0</v>
      </c>
      <c r="R284">
        <f>IFERROR(INDEX('M04-S10'!$Z$18:$Z$199,2*(ROWS(R$259:R284)-1)+1),"")</f>
        <v>0</v>
      </c>
      <c r="S284" t="str">
        <f>IFERROR(INDEX('M04-S10'!$AX$18:$AX$199,2*(ROWS(S$259:S284)-1)+1),"")</f>
        <v/>
      </c>
      <c r="T284" s="545" t="str" cm="1">
        <f t="array" ref="T284">IFERROR(ROUND(IF(BB284&lt;&gt;"", "", INDEX('M04-S10'!$AY$18:$AY$199,2*(ROWS(T$259:T284)-1)+1)),3),"")</f>
        <v/>
      </c>
      <c r="U284" s="545" t="str" cm="1">
        <f t="array" ref="U284">IFERROR(ROUND(IF(BB284&lt;&gt;"", "", INDEX('M04-S10'!$AZ$18:$AZ$199,2*(ROWS(U$259:U284)-1)+1)),3),"")</f>
        <v/>
      </c>
      <c r="V284" s="26">
        <f>IFERROR(INDEX('M04-S10'!$X$18:$X$199,2*(ROWS($G$259:V284)-1)+1),"")</f>
        <v>0</v>
      </c>
      <c r="W284" s="27" t="str">
        <f>IFERROR(INDEX('M04-S10'!$R$18:$R$199,2*(ROWS(W$259:W284)-1)+1),"")</f>
        <v/>
      </c>
      <c r="X284" s="27" t="str">
        <f>IFERROR(INDEX('M04-S10'!$T$18:$T$199,2*(ROWS(X$259:X284)-1)+1),"")</f>
        <v/>
      </c>
      <c r="Y284" s="184"/>
      <c r="Z284" s="184"/>
      <c r="AA284" s="9" t="str" cm="1">
        <f t="array" ref="AA284">IFERROR(ROUND(INDEX('M04-S10'!$AR$18:$AR$199,2*(ROWS(AA$259:AA284)-1)+1), 2),"")</f>
        <v/>
      </c>
      <c r="AB284" s="9" t="str" cm="1">
        <f t="array" ref="AB284">_xlfn.LET(_xlpm.ROWS, 2*(ROWS(AB$259:AB284)-1)+1,IFERROR(INDEX('M04-S10'!$AR$18:$AR$199, _xlpm.ROWS)-INDEX('M04-S10'!$BS$18:$BS$199, _xlpm.ROWS),""))</f>
        <v/>
      </c>
      <c r="AC284" s="9" cm="1">
        <f t="array" ref="AC284">IFERROR(ROUND(IF(BB284&lt;&gt;"", "", INDEX('M04-S10'!$AI$18:$AI$199,2*(ROWS(AC$259:AC284)-1)+1)),2),"")</f>
        <v>0</v>
      </c>
      <c r="AD284" s="9" cm="1">
        <f t="array" ref="AD284">IFERROR(ROUND(IF(BB284&lt;&gt;"", "", INDEX('M04-S10'!$AK$18:$AK$199,2*(ROWS(AD$259:AD284)-1)+1)),2),"")</f>
        <v>0</v>
      </c>
      <c r="AE284" s="9" t="str" cm="1">
        <f t="array" ref="AE284">IFERROR(ROUND(IF(BB284&lt;&gt;"", "", INDEX('M04-S10'!$BL$18:$BL$199,2*(ROWS(AG$259:AG284)-1)+1)),2),"")</f>
        <v/>
      </c>
      <c r="AF284" t="str">
        <f t="shared" si="46"/>
        <v>Incremental</v>
      </c>
      <c r="AG284" s="9" t="str" cm="1">
        <f t="array" ref="AG284">IFERROR(ROUND(IF(BB284&lt;&gt;"", "", INDEX('M04-S10'!$BL$18:$BL$199,2*(ROWS(AG$259:AG284)-1)+1)),2),"")</f>
        <v/>
      </c>
      <c r="AH284" s="184"/>
      <c r="AI284" s="184"/>
      <c r="AJ284" s="32" t="str" cm="1">
        <f t="array" ref="AJ284">IFERROR(ROUND(IF(BB284&lt;&gt;"", "", INDEX('M04-S10'!$BE$18:$BE$199,2*(ROWS(AJ$259:AJ284)-1)+1)),4),"")</f>
        <v/>
      </c>
      <c r="AK284" s="184"/>
      <c r="AL284" s="32" t="str" cm="1">
        <f t="array" ref="AL284">IFERROR(ROUND(IF(BB284&lt;&gt;"", "", INDEX('M04-S10'!$BG$18:$BG$199,2*(ROWS(AL$259:AL284)-1)+1)),4),"")</f>
        <v/>
      </c>
      <c r="AM284" s="32" t="str">
        <f>IFERROR(ROUND(INDEX('M04-S10'!$BA$18:$BA$199,2*(ROWS(AM$259:AM284)-1)+1),4),"")</f>
        <v/>
      </c>
      <c r="AN284" s="32" t="str">
        <f>IFERROR(ROUND(INDEX('M04-S10'!$BB$18:$BB$199,2*(ROWS(AN$259:AN284)-1)+1),4),"")</f>
        <v/>
      </c>
      <c r="AO284" s="184"/>
      <c r="AP284" s="9" t="str">
        <f>IFERROR(ROUND(IF(BB284&lt;&gt;"",INDEX('M04-S10'!$AI$18:$AI$199,2*(ROWS(AP$259:AP284)-1)+1),""),2),"")</f>
        <v/>
      </c>
      <c r="AQ284" s="9" t="str">
        <f>IFERROR(ROUND(IF(BB284&lt;&gt;"",INDEX('M04-S10'!$AK$18:$AK$199,2*(ROWS(AQ$259:AQ284)-1)+1),""),2),"")</f>
        <v/>
      </c>
      <c r="AR284" s="9" t="str" cm="1">
        <f t="array" ref="AR284">IFERROR(ROUND(IF(BB284&lt;&gt;"", INDEX('M04-S10'!$BL$18:$BL$199,2*(ROWS(AG$259:AG284)-1)+1), ""),2),"")</f>
        <v/>
      </c>
      <c r="AS284" t="str">
        <f t="shared" si="47"/>
        <v/>
      </c>
      <c r="AT284" s="9" t="str" cm="1">
        <f t="array" ref="AT284">IFERROR(ROUND(IF(BB284&lt;&gt;"", INDEX('M04-S10'!$BL$18:$BL$199,2*(ROWS(AG$259:AG284)-1)+1), ""),2),"")</f>
        <v/>
      </c>
      <c r="AU284" s="184"/>
      <c r="AV284" s="5" t="str">
        <f>IFERROR(IF(BB284&lt;&gt;"",ROUND(INDEX('M04-S10'!$V$18:$V$199,2*(ROWS(AV$259:AV284)-1)+1),3),""),"")</f>
        <v/>
      </c>
      <c r="AW284" s="5" t="str">
        <f>IFERROR(IF(BB284&lt;&gt;"",ROUND(INDEX('M04-S10'!$V$18:$V$199,2*(ROWS(AW$259:AW284)-1)+1),3),""),"")</f>
        <v/>
      </c>
      <c r="AX284" s="184"/>
      <c r="AY284" s="26" t="str">
        <f>IFERROR(IF(BB284&lt;&gt;"",INDEX('M04-S10'!$BE$18:$BE$199,2*(ROWS(AY$259:AY284)-1)+1),""),"")</f>
        <v/>
      </c>
      <c r="AZ284" s="184"/>
      <c r="BA284" s="32" t="str">
        <f>IFERROR(IF(BB284&lt;&gt;"",INDEX('M04-S10'!$BG$18:$BG$199,2*(ROWS(BA$259:BA284)-1)+1),""),"")</f>
        <v/>
      </c>
      <c r="BB284" t="str">
        <f>IFERROR(INDEX('M04-S10'!$BY$18:$BY$199,2*(ROWS(BB$259:BB284)-1)+1),"")</f>
        <v/>
      </c>
    </row>
    <row r="285" spans="1:54">
      <c r="A285" s="10">
        <f t="shared" si="43"/>
        <v>0</v>
      </c>
      <c r="B285" t="str">
        <f t="shared" si="45"/>
        <v/>
      </c>
      <c r="C285" t="str" cm="1">
        <f t="array" ref="C285">IFERROR(_xlfn.VALUETOTEXT(INDEX('M04-S10'!$BW$18:$BW$199,2*(ROWS($C$259:C285)-1)+1)),"")</f>
        <v/>
      </c>
      <c r="D285">
        <f>IFERROR(INDEX('M04-S10'!$B$18:$B$199,2*(ROWS(D$259:D285)-1)+1),"")</f>
        <v>27</v>
      </c>
      <c r="E285" s="51" t="str" cm="1">
        <f t="array" ref="E285">IFERROR(_xlfn.VALUETOTEXT(INDEX('M04-S10'!$BX$18:$BX$199,2*(ROWS($E$259:E285)-1)+1)),"")</f>
        <v/>
      </c>
      <c r="F285" t="str" cm="1">
        <f t="array" ref="F285">IF(C285&lt;&gt;"", _xlfn.SWITCH(Program_Banner, "Small Business / Non-Profit", "Hard-To-Reach Business", "Business Energy Savings", "Whole Business Efficiency", ""), "")</f>
        <v/>
      </c>
      <c r="G285" t="s">
        <v>2779</v>
      </c>
      <c r="H285" t="str">
        <f>IFERROR(INDEX('M04-S10'!$BC$18:$BC$199,2*(ROWS($H$259:H285)-1)+1),"")</f>
        <v/>
      </c>
      <c r="I285" t="str">
        <f>IFERROR(INDEX('M04-S10'!$BJ$18:$BJ$199,2*(ROWS(I$259:I285)-1)+1),"")</f>
        <v/>
      </c>
      <c r="J285" s="9" t="str">
        <f>IFERROR(INDEX('M04-S10'!$BN$18:$BN$199,2*(ROWS(J$259:J285)-1)+1),"")</f>
        <v/>
      </c>
      <c r="K285" s="9" t="str">
        <f>IFERROR(INDEX('M04-S10'!$BO$18:$BO$199,2*(ROWS(K$259:K285)-1)+1),"")</f>
        <v/>
      </c>
      <c r="L285" s="51" t="str">
        <f>IFERROR(INDEX('M04-S10'!$BD$18:$BD$199,2*(ROWS(L$259:L285)-1)+1),"")</f>
        <v/>
      </c>
      <c r="M285" s="51">
        <f>IFERROR(INDEX('M04-S10'!$AG$18:$AG$199,2*(ROWS($M$259:M285)-1)+1),"")</f>
        <v>0</v>
      </c>
      <c r="O285">
        <f>IFERROR(INDEX('M04-S10'!$G$18:$G$199,2*(ROWS(O$259:O285)-1)+1),"")</f>
        <v>0</v>
      </c>
      <c r="P285">
        <f>IFERROR(INDEX('M04-S10'!$O$18:$O$199,2*(ROWS(P$259:P285)-1)+1),"")</f>
        <v>0</v>
      </c>
      <c r="Q285">
        <f>IFERROR(INDEX('M04-S10'!$AC$18:$AC$199,2*(ROWS(Q$259:Q285)-1)+1),"")</f>
        <v>0</v>
      </c>
      <c r="R285">
        <f>IFERROR(INDEX('M04-S10'!$Z$18:$Z$199,2*(ROWS(R$259:R285)-1)+1),"")</f>
        <v>0</v>
      </c>
      <c r="S285" t="str">
        <f>IFERROR(INDEX('M04-S10'!$AX$18:$AX$199,2*(ROWS(S$259:S285)-1)+1),"")</f>
        <v/>
      </c>
      <c r="T285" s="545" t="str" cm="1">
        <f t="array" ref="T285">IFERROR(ROUND(IF(BB285&lt;&gt;"", "", INDEX('M04-S10'!$AY$18:$AY$199,2*(ROWS(T$259:T285)-1)+1)),3),"")</f>
        <v/>
      </c>
      <c r="U285" s="545" t="str" cm="1">
        <f t="array" ref="U285">IFERROR(ROUND(IF(BB285&lt;&gt;"", "", INDEX('M04-S10'!$AZ$18:$AZ$199,2*(ROWS(U$259:U285)-1)+1)),3),"")</f>
        <v/>
      </c>
      <c r="V285" s="26">
        <f>IFERROR(INDEX('M04-S10'!$X$18:$X$199,2*(ROWS($G$259:V285)-1)+1),"")</f>
        <v>0</v>
      </c>
      <c r="W285" s="27" t="str">
        <f>IFERROR(INDEX('M04-S10'!$R$18:$R$199,2*(ROWS(W$259:W285)-1)+1),"")</f>
        <v/>
      </c>
      <c r="X285" s="27" t="str">
        <f>IFERROR(INDEX('M04-S10'!$T$18:$T$199,2*(ROWS(X$259:X285)-1)+1),"")</f>
        <v/>
      </c>
      <c r="Y285" s="184"/>
      <c r="Z285" s="184"/>
      <c r="AA285" s="9" t="str" cm="1">
        <f t="array" ref="AA285">IFERROR(ROUND(INDEX('M04-S10'!$AR$18:$AR$199,2*(ROWS(AA$259:AA285)-1)+1), 2),"")</f>
        <v/>
      </c>
      <c r="AB285" s="9" t="str" cm="1">
        <f t="array" ref="AB285">_xlfn.LET(_xlpm.ROWS, 2*(ROWS(AB$259:AB285)-1)+1,IFERROR(INDEX('M04-S10'!$AR$18:$AR$199, _xlpm.ROWS)-INDEX('M04-S10'!$BS$18:$BS$199, _xlpm.ROWS),""))</f>
        <v/>
      </c>
      <c r="AC285" s="9" cm="1">
        <f t="array" ref="AC285">IFERROR(ROUND(IF(BB285&lt;&gt;"", "", INDEX('M04-S10'!$AI$18:$AI$199,2*(ROWS(AC$259:AC285)-1)+1)),2),"")</f>
        <v>0</v>
      </c>
      <c r="AD285" s="9" cm="1">
        <f t="array" ref="AD285">IFERROR(ROUND(IF(BB285&lt;&gt;"", "", INDEX('M04-S10'!$AK$18:$AK$199,2*(ROWS(AD$259:AD285)-1)+1)),2),"")</f>
        <v>0</v>
      </c>
      <c r="AE285" s="9" t="str" cm="1">
        <f t="array" ref="AE285">IFERROR(ROUND(IF(BB285&lt;&gt;"", "", INDEX('M04-S10'!$BL$18:$BL$199,2*(ROWS(AG$259:AG285)-1)+1)),2),"")</f>
        <v/>
      </c>
      <c r="AF285" t="str">
        <f t="shared" si="46"/>
        <v>Incremental</v>
      </c>
      <c r="AG285" s="9" t="str" cm="1">
        <f t="array" ref="AG285">IFERROR(ROUND(IF(BB285&lt;&gt;"", "", INDEX('M04-S10'!$BL$18:$BL$199,2*(ROWS(AG$259:AG285)-1)+1)),2),"")</f>
        <v/>
      </c>
      <c r="AH285" s="184"/>
      <c r="AI285" s="184"/>
      <c r="AJ285" s="32" t="str" cm="1">
        <f t="array" ref="AJ285">IFERROR(ROUND(IF(BB285&lt;&gt;"", "", INDEX('M04-S10'!$BE$18:$BE$199,2*(ROWS(AJ$259:AJ285)-1)+1)),4),"")</f>
        <v/>
      </c>
      <c r="AK285" s="184"/>
      <c r="AL285" s="32" t="str" cm="1">
        <f t="array" ref="AL285">IFERROR(ROUND(IF(BB285&lt;&gt;"", "", INDEX('M04-S10'!$BG$18:$BG$199,2*(ROWS(AL$259:AL285)-1)+1)),4),"")</f>
        <v/>
      </c>
      <c r="AM285" s="32" t="str">
        <f>IFERROR(ROUND(INDEX('M04-S10'!$BA$18:$BA$199,2*(ROWS(AM$259:AM285)-1)+1),4),"")</f>
        <v/>
      </c>
      <c r="AN285" s="32" t="str">
        <f>IFERROR(ROUND(INDEX('M04-S10'!$BB$18:$BB$199,2*(ROWS(AN$259:AN285)-1)+1),4),"")</f>
        <v/>
      </c>
      <c r="AO285" s="184"/>
      <c r="AP285" s="9" t="str">
        <f>IFERROR(ROUND(IF(BB285&lt;&gt;"",INDEX('M04-S10'!$AI$18:$AI$199,2*(ROWS(AP$259:AP285)-1)+1),""),2),"")</f>
        <v/>
      </c>
      <c r="AQ285" s="9" t="str">
        <f>IFERROR(ROUND(IF(BB285&lt;&gt;"",INDEX('M04-S10'!$AK$18:$AK$199,2*(ROWS(AQ$259:AQ285)-1)+1),""),2),"")</f>
        <v/>
      </c>
      <c r="AR285" s="9" t="str" cm="1">
        <f t="array" ref="AR285">IFERROR(ROUND(IF(BB285&lt;&gt;"", INDEX('M04-S10'!$BL$18:$BL$199,2*(ROWS(AG$259:AG285)-1)+1), ""),2),"")</f>
        <v/>
      </c>
      <c r="AS285" t="str">
        <f t="shared" si="47"/>
        <v/>
      </c>
      <c r="AT285" s="9" t="str" cm="1">
        <f t="array" ref="AT285">IFERROR(ROUND(IF(BB285&lt;&gt;"", INDEX('M04-S10'!$BL$18:$BL$199,2*(ROWS(AG$259:AG285)-1)+1), ""),2),"")</f>
        <v/>
      </c>
      <c r="AU285" s="184"/>
      <c r="AV285" s="5" t="str">
        <f>IFERROR(IF(BB285&lt;&gt;"",ROUND(INDEX('M04-S10'!$V$18:$V$199,2*(ROWS(AV$259:AV285)-1)+1),3),""),"")</f>
        <v/>
      </c>
      <c r="AW285" s="5" t="str">
        <f>IFERROR(IF(BB285&lt;&gt;"",ROUND(INDEX('M04-S10'!$V$18:$V$199,2*(ROWS(AW$259:AW285)-1)+1),3),""),"")</f>
        <v/>
      </c>
      <c r="AX285" s="184"/>
      <c r="AY285" s="26" t="str">
        <f>IFERROR(IF(BB285&lt;&gt;"",INDEX('M04-S10'!$BE$18:$BE$199,2*(ROWS(AY$259:AY285)-1)+1),""),"")</f>
        <v/>
      </c>
      <c r="AZ285" s="184"/>
      <c r="BA285" s="32" t="str">
        <f>IFERROR(IF(BB285&lt;&gt;"",INDEX('M04-S10'!$BG$18:$BG$199,2*(ROWS(BA$259:BA285)-1)+1),""),"")</f>
        <v/>
      </c>
      <c r="BB285" t="str">
        <f>IFERROR(INDEX('M04-S10'!$BY$18:$BY$199,2*(ROWS(BB$259:BB285)-1)+1),"")</f>
        <v/>
      </c>
    </row>
    <row r="286" spans="1:54">
      <c r="A286" s="10">
        <f t="shared" si="43"/>
        <v>0</v>
      </c>
      <c r="B286" t="str">
        <f t="shared" si="45"/>
        <v/>
      </c>
      <c r="C286" t="str" cm="1">
        <f t="array" ref="C286">IFERROR(_xlfn.VALUETOTEXT(INDEX('M04-S10'!$BW$18:$BW$199,2*(ROWS($C$259:C286)-1)+1)),"")</f>
        <v/>
      </c>
      <c r="D286">
        <f>IFERROR(INDEX('M04-S10'!$B$18:$B$199,2*(ROWS(D$259:D286)-1)+1),"")</f>
        <v>28</v>
      </c>
      <c r="E286" s="51" t="str" cm="1">
        <f t="array" ref="E286">IFERROR(_xlfn.VALUETOTEXT(INDEX('M04-S10'!$BX$18:$BX$199,2*(ROWS($E$259:E286)-1)+1)),"")</f>
        <v/>
      </c>
      <c r="F286" t="str" cm="1">
        <f t="array" ref="F286">IF(C286&lt;&gt;"", _xlfn.SWITCH(Program_Banner, "Small Business / Non-Profit", "Hard-To-Reach Business", "Business Energy Savings", "Whole Business Efficiency", ""), "")</f>
        <v/>
      </c>
      <c r="G286" t="s">
        <v>2779</v>
      </c>
      <c r="H286" t="str">
        <f>IFERROR(INDEX('M04-S10'!$BC$18:$BC$199,2*(ROWS($H$259:H286)-1)+1),"")</f>
        <v/>
      </c>
      <c r="I286" t="str">
        <f>IFERROR(INDEX('M04-S10'!$BJ$18:$BJ$199,2*(ROWS(I$259:I286)-1)+1),"")</f>
        <v/>
      </c>
      <c r="J286" s="9" t="str">
        <f>IFERROR(INDEX('M04-S10'!$BN$18:$BN$199,2*(ROWS(J$259:J286)-1)+1),"")</f>
        <v/>
      </c>
      <c r="K286" s="9" t="str">
        <f>IFERROR(INDEX('M04-S10'!$BO$18:$BO$199,2*(ROWS(K$259:K286)-1)+1),"")</f>
        <v/>
      </c>
      <c r="L286" s="51" t="str">
        <f>IFERROR(INDEX('M04-S10'!$BD$18:$BD$199,2*(ROWS(L$259:L286)-1)+1),"")</f>
        <v/>
      </c>
      <c r="M286" s="51">
        <f>IFERROR(INDEX('M04-S10'!$AG$18:$AG$199,2*(ROWS($M$259:M286)-1)+1),"")</f>
        <v>0</v>
      </c>
      <c r="O286">
        <f>IFERROR(INDEX('M04-S10'!$G$18:$G$199,2*(ROWS(O$259:O286)-1)+1),"")</f>
        <v>0</v>
      </c>
      <c r="P286">
        <f>IFERROR(INDEX('M04-S10'!$O$18:$O$199,2*(ROWS(P$259:P286)-1)+1),"")</f>
        <v>0</v>
      </c>
      <c r="Q286">
        <f>IFERROR(INDEX('M04-S10'!$AC$18:$AC$199,2*(ROWS(Q$259:Q286)-1)+1),"")</f>
        <v>0</v>
      </c>
      <c r="R286">
        <f>IFERROR(INDEX('M04-S10'!$Z$18:$Z$199,2*(ROWS(R$259:R286)-1)+1),"")</f>
        <v>0</v>
      </c>
      <c r="S286" t="str">
        <f>IFERROR(INDEX('M04-S10'!$AX$18:$AX$199,2*(ROWS(S$259:S286)-1)+1),"")</f>
        <v/>
      </c>
      <c r="T286" s="545" t="str" cm="1">
        <f t="array" ref="T286">IFERROR(ROUND(IF(BB286&lt;&gt;"", "", INDEX('M04-S10'!$AY$18:$AY$199,2*(ROWS(T$259:T286)-1)+1)),3),"")</f>
        <v/>
      </c>
      <c r="U286" s="545" t="str" cm="1">
        <f t="array" ref="U286">IFERROR(ROUND(IF(BB286&lt;&gt;"", "", INDEX('M04-S10'!$AZ$18:$AZ$199,2*(ROWS(U$259:U286)-1)+1)),3),"")</f>
        <v/>
      </c>
      <c r="V286" s="26">
        <f>IFERROR(INDEX('M04-S10'!$X$18:$X$199,2*(ROWS($G$259:V286)-1)+1),"")</f>
        <v>0</v>
      </c>
      <c r="W286" s="27" t="str">
        <f>IFERROR(INDEX('M04-S10'!$R$18:$R$199,2*(ROWS(W$259:W286)-1)+1),"")</f>
        <v/>
      </c>
      <c r="X286" s="27" t="str">
        <f>IFERROR(INDEX('M04-S10'!$T$18:$T$199,2*(ROWS(X$259:X286)-1)+1),"")</f>
        <v/>
      </c>
      <c r="Y286" s="184"/>
      <c r="Z286" s="184"/>
      <c r="AA286" s="9" t="str" cm="1">
        <f t="array" ref="AA286">IFERROR(ROUND(INDEX('M04-S10'!$AR$18:$AR$199,2*(ROWS(AA$259:AA286)-1)+1), 2),"")</f>
        <v/>
      </c>
      <c r="AB286" s="9" t="str" cm="1">
        <f t="array" ref="AB286">_xlfn.LET(_xlpm.ROWS, 2*(ROWS(AB$259:AB286)-1)+1,IFERROR(INDEX('M04-S10'!$AR$18:$AR$199, _xlpm.ROWS)-INDEX('M04-S10'!$BS$18:$BS$199, _xlpm.ROWS),""))</f>
        <v/>
      </c>
      <c r="AC286" s="9" cm="1">
        <f t="array" ref="AC286">IFERROR(ROUND(IF(BB286&lt;&gt;"", "", INDEX('M04-S10'!$AI$18:$AI$199,2*(ROWS(AC$259:AC286)-1)+1)),2),"")</f>
        <v>0</v>
      </c>
      <c r="AD286" s="9" cm="1">
        <f t="array" ref="AD286">IFERROR(ROUND(IF(BB286&lt;&gt;"", "", INDEX('M04-S10'!$AK$18:$AK$199,2*(ROWS(AD$259:AD286)-1)+1)),2),"")</f>
        <v>0</v>
      </c>
      <c r="AE286" s="9" t="str" cm="1">
        <f t="array" ref="AE286">IFERROR(ROUND(IF(BB286&lt;&gt;"", "", INDEX('M04-S10'!$BL$18:$BL$199,2*(ROWS(AG$259:AG286)-1)+1)),2),"")</f>
        <v/>
      </c>
      <c r="AF286" t="str">
        <f t="shared" si="46"/>
        <v>Incremental</v>
      </c>
      <c r="AG286" s="9" t="str" cm="1">
        <f t="array" ref="AG286">IFERROR(ROUND(IF(BB286&lt;&gt;"", "", INDEX('M04-S10'!$BL$18:$BL$199,2*(ROWS(AG$259:AG286)-1)+1)),2),"")</f>
        <v/>
      </c>
      <c r="AH286" s="184"/>
      <c r="AI286" s="184"/>
      <c r="AJ286" s="32" t="str" cm="1">
        <f t="array" ref="AJ286">IFERROR(ROUND(IF(BB286&lt;&gt;"", "", INDEX('M04-S10'!$BE$18:$BE$199,2*(ROWS(AJ$259:AJ286)-1)+1)),4),"")</f>
        <v/>
      </c>
      <c r="AK286" s="184"/>
      <c r="AL286" s="32" t="str" cm="1">
        <f t="array" ref="AL286">IFERROR(ROUND(IF(BB286&lt;&gt;"", "", INDEX('M04-S10'!$BG$18:$BG$199,2*(ROWS(AL$259:AL286)-1)+1)),4),"")</f>
        <v/>
      </c>
      <c r="AM286" s="32" t="str">
        <f>IFERROR(ROUND(INDEX('M04-S10'!$BA$18:$BA$199,2*(ROWS(AM$259:AM286)-1)+1),4),"")</f>
        <v/>
      </c>
      <c r="AN286" s="32" t="str">
        <f>IFERROR(ROUND(INDEX('M04-S10'!$BB$18:$BB$199,2*(ROWS(AN$259:AN286)-1)+1),4),"")</f>
        <v/>
      </c>
      <c r="AO286" s="184"/>
      <c r="AP286" s="9" t="str">
        <f>IFERROR(ROUND(IF(BB286&lt;&gt;"",INDEX('M04-S10'!$AI$18:$AI$199,2*(ROWS(AP$259:AP286)-1)+1),""),2),"")</f>
        <v/>
      </c>
      <c r="AQ286" s="9" t="str">
        <f>IFERROR(ROUND(IF(BB286&lt;&gt;"",INDEX('M04-S10'!$AK$18:$AK$199,2*(ROWS(AQ$259:AQ286)-1)+1),""),2),"")</f>
        <v/>
      </c>
      <c r="AR286" s="9" t="str" cm="1">
        <f t="array" ref="AR286">IFERROR(ROUND(IF(BB286&lt;&gt;"", INDEX('M04-S10'!$BL$18:$BL$199,2*(ROWS(AG$259:AG286)-1)+1), ""),2),"")</f>
        <v/>
      </c>
      <c r="AS286" t="str">
        <f t="shared" si="47"/>
        <v/>
      </c>
      <c r="AT286" s="9" t="str" cm="1">
        <f t="array" ref="AT286">IFERROR(ROUND(IF(BB286&lt;&gt;"", INDEX('M04-S10'!$BL$18:$BL$199,2*(ROWS(AG$259:AG286)-1)+1), ""),2),"")</f>
        <v/>
      </c>
      <c r="AU286" s="184"/>
      <c r="AV286" s="5" t="str">
        <f>IFERROR(IF(BB286&lt;&gt;"",ROUND(INDEX('M04-S10'!$V$18:$V$199,2*(ROWS(AV$259:AV286)-1)+1),3),""),"")</f>
        <v/>
      </c>
      <c r="AW286" s="5" t="str">
        <f>IFERROR(IF(BB286&lt;&gt;"",ROUND(INDEX('M04-S10'!$V$18:$V$199,2*(ROWS(AW$259:AW286)-1)+1),3),""),"")</f>
        <v/>
      </c>
      <c r="AX286" s="184"/>
      <c r="AY286" s="26" t="str">
        <f>IFERROR(IF(BB286&lt;&gt;"",INDEX('M04-S10'!$BE$18:$BE$199,2*(ROWS(AY$259:AY286)-1)+1),""),"")</f>
        <v/>
      </c>
      <c r="AZ286" s="184"/>
      <c r="BA286" s="32" t="str">
        <f>IFERROR(IF(BB286&lt;&gt;"",INDEX('M04-S10'!$BG$18:$BG$199,2*(ROWS(BA$259:BA286)-1)+1),""),"")</f>
        <v/>
      </c>
      <c r="BB286" t="str">
        <f>IFERROR(INDEX('M04-S10'!$BY$18:$BY$199,2*(ROWS(BB$259:BB286)-1)+1),"")</f>
        <v/>
      </c>
    </row>
    <row r="287" spans="1:54">
      <c r="A287" s="10">
        <f t="shared" si="43"/>
        <v>0</v>
      </c>
      <c r="B287" t="str">
        <f t="shared" si="45"/>
        <v/>
      </c>
      <c r="C287" t="str" cm="1">
        <f t="array" ref="C287">IFERROR(_xlfn.VALUETOTEXT(INDEX('M04-S10'!$BW$18:$BW$199,2*(ROWS($C$259:C287)-1)+1)),"")</f>
        <v/>
      </c>
      <c r="D287">
        <f>IFERROR(INDEX('M04-S10'!$B$18:$B$199,2*(ROWS(D$259:D287)-1)+1),"")</f>
        <v>29</v>
      </c>
      <c r="E287" s="51" t="str" cm="1">
        <f t="array" ref="E287">IFERROR(_xlfn.VALUETOTEXT(INDEX('M04-S10'!$BX$18:$BX$199,2*(ROWS($E$259:E287)-1)+1)),"")</f>
        <v/>
      </c>
      <c r="F287" t="str" cm="1">
        <f t="array" ref="F287">IF(C287&lt;&gt;"", _xlfn.SWITCH(Program_Banner, "Small Business / Non-Profit", "Hard-To-Reach Business", "Business Energy Savings", "Whole Business Efficiency", ""), "")</f>
        <v/>
      </c>
      <c r="G287" t="s">
        <v>2779</v>
      </c>
      <c r="H287" t="str">
        <f>IFERROR(INDEX('M04-S10'!$BC$18:$BC$199,2*(ROWS($H$259:H287)-1)+1),"")</f>
        <v/>
      </c>
      <c r="I287" t="str">
        <f>IFERROR(INDEX('M04-S10'!$BJ$18:$BJ$199,2*(ROWS(I$259:I287)-1)+1),"")</f>
        <v/>
      </c>
      <c r="J287" s="9" t="str">
        <f>IFERROR(INDEX('M04-S10'!$BN$18:$BN$199,2*(ROWS(J$259:J287)-1)+1),"")</f>
        <v/>
      </c>
      <c r="K287" s="9" t="str">
        <f>IFERROR(INDEX('M04-S10'!$BO$18:$BO$199,2*(ROWS(K$259:K287)-1)+1),"")</f>
        <v/>
      </c>
      <c r="L287" s="51" t="str">
        <f>IFERROR(INDEX('M04-S10'!$BD$18:$BD$199,2*(ROWS(L$259:L287)-1)+1),"")</f>
        <v/>
      </c>
      <c r="M287" s="51">
        <f>IFERROR(INDEX('M04-S10'!$AG$18:$AG$199,2*(ROWS($M$259:M287)-1)+1),"")</f>
        <v>0</v>
      </c>
      <c r="O287">
        <f>IFERROR(INDEX('M04-S10'!$G$18:$G$199,2*(ROWS(O$259:O287)-1)+1),"")</f>
        <v>0</v>
      </c>
      <c r="P287">
        <f>IFERROR(INDEX('M04-S10'!$O$18:$O$199,2*(ROWS(P$259:P287)-1)+1),"")</f>
        <v>0</v>
      </c>
      <c r="Q287">
        <f>IFERROR(INDEX('M04-S10'!$AC$18:$AC$199,2*(ROWS(Q$259:Q287)-1)+1),"")</f>
        <v>0</v>
      </c>
      <c r="R287">
        <f>IFERROR(INDEX('M04-S10'!$Z$18:$Z$199,2*(ROWS(R$259:R287)-1)+1),"")</f>
        <v>0</v>
      </c>
      <c r="S287" t="str">
        <f>IFERROR(INDEX('M04-S10'!$AX$18:$AX$199,2*(ROWS(S$259:S287)-1)+1),"")</f>
        <v/>
      </c>
      <c r="T287" s="545" t="str" cm="1">
        <f t="array" ref="T287">IFERROR(ROUND(IF(BB287&lt;&gt;"", "", INDEX('M04-S10'!$AY$18:$AY$199,2*(ROWS(T$259:T287)-1)+1)),3),"")</f>
        <v/>
      </c>
      <c r="U287" s="545" t="str" cm="1">
        <f t="array" ref="U287">IFERROR(ROUND(IF(BB287&lt;&gt;"", "", INDEX('M04-S10'!$AZ$18:$AZ$199,2*(ROWS(U$259:U287)-1)+1)),3),"")</f>
        <v/>
      </c>
      <c r="V287" s="26">
        <f>IFERROR(INDEX('M04-S10'!$X$18:$X$199,2*(ROWS($G$259:V287)-1)+1),"")</f>
        <v>0</v>
      </c>
      <c r="W287" s="27" t="str">
        <f>IFERROR(INDEX('M04-S10'!$R$18:$R$199,2*(ROWS(W$259:W287)-1)+1),"")</f>
        <v/>
      </c>
      <c r="X287" s="27" t="str">
        <f>IFERROR(INDEX('M04-S10'!$T$18:$T$199,2*(ROWS(X$259:X287)-1)+1),"")</f>
        <v/>
      </c>
      <c r="Y287" s="184"/>
      <c r="Z287" s="184"/>
      <c r="AA287" s="9" t="str" cm="1">
        <f t="array" ref="AA287">IFERROR(ROUND(INDEX('M04-S10'!$AR$18:$AR$199,2*(ROWS(AA$259:AA287)-1)+1), 2),"")</f>
        <v/>
      </c>
      <c r="AB287" s="9" t="str" cm="1">
        <f t="array" ref="AB287">_xlfn.LET(_xlpm.ROWS, 2*(ROWS(AB$259:AB287)-1)+1,IFERROR(INDEX('M04-S10'!$AR$18:$AR$199, _xlpm.ROWS)-INDEX('M04-S10'!$BS$18:$BS$199, _xlpm.ROWS),""))</f>
        <v/>
      </c>
      <c r="AC287" s="9" cm="1">
        <f t="array" ref="AC287">IFERROR(ROUND(IF(BB287&lt;&gt;"", "", INDEX('M04-S10'!$AI$18:$AI$199,2*(ROWS(AC$259:AC287)-1)+1)),2),"")</f>
        <v>0</v>
      </c>
      <c r="AD287" s="9" cm="1">
        <f t="array" ref="AD287">IFERROR(ROUND(IF(BB287&lt;&gt;"", "", INDEX('M04-S10'!$AK$18:$AK$199,2*(ROWS(AD$259:AD287)-1)+1)),2),"")</f>
        <v>0</v>
      </c>
      <c r="AE287" s="9" t="str" cm="1">
        <f t="array" ref="AE287">IFERROR(ROUND(IF(BB287&lt;&gt;"", "", INDEX('M04-S10'!$BL$18:$BL$199,2*(ROWS(AG$259:AG287)-1)+1)),2),"")</f>
        <v/>
      </c>
      <c r="AF287" t="str">
        <f t="shared" si="46"/>
        <v>Incremental</v>
      </c>
      <c r="AG287" s="9" t="str" cm="1">
        <f t="array" ref="AG287">IFERROR(ROUND(IF(BB287&lt;&gt;"", "", INDEX('M04-S10'!$BL$18:$BL$199,2*(ROWS(AG$259:AG287)-1)+1)),2),"")</f>
        <v/>
      </c>
      <c r="AH287" s="184"/>
      <c r="AI287" s="184"/>
      <c r="AJ287" s="32" t="str" cm="1">
        <f t="array" ref="AJ287">IFERROR(ROUND(IF(BB287&lt;&gt;"", "", INDEX('M04-S10'!$BE$18:$BE$199,2*(ROWS(AJ$259:AJ287)-1)+1)),4),"")</f>
        <v/>
      </c>
      <c r="AK287" s="184"/>
      <c r="AL287" s="32" t="str" cm="1">
        <f t="array" ref="AL287">IFERROR(ROUND(IF(BB287&lt;&gt;"", "", INDEX('M04-S10'!$BG$18:$BG$199,2*(ROWS(AL$259:AL287)-1)+1)),4),"")</f>
        <v/>
      </c>
      <c r="AM287" s="32" t="str">
        <f>IFERROR(ROUND(INDEX('M04-S10'!$BA$18:$BA$199,2*(ROWS(AM$259:AM287)-1)+1),4),"")</f>
        <v/>
      </c>
      <c r="AN287" s="32" t="str">
        <f>IFERROR(ROUND(INDEX('M04-S10'!$BB$18:$BB$199,2*(ROWS(AN$259:AN287)-1)+1),4),"")</f>
        <v/>
      </c>
      <c r="AO287" s="184"/>
      <c r="AP287" s="9" t="str">
        <f>IFERROR(ROUND(IF(BB287&lt;&gt;"",INDEX('M04-S10'!$AI$18:$AI$199,2*(ROWS(AP$259:AP287)-1)+1),""),2),"")</f>
        <v/>
      </c>
      <c r="AQ287" s="9" t="str">
        <f>IFERROR(ROUND(IF(BB287&lt;&gt;"",INDEX('M04-S10'!$AK$18:$AK$199,2*(ROWS(AQ$259:AQ287)-1)+1),""),2),"")</f>
        <v/>
      </c>
      <c r="AR287" s="9" t="str" cm="1">
        <f t="array" ref="AR287">IFERROR(ROUND(IF(BB287&lt;&gt;"", INDEX('M04-S10'!$BL$18:$BL$199,2*(ROWS(AG$259:AG287)-1)+1), ""),2),"")</f>
        <v/>
      </c>
      <c r="AS287" t="str">
        <f t="shared" si="47"/>
        <v/>
      </c>
      <c r="AT287" s="9" t="str" cm="1">
        <f t="array" ref="AT287">IFERROR(ROUND(IF(BB287&lt;&gt;"", INDEX('M04-S10'!$BL$18:$BL$199,2*(ROWS(AG$259:AG287)-1)+1), ""),2),"")</f>
        <v/>
      </c>
      <c r="AU287" s="184"/>
      <c r="AV287" s="5" t="str">
        <f>IFERROR(IF(BB287&lt;&gt;"",ROUND(INDEX('M04-S10'!$V$18:$V$199,2*(ROWS(AV$259:AV287)-1)+1),3),""),"")</f>
        <v/>
      </c>
      <c r="AW287" s="5" t="str">
        <f>IFERROR(IF(BB287&lt;&gt;"",ROUND(INDEX('M04-S10'!$V$18:$V$199,2*(ROWS(AW$259:AW287)-1)+1),3),""),"")</f>
        <v/>
      </c>
      <c r="AX287" s="184"/>
      <c r="AY287" s="26" t="str">
        <f>IFERROR(IF(BB287&lt;&gt;"",INDEX('M04-S10'!$BE$18:$BE$199,2*(ROWS(AY$259:AY287)-1)+1),""),"")</f>
        <v/>
      </c>
      <c r="AZ287" s="184"/>
      <c r="BA287" s="32" t="str">
        <f>IFERROR(IF(BB287&lt;&gt;"",INDEX('M04-S10'!$BG$18:$BG$199,2*(ROWS(BA$259:BA287)-1)+1),""),"")</f>
        <v/>
      </c>
      <c r="BB287" t="str">
        <f>IFERROR(INDEX('M04-S10'!$BY$18:$BY$199,2*(ROWS(BB$259:BB287)-1)+1),"")</f>
        <v/>
      </c>
    </row>
    <row r="288" spans="1:54">
      <c r="A288" s="10">
        <f t="shared" si="43"/>
        <v>0</v>
      </c>
      <c r="B288" t="str">
        <f t="shared" si="45"/>
        <v/>
      </c>
      <c r="C288" t="str" cm="1">
        <f t="array" ref="C288">IFERROR(_xlfn.VALUETOTEXT(INDEX('M04-S10'!$BW$18:$BW$199,2*(ROWS($C$259:C288)-1)+1)),"")</f>
        <v/>
      </c>
      <c r="D288">
        <f>IFERROR(INDEX('M04-S10'!$B$18:$B$199,2*(ROWS(D$259:D288)-1)+1),"")</f>
        <v>30</v>
      </c>
      <c r="E288" s="51" t="str" cm="1">
        <f t="array" ref="E288">IFERROR(_xlfn.VALUETOTEXT(INDEX('M04-S10'!$BX$18:$BX$199,2*(ROWS($E$259:E288)-1)+1)),"")</f>
        <v/>
      </c>
      <c r="F288" t="str" cm="1">
        <f t="array" ref="F288">IF(C288&lt;&gt;"", _xlfn.SWITCH(Program_Banner, "Small Business / Non-Profit", "Hard-To-Reach Business", "Business Energy Savings", "Whole Business Efficiency", ""), "")</f>
        <v/>
      </c>
      <c r="G288" t="s">
        <v>2779</v>
      </c>
      <c r="H288" t="str">
        <f>IFERROR(INDEX('M04-S10'!$BC$18:$BC$199,2*(ROWS($H$259:H288)-1)+1),"")</f>
        <v/>
      </c>
      <c r="I288" t="str">
        <f>IFERROR(INDEX('M04-S10'!$BJ$18:$BJ$199,2*(ROWS(I$259:I288)-1)+1),"")</f>
        <v/>
      </c>
      <c r="J288" s="9" t="str">
        <f>IFERROR(INDEX('M04-S10'!$BN$18:$BN$199,2*(ROWS(J$259:J288)-1)+1),"")</f>
        <v/>
      </c>
      <c r="K288" s="9" t="str">
        <f>IFERROR(INDEX('M04-S10'!$BO$18:$BO$199,2*(ROWS(K$259:K288)-1)+1),"")</f>
        <v/>
      </c>
      <c r="L288" s="51" t="str">
        <f>IFERROR(INDEX('M04-S10'!$BD$18:$BD$199,2*(ROWS(L$259:L288)-1)+1),"")</f>
        <v/>
      </c>
      <c r="M288" s="51">
        <f>IFERROR(INDEX('M04-S10'!$AG$18:$AG$199,2*(ROWS($M$259:M288)-1)+1),"")</f>
        <v>0</v>
      </c>
      <c r="O288">
        <f>IFERROR(INDEX('M04-S10'!$G$18:$G$199,2*(ROWS(O$259:O288)-1)+1),"")</f>
        <v>0</v>
      </c>
      <c r="P288">
        <f>IFERROR(INDEX('M04-S10'!$O$18:$O$199,2*(ROWS(P$259:P288)-1)+1),"")</f>
        <v>0</v>
      </c>
      <c r="Q288">
        <f>IFERROR(INDEX('M04-S10'!$AC$18:$AC$199,2*(ROWS(Q$259:Q288)-1)+1),"")</f>
        <v>0</v>
      </c>
      <c r="R288">
        <f>IFERROR(INDEX('M04-S10'!$Z$18:$Z$199,2*(ROWS(R$259:R288)-1)+1),"")</f>
        <v>0</v>
      </c>
      <c r="S288" t="str">
        <f>IFERROR(INDEX('M04-S10'!$AX$18:$AX$199,2*(ROWS(S$259:S288)-1)+1),"")</f>
        <v/>
      </c>
      <c r="T288" s="545" t="str" cm="1">
        <f t="array" ref="T288">IFERROR(ROUND(IF(BB288&lt;&gt;"", "", INDEX('M04-S10'!$AY$18:$AY$199,2*(ROWS(T$259:T288)-1)+1)),3),"")</f>
        <v/>
      </c>
      <c r="U288" s="545" t="str" cm="1">
        <f t="array" ref="U288">IFERROR(ROUND(IF(BB288&lt;&gt;"", "", INDEX('M04-S10'!$AZ$18:$AZ$199,2*(ROWS(U$259:U288)-1)+1)),3),"")</f>
        <v/>
      </c>
      <c r="V288" s="26">
        <f>IFERROR(INDEX('M04-S10'!$X$18:$X$199,2*(ROWS($G$259:V288)-1)+1),"")</f>
        <v>0</v>
      </c>
      <c r="W288" s="27" t="str">
        <f>IFERROR(INDEX('M04-S10'!$R$18:$R$199,2*(ROWS(W$259:W288)-1)+1),"")</f>
        <v/>
      </c>
      <c r="X288" s="27" t="str">
        <f>IFERROR(INDEX('M04-S10'!$T$18:$T$199,2*(ROWS(X$259:X288)-1)+1),"")</f>
        <v/>
      </c>
      <c r="Y288" s="184"/>
      <c r="Z288" s="184"/>
      <c r="AA288" s="9" t="str" cm="1">
        <f t="array" ref="AA288">IFERROR(ROUND(INDEX('M04-S10'!$AR$18:$AR$199,2*(ROWS(AA$259:AA288)-1)+1), 2),"")</f>
        <v/>
      </c>
      <c r="AB288" s="9" t="str" cm="1">
        <f t="array" ref="AB288">_xlfn.LET(_xlpm.ROWS, 2*(ROWS(AB$259:AB288)-1)+1,IFERROR(INDEX('M04-S10'!$AR$18:$AR$199, _xlpm.ROWS)-INDEX('M04-S10'!$BS$18:$BS$199, _xlpm.ROWS),""))</f>
        <v/>
      </c>
      <c r="AC288" s="9" cm="1">
        <f t="array" ref="AC288">IFERROR(ROUND(IF(BB288&lt;&gt;"", "", INDEX('M04-S10'!$AI$18:$AI$199,2*(ROWS(AC$259:AC288)-1)+1)),2),"")</f>
        <v>0</v>
      </c>
      <c r="AD288" s="9" cm="1">
        <f t="array" ref="AD288">IFERROR(ROUND(IF(BB288&lt;&gt;"", "", INDEX('M04-S10'!$AK$18:$AK$199,2*(ROWS(AD$259:AD288)-1)+1)),2),"")</f>
        <v>0</v>
      </c>
      <c r="AE288" s="9" t="str" cm="1">
        <f t="array" ref="AE288">IFERROR(ROUND(IF(BB288&lt;&gt;"", "", INDEX('M04-S10'!$BL$18:$BL$199,2*(ROWS(AG$259:AG288)-1)+1)),2),"")</f>
        <v/>
      </c>
      <c r="AF288" t="str">
        <f t="shared" si="46"/>
        <v>Incremental</v>
      </c>
      <c r="AG288" s="9" t="str" cm="1">
        <f t="array" ref="AG288">IFERROR(ROUND(IF(BB288&lt;&gt;"", "", INDEX('M04-S10'!$BL$18:$BL$199,2*(ROWS(AG$259:AG288)-1)+1)),2),"")</f>
        <v/>
      </c>
      <c r="AH288" s="184"/>
      <c r="AI288" s="184"/>
      <c r="AJ288" s="32" t="str" cm="1">
        <f t="array" ref="AJ288">IFERROR(ROUND(IF(BB288&lt;&gt;"", "", INDEX('M04-S10'!$BE$18:$BE$199,2*(ROWS(AJ$259:AJ288)-1)+1)),4),"")</f>
        <v/>
      </c>
      <c r="AK288" s="184"/>
      <c r="AL288" s="32" t="str" cm="1">
        <f t="array" ref="AL288">IFERROR(ROUND(IF(BB288&lt;&gt;"", "", INDEX('M04-S10'!$BG$18:$BG$199,2*(ROWS(AL$259:AL288)-1)+1)),4),"")</f>
        <v/>
      </c>
      <c r="AM288" s="32" t="str">
        <f>IFERROR(ROUND(INDEX('M04-S10'!$BA$18:$BA$199,2*(ROWS(AM$259:AM288)-1)+1),4),"")</f>
        <v/>
      </c>
      <c r="AN288" s="32" t="str">
        <f>IFERROR(ROUND(INDEX('M04-S10'!$BB$18:$BB$199,2*(ROWS(AN$259:AN288)-1)+1),4),"")</f>
        <v/>
      </c>
      <c r="AO288" s="184"/>
      <c r="AP288" s="9" t="str">
        <f>IFERROR(ROUND(IF(BB288&lt;&gt;"",INDEX('M04-S10'!$AI$18:$AI$199,2*(ROWS(AP$259:AP288)-1)+1),""),2),"")</f>
        <v/>
      </c>
      <c r="AQ288" s="9" t="str">
        <f>IFERROR(ROUND(IF(BB288&lt;&gt;"",INDEX('M04-S10'!$AK$18:$AK$199,2*(ROWS(AQ$259:AQ288)-1)+1),""),2),"")</f>
        <v/>
      </c>
      <c r="AR288" s="9" t="str" cm="1">
        <f t="array" ref="AR288">IFERROR(ROUND(IF(BB288&lt;&gt;"", INDEX('M04-S10'!$BL$18:$BL$199,2*(ROWS(AG$259:AG288)-1)+1), ""),2),"")</f>
        <v/>
      </c>
      <c r="AS288" t="str">
        <f t="shared" si="47"/>
        <v/>
      </c>
      <c r="AT288" s="9" t="str" cm="1">
        <f t="array" ref="AT288">IFERROR(ROUND(IF(BB288&lt;&gt;"", INDEX('M04-S10'!$BL$18:$BL$199,2*(ROWS(AG$259:AG288)-1)+1), ""),2),"")</f>
        <v/>
      </c>
      <c r="AU288" s="184"/>
      <c r="AV288" s="5" t="str">
        <f>IFERROR(IF(BB288&lt;&gt;"",ROUND(INDEX('M04-S10'!$V$18:$V$199,2*(ROWS(AV$259:AV288)-1)+1),3),""),"")</f>
        <v/>
      </c>
      <c r="AW288" s="5" t="str">
        <f>IFERROR(IF(BB288&lt;&gt;"",ROUND(INDEX('M04-S10'!$V$18:$V$199,2*(ROWS(AW$259:AW288)-1)+1),3),""),"")</f>
        <v/>
      </c>
      <c r="AX288" s="184"/>
      <c r="AY288" s="26" t="str">
        <f>IFERROR(IF(BB288&lt;&gt;"",INDEX('M04-S10'!$BE$18:$BE$199,2*(ROWS(AY$259:AY288)-1)+1),""),"")</f>
        <v/>
      </c>
      <c r="AZ288" s="184"/>
      <c r="BA288" s="32" t="str">
        <f>IFERROR(IF(BB288&lt;&gt;"",INDEX('M04-S10'!$BG$18:$BG$199,2*(ROWS(BA$259:BA288)-1)+1),""),"")</f>
        <v/>
      </c>
      <c r="BB288" t="str">
        <f>IFERROR(INDEX('M04-S10'!$BY$18:$BY$199,2*(ROWS(BB$259:BB288)-1)+1),"")</f>
        <v/>
      </c>
    </row>
    <row r="289" spans="1:54">
      <c r="A289" s="476" t="str">
        <f>"Custom Lite "&amp; M4S13</f>
        <v>Custom Lite HVAC</v>
      </c>
      <c r="B289" s="470"/>
      <c r="C289" s="470"/>
      <c r="D289" s="470"/>
      <c r="E289" s="470"/>
      <c r="F289" s="470"/>
      <c r="G289" s="470"/>
      <c r="H289" s="470"/>
      <c r="I289" s="470"/>
      <c r="J289" s="471"/>
      <c r="K289" s="471"/>
      <c r="L289" s="470"/>
      <c r="M289" s="470"/>
      <c r="N289" s="470"/>
      <c r="O289" s="472"/>
      <c r="P289" s="470" t="s">
        <v>2257</v>
      </c>
      <c r="Q289" s="470" t="s">
        <v>2258</v>
      </c>
      <c r="R289" s="470"/>
      <c r="S289" s="470"/>
      <c r="T289" s="473"/>
      <c r="U289" s="473"/>
      <c r="V289" s="474"/>
      <c r="W289" s="474"/>
      <c r="X289" s="474"/>
      <c r="Y289" s="474"/>
      <c r="Z289" s="474"/>
      <c r="AA289" s="471"/>
      <c r="AB289" s="470"/>
      <c r="AC289" s="471"/>
      <c r="AD289" s="471"/>
      <c r="AE289" s="471"/>
      <c r="AF289" s="470"/>
      <c r="AG289" s="470"/>
      <c r="AH289" s="470"/>
      <c r="AI289" s="475"/>
      <c r="AJ289" s="475"/>
      <c r="AK289" s="475"/>
      <c r="AL289" s="475"/>
      <c r="AM289" s="475"/>
      <c r="AN289" s="475"/>
      <c r="AO289" s="475"/>
      <c r="AP289" s="471"/>
      <c r="AQ289" s="471"/>
      <c r="AR289" s="471"/>
      <c r="AS289" s="470"/>
      <c r="AT289" s="470"/>
      <c r="AU289" s="470"/>
      <c r="AV289" s="473"/>
      <c r="AW289" s="473"/>
      <c r="AX289" s="474"/>
      <c r="AY289" s="474"/>
      <c r="AZ289" s="475"/>
      <c r="BA289" s="475"/>
      <c r="BB289" s="470"/>
    </row>
    <row r="290" spans="1:54">
      <c r="A290" s="10">
        <f t="shared" ref="A290:A324" si="48">PROJID</f>
        <v>0</v>
      </c>
      <c r="B290" t="str">
        <f t="shared" ref="B290" si="49">IF(C290="","",CONCATENATE(ROW(),"-",C290))</f>
        <v/>
      </c>
      <c r="C290" t="str" cm="1">
        <f t="array" ref="C290">IFERROR(_xlfn.VALUETOTEXT(INDEX('M04-S13'!$BW$18:$BW$199,2*(ROWS($C$290:C290)-1)+1)),"")</f>
        <v/>
      </c>
      <c r="D290">
        <f>IFERROR(INDEX('M04-S13'!$B$18:$B$199,2*(ROWS(D$290:D290)-1)+1),"")</f>
        <v>1</v>
      </c>
      <c r="E290" s="51" t="str" cm="1">
        <f t="array" ref="E290">IFERROR(_xlfn.VALUETOTEXT(INDEX('M04-S13'!$BX$18:$BX$199,2*(ROWS($E$290:E290)-1)+1)),"")</f>
        <v/>
      </c>
      <c r="F290" t="str" cm="1">
        <f t="array" ref="F290">IF(C290&lt;&gt;"", _xlfn.SWITCH(Program_Banner, "Small Business / Non-Profit", "Hard-To-Reach Business", "Business Energy Savings", "Whole Business Efficiency", ""), "")</f>
        <v/>
      </c>
      <c r="G290" t="s">
        <v>2779</v>
      </c>
      <c r="H290" t="str">
        <f>IFERROR(INDEX('M04-S13'!$BC$18:$BC$199,2*(ROWS($H$290:H290)-1)+1),"")</f>
        <v/>
      </c>
      <c r="I290" t="str">
        <f>IFERROR(INDEX('M04-S13'!$BJ$18:$BJ$199,2*(ROWS(I$290:I290)-1)+1),"")</f>
        <v/>
      </c>
      <c r="J290" s="9" t="str">
        <f>IFERROR(INDEX('M04-S13'!$BN$18:$BN$199,2*(ROWS(J$290:J290)-1)+1),"")</f>
        <v/>
      </c>
      <c r="K290" s="9" t="str">
        <f>IFERROR(INDEX('M04-S13'!$BO$18:$BO$199,2*(ROWS(K$290:K290)-1)+1),"")</f>
        <v/>
      </c>
      <c r="L290" s="51" t="str">
        <f>IFERROR(INDEX('M04-S13'!$BD$18:$BD$199,2*(ROWS(L$290:L290)-1)+1),"")</f>
        <v/>
      </c>
      <c r="M290" s="184"/>
      <c r="N290" s="171"/>
      <c r="O290">
        <f>IFERROR(INDEX('M04-S13'!$C$18:$C$199,2*(ROWS(O$290:O290)-1)+1),"")</f>
        <v>0</v>
      </c>
      <c r="P290" t="str" cm="1">
        <f t="array" aca="1" ref="P290" ca="1">_xlfn.LET( _xlpm.Rows, 2*(ROWS(Q$290:Q290)-1)+1,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0" t="str" cm="1">
        <f t="array" aca="1" ref="Q290" ca="1">_xlfn.LET( _xlpm.Rows, 2*(ROWS(Q$290:Q290)-1)+1,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0" t="str">
        <f>IFERROR(INDEX('M04-S13'!$AX$18:$AX$199,2*(ROWS(S$290:S290)-1)+1),"")</f>
        <v/>
      </c>
      <c r="T290" s="545" t="str" cm="1">
        <f t="array" ref="T290">IFERROR(ROUND(IF(BB290&lt;&gt;"", "", INDEX('M04-S13'!$AY$18:$AY$199,2*(ROWS(T$290:T290)-1)+1)),3),"")</f>
        <v/>
      </c>
      <c r="U290" s="545" t="str" cm="1">
        <f t="array" ref="U290">IFERROR(ROUND(IF(BB290&lt;&gt;"", "", INDEX('M04-S13'!$AZ$18:$AZ$199,2*(ROWS(U$290:U290)-1)+1)),3),"")</f>
        <v/>
      </c>
      <c r="V290" s="184"/>
      <c r="W290" s="184"/>
      <c r="X290" s="184"/>
      <c r="Y290" s="184"/>
      <c r="Z290" s="184"/>
      <c r="AA290" s="9" t="str" cm="1">
        <f t="array" ref="AA290">IFERROR(ROUND(INDEX('M04-S13'!$AR$18:$AR$199,2*(ROWS(AA$290:AA290)-1)+1), 2),"")</f>
        <v/>
      </c>
      <c r="AB290" s="9" t="str" cm="1">
        <f t="array" ref="AB290">_xlfn.LET(_xlpm.ROWS, 2*(ROWS(AB$290:AB290)-1)+1,IFERROR(INDEX('M04-S13'!$AR$18:$AR$199, _xlpm.ROWS)-INDEX('M04-S13'!$BS$18:$BS$199, _xlpm.ROWS),""))</f>
        <v/>
      </c>
      <c r="AC290" s="9" cm="1">
        <f t="array" ref="AC290">IFERROR(ROUND(IF(BB290&lt;&gt;"", "",INDEX('M04-S13'!$AE$18:$AE$199,2*(ROWS(AC$290:AC290)-1)+1)),2),"")</f>
        <v>0</v>
      </c>
      <c r="AD290" s="9" cm="1">
        <f t="array" ref="AD290">IFERROR(ROUND(IF(BB290&lt;&gt;"", "", INDEX('M04-S13'!$AG$18:$AG$199,2*(ROWS(AD$290:AD290)-1)+1)),2),"")</f>
        <v>0</v>
      </c>
      <c r="AE290" s="9" t="str" cm="1">
        <f t="array" ref="AE290">IFERROR(ROUND(IF(BB290&lt;&gt;"", "", INDEX('M04-S13'!$BL$18:$BL$199,2*(ROWS(AG$290:AG290)-1)+1)),2),"")</f>
        <v/>
      </c>
      <c r="AF290" t="str">
        <f t="shared" si="46"/>
        <v>Incremental</v>
      </c>
      <c r="AG290" s="9" t="str" cm="1">
        <f t="array" ref="AG290">IFERROR(ROUND(IF(BB290&lt;&gt;"", "", INDEX('M04-S13'!$BL$18:$BL$199,2*(ROWS(AG$290:AG290)-1)+1)),2),"")</f>
        <v/>
      </c>
      <c r="AH290" s="184"/>
      <c r="AI290" s="184"/>
      <c r="AJ290" s="32" t="str">
        <f>IFERROR(ROUND(INDEX('M04-S13'!$BE$18:$BE$199,2*(ROWS(AJ$290:AJ290)-1)+1),4),"")</f>
        <v/>
      </c>
      <c r="AK290" s="184"/>
      <c r="AL290" s="32" t="str">
        <f>IFERROR(ROUND(INDEX('M04-S13'!$BF$18:$BF$199,2*(ROWS(AL$290:AL290)-1)+1),4),"")</f>
        <v/>
      </c>
      <c r="AM290" s="32" t="str">
        <f>IFERROR(ROUND(INDEX('M04-S13'!$BA$18:$BA$199,2*(ROWS(AM$290:AM290)-1)+1),4),"")</f>
        <v/>
      </c>
      <c r="AN290" s="32" t="str" cm="1">
        <f t="array" aca="1" ref="AN290" ca="1">IFERROR(ROUND(NDEX('M04-S13'!$BB$18:$BB$199,2*(ROWS(AN$290:AN290)-1)+1),4),"")</f>
        <v/>
      </c>
      <c r="AO290" s="184"/>
      <c r="AP290" s="9" t="str" cm="1">
        <f t="array" ref="AP290">IFERROR(ROUND(IF(BB290&lt;&gt;"",INDEX('M04-S13'!$AE$18:$AE$199,2*(ROWS(AP$290:AP290)-1)+1),""),2),"")</f>
        <v/>
      </c>
      <c r="AQ290" s="9" t="str" cm="1">
        <f t="array" ref="AQ290">IFERROR(ROUND(IF(BB290&lt;&gt;"",INDEX('M04-S13'!$AG$18:$AG$199,2*(ROWS(AQ$290:AQ290)-1)+1),""),2),"")</f>
        <v/>
      </c>
      <c r="AR290" s="9" t="str" cm="1">
        <f t="array" ref="AR290">IFERROR(ROUND(IF(BB290&lt;&gt;"",INDEX('M04-S13'!$BL$18:$BL$199,2*(ROWS(AT$290:AT290)-1)+1),""),2),"")</f>
        <v/>
      </c>
      <c r="AS290" t="str">
        <f>IFERROR(IF(BB290&lt;&gt;"","Incremental",""),"")</f>
        <v/>
      </c>
      <c r="AT290" s="9" t="str" cm="1">
        <f t="array" ref="AT290">IFERROR(ROUND(IF(BB290&lt;&gt;"",INDEX('M04-S13'!$BL$18:$BL$199,2*(ROWS(AT$290:AT290)-1)+1),""),2),"")</f>
        <v/>
      </c>
      <c r="AU290" s="184"/>
      <c r="AV290" s="5" t="str" cm="1">
        <f t="array" ref="AV290">IFERROR(IF(BB290&lt;&gt;"",ROUND(INDEX('M04-S13'!$V$18:$V$199,2*(ROWS(AV$290:AV290)-1)+1),3),""),"")</f>
        <v/>
      </c>
      <c r="AW290" s="5" t="str" cm="1">
        <f t="array" ref="AW290">IFERROR(IF(BB290&lt;&gt;"",ROUND(INDEX('M04-S13'!$V$18:$V$199,2*(ROWS(AW$290:AW290)-1)+1),3),""),"")</f>
        <v/>
      </c>
      <c r="AX290" s="184"/>
      <c r="AY290" s="26" t="str" cm="1">
        <f t="array" ref="AY290">IFERROR(IF(BB290&lt;&gt;"",INDEX('M04-S13'!$BE$18:$BE$199,2*(ROWS(AY$290:AY290)-1)+1),""),"")</f>
        <v/>
      </c>
      <c r="AZ290" s="184"/>
      <c r="BA290" s="32" t="str" cm="1">
        <f t="array" ref="BA290">IFERROR(IF(BB290&lt;&gt;"",INDEX('M04-S13'!$BF$18:$BF$199,2*(ROWS(BA$290:BA290)-1)+1),""),"")</f>
        <v/>
      </c>
      <c r="BB290" t="str" cm="1">
        <f t="array" ref="BB290">IFERROR(INDEX('M04-S13'!$BY$18:$BY$199,2*(ROWS(BB$290:BB290)-1)+1),"")</f>
        <v/>
      </c>
    </row>
    <row r="291" spans="1:54">
      <c r="A291" s="10">
        <f t="shared" si="48"/>
        <v>0</v>
      </c>
      <c r="B291" t="str">
        <f t="shared" ref="B291:B308" si="50">IF(C291="","",CONCATENATE(ROW(),"-",C291))</f>
        <v/>
      </c>
      <c r="C291" t="str" cm="1">
        <f t="array" ref="C291">IFERROR(_xlfn.VALUETOTEXT(INDEX('M04-S13'!$BW$18:$BW$199,2*(ROWS($C$290:C291)-1)+1)),"")</f>
        <v/>
      </c>
      <c r="D291">
        <f>IFERROR(INDEX('M04-S13'!$B$18:$B$199,2*(ROWS(D$290:D291)-1)+1),"")</f>
        <v>2</v>
      </c>
      <c r="E291" s="51" t="str" cm="1">
        <f t="array" ref="E291">IFERROR(_xlfn.VALUETOTEXT(INDEX('M04-S13'!$BX$18:$BX$199,2*(ROWS($E$290:E291)-1)+1)),"")</f>
        <v/>
      </c>
      <c r="F291" t="str" cm="1">
        <f t="array" ref="F291">IF(C291&lt;&gt;"", _xlfn.SWITCH(Program_Banner, "Small Business / Non-Profit", "Hard-To-Reach Business", "Business Energy Savings", "Whole Business Efficiency", ""), "")</f>
        <v/>
      </c>
      <c r="G291" t="s">
        <v>2779</v>
      </c>
      <c r="H291" t="str">
        <f>IFERROR(INDEX('M04-S13'!$BC$18:$BC$199,2*(ROWS($H$290:H291)-1)+1),"")</f>
        <v/>
      </c>
      <c r="I291" t="str">
        <f>IFERROR(INDEX('M04-S13'!$BJ$18:$BJ$199,2*(ROWS(I$290:I291)-1)+1),"")</f>
        <v/>
      </c>
      <c r="J291" s="9" t="str">
        <f>IFERROR(INDEX('M04-S13'!$BN$18:$BN$199,2*(ROWS(J$290:J291)-1)+1),"")</f>
        <v/>
      </c>
      <c r="K291" s="9" t="str">
        <f>IFERROR(INDEX('M04-S13'!$BO$18:$BO$199,2*(ROWS(K$290:K291)-1)+1),"")</f>
        <v/>
      </c>
      <c r="L291" s="51" t="str">
        <f>IFERROR(INDEX('M04-S13'!$BD$18:$BD$199,2*(ROWS(L$290:L291)-1)+1),"")</f>
        <v/>
      </c>
      <c r="M291" s="184"/>
      <c r="N291" s="171"/>
      <c r="O291">
        <f>IFERROR(INDEX('M04-S13'!$C$18:$C$199,2*(ROWS(O$290:O291)-1)+1),"")</f>
        <v>0</v>
      </c>
      <c r="P291" t="str" cm="1">
        <f t="array" aca="1" ref="P291" ca="1">_xlfn.LET( _xlpm.Rows, 2*(ROWS(Q$290:Q291)-1)+1,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1" t="str" cm="1">
        <f t="array" aca="1" ref="Q291" ca="1">_xlfn.LET( _xlpm.Rows, 2*(ROWS(Q$290:Q291)-1)+1,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1" t="str">
        <f>IFERROR(INDEX('M04-S13'!$AX$18:$AX$199,2*(ROWS(S$290:S291)-1)+1),"")</f>
        <v/>
      </c>
      <c r="T291" s="545" t="str" cm="1">
        <f t="array" ref="T291">IFERROR(ROUND(IF(BB291&lt;&gt;"", "", INDEX('M04-S13'!$AY$18:$AY$199,2*(ROWS(T$290:T291)-1)+1)),3),"")</f>
        <v/>
      </c>
      <c r="U291" s="545" t="str" cm="1">
        <f t="array" ref="U291">IFERROR(ROUND(IF(BB291&lt;&gt;"", "", INDEX('M04-S13'!$AZ$18:$AZ$199,2*(ROWS(U$290:U291)-1)+1)),3),"")</f>
        <v/>
      </c>
      <c r="V291" s="184"/>
      <c r="W291" s="184"/>
      <c r="X291" s="184"/>
      <c r="Y291" s="184"/>
      <c r="Z291" s="184"/>
      <c r="AA291" s="9" t="str" cm="1">
        <f t="array" ref="AA291">IFERROR(ROUND(INDEX('M04-S13'!$AR$18:$AR$199,2*(ROWS(AA$290:AA291)-1)+1), 2),"")</f>
        <v/>
      </c>
      <c r="AB291" s="9" t="str" cm="1">
        <f t="array" ref="AB291">_xlfn.LET(_xlpm.ROWS, 2*(ROWS(AB$290:AB291)-1)+1,IFERROR(INDEX('M04-S13'!$AR$18:$AR$199, _xlpm.ROWS)-INDEX('M04-S13'!$BS$18:$BS$199, _xlpm.ROWS),""))</f>
        <v/>
      </c>
      <c r="AC291" s="9" cm="1">
        <f t="array" ref="AC291">IFERROR(ROUND(IF(BB291&lt;&gt;"", "",INDEX('M04-S13'!$AE$18:$AE$199,2*(ROWS(AC$290:AC291)-1)+1)),2),"")</f>
        <v>0</v>
      </c>
      <c r="AD291" s="9" cm="1">
        <f t="array" ref="AD291">IFERROR(ROUND(IF(BB291&lt;&gt;"", "", INDEX('M04-S13'!$AG$18:$AG$199,2*(ROWS(AD$290:AD291)-1)+1)),2),"")</f>
        <v>0</v>
      </c>
      <c r="AE291" s="9" t="str" cm="1">
        <f t="array" ref="AE291">IFERROR(ROUND(IF(BB291&lt;&gt;"", "", INDEX('M04-S13'!$BL$18:$BL$199,2*(ROWS(AG$290:AG291)-1)+1)),2),"")</f>
        <v/>
      </c>
      <c r="AF291" t="str">
        <f t="shared" si="46"/>
        <v>Incremental</v>
      </c>
      <c r="AG291" s="9" t="str" cm="1">
        <f t="array" ref="AG291">IFERROR(ROUND(IF(BB291&lt;&gt;"", "", INDEX('M04-S13'!$BL$18:$BL$199,2*(ROWS(AG$290:AG291)-1)+1)),2),"")</f>
        <v/>
      </c>
      <c r="AH291" s="184"/>
      <c r="AI291" s="184"/>
      <c r="AJ291" s="32" t="str">
        <f>IFERROR(ROUND(INDEX('M04-S13'!$BE$18:$BE$199,2*(ROWS(AJ$290:AJ291)-1)+1),4),"")</f>
        <v/>
      </c>
      <c r="AK291" s="184"/>
      <c r="AL291" s="32" t="str">
        <f>IFERROR(ROUND(INDEX('M04-S13'!$BF$18:$BF$199,2*(ROWS(AL$290:AL291)-1)+1),4),"")</f>
        <v/>
      </c>
      <c r="AM291" s="32" t="str">
        <f>IFERROR(ROUND(INDEX('M04-S13'!$BA$18:$BA$199,2*(ROWS(AM$290:AM291)-1)+1),4),"")</f>
        <v/>
      </c>
      <c r="AN291" s="32" t="str" cm="1">
        <f t="array" aca="1" ref="AN291" ca="1">IFERROR(ROUND(NDEX('M04-S13'!$BB$18:$BB$199,2*(ROWS(AN$290:AN291)-1)+1),4),"")</f>
        <v/>
      </c>
      <c r="AO291" s="184"/>
      <c r="AP291" s="9" t="str" cm="1">
        <f t="array" ref="AP291">IFERROR(ROUND(IF(BB291&lt;&gt;"",INDEX('M04-S13'!$AE$18:$AE$199,2*(ROWS(AP$290:AP291)-1)+1),""),2),"")</f>
        <v/>
      </c>
      <c r="AQ291" s="9" t="str" cm="1">
        <f t="array" ref="AQ291">IFERROR(ROUND(IF(BB291&lt;&gt;"",INDEX('M04-S13'!$AG$18:$AG$199,2*(ROWS(AQ$290:AQ291)-1)+1),""),2),"")</f>
        <v/>
      </c>
      <c r="AR291" s="9" t="str" cm="1">
        <f t="array" ref="AR291">IFERROR(ROUND(IF(BB291&lt;&gt;"",INDEX('M04-S13'!$BL$18:$BL$199,2*(ROWS(AT$290:AT291)-1)+1),""),2),"")</f>
        <v/>
      </c>
      <c r="AS291" t="str">
        <f t="shared" ref="AS291:AS324" si="51">IFERROR(IF(BB291&lt;&gt;"","Incremental",""),"")</f>
        <v/>
      </c>
      <c r="AT291" s="9" t="str" cm="1">
        <f t="array" ref="AT291">IFERROR(ROUND(IF(BB291&lt;&gt;"",INDEX('M04-S13'!$BL$18:$BL$199,2*(ROWS(AT$290:AT291)-1)+1),""),2),"")</f>
        <v/>
      </c>
      <c r="AU291" s="184"/>
      <c r="AV291" s="5" t="str" cm="1">
        <f t="array" ref="AV291">IFERROR(IF(BB291&lt;&gt;"",ROUND(INDEX('M04-S13'!$V$18:$V$199,2*(ROWS(AV$290:AV291)-1)+1),3),""),"")</f>
        <v/>
      </c>
      <c r="AW291" s="5" t="str" cm="1">
        <f t="array" ref="AW291">IFERROR(IF(BB291&lt;&gt;"",ROUND(INDEX('M04-S13'!$V$18:$V$199,2*(ROWS(AW$290:AW291)-1)+1),3),""),"")</f>
        <v/>
      </c>
      <c r="AX291" s="184"/>
      <c r="AY291" s="26" t="str" cm="1">
        <f t="array" ref="AY291">IFERROR(IF(BB291&lt;&gt;"",INDEX('M04-S13'!$BE$18:$BE$199,2*(ROWS(AY$290:AY291)-1)+1),""),"")</f>
        <v/>
      </c>
      <c r="AZ291" s="184"/>
      <c r="BA291" s="32" t="str" cm="1">
        <f t="array" ref="BA291">IFERROR(IF(BB291&lt;&gt;"",INDEX('M04-S13'!$BF$18:$BF$199,2*(ROWS(BA$290:BA291)-1)+1),""),"")</f>
        <v/>
      </c>
      <c r="BB291" t="str" cm="1">
        <f t="array" ref="BB291">IFERROR(INDEX('M04-S13'!$BY$18:$BY$199,2*(ROWS(BB$290:BB291)-1)+1),"")</f>
        <v/>
      </c>
    </row>
    <row r="292" spans="1:54">
      <c r="A292" s="10">
        <f t="shared" si="48"/>
        <v>0</v>
      </c>
      <c r="B292" t="str">
        <f t="shared" si="50"/>
        <v/>
      </c>
      <c r="C292" t="str" cm="1">
        <f t="array" ref="C292">IFERROR(_xlfn.VALUETOTEXT(INDEX('M04-S13'!$BW$18:$BW$199,2*(ROWS($C$290:C292)-1)+1)),"")</f>
        <v/>
      </c>
      <c r="D292">
        <f>IFERROR(INDEX('M04-S13'!$B$18:$B$199,2*(ROWS(D$290:D292)-1)+1),"")</f>
        <v>3</v>
      </c>
      <c r="E292" s="51" t="str" cm="1">
        <f t="array" ref="E292">IFERROR(_xlfn.VALUETOTEXT(INDEX('M04-S13'!$BX$18:$BX$199,2*(ROWS($E$290:E292)-1)+1)),"")</f>
        <v/>
      </c>
      <c r="F292" t="str" cm="1">
        <f t="array" ref="F292">IF(C292&lt;&gt;"", _xlfn.SWITCH(Program_Banner, "Small Business / Non-Profit", "Hard-To-Reach Business", "Business Energy Savings", "Whole Business Efficiency", ""), "")</f>
        <v/>
      </c>
      <c r="G292" t="s">
        <v>2779</v>
      </c>
      <c r="H292" t="str">
        <f>IFERROR(INDEX('M04-S13'!$BC$18:$BC$199,2*(ROWS($H$290:H292)-1)+1),"")</f>
        <v/>
      </c>
      <c r="I292" t="str">
        <f>IFERROR(INDEX('M04-S13'!$BJ$18:$BJ$199,2*(ROWS(I$290:I292)-1)+1),"")</f>
        <v/>
      </c>
      <c r="J292" s="9" t="str">
        <f>IFERROR(INDEX('M04-S13'!$BN$18:$BN$199,2*(ROWS(J$290:J292)-1)+1),"")</f>
        <v/>
      </c>
      <c r="K292" s="9" t="str">
        <f>IFERROR(INDEX('M04-S13'!$BO$18:$BO$199,2*(ROWS(K$290:K292)-1)+1),"")</f>
        <v/>
      </c>
      <c r="L292" s="51" t="str">
        <f>IFERROR(INDEX('M04-S13'!$BD$18:$BD$199,2*(ROWS(L$290:L292)-1)+1),"")</f>
        <v/>
      </c>
      <c r="M292" s="184"/>
      <c r="N292" s="171"/>
      <c r="O292">
        <f>IFERROR(INDEX('M04-S13'!$C$18:$C$199,2*(ROWS(O$290:O292)-1)+1),"")</f>
        <v>0</v>
      </c>
      <c r="P292" t="str" cm="1">
        <f t="array" aca="1" ref="P292" ca="1">_xlfn.LET( _xlpm.Rows, 2*(ROWS(Q$290:Q292)-1)+1,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2" t="str" cm="1">
        <f t="array" aca="1" ref="Q292" ca="1">_xlfn.LET( _xlpm.Rows, 2*(ROWS(Q$290:Q292)-1)+1,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2" t="str">
        <f>IFERROR(INDEX('M04-S13'!$AX$18:$AX$199,2*(ROWS(S$290:S292)-1)+1),"")</f>
        <v/>
      </c>
      <c r="T292" s="545" t="str" cm="1">
        <f t="array" ref="T292">IFERROR(ROUND(IF(BB292&lt;&gt;"", "", INDEX('M04-S13'!$AY$18:$AY$199,2*(ROWS(T$290:T292)-1)+1)),3),"")</f>
        <v/>
      </c>
      <c r="U292" s="545" t="str" cm="1">
        <f t="array" ref="U292">IFERROR(ROUND(IF(BB292&lt;&gt;"", "", INDEX('M04-S13'!$AZ$18:$AZ$199,2*(ROWS(U$290:U292)-1)+1)),3),"")</f>
        <v/>
      </c>
      <c r="V292" s="184"/>
      <c r="W292" s="184"/>
      <c r="X292" s="184"/>
      <c r="Y292" s="184"/>
      <c r="Z292" s="184"/>
      <c r="AA292" s="9" t="str" cm="1">
        <f t="array" ref="AA292">IFERROR(ROUND(INDEX('M04-S13'!$AR$18:$AR$199,2*(ROWS(AA$290:AA292)-1)+1), 2),"")</f>
        <v/>
      </c>
      <c r="AB292" s="9" t="str" cm="1">
        <f t="array" ref="AB292">_xlfn.LET(_xlpm.ROWS, 2*(ROWS(AB$290:AB292)-1)+1,IFERROR(INDEX('M04-S13'!$AR$18:$AR$199, _xlpm.ROWS)-INDEX('M04-S13'!$BS$18:$BS$199, _xlpm.ROWS),""))</f>
        <v/>
      </c>
      <c r="AC292" s="9" cm="1">
        <f t="array" ref="AC292">IFERROR(ROUND(IF(BB292&lt;&gt;"", "",INDEX('M04-S13'!$AE$18:$AE$199,2*(ROWS(AC$290:AC292)-1)+1)),2),"")</f>
        <v>0</v>
      </c>
      <c r="AD292" s="9" cm="1">
        <f t="array" ref="AD292">IFERROR(ROUND(IF(BB292&lt;&gt;"", "", INDEX('M04-S13'!$AG$18:$AG$199,2*(ROWS(AD$290:AD292)-1)+1)),2),"")</f>
        <v>0</v>
      </c>
      <c r="AE292" s="9" t="str" cm="1">
        <f t="array" ref="AE292">IFERROR(ROUND(IF(BB292&lt;&gt;"", "", INDEX('M04-S13'!$BL$18:$BL$199,2*(ROWS(AG$290:AG292)-1)+1)),2),"")</f>
        <v/>
      </c>
      <c r="AF292" t="str">
        <f t="shared" si="46"/>
        <v>Incremental</v>
      </c>
      <c r="AG292" s="9" t="str" cm="1">
        <f t="array" ref="AG292">IFERROR(ROUND(IF(BB292&lt;&gt;"", "", INDEX('M04-S13'!$BL$18:$BL$199,2*(ROWS(AG$290:AG292)-1)+1)),2),"")</f>
        <v/>
      </c>
      <c r="AH292" s="184"/>
      <c r="AI292" s="184"/>
      <c r="AJ292" s="32" t="str">
        <f>IFERROR(ROUND(INDEX('M04-S13'!$BE$18:$BE$199,2*(ROWS(AJ$290:AJ292)-1)+1),4),"")</f>
        <v/>
      </c>
      <c r="AK292" s="184"/>
      <c r="AL292" s="32" t="str">
        <f>IFERROR(ROUND(INDEX('M04-S13'!$BF$18:$BF$199,2*(ROWS(AL$290:AL292)-1)+1),4),"")</f>
        <v/>
      </c>
      <c r="AM292" s="32" t="str">
        <f>IFERROR(ROUND(INDEX('M04-S13'!$BA$18:$BA$199,2*(ROWS(AM$290:AM292)-1)+1),4),"")</f>
        <v/>
      </c>
      <c r="AN292" s="32" t="str" cm="1">
        <f t="array" aca="1" ref="AN292" ca="1">IFERROR(ROUND(NDEX('M04-S13'!$BB$18:$BB$199,2*(ROWS(AN$290:AN292)-1)+1),4),"")</f>
        <v/>
      </c>
      <c r="AO292" s="184"/>
      <c r="AP292" s="9" t="str" cm="1">
        <f t="array" ref="AP292">IFERROR(ROUND(IF(BB292&lt;&gt;"",INDEX('M04-S13'!$AE$18:$AE$199,2*(ROWS(AP$290:AP292)-1)+1),""),2),"")</f>
        <v/>
      </c>
      <c r="AQ292" s="9" t="str" cm="1">
        <f t="array" ref="AQ292">IFERROR(ROUND(IF(BB292&lt;&gt;"",INDEX('M04-S13'!$AG$18:$AG$199,2*(ROWS(AQ$290:AQ292)-1)+1),""),2),"")</f>
        <v/>
      </c>
      <c r="AR292" s="9" t="str" cm="1">
        <f t="array" ref="AR292">IFERROR(ROUND(IF(BB292&lt;&gt;"",INDEX('M04-S13'!$BL$18:$BL$199,2*(ROWS(AT$290:AT292)-1)+1),""),2),"")</f>
        <v/>
      </c>
      <c r="AS292" t="str">
        <f t="shared" si="51"/>
        <v/>
      </c>
      <c r="AT292" s="9" t="str" cm="1">
        <f t="array" ref="AT292">IFERROR(ROUND(IF(BB292&lt;&gt;"",INDEX('M04-S13'!$BL$18:$BL$199,2*(ROWS(AT$290:AT292)-1)+1),""),2),"")</f>
        <v/>
      </c>
      <c r="AU292" s="184"/>
      <c r="AV292" s="5" t="str" cm="1">
        <f t="array" ref="AV292">IFERROR(IF(BB292&lt;&gt;"",ROUND(INDEX('M04-S13'!$V$18:$V$199,2*(ROWS(AV$290:AV292)-1)+1),3),""),"")</f>
        <v/>
      </c>
      <c r="AW292" s="5" t="str" cm="1">
        <f t="array" ref="AW292">IFERROR(IF(BB292&lt;&gt;"",ROUND(INDEX('M04-S13'!$V$18:$V$199,2*(ROWS(AW$290:AW292)-1)+1),3),""),"")</f>
        <v/>
      </c>
      <c r="AX292" s="184"/>
      <c r="AY292" s="26" t="str" cm="1">
        <f t="array" ref="AY292">IFERROR(IF(BB292&lt;&gt;"",INDEX('M04-S13'!$BE$18:$BE$199,2*(ROWS(AY$290:AY292)-1)+1),""),"")</f>
        <v/>
      </c>
      <c r="AZ292" s="184"/>
      <c r="BA292" s="32" t="str" cm="1">
        <f t="array" ref="BA292">IFERROR(IF(BB292&lt;&gt;"",INDEX('M04-S13'!$BF$18:$BF$199,2*(ROWS(BA$290:BA292)-1)+1),""),"")</f>
        <v/>
      </c>
      <c r="BB292" t="str" cm="1">
        <f t="array" ref="BB292">IFERROR(INDEX('M04-S13'!$BY$18:$BY$199,2*(ROWS(BB$290:BB292)-1)+1),"")</f>
        <v/>
      </c>
    </row>
    <row r="293" spans="1:54">
      <c r="A293" s="10">
        <f t="shared" si="48"/>
        <v>0</v>
      </c>
      <c r="B293" t="str">
        <f t="shared" si="50"/>
        <v/>
      </c>
      <c r="C293" t="str" cm="1">
        <f t="array" ref="C293">IFERROR(_xlfn.VALUETOTEXT(INDEX('M04-S13'!$BW$18:$BW$199,2*(ROWS($C$290:C293)-1)+1)),"")</f>
        <v/>
      </c>
      <c r="D293">
        <f>IFERROR(INDEX('M04-S13'!$B$18:$B$199,2*(ROWS(D$290:D293)-1)+1),"")</f>
        <v>4</v>
      </c>
      <c r="E293" s="51" t="str" cm="1">
        <f t="array" ref="E293">IFERROR(_xlfn.VALUETOTEXT(INDEX('M04-S13'!$BX$18:$BX$199,2*(ROWS($E$290:E293)-1)+1)),"")</f>
        <v/>
      </c>
      <c r="F293" t="str" cm="1">
        <f t="array" ref="F293">IF(C293&lt;&gt;"", _xlfn.SWITCH(Program_Banner, "Small Business / Non-Profit", "Hard-To-Reach Business", "Business Energy Savings", "Whole Business Efficiency", ""), "")</f>
        <v/>
      </c>
      <c r="G293" t="s">
        <v>2779</v>
      </c>
      <c r="H293" t="str">
        <f>IFERROR(INDEX('M04-S13'!$BC$18:$BC$199,2*(ROWS($H$290:H293)-1)+1),"")</f>
        <v/>
      </c>
      <c r="I293" t="str">
        <f>IFERROR(INDEX('M04-S13'!$BJ$18:$BJ$199,2*(ROWS(I$290:I293)-1)+1),"")</f>
        <v/>
      </c>
      <c r="J293" s="9" t="str">
        <f>IFERROR(INDEX('M04-S13'!$BN$18:$BN$199,2*(ROWS(J$290:J293)-1)+1),"")</f>
        <v/>
      </c>
      <c r="K293" s="9" t="str">
        <f>IFERROR(INDEX('M04-S13'!$BO$18:$BO$199,2*(ROWS(K$290:K293)-1)+1),"")</f>
        <v/>
      </c>
      <c r="L293" s="51" t="str">
        <f>IFERROR(INDEX('M04-S13'!$BD$18:$BD$199,2*(ROWS(L$290:L293)-1)+1),"")</f>
        <v/>
      </c>
      <c r="M293" s="184"/>
      <c r="N293" s="171"/>
      <c r="O293">
        <f>IFERROR(INDEX('M04-S13'!$C$18:$C$199,2*(ROWS(O$290:O293)-1)+1),"")</f>
        <v>0</v>
      </c>
      <c r="P293" t="str" cm="1">
        <f t="array" aca="1" ref="P293" ca="1">_xlfn.LET( _xlpm.Rows, 2*(ROWS(Q$290:Q293)-1)+1,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3" t="str" cm="1">
        <f t="array" aca="1" ref="Q293" ca="1">_xlfn.LET( _xlpm.Rows, 2*(ROWS(Q$290:Q293)-1)+1,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3" t="str">
        <f>IFERROR(INDEX('M04-S13'!$AX$18:$AX$199,2*(ROWS(S$290:S293)-1)+1),"")</f>
        <v/>
      </c>
      <c r="T293" s="545" t="str" cm="1">
        <f t="array" ref="T293">IFERROR(ROUND(IF(BB293&lt;&gt;"", "", INDEX('M04-S13'!$AY$18:$AY$199,2*(ROWS(T$290:T293)-1)+1)),3),"")</f>
        <v/>
      </c>
      <c r="U293" s="545" t="str" cm="1">
        <f t="array" ref="U293">IFERROR(ROUND(IF(BB293&lt;&gt;"", "", INDEX('M04-S13'!$AZ$18:$AZ$199,2*(ROWS(U$290:U293)-1)+1)),3),"")</f>
        <v/>
      </c>
      <c r="V293" s="184"/>
      <c r="W293" s="184"/>
      <c r="X293" s="184"/>
      <c r="Y293" s="184"/>
      <c r="Z293" s="184"/>
      <c r="AA293" s="9" t="str" cm="1">
        <f t="array" ref="AA293">IFERROR(ROUND(INDEX('M04-S13'!$AR$18:$AR$199,2*(ROWS(AA$290:AA293)-1)+1), 2),"")</f>
        <v/>
      </c>
      <c r="AB293" s="9" t="str" cm="1">
        <f t="array" ref="AB293">_xlfn.LET(_xlpm.ROWS, 2*(ROWS(AB$290:AB293)-1)+1,IFERROR(INDEX('M04-S13'!$AR$18:$AR$199, _xlpm.ROWS)-INDEX('M04-S13'!$BS$18:$BS$199, _xlpm.ROWS),""))</f>
        <v/>
      </c>
      <c r="AC293" s="9" cm="1">
        <f t="array" ref="AC293">IFERROR(ROUND(IF(BB293&lt;&gt;"", "",INDEX('M04-S13'!$AE$18:$AE$199,2*(ROWS(AC$290:AC293)-1)+1)),2),"")</f>
        <v>0</v>
      </c>
      <c r="AD293" s="9" cm="1">
        <f t="array" ref="AD293">IFERROR(ROUND(IF(BB293&lt;&gt;"", "", INDEX('M04-S13'!$AG$18:$AG$199,2*(ROWS(AD$290:AD293)-1)+1)),2),"")</f>
        <v>0</v>
      </c>
      <c r="AE293" s="9" t="str" cm="1">
        <f t="array" ref="AE293">IFERROR(ROUND(IF(BB293&lt;&gt;"", "", INDEX('M04-S13'!$BL$18:$BL$199,2*(ROWS(AG$290:AG293)-1)+1)),2),"")</f>
        <v/>
      </c>
      <c r="AF293" t="str">
        <f t="shared" si="46"/>
        <v>Incremental</v>
      </c>
      <c r="AG293" s="9" t="str" cm="1">
        <f t="array" ref="AG293">IFERROR(ROUND(IF(BB293&lt;&gt;"", "", INDEX('M04-S13'!$BL$18:$BL$199,2*(ROWS(AG$290:AG293)-1)+1)),2),"")</f>
        <v/>
      </c>
      <c r="AH293" s="184"/>
      <c r="AI293" s="184"/>
      <c r="AJ293" s="32" t="str">
        <f>IFERROR(ROUND(INDEX('M04-S13'!$BE$18:$BE$199,2*(ROWS(AJ$290:AJ293)-1)+1),4),"")</f>
        <v/>
      </c>
      <c r="AK293" s="184"/>
      <c r="AL293" s="32" t="str">
        <f>IFERROR(ROUND(INDEX('M04-S13'!$BF$18:$BF$199,2*(ROWS(AL$290:AL293)-1)+1),4),"")</f>
        <v/>
      </c>
      <c r="AM293" s="32" t="str">
        <f>IFERROR(ROUND(INDEX('M04-S13'!$BA$18:$BA$199,2*(ROWS(AM$290:AM293)-1)+1),4),"")</f>
        <v/>
      </c>
      <c r="AN293" s="32" t="str" cm="1">
        <f t="array" aca="1" ref="AN293" ca="1">IFERROR(ROUND(NDEX('M04-S13'!$BB$18:$BB$199,2*(ROWS(AN$290:AN293)-1)+1),4),"")</f>
        <v/>
      </c>
      <c r="AO293" s="184"/>
      <c r="AP293" s="9" t="str" cm="1">
        <f t="array" ref="AP293">IFERROR(ROUND(IF(BB293&lt;&gt;"",INDEX('M04-S13'!$AE$18:$AE$199,2*(ROWS(AP$290:AP293)-1)+1),""),2),"")</f>
        <v/>
      </c>
      <c r="AQ293" s="9" t="str" cm="1">
        <f t="array" ref="AQ293">IFERROR(ROUND(IF(BB293&lt;&gt;"",INDEX('M04-S13'!$AG$18:$AG$199,2*(ROWS(AQ$290:AQ293)-1)+1),""),2),"")</f>
        <v/>
      </c>
      <c r="AR293" s="9" t="str" cm="1">
        <f t="array" ref="AR293">IFERROR(ROUND(IF(BB293&lt;&gt;"",INDEX('M04-S13'!$BL$18:$BL$199,2*(ROWS(AT$290:AT293)-1)+1),""),2),"")</f>
        <v/>
      </c>
      <c r="AS293" t="str">
        <f t="shared" si="51"/>
        <v/>
      </c>
      <c r="AT293" s="9" t="str" cm="1">
        <f t="array" ref="AT293">IFERROR(ROUND(IF(BB293&lt;&gt;"",INDEX('M04-S13'!$BL$18:$BL$199,2*(ROWS(AT$290:AT293)-1)+1),""),2),"")</f>
        <v/>
      </c>
      <c r="AU293" s="184"/>
      <c r="AV293" s="5" t="str" cm="1">
        <f t="array" ref="AV293">IFERROR(IF(BB293&lt;&gt;"",ROUND(INDEX('M04-S13'!$V$18:$V$199,2*(ROWS(AV$290:AV293)-1)+1),3),""),"")</f>
        <v/>
      </c>
      <c r="AW293" s="5" t="str" cm="1">
        <f t="array" ref="AW293">IFERROR(IF(BB293&lt;&gt;"",ROUND(INDEX('M04-S13'!$V$18:$V$199,2*(ROWS(AW$290:AW293)-1)+1),3),""),"")</f>
        <v/>
      </c>
      <c r="AX293" s="184"/>
      <c r="AY293" s="26" t="str" cm="1">
        <f t="array" ref="AY293">IFERROR(IF(BB293&lt;&gt;"",INDEX('M04-S13'!$BE$18:$BE$199,2*(ROWS(AY$290:AY293)-1)+1),""),"")</f>
        <v/>
      </c>
      <c r="AZ293" s="184"/>
      <c r="BA293" s="32" t="str" cm="1">
        <f t="array" ref="BA293">IFERROR(IF(BB293&lt;&gt;"",INDEX('M04-S13'!$BF$18:$BF$199,2*(ROWS(BA$290:BA293)-1)+1),""),"")</f>
        <v/>
      </c>
      <c r="BB293" t="str" cm="1">
        <f t="array" ref="BB293">IFERROR(INDEX('M04-S13'!$BY$18:$BY$199,2*(ROWS(BB$290:BB293)-1)+1),"")</f>
        <v/>
      </c>
    </row>
    <row r="294" spans="1:54">
      <c r="A294" s="10">
        <f t="shared" si="48"/>
        <v>0</v>
      </c>
      <c r="B294" t="str">
        <f t="shared" si="50"/>
        <v/>
      </c>
      <c r="C294" t="str" cm="1">
        <f t="array" ref="C294">IFERROR(_xlfn.VALUETOTEXT(INDEX('M04-S13'!$BW$18:$BW$199,2*(ROWS($C$290:C294)-1)+1)),"")</f>
        <v/>
      </c>
      <c r="D294">
        <f>IFERROR(INDEX('M04-S13'!$B$18:$B$199,2*(ROWS(D$290:D294)-1)+1),"")</f>
        <v>5</v>
      </c>
      <c r="E294" s="51" t="str" cm="1">
        <f t="array" ref="E294">IFERROR(_xlfn.VALUETOTEXT(INDEX('M04-S13'!$BX$18:$BX$199,2*(ROWS($E$290:E294)-1)+1)),"")</f>
        <v/>
      </c>
      <c r="F294" t="str" cm="1">
        <f t="array" ref="F294">IF(C294&lt;&gt;"", _xlfn.SWITCH(Program_Banner, "Small Business / Non-Profit", "Hard-To-Reach Business", "Business Energy Savings", "Whole Business Efficiency", ""), "")</f>
        <v/>
      </c>
      <c r="G294" t="s">
        <v>2779</v>
      </c>
      <c r="H294" t="str">
        <f>IFERROR(INDEX('M04-S13'!$BC$18:$BC$199,2*(ROWS($H$290:H294)-1)+1),"")</f>
        <v/>
      </c>
      <c r="I294" t="str">
        <f>IFERROR(INDEX('M04-S13'!$BJ$18:$BJ$199,2*(ROWS(I$290:I294)-1)+1),"")</f>
        <v/>
      </c>
      <c r="J294" s="9" t="str">
        <f>IFERROR(INDEX('M04-S13'!$BN$18:$BN$199,2*(ROWS(J$290:J294)-1)+1),"")</f>
        <v/>
      </c>
      <c r="K294" s="9" t="str">
        <f>IFERROR(INDEX('M04-S13'!$BO$18:$BO$199,2*(ROWS(K$290:K294)-1)+1),"")</f>
        <v/>
      </c>
      <c r="L294" s="51" t="str">
        <f>IFERROR(INDEX('M04-S13'!$BD$18:$BD$199,2*(ROWS(L$290:L294)-1)+1),"")</f>
        <v/>
      </c>
      <c r="M294" s="184"/>
      <c r="N294" s="171"/>
      <c r="O294">
        <f>IFERROR(INDEX('M04-S13'!$C$18:$C$199,2*(ROWS(O$290:O294)-1)+1),"")</f>
        <v>0</v>
      </c>
      <c r="P294" t="str" cm="1">
        <f t="array" aca="1" ref="P294" ca="1">_xlfn.LET( _xlpm.Rows, 2*(ROWS(Q$290:Q294)-1)+1,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4" t="str" cm="1">
        <f t="array" aca="1" ref="Q294" ca="1">_xlfn.LET( _xlpm.Rows, 2*(ROWS(Q$290:Q294)-1)+1,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4" t="str">
        <f>IFERROR(INDEX('M04-S13'!$AX$18:$AX$199,2*(ROWS(S$290:S294)-1)+1),"")</f>
        <v/>
      </c>
      <c r="T294" s="545" t="str" cm="1">
        <f t="array" ref="T294">IFERROR(ROUND(IF(BB294&lt;&gt;"", "", INDEX('M04-S13'!$AY$18:$AY$199,2*(ROWS(T$290:T294)-1)+1)),3),"")</f>
        <v/>
      </c>
      <c r="U294" s="545" t="str" cm="1">
        <f t="array" ref="U294">IFERROR(ROUND(IF(BB294&lt;&gt;"", "", INDEX('M04-S13'!$AZ$18:$AZ$199,2*(ROWS(U$290:U294)-1)+1)),3),"")</f>
        <v/>
      </c>
      <c r="V294" s="184"/>
      <c r="W294" s="184"/>
      <c r="X294" s="184"/>
      <c r="Y294" s="184"/>
      <c r="Z294" s="184"/>
      <c r="AA294" s="9" t="str" cm="1">
        <f t="array" ref="AA294">IFERROR(ROUND(INDEX('M04-S13'!$AR$18:$AR$199,2*(ROWS(AA$290:AA294)-1)+1), 2),"")</f>
        <v/>
      </c>
      <c r="AB294" s="9" t="str" cm="1">
        <f t="array" ref="AB294">_xlfn.LET(_xlpm.ROWS, 2*(ROWS(AB$290:AB294)-1)+1,IFERROR(INDEX('M04-S13'!$AR$18:$AR$199, _xlpm.ROWS)-INDEX('M04-S13'!$BS$18:$BS$199, _xlpm.ROWS),""))</f>
        <v/>
      </c>
      <c r="AC294" s="9" cm="1">
        <f t="array" ref="AC294">IFERROR(ROUND(IF(BB294&lt;&gt;"", "",INDEX('M04-S13'!$AE$18:$AE$199,2*(ROWS(AC$290:AC294)-1)+1)),2),"")</f>
        <v>0</v>
      </c>
      <c r="AD294" s="9" cm="1">
        <f t="array" ref="AD294">IFERROR(ROUND(IF(BB294&lt;&gt;"", "", INDEX('M04-S13'!$AG$18:$AG$199,2*(ROWS(AD$290:AD294)-1)+1)),2),"")</f>
        <v>0</v>
      </c>
      <c r="AE294" s="9" t="str" cm="1">
        <f t="array" ref="AE294">IFERROR(ROUND(IF(BB294&lt;&gt;"", "", INDEX('M04-S13'!$BL$18:$BL$199,2*(ROWS(AG$290:AG294)-1)+1)),2),"")</f>
        <v/>
      </c>
      <c r="AF294" t="str">
        <f t="shared" si="46"/>
        <v>Incremental</v>
      </c>
      <c r="AG294" s="9" t="str" cm="1">
        <f t="array" ref="AG294">IFERROR(ROUND(IF(BB294&lt;&gt;"", "", INDEX('M04-S13'!$BL$18:$BL$199,2*(ROWS(AG$290:AG294)-1)+1)),2),"")</f>
        <v/>
      </c>
      <c r="AH294" s="184"/>
      <c r="AI294" s="184"/>
      <c r="AJ294" s="32" t="str">
        <f>IFERROR(ROUND(INDEX('M04-S13'!$BE$18:$BE$199,2*(ROWS(AJ$290:AJ294)-1)+1),4),"")</f>
        <v/>
      </c>
      <c r="AK294" s="184"/>
      <c r="AL294" s="32" t="str">
        <f>IFERROR(ROUND(INDEX('M04-S13'!$BF$18:$BF$199,2*(ROWS(AL$290:AL294)-1)+1),4),"")</f>
        <v/>
      </c>
      <c r="AM294" s="32" t="str">
        <f>IFERROR(ROUND(INDEX('M04-S13'!$BA$18:$BA$199,2*(ROWS(AM$290:AM294)-1)+1),4),"")</f>
        <v/>
      </c>
      <c r="AN294" s="32" t="str" cm="1">
        <f t="array" aca="1" ref="AN294" ca="1">IFERROR(ROUND(NDEX('M04-S13'!$BB$18:$BB$199,2*(ROWS(AN$290:AN294)-1)+1),4),"")</f>
        <v/>
      </c>
      <c r="AO294" s="184"/>
      <c r="AP294" s="9" t="str" cm="1">
        <f t="array" ref="AP294">IFERROR(ROUND(IF(BB294&lt;&gt;"",INDEX('M04-S13'!$AE$18:$AE$199,2*(ROWS(AP$290:AP294)-1)+1),""),2),"")</f>
        <v/>
      </c>
      <c r="AQ294" s="9" t="str" cm="1">
        <f t="array" ref="AQ294">IFERROR(ROUND(IF(BB294&lt;&gt;"",INDEX('M04-S13'!$AG$18:$AG$199,2*(ROWS(AQ$290:AQ294)-1)+1),""),2),"")</f>
        <v/>
      </c>
      <c r="AR294" s="9" t="str" cm="1">
        <f t="array" ref="AR294">IFERROR(ROUND(IF(BB294&lt;&gt;"",INDEX('M04-S13'!$BL$18:$BL$199,2*(ROWS(AT$290:AT294)-1)+1),""),2),"")</f>
        <v/>
      </c>
      <c r="AS294" t="str">
        <f t="shared" si="51"/>
        <v/>
      </c>
      <c r="AT294" s="9" t="str" cm="1">
        <f t="array" ref="AT294">IFERROR(ROUND(IF(BB294&lt;&gt;"",INDEX('M04-S13'!$BL$18:$BL$199,2*(ROWS(AT$290:AT294)-1)+1),""),2),"")</f>
        <v/>
      </c>
      <c r="AU294" s="184"/>
      <c r="AV294" s="5" t="str" cm="1">
        <f t="array" ref="AV294">IFERROR(IF(BB294&lt;&gt;"",ROUND(INDEX('M04-S13'!$V$18:$V$199,2*(ROWS(AV$290:AV294)-1)+1),3),""),"")</f>
        <v/>
      </c>
      <c r="AW294" s="5" t="str" cm="1">
        <f t="array" ref="AW294">IFERROR(IF(BB294&lt;&gt;"",ROUND(INDEX('M04-S13'!$V$18:$V$199,2*(ROWS(AW$290:AW294)-1)+1),3),""),"")</f>
        <v/>
      </c>
      <c r="AX294" s="184"/>
      <c r="AY294" s="26" t="str" cm="1">
        <f t="array" ref="AY294">IFERROR(IF(BB294&lt;&gt;"",INDEX('M04-S13'!$BE$18:$BE$199,2*(ROWS(AY$290:AY294)-1)+1),""),"")</f>
        <v/>
      </c>
      <c r="AZ294" s="184"/>
      <c r="BA294" s="32" t="str" cm="1">
        <f t="array" ref="BA294">IFERROR(IF(BB294&lt;&gt;"",INDEX('M04-S13'!$BF$18:$BF$199,2*(ROWS(BA$290:BA294)-1)+1),""),"")</f>
        <v/>
      </c>
      <c r="BB294" t="str" cm="1">
        <f t="array" ref="BB294">IFERROR(INDEX('M04-S13'!$BY$18:$BY$199,2*(ROWS(BB$290:BB294)-1)+1),"")</f>
        <v/>
      </c>
    </row>
    <row r="295" spans="1:54">
      <c r="A295" s="10">
        <f t="shared" si="48"/>
        <v>0</v>
      </c>
      <c r="B295" t="str">
        <f t="shared" si="50"/>
        <v/>
      </c>
      <c r="C295" t="str" cm="1">
        <f t="array" ref="C295">IFERROR(_xlfn.VALUETOTEXT(INDEX('M04-S13'!$BW$18:$BW$199,2*(ROWS($C$290:C295)-1)+1)),"")</f>
        <v/>
      </c>
      <c r="D295">
        <f>IFERROR(INDEX('M04-S13'!$B$18:$B$199,2*(ROWS(D$290:D295)-1)+1),"")</f>
        <v>6</v>
      </c>
      <c r="E295" s="51" t="str" cm="1">
        <f t="array" ref="E295">IFERROR(_xlfn.VALUETOTEXT(INDEX('M04-S13'!$BX$18:$BX$199,2*(ROWS($E$290:E295)-1)+1)),"")</f>
        <v/>
      </c>
      <c r="F295" t="str" cm="1">
        <f t="array" ref="F295">IF(C295&lt;&gt;"", _xlfn.SWITCH(Program_Banner, "Small Business / Non-Profit", "Hard-To-Reach Business", "Business Energy Savings", "Whole Business Efficiency", ""), "")</f>
        <v/>
      </c>
      <c r="G295" t="s">
        <v>2779</v>
      </c>
      <c r="H295" t="str">
        <f>IFERROR(INDEX('M04-S13'!$BC$18:$BC$199,2*(ROWS($H$290:H295)-1)+1),"")</f>
        <v/>
      </c>
      <c r="I295" t="str">
        <f>IFERROR(INDEX('M04-S13'!$BJ$18:$BJ$199,2*(ROWS(I$290:I295)-1)+1),"")</f>
        <v/>
      </c>
      <c r="J295" s="9" t="str">
        <f>IFERROR(INDEX('M04-S13'!$BN$18:$BN$199,2*(ROWS(J$290:J295)-1)+1),"")</f>
        <v/>
      </c>
      <c r="K295" s="9" t="str">
        <f>IFERROR(INDEX('M04-S13'!$BO$18:$BO$199,2*(ROWS(K$290:K295)-1)+1),"")</f>
        <v/>
      </c>
      <c r="L295" s="51" t="str">
        <f>IFERROR(INDEX('M04-S13'!$BD$18:$BD$199,2*(ROWS(L$290:L295)-1)+1),"")</f>
        <v/>
      </c>
      <c r="M295" s="184"/>
      <c r="N295" s="171"/>
      <c r="O295">
        <f>IFERROR(INDEX('M04-S13'!$C$18:$C$199,2*(ROWS(O$290:O295)-1)+1),"")</f>
        <v>0</v>
      </c>
      <c r="P295" t="str" cm="1">
        <f t="array" aca="1" ref="P295" ca="1">_xlfn.LET( _xlpm.Rows, 2*(ROWS(Q$290:Q295)-1)+1,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MATCH(C295,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5" t="str" cm="1">
        <f t="array" aca="1" ref="Q295" ca="1">_xlfn.LET( _xlpm.Rows, 2*(ROWS(Q$290:Q295)-1)+1,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MATCH(C295,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5" t="str">
        <f>IFERROR(INDEX('M04-S13'!$AX$18:$AX$199,2*(ROWS(S$290:S295)-1)+1),"")</f>
        <v/>
      </c>
      <c r="T295" s="545" t="str" cm="1">
        <f t="array" ref="T295">IFERROR(ROUND(IF(BB295&lt;&gt;"", "", INDEX('M04-S13'!$AY$18:$AY$199,2*(ROWS(T$290:T295)-1)+1)),3),"")</f>
        <v/>
      </c>
      <c r="U295" s="545" t="str" cm="1">
        <f t="array" ref="U295">IFERROR(ROUND(IF(BB295&lt;&gt;"", "", INDEX('M04-S13'!$AZ$18:$AZ$199,2*(ROWS(U$290:U295)-1)+1)),3),"")</f>
        <v/>
      </c>
      <c r="V295" s="184"/>
      <c r="W295" s="184"/>
      <c r="X295" s="184"/>
      <c r="Y295" s="184"/>
      <c r="Z295" s="184"/>
      <c r="AA295" s="9" t="str" cm="1">
        <f t="array" ref="AA295">IFERROR(ROUND(INDEX('M04-S13'!$AR$18:$AR$199,2*(ROWS(AA$290:AA295)-1)+1), 2),"")</f>
        <v/>
      </c>
      <c r="AB295" s="9" t="str" cm="1">
        <f t="array" ref="AB295">_xlfn.LET(_xlpm.ROWS, 2*(ROWS(AB$290:AB295)-1)+1,IFERROR(INDEX('M04-S13'!$AR$18:$AR$199, _xlpm.ROWS)-INDEX('M04-S13'!$BS$18:$BS$199, _xlpm.ROWS),""))</f>
        <v/>
      </c>
      <c r="AC295" s="9" cm="1">
        <f t="array" ref="AC295">IFERROR(ROUND(IF(BB295&lt;&gt;"", "",INDEX('M04-S13'!$AE$18:$AE$199,2*(ROWS(AC$290:AC295)-1)+1)),2),"")</f>
        <v>0</v>
      </c>
      <c r="AD295" s="9" cm="1">
        <f t="array" ref="AD295">IFERROR(ROUND(IF(BB295&lt;&gt;"", "", INDEX('M04-S13'!$AG$18:$AG$199,2*(ROWS(AD$290:AD295)-1)+1)),2),"")</f>
        <v>0</v>
      </c>
      <c r="AE295" s="9" t="str" cm="1">
        <f t="array" ref="AE295">IFERROR(ROUND(IF(BB295&lt;&gt;"", "", INDEX('M04-S13'!$BL$18:$BL$199,2*(ROWS(AG$290:AG295)-1)+1)),2),"")</f>
        <v/>
      </c>
      <c r="AF295" t="str">
        <f t="shared" si="46"/>
        <v>Incremental</v>
      </c>
      <c r="AG295" s="9" t="str" cm="1">
        <f t="array" ref="AG295">IFERROR(ROUND(IF(BB295&lt;&gt;"", "", INDEX('M04-S13'!$BL$18:$BL$199,2*(ROWS(AG$290:AG295)-1)+1)),2),"")</f>
        <v/>
      </c>
      <c r="AH295" s="184"/>
      <c r="AI295" s="184"/>
      <c r="AJ295" s="32" t="str">
        <f>IFERROR(ROUND(INDEX('M04-S13'!$BE$18:$BE$199,2*(ROWS(AJ$290:AJ295)-1)+1),4),"")</f>
        <v/>
      </c>
      <c r="AK295" s="184"/>
      <c r="AL295" s="32" t="str">
        <f>IFERROR(ROUND(INDEX('M04-S13'!$BF$18:$BF$199,2*(ROWS(AL$290:AL295)-1)+1),4),"")</f>
        <v/>
      </c>
      <c r="AM295" s="32" t="str">
        <f>IFERROR(ROUND(INDEX('M04-S13'!$BA$18:$BA$199,2*(ROWS(AM$290:AM295)-1)+1),4),"")</f>
        <v/>
      </c>
      <c r="AN295" s="32" t="str" cm="1">
        <f t="array" aca="1" ref="AN295" ca="1">IFERROR(ROUND(NDEX('M04-S13'!$BB$18:$BB$199,2*(ROWS(AN$290:AN295)-1)+1),4),"")</f>
        <v/>
      </c>
      <c r="AO295" s="184"/>
      <c r="AP295" s="9" t="str" cm="1">
        <f t="array" ref="AP295">IFERROR(ROUND(IF(BB295&lt;&gt;"",INDEX('M04-S13'!$AE$18:$AE$199,2*(ROWS(AP$290:AP295)-1)+1),""),2),"")</f>
        <v/>
      </c>
      <c r="AQ295" s="9" t="str" cm="1">
        <f t="array" ref="AQ295">IFERROR(ROUND(IF(BB295&lt;&gt;"",INDEX('M04-S13'!$AG$18:$AG$199,2*(ROWS(AQ$290:AQ295)-1)+1),""),2),"")</f>
        <v/>
      </c>
      <c r="AR295" s="9" t="str" cm="1">
        <f t="array" ref="AR295">IFERROR(ROUND(IF(BB295&lt;&gt;"",INDEX('M04-S13'!$BL$18:$BL$199,2*(ROWS(AT$290:AT295)-1)+1),""),2),"")</f>
        <v/>
      </c>
      <c r="AS295" t="str">
        <f t="shared" si="51"/>
        <v/>
      </c>
      <c r="AT295" s="9" t="str" cm="1">
        <f t="array" ref="AT295">IFERROR(ROUND(IF(BB295&lt;&gt;"",INDEX('M04-S13'!$BL$18:$BL$199,2*(ROWS(AT$290:AT295)-1)+1),""),2),"")</f>
        <v/>
      </c>
      <c r="AU295" s="184"/>
      <c r="AV295" s="5" t="str" cm="1">
        <f t="array" ref="AV295">IFERROR(IF(BB295&lt;&gt;"",ROUND(INDEX('M04-S13'!$V$18:$V$199,2*(ROWS(AV$290:AV295)-1)+1),3),""),"")</f>
        <v/>
      </c>
      <c r="AW295" s="5" t="str" cm="1">
        <f t="array" ref="AW295">IFERROR(IF(BB295&lt;&gt;"",ROUND(INDEX('M04-S13'!$V$18:$V$199,2*(ROWS(AW$290:AW295)-1)+1),3),""),"")</f>
        <v/>
      </c>
      <c r="AX295" s="184"/>
      <c r="AY295" s="26" t="str" cm="1">
        <f t="array" ref="AY295">IFERROR(IF(BB295&lt;&gt;"",INDEX('M04-S13'!$BE$18:$BE$199,2*(ROWS(AY$290:AY295)-1)+1),""),"")</f>
        <v/>
      </c>
      <c r="AZ295" s="184"/>
      <c r="BA295" s="32" t="str" cm="1">
        <f t="array" ref="BA295">IFERROR(IF(BB295&lt;&gt;"",INDEX('M04-S13'!$BF$18:$BF$199,2*(ROWS(BA$290:BA295)-1)+1),""),"")</f>
        <v/>
      </c>
      <c r="BB295" t="str" cm="1">
        <f t="array" ref="BB295">IFERROR(INDEX('M04-S13'!$BY$18:$BY$199,2*(ROWS(BB$290:BB295)-1)+1),"")</f>
        <v/>
      </c>
    </row>
    <row r="296" spans="1:54">
      <c r="A296" s="10">
        <f t="shared" si="48"/>
        <v>0</v>
      </c>
      <c r="B296" t="str">
        <f t="shared" si="50"/>
        <v/>
      </c>
      <c r="C296" t="str" cm="1">
        <f t="array" ref="C296">IFERROR(_xlfn.VALUETOTEXT(INDEX('M04-S13'!$BW$18:$BW$199,2*(ROWS($C$290:C296)-1)+1)),"")</f>
        <v/>
      </c>
      <c r="D296">
        <f>IFERROR(INDEX('M04-S13'!$B$18:$B$199,2*(ROWS(D$290:D296)-1)+1),"")</f>
        <v>7</v>
      </c>
      <c r="E296" s="51" t="str" cm="1">
        <f t="array" ref="E296">IFERROR(_xlfn.VALUETOTEXT(INDEX('M04-S13'!$BX$18:$BX$199,2*(ROWS($E$290:E296)-1)+1)),"")</f>
        <v/>
      </c>
      <c r="F296" t="str" cm="1">
        <f t="array" ref="F296">IF(C296&lt;&gt;"", _xlfn.SWITCH(Program_Banner, "Small Business / Non-Profit", "Hard-To-Reach Business", "Business Energy Savings", "Whole Business Efficiency", ""), "")</f>
        <v/>
      </c>
      <c r="G296" t="s">
        <v>2779</v>
      </c>
      <c r="H296" t="str">
        <f>IFERROR(INDEX('M04-S13'!$BC$18:$BC$199,2*(ROWS($H$290:H296)-1)+1),"")</f>
        <v/>
      </c>
      <c r="I296" t="str">
        <f>IFERROR(INDEX('M04-S13'!$BJ$18:$BJ$199,2*(ROWS(I$290:I296)-1)+1),"")</f>
        <v/>
      </c>
      <c r="J296" s="9" t="str">
        <f>IFERROR(INDEX('M04-S13'!$BN$18:$BN$199,2*(ROWS(J$290:J296)-1)+1),"")</f>
        <v/>
      </c>
      <c r="K296" s="9" t="str">
        <f>IFERROR(INDEX('M04-S13'!$BO$18:$BO$199,2*(ROWS(K$290:K296)-1)+1),"")</f>
        <v/>
      </c>
      <c r="L296" s="51" t="str">
        <f>IFERROR(INDEX('M04-S13'!$BD$18:$BD$199,2*(ROWS(L$290:L296)-1)+1),"")</f>
        <v/>
      </c>
      <c r="M296" s="184"/>
      <c r="N296" s="171"/>
      <c r="O296">
        <f>IFERROR(INDEX('M04-S13'!$C$18:$C$199,2*(ROWS(O$290:O296)-1)+1),"")</f>
        <v>0</v>
      </c>
      <c r="P296" t="str" cm="1">
        <f t="array" aca="1" ref="P296" ca="1">_xlfn.LET( _xlpm.Rows, 2*(ROWS(Q$290:Q296)-1)+1,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MATCH(C296,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6" t="str" cm="1">
        <f t="array" aca="1" ref="Q296" ca="1">_xlfn.LET( _xlpm.Rows, 2*(ROWS(Q$290:Q296)-1)+1,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MATCH(C296,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6" t="str">
        <f>IFERROR(INDEX('M04-S13'!$AX$18:$AX$199,2*(ROWS(S$290:S296)-1)+1),"")</f>
        <v/>
      </c>
      <c r="T296" s="545" t="str" cm="1">
        <f t="array" ref="T296">IFERROR(ROUND(IF(BB296&lt;&gt;"", "", INDEX('M04-S13'!$AY$18:$AY$199,2*(ROWS(T$290:T296)-1)+1)),3),"")</f>
        <v/>
      </c>
      <c r="U296" s="545" t="str" cm="1">
        <f t="array" ref="U296">IFERROR(ROUND(IF(BB296&lt;&gt;"", "", INDEX('M04-S13'!$AZ$18:$AZ$199,2*(ROWS(U$290:U296)-1)+1)),3),"")</f>
        <v/>
      </c>
      <c r="V296" s="184"/>
      <c r="W296" s="184"/>
      <c r="X296" s="184"/>
      <c r="Y296" s="184"/>
      <c r="Z296" s="184"/>
      <c r="AA296" s="9" t="str" cm="1">
        <f t="array" ref="AA296">IFERROR(ROUND(INDEX('M04-S13'!$AR$18:$AR$199,2*(ROWS(AA$290:AA296)-1)+1), 2),"")</f>
        <v/>
      </c>
      <c r="AB296" s="9" t="str" cm="1">
        <f t="array" ref="AB296">_xlfn.LET(_xlpm.ROWS, 2*(ROWS(AB$290:AB296)-1)+1,IFERROR(INDEX('M04-S13'!$AR$18:$AR$199, _xlpm.ROWS)-INDEX('M04-S13'!$BS$18:$BS$199, _xlpm.ROWS),""))</f>
        <v/>
      </c>
      <c r="AC296" s="9" cm="1">
        <f t="array" ref="AC296">IFERROR(ROUND(IF(BB296&lt;&gt;"", "",INDEX('M04-S13'!$AE$18:$AE$199,2*(ROWS(AC$290:AC296)-1)+1)),2),"")</f>
        <v>0</v>
      </c>
      <c r="AD296" s="9" cm="1">
        <f t="array" ref="AD296">IFERROR(ROUND(IF(BB296&lt;&gt;"", "", INDEX('M04-S13'!$AG$18:$AG$199,2*(ROWS(AD$290:AD296)-1)+1)),2),"")</f>
        <v>0</v>
      </c>
      <c r="AE296" s="9" t="str" cm="1">
        <f t="array" ref="AE296">IFERROR(ROUND(IF(BB296&lt;&gt;"", "", INDEX('M04-S13'!$BL$18:$BL$199,2*(ROWS(AG$290:AG296)-1)+1)),2),"")</f>
        <v/>
      </c>
      <c r="AF296" t="str">
        <f t="shared" si="46"/>
        <v>Incremental</v>
      </c>
      <c r="AG296" s="9" t="str" cm="1">
        <f t="array" ref="AG296">IFERROR(ROUND(IF(BB296&lt;&gt;"", "", INDEX('M04-S13'!$BL$18:$BL$199,2*(ROWS(AG$290:AG296)-1)+1)),2),"")</f>
        <v/>
      </c>
      <c r="AH296" s="184"/>
      <c r="AI296" s="184"/>
      <c r="AJ296" s="32" t="str">
        <f>IFERROR(ROUND(INDEX('M04-S13'!$BE$18:$BE$199,2*(ROWS(AJ$290:AJ296)-1)+1),4),"")</f>
        <v/>
      </c>
      <c r="AK296" s="184"/>
      <c r="AL296" s="32" t="str">
        <f>IFERROR(ROUND(INDEX('M04-S13'!$BF$18:$BF$199,2*(ROWS(AL$290:AL296)-1)+1),4),"")</f>
        <v/>
      </c>
      <c r="AM296" s="32" t="str">
        <f>IFERROR(ROUND(INDEX('M04-S13'!$BA$18:$BA$199,2*(ROWS(AM$290:AM296)-1)+1),4),"")</f>
        <v/>
      </c>
      <c r="AN296" s="32" t="str" cm="1">
        <f t="array" aca="1" ref="AN296" ca="1">IFERROR(ROUND(NDEX('M04-S13'!$BB$18:$BB$199,2*(ROWS(AN$290:AN296)-1)+1),4),"")</f>
        <v/>
      </c>
      <c r="AO296" s="184"/>
      <c r="AP296" s="9" t="str" cm="1">
        <f t="array" ref="AP296">IFERROR(ROUND(IF(BB296&lt;&gt;"",INDEX('M04-S13'!$AE$18:$AE$199,2*(ROWS(AP$290:AP296)-1)+1),""),2),"")</f>
        <v/>
      </c>
      <c r="AQ296" s="9" t="str" cm="1">
        <f t="array" ref="AQ296">IFERROR(ROUND(IF(BB296&lt;&gt;"",INDEX('M04-S13'!$AG$18:$AG$199,2*(ROWS(AQ$290:AQ296)-1)+1),""),2),"")</f>
        <v/>
      </c>
      <c r="AR296" s="9" t="str" cm="1">
        <f t="array" ref="AR296">IFERROR(ROUND(IF(BB296&lt;&gt;"",INDEX('M04-S13'!$BL$18:$BL$199,2*(ROWS(AT$290:AT296)-1)+1),""),2),"")</f>
        <v/>
      </c>
      <c r="AS296" t="str">
        <f t="shared" si="51"/>
        <v/>
      </c>
      <c r="AT296" s="9" t="str" cm="1">
        <f t="array" ref="AT296">IFERROR(ROUND(IF(BB296&lt;&gt;"",INDEX('M04-S13'!$BL$18:$BL$199,2*(ROWS(AT$290:AT296)-1)+1),""),2),"")</f>
        <v/>
      </c>
      <c r="AU296" s="184"/>
      <c r="AV296" s="5" t="str" cm="1">
        <f t="array" ref="AV296">IFERROR(IF(BB296&lt;&gt;"",ROUND(INDEX('M04-S13'!$V$18:$V$199,2*(ROWS(AV$290:AV296)-1)+1),3),""),"")</f>
        <v/>
      </c>
      <c r="AW296" s="5" t="str" cm="1">
        <f t="array" ref="AW296">IFERROR(IF(BB296&lt;&gt;"",ROUND(INDEX('M04-S13'!$V$18:$V$199,2*(ROWS(AW$290:AW296)-1)+1),3),""),"")</f>
        <v/>
      </c>
      <c r="AX296" s="184"/>
      <c r="AY296" s="26" t="str" cm="1">
        <f t="array" ref="AY296">IFERROR(IF(BB296&lt;&gt;"",INDEX('M04-S13'!$BE$18:$BE$199,2*(ROWS(AY$290:AY296)-1)+1),""),"")</f>
        <v/>
      </c>
      <c r="AZ296" s="184"/>
      <c r="BA296" s="32" t="str" cm="1">
        <f t="array" ref="BA296">IFERROR(IF(BB296&lt;&gt;"",INDEX('M04-S13'!$BF$18:$BF$199,2*(ROWS(BA$290:BA296)-1)+1),""),"")</f>
        <v/>
      </c>
      <c r="BB296" t="str" cm="1">
        <f t="array" ref="BB296">IFERROR(INDEX('M04-S13'!$BY$18:$BY$199,2*(ROWS(BB$290:BB296)-1)+1),"")</f>
        <v/>
      </c>
    </row>
    <row r="297" spans="1:54">
      <c r="A297" s="10">
        <f t="shared" si="48"/>
        <v>0</v>
      </c>
      <c r="B297" t="str">
        <f t="shared" si="50"/>
        <v/>
      </c>
      <c r="C297" t="str" cm="1">
        <f t="array" ref="C297">IFERROR(_xlfn.VALUETOTEXT(INDEX('M04-S13'!$BW$18:$BW$199,2*(ROWS($C$290:C297)-1)+1)),"")</f>
        <v/>
      </c>
      <c r="D297">
        <f>IFERROR(INDEX('M04-S13'!$B$18:$B$199,2*(ROWS(D$290:D297)-1)+1),"")</f>
        <v>8</v>
      </c>
      <c r="E297" s="51" t="str" cm="1">
        <f t="array" ref="E297">IFERROR(_xlfn.VALUETOTEXT(INDEX('M04-S13'!$BX$18:$BX$199,2*(ROWS($E$290:E297)-1)+1)),"")</f>
        <v/>
      </c>
      <c r="F297" t="str" cm="1">
        <f t="array" ref="F297">IF(C297&lt;&gt;"", _xlfn.SWITCH(Program_Banner, "Small Business / Non-Profit", "Hard-To-Reach Business", "Business Energy Savings", "Whole Business Efficiency", ""), "")</f>
        <v/>
      </c>
      <c r="G297" t="s">
        <v>2779</v>
      </c>
      <c r="H297" t="str">
        <f>IFERROR(INDEX('M04-S13'!$BC$18:$BC$199,2*(ROWS($H$290:H297)-1)+1),"")</f>
        <v/>
      </c>
      <c r="I297" t="str">
        <f>IFERROR(INDEX('M04-S13'!$BJ$18:$BJ$199,2*(ROWS(I$290:I297)-1)+1),"")</f>
        <v/>
      </c>
      <c r="J297" s="9" t="str">
        <f>IFERROR(INDEX('M04-S13'!$BN$18:$BN$199,2*(ROWS(J$290:J297)-1)+1),"")</f>
        <v/>
      </c>
      <c r="K297" s="9" t="str">
        <f>IFERROR(INDEX('M04-S13'!$BO$18:$BO$199,2*(ROWS(K$290:K297)-1)+1),"")</f>
        <v/>
      </c>
      <c r="L297" s="51" t="str">
        <f>IFERROR(INDEX('M04-S13'!$BD$18:$BD$199,2*(ROWS(L$290:L297)-1)+1),"")</f>
        <v/>
      </c>
      <c r="M297" s="184"/>
      <c r="N297" s="171"/>
      <c r="O297">
        <f>IFERROR(INDEX('M04-S13'!$C$18:$C$199,2*(ROWS(O$290:O297)-1)+1),"")</f>
        <v>0</v>
      </c>
      <c r="P297" t="str" cm="1">
        <f t="array" aca="1" ref="P297" ca="1">_xlfn.LET( _xlpm.Rows, 2*(ROWS(Q$290:Q297)-1)+1,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MATCH(C297,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7" t="str" cm="1">
        <f t="array" aca="1" ref="Q297" ca="1">_xlfn.LET( _xlpm.Rows, 2*(ROWS(Q$290:Q297)-1)+1,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MATCH(C297,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7" t="str">
        <f>IFERROR(INDEX('M04-S13'!$AX$18:$AX$199,2*(ROWS(S$290:S297)-1)+1),"")</f>
        <v/>
      </c>
      <c r="T297" s="545" t="str" cm="1">
        <f t="array" ref="T297">IFERROR(ROUND(IF(BB297&lt;&gt;"", "", INDEX('M04-S13'!$AY$18:$AY$199,2*(ROWS(T$290:T297)-1)+1)),3),"")</f>
        <v/>
      </c>
      <c r="U297" s="545" t="str" cm="1">
        <f t="array" ref="U297">IFERROR(ROUND(IF(BB297&lt;&gt;"", "", INDEX('M04-S13'!$AZ$18:$AZ$199,2*(ROWS(U$290:U297)-1)+1)),3),"")</f>
        <v/>
      </c>
      <c r="V297" s="184"/>
      <c r="W297" s="184"/>
      <c r="X297" s="184"/>
      <c r="Y297" s="184"/>
      <c r="Z297" s="184"/>
      <c r="AA297" s="9" t="str" cm="1">
        <f t="array" ref="AA297">IFERROR(ROUND(INDEX('M04-S13'!$AR$18:$AR$199,2*(ROWS(AA$290:AA297)-1)+1), 2),"")</f>
        <v/>
      </c>
      <c r="AB297" s="9" t="str" cm="1">
        <f t="array" ref="AB297">_xlfn.LET(_xlpm.ROWS, 2*(ROWS(AB$290:AB297)-1)+1,IFERROR(INDEX('M04-S13'!$AR$18:$AR$199, _xlpm.ROWS)-INDEX('M04-S13'!$BS$18:$BS$199, _xlpm.ROWS),""))</f>
        <v/>
      </c>
      <c r="AC297" s="9" cm="1">
        <f t="array" ref="AC297">IFERROR(ROUND(IF(BB297&lt;&gt;"", "",INDEX('M04-S13'!$AE$18:$AE$199,2*(ROWS(AC$290:AC297)-1)+1)),2),"")</f>
        <v>0</v>
      </c>
      <c r="AD297" s="9" cm="1">
        <f t="array" ref="AD297">IFERROR(ROUND(IF(BB297&lt;&gt;"", "", INDEX('M04-S13'!$AG$18:$AG$199,2*(ROWS(AD$290:AD297)-1)+1)),2),"")</f>
        <v>0</v>
      </c>
      <c r="AE297" s="9" t="str" cm="1">
        <f t="array" ref="AE297">IFERROR(ROUND(IF(BB297&lt;&gt;"", "", INDEX('M04-S13'!$BL$18:$BL$199,2*(ROWS(AG$290:AG297)-1)+1)),2),"")</f>
        <v/>
      </c>
      <c r="AF297" t="str">
        <f t="shared" si="46"/>
        <v>Incremental</v>
      </c>
      <c r="AG297" s="9" t="str" cm="1">
        <f t="array" ref="AG297">IFERROR(ROUND(IF(BB297&lt;&gt;"", "", INDEX('M04-S13'!$BL$18:$BL$199,2*(ROWS(AG$290:AG297)-1)+1)),2),"")</f>
        <v/>
      </c>
      <c r="AH297" s="184"/>
      <c r="AI297" s="184"/>
      <c r="AJ297" s="32" t="str">
        <f>IFERROR(ROUND(INDEX('M04-S13'!$BE$18:$BE$199,2*(ROWS(AJ$290:AJ297)-1)+1),4),"")</f>
        <v/>
      </c>
      <c r="AK297" s="184"/>
      <c r="AL297" s="32" t="str">
        <f>IFERROR(ROUND(INDEX('M04-S13'!$BF$18:$BF$199,2*(ROWS(AL$290:AL297)-1)+1),4),"")</f>
        <v/>
      </c>
      <c r="AM297" s="32" t="str">
        <f>IFERROR(ROUND(INDEX('M04-S13'!$BA$18:$BA$199,2*(ROWS(AM$290:AM297)-1)+1),4),"")</f>
        <v/>
      </c>
      <c r="AN297" s="32" t="str" cm="1">
        <f t="array" aca="1" ref="AN297" ca="1">IFERROR(ROUND(NDEX('M04-S13'!$BB$18:$BB$199,2*(ROWS(AN$290:AN297)-1)+1),4),"")</f>
        <v/>
      </c>
      <c r="AO297" s="184"/>
      <c r="AP297" s="9" t="str" cm="1">
        <f t="array" ref="AP297">IFERROR(ROUND(IF(BB297&lt;&gt;"",INDEX('M04-S13'!$AE$18:$AE$199,2*(ROWS(AP$290:AP297)-1)+1),""),2),"")</f>
        <v/>
      </c>
      <c r="AQ297" s="9" t="str" cm="1">
        <f t="array" ref="AQ297">IFERROR(ROUND(IF(BB297&lt;&gt;"",INDEX('M04-S13'!$AG$18:$AG$199,2*(ROWS(AQ$290:AQ297)-1)+1),""),2),"")</f>
        <v/>
      </c>
      <c r="AR297" s="9" t="str" cm="1">
        <f t="array" ref="AR297">IFERROR(ROUND(IF(BB297&lt;&gt;"",INDEX('M04-S13'!$BL$18:$BL$199,2*(ROWS(AT$290:AT297)-1)+1),""),2),"")</f>
        <v/>
      </c>
      <c r="AS297" t="str">
        <f t="shared" si="51"/>
        <v/>
      </c>
      <c r="AT297" s="9" t="str" cm="1">
        <f t="array" ref="AT297">IFERROR(ROUND(IF(BB297&lt;&gt;"",INDEX('M04-S13'!$BL$18:$BL$199,2*(ROWS(AT$290:AT297)-1)+1),""),2),"")</f>
        <v/>
      </c>
      <c r="AU297" s="184"/>
      <c r="AV297" s="5" t="str" cm="1">
        <f t="array" ref="AV297">IFERROR(IF(BB297&lt;&gt;"",ROUND(INDEX('M04-S13'!$V$18:$V$199,2*(ROWS(AV$290:AV297)-1)+1),3),""),"")</f>
        <v/>
      </c>
      <c r="AW297" s="5" t="str" cm="1">
        <f t="array" ref="AW297">IFERROR(IF(BB297&lt;&gt;"",ROUND(INDEX('M04-S13'!$V$18:$V$199,2*(ROWS(AW$290:AW297)-1)+1),3),""),"")</f>
        <v/>
      </c>
      <c r="AX297" s="184"/>
      <c r="AY297" s="26" t="str" cm="1">
        <f t="array" ref="AY297">IFERROR(IF(BB297&lt;&gt;"",INDEX('M04-S13'!$BE$18:$BE$199,2*(ROWS(AY$290:AY297)-1)+1),""),"")</f>
        <v/>
      </c>
      <c r="AZ297" s="184"/>
      <c r="BA297" s="32" t="str" cm="1">
        <f t="array" ref="BA297">IFERROR(IF(BB297&lt;&gt;"",INDEX('M04-S13'!$BF$18:$BF$199,2*(ROWS(BA$290:BA297)-1)+1),""),"")</f>
        <v/>
      </c>
      <c r="BB297" t="str" cm="1">
        <f t="array" ref="BB297">IFERROR(INDEX('M04-S13'!$BY$18:$BY$199,2*(ROWS(BB$290:BB297)-1)+1),"")</f>
        <v/>
      </c>
    </row>
    <row r="298" spans="1:54">
      <c r="A298" s="10">
        <f t="shared" si="48"/>
        <v>0</v>
      </c>
      <c r="B298" t="str">
        <f t="shared" si="50"/>
        <v/>
      </c>
      <c r="C298" t="str" cm="1">
        <f t="array" ref="C298">IFERROR(_xlfn.VALUETOTEXT(INDEX('M04-S13'!$BW$18:$BW$199,2*(ROWS($C$290:C298)-1)+1)),"")</f>
        <v/>
      </c>
      <c r="D298">
        <f>IFERROR(INDEX('M04-S13'!$B$18:$B$199,2*(ROWS(D$290:D298)-1)+1),"")</f>
        <v>9</v>
      </c>
      <c r="E298" s="51" t="str" cm="1">
        <f t="array" ref="E298">IFERROR(_xlfn.VALUETOTEXT(INDEX('M04-S13'!$BX$18:$BX$199,2*(ROWS($E$290:E298)-1)+1)),"")</f>
        <v/>
      </c>
      <c r="F298" t="str" cm="1">
        <f t="array" ref="F298">IF(C298&lt;&gt;"", _xlfn.SWITCH(Program_Banner, "Small Business / Non-Profit", "Hard-To-Reach Business", "Business Energy Savings", "Whole Business Efficiency", ""), "")</f>
        <v/>
      </c>
      <c r="G298" t="s">
        <v>2779</v>
      </c>
      <c r="H298" t="str">
        <f>IFERROR(INDEX('M04-S13'!$BC$18:$BC$199,2*(ROWS($H$290:H298)-1)+1),"")</f>
        <v/>
      </c>
      <c r="I298" t="str">
        <f>IFERROR(INDEX('M04-S13'!$BJ$18:$BJ$199,2*(ROWS(I$290:I298)-1)+1),"")</f>
        <v/>
      </c>
      <c r="J298" s="9" t="str">
        <f>IFERROR(INDEX('M04-S13'!$BN$18:$BN$199,2*(ROWS(J$290:J298)-1)+1),"")</f>
        <v/>
      </c>
      <c r="K298" s="9" t="str">
        <f>IFERROR(INDEX('M04-S13'!$BO$18:$BO$199,2*(ROWS(K$290:K298)-1)+1),"")</f>
        <v/>
      </c>
      <c r="L298" s="51" t="str">
        <f>IFERROR(INDEX('M04-S13'!$BD$18:$BD$199,2*(ROWS(L$290:L298)-1)+1),"")</f>
        <v/>
      </c>
      <c r="M298" s="184"/>
      <c r="N298" s="171"/>
      <c r="O298">
        <f>IFERROR(INDEX('M04-S13'!$C$18:$C$199,2*(ROWS(O$290:O298)-1)+1),"")</f>
        <v>0</v>
      </c>
      <c r="P298" t="str" cm="1">
        <f t="array" aca="1" ref="P298" ca="1">_xlfn.LET( _xlpm.Rows, 2*(ROWS(Q$290:Q298)-1)+1,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MATCH(C298,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8" t="str" cm="1">
        <f t="array" aca="1" ref="Q298" ca="1">_xlfn.LET( _xlpm.Rows, 2*(ROWS(Q$290:Q298)-1)+1,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MATCH(C298,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8" t="str">
        <f>IFERROR(INDEX('M04-S13'!$AX$18:$AX$199,2*(ROWS(S$290:S298)-1)+1),"")</f>
        <v/>
      </c>
      <c r="T298" s="545" t="str" cm="1">
        <f t="array" ref="T298">IFERROR(ROUND(IF(BB298&lt;&gt;"", "", INDEX('M04-S13'!$AY$18:$AY$199,2*(ROWS(T$290:T298)-1)+1)),3),"")</f>
        <v/>
      </c>
      <c r="U298" s="545" t="str" cm="1">
        <f t="array" ref="U298">IFERROR(ROUND(IF(BB298&lt;&gt;"", "", INDEX('M04-S13'!$AZ$18:$AZ$199,2*(ROWS(U$290:U298)-1)+1)),3),"")</f>
        <v/>
      </c>
      <c r="V298" s="184"/>
      <c r="W298" s="184"/>
      <c r="X298" s="184"/>
      <c r="Y298" s="184"/>
      <c r="Z298" s="184"/>
      <c r="AA298" s="9" t="str" cm="1">
        <f t="array" ref="AA298">IFERROR(ROUND(INDEX('M04-S13'!$AR$18:$AR$199,2*(ROWS(AA$290:AA298)-1)+1), 2),"")</f>
        <v/>
      </c>
      <c r="AB298" s="9" t="str" cm="1">
        <f t="array" ref="AB298">_xlfn.LET(_xlpm.ROWS, 2*(ROWS(AB$290:AB298)-1)+1,IFERROR(INDEX('M04-S13'!$AR$18:$AR$199, _xlpm.ROWS)-INDEX('M04-S13'!$BS$18:$BS$199, _xlpm.ROWS),""))</f>
        <v/>
      </c>
      <c r="AC298" s="9" cm="1">
        <f t="array" ref="AC298">IFERROR(ROUND(IF(BB298&lt;&gt;"", "",INDEX('M04-S13'!$AE$18:$AE$199,2*(ROWS(AC$290:AC298)-1)+1)),2),"")</f>
        <v>0</v>
      </c>
      <c r="AD298" s="9" cm="1">
        <f t="array" ref="AD298">IFERROR(ROUND(IF(BB298&lt;&gt;"", "", INDEX('M04-S13'!$AG$18:$AG$199,2*(ROWS(AD$290:AD298)-1)+1)),2),"")</f>
        <v>0</v>
      </c>
      <c r="AE298" s="9" t="str" cm="1">
        <f t="array" ref="AE298">IFERROR(ROUND(IF(BB298&lt;&gt;"", "", INDEX('M04-S13'!$BL$18:$BL$199,2*(ROWS(AG$290:AG298)-1)+1)),2),"")</f>
        <v/>
      </c>
      <c r="AF298" t="str">
        <f t="shared" si="46"/>
        <v>Incremental</v>
      </c>
      <c r="AG298" s="9" t="str" cm="1">
        <f t="array" ref="AG298">IFERROR(ROUND(IF(BB298&lt;&gt;"", "", INDEX('M04-S13'!$BL$18:$BL$199,2*(ROWS(AG$290:AG298)-1)+1)),2),"")</f>
        <v/>
      </c>
      <c r="AH298" s="184"/>
      <c r="AI298" s="184"/>
      <c r="AJ298" s="32" t="str">
        <f>IFERROR(ROUND(INDEX('M04-S13'!$BE$18:$BE$199,2*(ROWS(AJ$290:AJ298)-1)+1),4),"")</f>
        <v/>
      </c>
      <c r="AK298" s="184"/>
      <c r="AL298" s="32" t="str">
        <f>IFERROR(ROUND(INDEX('M04-S13'!$BF$18:$BF$199,2*(ROWS(AL$290:AL298)-1)+1),4),"")</f>
        <v/>
      </c>
      <c r="AM298" s="32" t="str">
        <f>IFERROR(ROUND(INDEX('M04-S13'!$BA$18:$BA$199,2*(ROWS(AM$290:AM298)-1)+1),4),"")</f>
        <v/>
      </c>
      <c r="AN298" s="32" t="str" cm="1">
        <f t="array" aca="1" ref="AN298" ca="1">IFERROR(ROUND(NDEX('M04-S13'!$BB$18:$BB$199,2*(ROWS(AN$290:AN298)-1)+1),4),"")</f>
        <v/>
      </c>
      <c r="AO298" s="184"/>
      <c r="AP298" s="9" t="str" cm="1">
        <f t="array" ref="AP298">IFERROR(ROUND(IF(BB298&lt;&gt;"",INDEX('M04-S13'!$AE$18:$AE$199,2*(ROWS(AP$290:AP298)-1)+1),""),2),"")</f>
        <v/>
      </c>
      <c r="AQ298" s="9" t="str" cm="1">
        <f t="array" ref="AQ298">IFERROR(ROUND(IF(BB298&lt;&gt;"",INDEX('M04-S13'!$AG$18:$AG$199,2*(ROWS(AQ$290:AQ298)-1)+1),""),2),"")</f>
        <v/>
      </c>
      <c r="AR298" s="9" t="str" cm="1">
        <f t="array" ref="AR298">IFERROR(ROUND(IF(BB298&lt;&gt;"",INDEX('M04-S13'!$BL$18:$BL$199,2*(ROWS(AT$290:AT298)-1)+1),""),2),"")</f>
        <v/>
      </c>
      <c r="AS298" t="str">
        <f t="shared" si="51"/>
        <v/>
      </c>
      <c r="AT298" s="9" t="str" cm="1">
        <f t="array" ref="AT298">IFERROR(ROUND(IF(BB298&lt;&gt;"",INDEX('M04-S13'!$BL$18:$BL$199,2*(ROWS(AT$290:AT298)-1)+1),""),2),"")</f>
        <v/>
      </c>
      <c r="AU298" s="184"/>
      <c r="AV298" s="5" t="str" cm="1">
        <f t="array" ref="AV298">IFERROR(IF(BB298&lt;&gt;"",ROUND(INDEX('M04-S13'!$V$18:$V$199,2*(ROWS(AV$290:AV298)-1)+1),3),""),"")</f>
        <v/>
      </c>
      <c r="AW298" s="5" t="str" cm="1">
        <f t="array" ref="AW298">IFERROR(IF(BB298&lt;&gt;"",ROUND(INDEX('M04-S13'!$V$18:$V$199,2*(ROWS(AW$290:AW298)-1)+1),3),""),"")</f>
        <v/>
      </c>
      <c r="AX298" s="184"/>
      <c r="AY298" s="26" t="str" cm="1">
        <f t="array" ref="AY298">IFERROR(IF(BB298&lt;&gt;"",INDEX('M04-S13'!$BE$18:$BE$199,2*(ROWS(AY$290:AY298)-1)+1),""),"")</f>
        <v/>
      </c>
      <c r="AZ298" s="184"/>
      <c r="BA298" s="32" t="str" cm="1">
        <f t="array" ref="BA298">IFERROR(IF(BB298&lt;&gt;"",INDEX('M04-S13'!$BF$18:$BF$199,2*(ROWS(BA$290:BA298)-1)+1),""),"")</f>
        <v/>
      </c>
      <c r="BB298" t="str" cm="1">
        <f t="array" ref="BB298">IFERROR(INDEX('M04-S13'!$BY$18:$BY$199,2*(ROWS(BB$290:BB298)-1)+1),"")</f>
        <v/>
      </c>
    </row>
    <row r="299" spans="1:54">
      <c r="A299" s="10">
        <f t="shared" si="48"/>
        <v>0</v>
      </c>
      <c r="B299" t="str">
        <f t="shared" si="50"/>
        <v/>
      </c>
      <c r="C299" t="str" cm="1">
        <f t="array" ref="C299">IFERROR(_xlfn.VALUETOTEXT(INDEX('M04-S13'!$BW$18:$BW$199,2*(ROWS($C$290:C299)-1)+1)),"")</f>
        <v/>
      </c>
      <c r="D299">
        <f>IFERROR(INDEX('M04-S13'!$B$18:$B$199,2*(ROWS(D$290:D299)-1)+1),"")</f>
        <v>10</v>
      </c>
      <c r="E299" s="51" t="str" cm="1">
        <f t="array" ref="E299">IFERROR(_xlfn.VALUETOTEXT(INDEX('M04-S13'!$BX$18:$BX$199,2*(ROWS($E$290:E299)-1)+1)),"")</f>
        <v/>
      </c>
      <c r="F299" t="str" cm="1">
        <f t="array" ref="F299">IF(C299&lt;&gt;"", _xlfn.SWITCH(Program_Banner, "Small Business / Non-Profit", "Hard-To-Reach Business", "Business Energy Savings", "Whole Business Efficiency", ""), "")</f>
        <v/>
      </c>
      <c r="G299" t="s">
        <v>2779</v>
      </c>
      <c r="H299" t="str">
        <f>IFERROR(INDEX('M04-S13'!$BC$18:$BC$199,2*(ROWS($H$290:H299)-1)+1),"")</f>
        <v/>
      </c>
      <c r="I299" t="str">
        <f>IFERROR(INDEX('M04-S13'!$BJ$18:$BJ$199,2*(ROWS(I$290:I299)-1)+1),"")</f>
        <v/>
      </c>
      <c r="J299" s="9" t="str">
        <f>IFERROR(INDEX('M04-S13'!$BN$18:$BN$199,2*(ROWS(J$290:J299)-1)+1),"")</f>
        <v/>
      </c>
      <c r="K299" s="9" t="str">
        <f>IFERROR(INDEX('M04-S13'!$BO$18:$BO$199,2*(ROWS(K$290:K299)-1)+1),"")</f>
        <v/>
      </c>
      <c r="L299" s="51" t="str">
        <f>IFERROR(INDEX('M04-S13'!$BD$18:$BD$199,2*(ROWS(L$290:L299)-1)+1),"")</f>
        <v/>
      </c>
      <c r="M299" s="184"/>
      <c r="N299" s="171"/>
      <c r="O299">
        <f>IFERROR(INDEX('M04-S13'!$C$18:$C$199,2*(ROWS(O$290:O299)-1)+1),"")</f>
        <v>0</v>
      </c>
      <c r="P299" t="str" cm="1">
        <f t="array" aca="1" ref="P299" ca="1">_xlfn.LET( _xlpm.Rows, 2*(ROWS(Q$290:Q299)-1)+1,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MATCH(C299,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9" t="str" cm="1">
        <f t="array" aca="1" ref="Q299" ca="1">_xlfn.LET( _xlpm.Rows, 2*(ROWS(Q$290:Q299)-1)+1,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MATCH(C299,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9" t="str">
        <f>IFERROR(INDEX('M04-S13'!$AX$18:$AX$199,2*(ROWS(S$290:S299)-1)+1),"")</f>
        <v/>
      </c>
      <c r="T299" s="545" t="str" cm="1">
        <f t="array" ref="T299">IFERROR(ROUND(IF(BB299&lt;&gt;"", "", INDEX('M04-S13'!$AY$18:$AY$199,2*(ROWS(T$290:T299)-1)+1)),3),"")</f>
        <v/>
      </c>
      <c r="U299" s="545" t="str" cm="1">
        <f t="array" ref="U299">IFERROR(ROUND(IF(BB299&lt;&gt;"", "", INDEX('M04-S13'!$AZ$18:$AZ$199,2*(ROWS(U$290:U299)-1)+1)),3),"")</f>
        <v/>
      </c>
      <c r="V299" s="184"/>
      <c r="W299" s="184"/>
      <c r="X299" s="184"/>
      <c r="Y299" s="184"/>
      <c r="Z299" s="184"/>
      <c r="AA299" s="9" t="str" cm="1">
        <f t="array" ref="AA299">IFERROR(ROUND(INDEX('M04-S13'!$AR$18:$AR$199,2*(ROWS(AA$290:AA299)-1)+1), 2),"")</f>
        <v/>
      </c>
      <c r="AB299" s="9" t="str" cm="1">
        <f t="array" ref="AB299">_xlfn.LET(_xlpm.ROWS, 2*(ROWS(AB$290:AB299)-1)+1,IFERROR(INDEX('M04-S13'!$AR$18:$AR$199, _xlpm.ROWS)-INDEX('M04-S13'!$BS$18:$BS$199, _xlpm.ROWS),""))</f>
        <v/>
      </c>
      <c r="AC299" s="9" cm="1">
        <f t="array" ref="AC299">IFERROR(ROUND(IF(BB299&lt;&gt;"", "",INDEX('M04-S13'!$AE$18:$AE$199,2*(ROWS(AC$290:AC299)-1)+1)),2),"")</f>
        <v>0</v>
      </c>
      <c r="AD299" s="9" cm="1">
        <f t="array" ref="AD299">IFERROR(ROUND(IF(BB299&lt;&gt;"", "", INDEX('M04-S13'!$AG$18:$AG$199,2*(ROWS(AD$290:AD299)-1)+1)),2),"")</f>
        <v>0</v>
      </c>
      <c r="AE299" s="9" t="str" cm="1">
        <f t="array" ref="AE299">IFERROR(ROUND(IF(BB299&lt;&gt;"", "", INDEX('M04-S13'!$BL$18:$BL$199,2*(ROWS(AG$290:AG299)-1)+1)),2),"")</f>
        <v/>
      </c>
      <c r="AF299" t="str">
        <f t="shared" si="46"/>
        <v>Incremental</v>
      </c>
      <c r="AG299" s="9" t="str" cm="1">
        <f t="array" ref="AG299">IFERROR(ROUND(IF(BB299&lt;&gt;"", "", INDEX('M04-S13'!$BL$18:$BL$199,2*(ROWS(AG$290:AG299)-1)+1)),2),"")</f>
        <v/>
      </c>
      <c r="AH299" s="184"/>
      <c r="AI299" s="184"/>
      <c r="AJ299" s="32" t="str">
        <f>IFERROR(ROUND(INDEX('M04-S13'!$BE$18:$BE$199,2*(ROWS(AJ$290:AJ299)-1)+1),4),"")</f>
        <v/>
      </c>
      <c r="AK299" s="184"/>
      <c r="AL299" s="32" t="str">
        <f>IFERROR(ROUND(INDEX('M04-S13'!$BF$18:$BF$199,2*(ROWS(AL$290:AL299)-1)+1),4),"")</f>
        <v/>
      </c>
      <c r="AM299" s="32" t="str">
        <f>IFERROR(ROUND(INDEX('M04-S13'!$BA$18:$BA$199,2*(ROWS(AM$290:AM299)-1)+1),4),"")</f>
        <v/>
      </c>
      <c r="AN299" s="32" t="str" cm="1">
        <f t="array" aca="1" ref="AN299" ca="1">IFERROR(ROUND(NDEX('M04-S13'!$BB$18:$BB$199,2*(ROWS(AN$290:AN299)-1)+1),4),"")</f>
        <v/>
      </c>
      <c r="AO299" s="184"/>
      <c r="AP299" s="9" t="str" cm="1">
        <f t="array" ref="AP299">IFERROR(ROUND(IF(BB299&lt;&gt;"",INDEX('M04-S13'!$AE$18:$AE$199,2*(ROWS(AP$290:AP299)-1)+1),""),2),"")</f>
        <v/>
      </c>
      <c r="AQ299" s="9" t="str" cm="1">
        <f t="array" ref="AQ299">IFERROR(ROUND(IF(BB299&lt;&gt;"",INDEX('M04-S13'!$AG$18:$AG$199,2*(ROWS(AQ$290:AQ299)-1)+1),""),2),"")</f>
        <v/>
      </c>
      <c r="AR299" s="9" t="str" cm="1">
        <f t="array" ref="AR299">IFERROR(ROUND(IF(BB299&lt;&gt;"",INDEX('M04-S13'!$BL$18:$BL$199,2*(ROWS(AT$290:AT299)-1)+1),""),2),"")</f>
        <v/>
      </c>
      <c r="AS299" t="str">
        <f t="shared" si="51"/>
        <v/>
      </c>
      <c r="AT299" s="9" t="str" cm="1">
        <f t="array" ref="AT299">IFERROR(ROUND(IF(BB299&lt;&gt;"",INDEX('M04-S13'!$BL$18:$BL$199,2*(ROWS(AT$290:AT299)-1)+1),""),2),"")</f>
        <v/>
      </c>
      <c r="AU299" s="184"/>
      <c r="AV299" s="5" t="str" cm="1">
        <f t="array" ref="AV299">IFERROR(IF(BB299&lt;&gt;"",ROUND(INDEX('M04-S13'!$V$18:$V$199,2*(ROWS(AV$290:AV299)-1)+1),3),""),"")</f>
        <v/>
      </c>
      <c r="AW299" s="5" t="str" cm="1">
        <f t="array" ref="AW299">IFERROR(IF(BB299&lt;&gt;"",ROUND(INDEX('M04-S13'!$V$18:$V$199,2*(ROWS(AW$290:AW299)-1)+1),3),""),"")</f>
        <v/>
      </c>
      <c r="AX299" s="184"/>
      <c r="AY299" s="26" t="str" cm="1">
        <f t="array" ref="AY299">IFERROR(IF(BB299&lt;&gt;"",INDEX('M04-S13'!$BE$18:$BE$199,2*(ROWS(AY$290:AY299)-1)+1),""),"")</f>
        <v/>
      </c>
      <c r="AZ299" s="184"/>
      <c r="BA299" s="32" t="str" cm="1">
        <f t="array" ref="BA299">IFERROR(IF(BB299&lt;&gt;"",INDEX('M04-S13'!$BF$18:$BF$199,2*(ROWS(BA$290:BA299)-1)+1),""),"")</f>
        <v/>
      </c>
      <c r="BB299" t="str" cm="1">
        <f t="array" ref="BB299">IFERROR(INDEX('M04-S13'!$BY$18:$BY$199,2*(ROWS(BB$290:BB299)-1)+1),"")</f>
        <v/>
      </c>
    </row>
    <row r="300" spans="1:54">
      <c r="A300" s="10">
        <f t="shared" si="48"/>
        <v>0</v>
      </c>
      <c r="B300" t="str">
        <f t="shared" si="50"/>
        <v/>
      </c>
      <c r="C300" t="str" cm="1">
        <f t="array" ref="C300">IFERROR(_xlfn.VALUETOTEXT(INDEX('M04-S13'!$BW$18:$BW$199,2*(ROWS($C$290:C300)-1)+1)),"")</f>
        <v/>
      </c>
      <c r="D300">
        <f>IFERROR(INDEX('M04-S13'!$B$18:$B$199,2*(ROWS(D$290:D300)-1)+1),"")</f>
        <v>11</v>
      </c>
      <c r="E300" s="51" t="str" cm="1">
        <f t="array" ref="E300">IFERROR(_xlfn.VALUETOTEXT(INDEX('M04-S13'!$BX$18:$BX$199,2*(ROWS($E$290:E300)-1)+1)),"")</f>
        <v/>
      </c>
      <c r="F300" t="str" cm="1">
        <f t="array" ref="F300">IF(C300&lt;&gt;"", _xlfn.SWITCH(Program_Banner, "Small Business / Non-Profit", "Hard-To-Reach Business", "Business Energy Savings", "Whole Business Efficiency", ""), "")</f>
        <v/>
      </c>
      <c r="G300" t="s">
        <v>2779</v>
      </c>
      <c r="H300" t="str">
        <f>IFERROR(INDEX('M04-S13'!$BC$18:$BC$199,2*(ROWS($H$290:H300)-1)+1),"")</f>
        <v/>
      </c>
      <c r="I300" t="str">
        <f>IFERROR(INDEX('M04-S13'!$BJ$18:$BJ$199,2*(ROWS(I$290:I300)-1)+1),"")</f>
        <v/>
      </c>
      <c r="J300" s="9" t="str">
        <f>IFERROR(INDEX('M04-S13'!$BN$18:$BN$199,2*(ROWS(J$290:J300)-1)+1),"")</f>
        <v/>
      </c>
      <c r="K300" s="9" t="str">
        <f>IFERROR(INDEX('M04-S13'!$BO$18:$BO$199,2*(ROWS(K$290:K300)-1)+1),"")</f>
        <v/>
      </c>
      <c r="L300" s="51" t="str">
        <f>IFERROR(INDEX('M04-S13'!$BD$18:$BD$199,2*(ROWS(L$290:L300)-1)+1),"")</f>
        <v/>
      </c>
      <c r="M300" s="184"/>
      <c r="N300" s="171"/>
      <c r="O300">
        <f>IFERROR(INDEX('M04-S13'!$C$18:$C$199,2*(ROWS(O$290:O300)-1)+1),"")</f>
        <v>0</v>
      </c>
      <c r="P300" t="str" cm="1">
        <f t="array" aca="1" ref="P300" ca="1">_xlfn.LET( _xlpm.Rows, 2*(ROWS(Q$290:Q300)-1)+1,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0" t="str" cm="1">
        <f t="array" aca="1" ref="Q300" ca="1">_xlfn.LET( _xlpm.Rows, 2*(ROWS(Q$290:Q300)-1)+1,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0" t="str">
        <f>IFERROR(INDEX('M04-S13'!$AX$18:$AX$199,2*(ROWS(S$290:S300)-1)+1),"")</f>
        <v/>
      </c>
      <c r="T300" s="545" t="str" cm="1">
        <f t="array" ref="T300">IFERROR(ROUND(IF(BB300&lt;&gt;"", "", INDEX('M04-S13'!$AY$18:$AY$199,2*(ROWS(T$290:T300)-1)+1)),3),"")</f>
        <v/>
      </c>
      <c r="U300" s="545" t="str" cm="1">
        <f t="array" ref="U300">IFERROR(ROUND(IF(BB300&lt;&gt;"", "", INDEX('M04-S13'!$AZ$18:$AZ$199,2*(ROWS(U$290:U300)-1)+1)),3),"")</f>
        <v/>
      </c>
      <c r="V300" s="184"/>
      <c r="W300" s="184"/>
      <c r="X300" s="184"/>
      <c r="Y300" s="184"/>
      <c r="Z300" s="184"/>
      <c r="AA300" s="9" t="str" cm="1">
        <f t="array" ref="AA300">IFERROR(ROUND(INDEX('M04-S13'!$AR$18:$AR$199,2*(ROWS(AA$290:AA300)-1)+1), 2),"")</f>
        <v/>
      </c>
      <c r="AB300" s="9" t="str" cm="1">
        <f t="array" ref="AB300">_xlfn.LET(_xlpm.ROWS, 2*(ROWS(AB$290:AB300)-1)+1,IFERROR(INDEX('M04-S13'!$AR$18:$AR$199, _xlpm.ROWS)-INDEX('M04-S13'!$BS$18:$BS$199, _xlpm.ROWS),""))</f>
        <v/>
      </c>
      <c r="AC300" s="9" cm="1">
        <f t="array" ref="AC300">IFERROR(ROUND(IF(BB300&lt;&gt;"", "",INDEX('M04-S13'!$AE$18:$AE$199,2*(ROWS(AC$290:AC300)-1)+1)),2),"")</f>
        <v>0</v>
      </c>
      <c r="AD300" s="9" cm="1">
        <f t="array" ref="AD300">IFERROR(ROUND(IF(BB300&lt;&gt;"", "", INDEX('M04-S13'!$AG$18:$AG$199,2*(ROWS(AD$290:AD300)-1)+1)),2),"")</f>
        <v>0</v>
      </c>
      <c r="AE300" s="9" t="str" cm="1">
        <f t="array" ref="AE300">IFERROR(ROUND(IF(BB300&lt;&gt;"", "", INDEX('M04-S13'!$BL$18:$BL$199,2*(ROWS(AG$290:AG300)-1)+1)),2),"")</f>
        <v/>
      </c>
      <c r="AF300" t="str">
        <f t="shared" si="46"/>
        <v>Incremental</v>
      </c>
      <c r="AG300" s="9" t="str" cm="1">
        <f t="array" ref="AG300">IFERROR(ROUND(IF(BB300&lt;&gt;"", "", INDEX('M04-S13'!$BL$18:$BL$199,2*(ROWS(AG$290:AG300)-1)+1)),2),"")</f>
        <v/>
      </c>
      <c r="AH300" s="184"/>
      <c r="AI300" s="184"/>
      <c r="AJ300" s="32" t="str">
        <f>IFERROR(ROUND(INDEX('M04-S13'!$BE$18:$BE$199,2*(ROWS(AJ$290:AJ300)-1)+1),4),"")</f>
        <v/>
      </c>
      <c r="AK300" s="184"/>
      <c r="AL300" s="32" t="str">
        <f>IFERROR(ROUND(INDEX('M04-S13'!$BF$18:$BF$199,2*(ROWS(AL$290:AL300)-1)+1),4),"")</f>
        <v/>
      </c>
      <c r="AM300" s="32" t="str">
        <f>IFERROR(ROUND(INDEX('M04-S13'!$BA$18:$BA$199,2*(ROWS(AM$290:AM300)-1)+1),4),"")</f>
        <v/>
      </c>
      <c r="AN300" s="32" t="str" cm="1">
        <f t="array" aca="1" ref="AN300" ca="1">IFERROR(ROUND(NDEX('M04-S13'!$BB$18:$BB$199,2*(ROWS(AN$290:AN300)-1)+1),4),"")</f>
        <v/>
      </c>
      <c r="AO300" s="184"/>
      <c r="AP300" s="9" t="str" cm="1">
        <f t="array" ref="AP300">IFERROR(ROUND(IF(BB300&lt;&gt;"",INDEX('M04-S13'!$AE$18:$AE$199,2*(ROWS(AP$290:AP300)-1)+1),""),2),"")</f>
        <v/>
      </c>
      <c r="AQ300" s="9" t="str" cm="1">
        <f t="array" ref="AQ300">IFERROR(ROUND(IF(BB300&lt;&gt;"",INDEX('M04-S13'!$AG$18:$AG$199,2*(ROWS(AQ$290:AQ300)-1)+1),""),2),"")</f>
        <v/>
      </c>
      <c r="AR300" s="9" t="str" cm="1">
        <f t="array" ref="AR300">IFERROR(ROUND(IF(BB300&lt;&gt;"",INDEX('M04-S13'!$BL$18:$BL$199,2*(ROWS(AT$290:AT300)-1)+1),""),2),"")</f>
        <v/>
      </c>
      <c r="AS300" t="str">
        <f t="shared" si="51"/>
        <v/>
      </c>
      <c r="AT300" s="9" t="str" cm="1">
        <f t="array" ref="AT300">IFERROR(ROUND(IF(BB300&lt;&gt;"",INDEX('M04-S13'!$BL$18:$BL$199,2*(ROWS(AT$290:AT300)-1)+1),""),2),"")</f>
        <v/>
      </c>
      <c r="AU300" s="184"/>
      <c r="AV300" s="5" t="str" cm="1">
        <f t="array" ref="AV300">IFERROR(IF(BB300&lt;&gt;"",ROUND(INDEX('M04-S13'!$V$18:$V$199,2*(ROWS(AV$290:AV300)-1)+1),3),""),"")</f>
        <v/>
      </c>
      <c r="AW300" s="5" t="str" cm="1">
        <f t="array" ref="AW300">IFERROR(IF(BB300&lt;&gt;"",ROUND(INDEX('M04-S13'!$V$18:$V$199,2*(ROWS(AW$290:AW300)-1)+1),3),""),"")</f>
        <v/>
      </c>
      <c r="AX300" s="184"/>
      <c r="AY300" s="26" t="str" cm="1">
        <f t="array" ref="AY300">IFERROR(IF(BB300&lt;&gt;"",INDEX('M04-S13'!$BE$18:$BE$199,2*(ROWS(AY$290:AY300)-1)+1),""),"")</f>
        <v/>
      </c>
      <c r="AZ300" s="184"/>
      <c r="BA300" s="32" t="str" cm="1">
        <f t="array" ref="BA300">IFERROR(IF(BB300&lt;&gt;"",INDEX('M04-S13'!$BF$18:$BF$199,2*(ROWS(BA$290:BA300)-1)+1),""),"")</f>
        <v/>
      </c>
      <c r="BB300" t="str" cm="1">
        <f t="array" ref="BB300">IFERROR(INDEX('M04-S13'!$BY$18:$BY$199,2*(ROWS(BB$290:BB300)-1)+1),"")</f>
        <v/>
      </c>
    </row>
    <row r="301" spans="1:54">
      <c r="A301" s="10">
        <f t="shared" si="48"/>
        <v>0</v>
      </c>
      <c r="B301" t="str">
        <f t="shared" si="50"/>
        <v/>
      </c>
      <c r="C301" t="str" cm="1">
        <f t="array" ref="C301">IFERROR(_xlfn.VALUETOTEXT(INDEX('M04-S13'!$BW$18:$BW$199,2*(ROWS($C$290:C301)-1)+1)),"")</f>
        <v/>
      </c>
      <c r="D301">
        <f>IFERROR(INDEX('M04-S13'!$B$18:$B$199,2*(ROWS(D$290:D301)-1)+1),"")</f>
        <v>12</v>
      </c>
      <c r="E301" s="51" t="str" cm="1">
        <f t="array" ref="E301">IFERROR(_xlfn.VALUETOTEXT(INDEX('M04-S13'!$BX$18:$BX$199,2*(ROWS($E$290:E301)-1)+1)),"")</f>
        <v/>
      </c>
      <c r="F301" t="str" cm="1">
        <f t="array" ref="F301">IF(C301&lt;&gt;"", _xlfn.SWITCH(Program_Banner, "Small Business / Non-Profit", "Hard-To-Reach Business", "Business Energy Savings", "Whole Business Efficiency", ""), "")</f>
        <v/>
      </c>
      <c r="G301" t="s">
        <v>2779</v>
      </c>
      <c r="H301" t="str">
        <f>IFERROR(INDEX('M04-S13'!$BC$18:$BC$199,2*(ROWS($H$290:H301)-1)+1),"")</f>
        <v/>
      </c>
      <c r="I301" t="str">
        <f>IFERROR(INDEX('M04-S13'!$BJ$18:$BJ$199,2*(ROWS(I$290:I301)-1)+1),"")</f>
        <v/>
      </c>
      <c r="J301" s="9" t="str">
        <f>IFERROR(INDEX('M04-S13'!$BN$18:$BN$199,2*(ROWS(J$290:J301)-1)+1),"")</f>
        <v/>
      </c>
      <c r="K301" s="9" t="str">
        <f>IFERROR(INDEX('M04-S13'!$BO$18:$BO$199,2*(ROWS(K$290:K301)-1)+1),"")</f>
        <v/>
      </c>
      <c r="L301" s="51" t="str">
        <f>IFERROR(INDEX('M04-S13'!$BD$18:$BD$199,2*(ROWS(L$290:L301)-1)+1),"")</f>
        <v/>
      </c>
      <c r="M301" s="184"/>
      <c r="N301" s="171"/>
      <c r="O301">
        <f>IFERROR(INDEX('M04-S13'!$C$18:$C$199,2*(ROWS(O$290:O301)-1)+1),"")</f>
        <v>0</v>
      </c>
      <c r="P301" t="str" cm="1">
        <f t="array" aca="1" ref="P301" ca="1">_xlfn.LET( _xlpm.Rows, 2*(ROWS(Q$290:Q301)-1)+1,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1" t="str" cm="1">
        <f t="array" aca="1" ref="Q301" ca="1">_xlfn.LET( _xlpm.Rows, 2*(ROWS(Q$290:Q301)-1)+1,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1" t="str">
        <f>IFERROR(INDEX('M04-S13'!$AX$18:$AX$199,2*(ROWS(S$290:S301)-1)+1),"")</f>
        <v/>
      </c>
      <c r="T301" s="545" t="str" cm="1">
        <f t="array" ref="T301">IFERROR(ROUND(IF(BB301&lt;&gt;"", "", INDEX('M04-S13'!$AY$18:$AY$199,2*(ROWS(T$290:T301)-1)+1)),3),"")</f>
        <v/>
      </c>
      <c r="U301" s="545" t="str" cm="1">
        <f t="array" ref="U301">IFERROR(ROUND(IF(BB301&lt;&gt;"", "", INDEX('M04-S13'!$AZ$18:$AZ$199,2*(ROWS(U$290:U301)-1)+1)),3),"")</f>
        <v/>
      </c>
      <c r="V301" s="184"/>
      <c r="W301" s="184"/>
      <c r="X301" s="184"/>
      <c r="Y301" s="184"/>
      <c r="Z301" s="184"/>
      <c r="AA301" s="9" t="str" cm="1">
        <f t="array" ref="AA301">IFERROR(ROUND(INDEX('M04-S13'!$AR$18:$AR$199,2*(ROWS(AA$290:AA301)-1)+1), 2),"")</f>
        <v/>
      </c>
      <c r="AB301" s="9" t="str" cm="1">
        <f t="array" ref="AB301">_xlfn.LET(_xlpm.ROWS, 2*(ROWS(AB$290:AB301)-1)+1,IFERROR(INDEX('M04-S13'!$AR$18:$AR$199, _xlpm.ROWS)-INDEX('M04-S13'!$BS$18:$BS$199, _xlpm.ROWS),""))</f>
        <v/>
      </c>
      <c r="AC301" s="9" cm="1">
        <f t="array" ref="AC301">IFERROR(ROUND(IF(BB301&lt;&gt;"", "",INDEX('M04-S13'!$AE$18:$AE$199,2*(ROWS(AC$290:AC301)-1)+1)),2),"")</f>
        <v>0</v>
      </c>
      <c r="AD301" s="9" cm="1">
        <f t="array" ref="AD301">IFERROR(ROUND(IF(BB301&lt;&gt;"", "", INDEX('M04-S13'!$AG$18:$AG$199,2*(ROWS(AD$290:AD301)-1)+1)),2),"")</f>
        <v>0</v>
      </c>
      <c r="AE301" s="9" t="str" cm="1">
        <f t="array" ref="AE301">IFERROR(ROUND(IF(BB301&lt;&gt;"", "", INDEX('M04-S13'!$BL$18:$BL$199,2*(ROWS(AG$290:AG301)-1)+1)),2),"")</f>
        <v/>
      </c>
      <c r="AF301" t="str">
        <f t="shared" si="46"/>
        <v>Incremental</v>
      </c>
      <c r="AG301" s="9" t="str" cm="1">
        <f t="array" ref="AG301">IFERROR(ROUND(IF(BB301&lt;&gt;"", "", INDEX('M04-S13'!$BL$18:$BL$199,2*(ROWS(AG$290:AG301)-1)+1)),2),"")</f>
        <v/>
      </c>
      <c r="AH301" s="184"/>
      <c r="AI301" s="184"/>
      <c r="AJ301" s="32" t="str">
        <f>IFERROR(ROUND(INDEX('M04-S13'!$BE$18:$BE$199,2*(ROWS(AJ$290:AJ301)-1)+1),4),"")</f>
        <v/>
      </c>
      <c r="AK301" s="184"/>
      <c r="AL301" s="32" t="str">
        <f>IFERROR(ROUND(INDEX('M04-S13'!$BF$18:$BF$199,2*(ROWS(AL$290:AL301)-1)+1),4),"")</f>
        <v/>
      </c>
      <c r="AM301" s="32" t="str">
        <f>IFERROR(ROUND(INDEX('M04-S13'!$BA$18:$BA$199,2*(ROWS(AM$290:AM301)-1)+1),4),"")</f>
        <v/>
      </c>
      <c r="AN301" s="32" t="str" cm="1">
        <f t="array" aca="1" ref="AN301" ca="1">IFERROR(ROUND(NDEX('M04-S13'!$BB$18:$BB$199,2*(ROWS(AN$290:AN301)-1)+1),4),"")</f>
        <v/>
      </c>
      <c r="AO301" s="184"/>
      <c r="AP301" s="9" t="str" cm="1">
        <f t="array" ref="AP301">IFERROR(ROUND(IF(BB301&lt;&gt;"",INDEX('M04-S13'!$AE$18:$AE$199,2*(ROWS(AP$290:AP301)-1)+1),""),2),"")</f>
        <v/>
      </c>
      <c r="AQ301" s="9" t="str" cm="1">
        <f t="array" ref="AQ301">IFERROR(ROUND(IF(BB301&lt;&gt;"",INDEX('M04-S13'!$AG$18:$AG$199,2*(ROWS(AQ$290:AQ301)-1)+1),""),2),"")</f>
        <v/>
      </c>
      <c r="AR301" s="9" t="str" cm="1">
        <f t="array" ref="AR301">IFERROR(ROUND(IF(BB301&lt;&gt;"",INDEX('M04-S13'!$BL$18:$BL$199,2*(ROWS(AT$290:AT301)-1)+1),""),2),"")</f>
        <v/>
      </c>
      <c r="AS301" t="str">
        <f t="shared" si="51"/>
        <v/>
      </c>
      <c r="AT301" s="9" t="str" cm="1">
        <f t="array" ref="AT301">IFERROR(ROUND(IF(BB301&lt;&gt;"",INDEX('M04-S13'!$BL$18:$BL$199,2*(ROWS(AT$290:AT301)-1)+1),""),2),"")</f>
        <v/>
      </c>
      <c r="AU301" s="184"/>
      <c r="AV301" s="5" t="str" cm="1">
        <f t="array" ref="AV301">IFERROR(IF(BB301&lt;&gt;"",ROUND(INDEX('M04-S13'!$V$18:$V$199,2*(ROWS(AV$290:AV301)-1)+1),3),""),"")</f>
        <v/>
      </c>
      <c r="AW301" s="5" t="str" cm="1">
        <f t="array" ref="AW301">IFERROR(IF(BB301&lt;&gt;"",ROUND(INDEX('M04-S13'!$V$18:$V$199,2*(ROWS(AW$290:AW301)-1)+1),3),""),"")</f>
        <v/>
      </c>
      <c r="AX301" s="184"/>
      <c r="AY301" s="26" t="str" cm="1">
        <f t="array" ref="AY301">IFERROR(IF(BB301&lt;&gt;"",INDEX('M04-S13'!$BE$18:$BE$199,2*(ROWS(AY$290:AY301)-1)+1),""),"")</f>
        <v/>
      </c>
      <c r="AZ301" s="184"/>
      <c r="BA301" s="32" t="str" cm="1">
        <f t="array" ref="BA301">IFERROR(IF(BB301&lt;&gt;"",INDEX('M04-S13'!$BF$18:$BF$199,2*(ROWS(BA$290:BA301)-1)+1),""),"")</f>
        <v/>
      </c>
      <c r="BB301" t="str" cm="1">
        <f t="array" ref="BB301">IFERROR(INDEX('M04-S13'!$BY$18:$BY$199,2*(ROWS(BB$290:BB301)-1)+1),"")</f>
        <v/>
      </c>
    </row>
    <row r="302" spans="1:54">
      <c r="A302" s="10">
        <f t="shared" si="48"/>
        <v>0</v>
      </c>
      <c r="B302" t="str">
        <f t="shared" si="50"/>
        <v/>
      </c>
      <c r="C302" t="str" cm="1">
        <f t="array" ref="C302">IFERROR(_xlfn.VALUETOTEXT(INDEX('M04-S13'!$BW$18:$BW$199,2*(ROWS($C$290:C302)-1)+1)),"")</f>
        <v/>
      </c>
      <c r="D302">
        <f>IFERROR(INDEX('M04-S13'!$B$18:$B$199,2*(ROWS(D$290:D302)-1)+1),"")</f>
        <v>13</v>
      </c>
      <c r="E302" s="51" t="str" cm="1">
        <f t="array" ref="E302">IFERROR(_xlfn.VALUETOTEXT(INDEX('M04-S13'!$BX$18:$BX$199,2*(ROWS($E$290:E302)-1)+1)),"")</f>
        <v/>
      </c>
      <c r="F302" t="str" cm="1">
        <f t="array" ref="F302">IF(C302&lt;&gt;"", _xlfn.SWITCH(Program_Banner, "Small Business / Non-Profit", "Hard-To-Reach Business", "Business Energy Savings", "Whole Business Efficiency", ""), "")</f>
        <v/>
      </c>
      <c r="G302" t="s">
        <v>2779</v>
      </c>
      <c r="H302" t="str">
        <f>IFERROR(INDEX('M04-S13'!$BC$18:$BC$199,2*(ROWS($H$290:H302)-1)+1),"")</f>
        <v/>
      </c>
      <c r="I302" t="str">
        <f>IFERROR(INDEX('M04-S13'!$BJ$18:$BJ$199,2*(ROWS(I$290:I302)-1)+1),"")</f>
        <v/>
      </c>
      <c r="J302" s="9" t="str">
        <f>IFERROR(INDEX('M04-S13'!$BN$18:$BN$199,2*(ROWS(J$290:J302)-1)+1),"")</f>
        <v/>
      </c>
      <c r="K302" s="9" t="str">
        <f>IFERROR(INDEX('M04-S13'!$BO$18:$BO$199,2*(ROWS(K$290:K302)-1)+1),"")</f>
        <v/>
      </c>
      <c r="L302" s="51" t="str">
        <f>IFERROR(INDEX('M04-S13'!$BD$18:$BD$199,2*(ROWS(L$290:L302)-1)+1),"")</f>
        <v/>
      </c>
      <c r="M302" s="184"/>
      <c r="N302" s="171"/>
      <c r="O302">
        <f>IFERROR(INDEX('M04-S13'!$C$18:$C$199,2*(ROWS(O$290:O302)-1)+1),"")</f>
        <v>0</v>
      </c>
      <c r="P302" t="str" cm="1">
        <f t="array" aca="1" ref="P302" ca="1">_xlfn.LET( _xlpm.Rows, 2*(ROWS(Q$290:Q302)-1)+1,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2" t="str" cm="1">
        <f t="array" aca="1" ref="Q302" ca="1">_xlfn.LET( _xlpm.Rows, 2*(ROWS(Q$290:Q302)-1)+1,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2" t="str">
        <f>IFERROR(INDEX('M04-S13'!$AX$18:$AX$199,2*(ROWS(S$290:S302)-1)+1),"")</f>
        <v/>
      </c>
      <c r="T302" s="545" t="str" cm="1">
        <f t="array" ref="T302">IFERROR(ROUND(IF(BB302&lt;&gt;"", "", INDEX('M04-S13'!$AY$18:$AY$199,2*(ROWS(T$290:T302)-1)+1)),3),"")</f>
        <v/>
      </c>
      <c r="U302" s="545" t="str" cm="1">
        <f t="array" ref="U302">IFERROR(ROUND(IF(BB302&lt;&gt;"", "", INDEX('M04-S13'!$AZ$18:$AZ$199,2*(ROWS(U$290:U302)-1)+1)),3),"")</f>
        <v/>
      </c>
      <c r="V302" s="184"/>
      <c r="W302" s="184"/>
      <c r="X302" s="184"/>
      <c r="Y302" s="184"/>
      <c r="Z302" s="184"/>
      <c r="AA302" s="9" t="str" cm="1">
        <f t="array" ref="AA302">IFERROR(ROUND(INDEX('M04-S13'!$AR$18:$AR$199,2*(ROWS(AA$290:AA302)-1)+1), 2),"")</f>
        <v/>
      </c>
      <c r="AB302" s="9" t="str" cm="1">
        <f t="array" ref="AB302">_xlfn.LET(_xlpm.ROWS, 2*(ROWS(AB$290:AB302)-1)+1,IFERROR(INDEX('M04-S13'!$AR$18:$AR$199, _xlpm.ROWS)-INDEX('M04-S13'!$BS$18:$BS$199, _xlpm.ROWS),""))</f>
        <v/>
      </c>
      <c r="AC302" s="9" cm="1">
        <f t="array" ref="AC302">IFERROR(ROUND(IF(BB302&lt;&gt;"", "",INDEX('M04-S13'!$AE$18:$AE$199,2*(ROWS(AC$290:AC302)-1)+1)),2),"")</f>
        <v>0</v>
      </c>
      <c r="AD302" s="9" cm="1">
        <f t="array" ref="AD302">IFERROR(ROUND(IF(BB302&lt;&gt;"", "", INDEX('M04-S13'!$AG$18:$AG$199,2*(ROWS(AD$290:AD302)-1)+1)),2),"")</f>
        <v>0</v>
      </c>
      <c r="AE302" s="9" t="str" cm="1">
        <f t="array" ref="AE302">IFERROR(ROUND(IF(BB302&lt;&gt;"", "", INDEX('M04-S13'!$BL$18:$BL$199,2*(ROWS(AG$290:AG302)-1)+1)),2),"")</f>
        <v/>
      </c>
      <c r="AF302" t="str">
        <f t="shared" si="46"/>
        <v>Incremental</v>
      </c>
      <c r="AG302" s="9" t="str" cm="1">
        <f t="array" ref="AG302">IFERROR(ROUND(IF(BB302&lt;&gt;"", "", INDEX('M04-S13'!$BL$18:$BL$199,2*(ROWS(AG$290:AG302)-1)+1)),2),"")</f>
        <v/>
      </c>
      <c r="AH302" s="184"/>
      <c r="AI302" s="184"/>
      <c r="AJ302" s="32" t="str">
        <f>IFERROR(ROUND(INDEX('M04-S13'!$BE$18:$BE$199,2*(ROWS(AJ$290:AJ302)-1)+1),4),"")</f>
        <v/>
      </c>
      <c r="AK302" s="184"/>
      <c r="AL302" s="32" t="str">
        <f>IFERROR(ROUND(INDEX('M04-S13'!$BF$18:$BF$199,2*(ROWS(AL$290:AL302)-1)+1),4),"")</f>
        <v/>
      </c>
      <c r="AM302" s="32" t="str">
        <f>IFERROR(ROUND(INDEX('M04-S13'!$BA$18:$BA$199,2*(ROWS(AM$290:AM302)-1)+1),4),"")</f>
        <v/>
      </c>
      <c r="AN302" s="32" t="str" cm="1">
        <f t="array" aca="1" ref="AN302" ca="1">IFERROR(ROUND(NDEX('M04-S13'!$BB$18:$BB$199,2*(ROWS(AN$290:AN302)-1)+1),4),"")</f>
        <v/>
      </c>
      <c r="AO302" s="184"/>
      <c r="AP302" s="9" t="str" cm="1">
        <f t="array" ref="AP302">IFERROR(ROUND(IF(BB302&lt;&gt;"",INDEX('M04-S13'!$AE$18:$AE$199,2*(ROWS(AP$290:AP302)-1)+1),""),2),"")</f>
        <v/>
      </c>
      <c r="AQ302" s="9" t="str" cm="1">
        <f t="array" ref="AQ302">IFERROR(ROUND(IF(BB302&lt;&gt;"",INDEX('M04-S13'!$AG$18:$AG$199,2*(ROWS(AQ$290:AQ302)-1)+1),""),2),"")</f>
        <v/>
      </c>
      <c r="AR302" s="9" t="str" cm="1">
        <f t="array" ref="AR302">IFERROR(ROUND(IF(BB302&lt;&gt;"",INDEX('M04-S13'!$BL$18:$BL$199,2*(ROWS(AT$290:AT302)-1)+1),""),2),"")</f>
        <v/>
      </c>
      <c r="AS302" t="str">
        <f t="shared" si="51"/>
        <v/>
      </c>
      <c r="AT302" s="9" t="str" cm="1">
        <f t="array" ref="AT302">IFERROR(ROUND(IF(BB302&lt;&gt;"",INDEX('M04-S13'!$BL$18:$BL$199,2*(ROWS(AT$290:AT302)-1)+1),""),2),"")</f>
        <v/>
      </c>
      <c r="AU302" s="184"/>
      <c r="AV302" s="5" t="str" cm="1">
        <f t="array" ref="AV302">IFERROR(IF(BB302&lt;&gt;"",ROUND(INDEX('M04-S13'!$V$18:$V$199,2*(ROWS(AV$290:AV302)-1)+1),3),""),"")</f>
        <v/>
      </c>
      <c r="AW302" s="5" t="str" cm="1">
        <f t="array" ref="AW302">IFERROR(IF(BB302&lt;&gt;"",ROUND(INDEX('M04-S13'!$V$18:$V$199,2*(ROWS(AW$290:AW302)-1)+1),3),""),"")</f>
        <v/>
      </c>
      <c r="AX302" s="184"/>
      <c r="AY302" s="26" t="str" cm="1">
        <f t="array" ref="AY302">IFERROR(IF(BB302&lt;&gt;"",INDEX('M04-S13'!$BE$18:$BE$199,2*(ROWS(AY$290:AY302)-1)+1),""),"")</f>
        <v/>
      </c>
      <c r="AZ302" s="184"/>
      <c r="BA302" s="32" t="str" cm="1">
        <f t="array" ref="BA302">IFERROR(IF(BB302&lt;&gt;"",INDEX('M04-S13'!$BF$18:$BF$199,2*(ROWS(BA$290:BA302)-1)+1),""),"")</f>
        <v/>
      </c>
      <c r="BB302" t="str" cm="1">
        <f t="array" ref="BB302">IFERROR(INDEX('M04-S13'!$BY$18:$BY$199,2*(ROWS(BB$290:BB302)-1)+1),"")</f>
        <v/>
      </c>
    </row>
    <row r="303" spans="1:54">
      <c r="A303" s="10">
        <f t="shared" si="48"/>
        <v>0</v>
      </c>
      <c r="B303" t="str">
        <f t="shared" si="50"/>
        <v/>
      </c>
      <c r="C303" t="str" cm="1">
        <f t="array" ref="C303">IFERROR(_xlfn.VALUETOTEXT(INDEX('M04-S13'!$BW$18:$BW$199,2*(ROWS($C$290:C303)-1)+1)),"")</f>
        <v/>
      </c>
      <c r="D303">
        <f>IFERROR(INDEX('M04-S13'!$B$18:$B$199,2*(ROWS(D$290:D303)-1)+1),"")</f>
        <v>14</v>
      </c>
      <c r="E303" s="51" t="str" cm="1">
        <f t="array" ref="E303">IFERROR(_xlfn.VALUETOTEXT(INDEX('M04-S13'!$BX$18:$BX$199,2*(ROWS($E$290:E303)-1)+1)),"")</f>
        <v/>
      </c>
      <c r="F303" t="str" cm="1">
        <f t="array" ref="F303">IF(C303&lt;&gt;"", _xlfn.SWITCH(Program_Banner, "Small Business / Non-Profit", "Hard-To-Reach Business", "Business Energy Savings", "Whole Business Efficiency", ""), "")</f>
        <v/>
      </c>
      <c r="G303" t="s">
        <v>2779</v>
      </c>
      <c r="H303" t="str">
        <f>IFERROR(INDEX('M04-S13'!$BC$18:$BC$199,2*(ROWS($H$290:H303)-1)+1),"")</f>
        <v/>
      </c>
      <c r="I303" t="str">
        <f>IFERROR(INDEX('M04-S13'!$BJ$18:$BJ$199,2*(ROWS(I$290:I303)-1)+1),"")</f>
        <v/>
      </c>
      <c r="J303" s="9" t="str">
        <f>IFERROR(INDEX('M04-S13'!$BN$18:$BN$199,2*(ROWS(J$290:J303)-1)+1),"")</f>
        <v/>
      </c>
      <c r="K303" s="9" t="str">
        <f>IFERROR(INDEX('M04-S13'!$BO$18:$BO$199,2*(ROWS(K$290:K303)-1)+1),"")</f>
        <v/>
      </c>
      <c r="L303" s="51" t="str">
        <f>IFERROR(INDEX('M04-S13'!$BD$18:$BD$199,2*(ROWS(L$290:L303)-1)+1),"")</f>
        <v/>
      </c>
      <c r="M303" s="184"/>
      <c r="N303" s="171"/>
      <c r="O303">
        <f>IFERROR(INDEX('M04-S13'!$C$18:$C$199,2*(ROWS(O$290:O303)-1)+1),"")</f>
        <v>0</v>
      </c>
      <c r="P303" t="str" cm="1">
        <f t="array" aca="1" ref="P303" ca="1">_xlfn.LET( _xlpm.Rows, 2*(ROWS(Q$290:Q303)-1)+1,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3" t="str" cm="1">
        <f t="array" aca="1" ref="Q303" ca="1">_xlfn.LET( _xlpm.Rows, 2*(ROWS(Q$290:Q303)-1)+1,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3" t="str">
        <f>IFERROR(INDEX('M04-S13'!$AX$18:$AX$199,2*(ROWS(S$290:S303)-1)+1),"")</f>
        <v/>
      </c>
      <c r="T303" s="545" t="str" cm="1">
        <f t="array" ref="T303">IFERROR(ROUND(IF(BB303&lt;&gt;"", "", INDEX('M04-S13'!$AY$18:$AY$199,2*(ROWS(T$290:T303)-1)+1)),3),"")</f>
        <v/>
      </c>
      <c r="U303" s="545" t="str" cm="1">
        <f t="array" ref="U303">IFERROR(ROUND(IF(BB303&lt;&gt;"", "", INDEX('M04-S13'!$AZ$18:$AZ$199,2*(ROWS(U$290:U303)-1)+1)),3),"")</f>
        <v/>
      </c>
      <c r="V303" s="184"/>
      <c r="W303" s="184"/>
      <c r="X303" s="184"/>
      <c r="Y303" s="184"/>
      <c r="Z303" s="184"/>
      <c r="AA303" s="9" t="str" cm="1">
        <f t="array" ref="AA303">IFERROR(ROUND(INDEX('M04-S13'!$AR$18:$AR$199,2*(ROWS(AA$290:AA303)-1)+1), 2),"")</f>
        <v/>
      </c>
      <c r="AB303" s="9" t="str" cm="1">
        <f t="array" ref="AB303">_xlfn.LET(_xlpm.ROWS, 2*(ROWS(AB$290:AB303)-1)+1,IFERROR(INDEX('M04-S13'!$AR$18:$AR$199, _xlpm.ROWS)-INDEX('M04-S13'!$BS$18:$BS$199, _xlpm.ROWS),""))</f>
        <v/>
      </c>
      <c r="AC303" s="9" cm="1">
        <f t="array" ref="AC303">IFERROR(ROUND(IF(BB303&lt;&gt;"", "",INDEX('M04-S13'!$AE$18:$AE$199,2*(ROWS(AC$290:AC303)-1)+1)),2),"")</f>
        <v>0</v>
      </c>
      <c r="AD303" s="9" cm="1">
        <f t="array" ref="AD303">IFERROR(ROUND(IF(BB303&lt;&gt;"", "", INDEX('M04-S13'!$AG$18:$AG$199,2*(ROWS(AD$290:AD303)-1)+1)),2),"")</f>
        <v>0</v>
      </c>
      <c r="AE303" s="9" t="str" cm="1">
        <f t="array" ref="AE303">IFERROR(ROUND(IF(BB303&lt;&gt;"", "", INDEX('M04-S13'!$BL$18:$BL$199,2*(ROWS(AG$290:AG303)-1)+1)),2),"")</f>
        <v/>
      </c>
      <c r="AF303" t="str">
        <f t="shared" si="46"/>
        <v>Incremental</v>
      </c>
      <c r="AG303" s="9" t="str" cm="1">
        <f t="array" ref="AG303">IFERROR(ROUND(IF(BB303&lt;&gt;"", "", INDEX('M04-S13'!$BL$18:$BL$199,2*(ROWS(AG$290:AG303)-1)+1)),2),"")</f>
        <v/>
      </c>
      <c r="AH303" s="184"/>
      <c r="AI303" s="184"/>
      <c r="AJ303" s="32" t="str">
        <f>IFERROR(ROUND(INDEX('M04-S13'!$BE$18:$BE$199,2*(ROWS(AJ$290:AJ303)-1)+1),4),"")</f>
        <v/>
      </c>
      <c r="AK303" s="184"/>
      <c r="AL303" s="32" t="str">
        <f>IFERROR(ROUND(INDEX('M04-S13'!$BF$18:$BF$199,2*(ROWS(AL$290:AL303)-1)+1),4),"")</f>
        <v/>
      </c>
      <c r="AM303" s="32" t="str">
        <f>IFERROR(ROUND(INDEX('M04-S13'!$BA$18:$BA$199,2*(ROWS(AM$290:AM303)-1)+1),4),"")</f>
        <v/>
      </c>
      <c r="AN303" s="32" t="str" cm="1">
        <f t="array" aca="1" ref="AN303" ca="1">IFERROR(ROUND(NDEX('M04-S13'!$BB$18:$BB$199,2*(ROWS(AN$290:AN303)-1)+1),4),"")</f>
        <v/>
      </c>
      <c r="AO303" s="184"/>
      <c r="AP303" s="9" t="str" cm="1">
        <f t="array" ref="AP303">IFERROR(ROUND(IF(BB303&lt;&gt;"",INDEX('M04-S13'!$AE$18:$AE$199,2*(ROWS(AP$290:AP303)-1)+1),""),2),"")</f>
        <v/>
      </c>
      <c r="AQ303" s="9" t="str" cm="1">
        <f t="array" ref="AQ303">IFERROR(ROUND(IF(BB303&lt;&gt;"",INDEX('M04-S13'!$AG$18:$AG$199,2*(ROWS(AQ$290:AQ303)-1)+1),""),2),"")</f>
        <v/>
      </c>
      <c r="AR303" s="9" t="str" cm="1">
        <f t="array" ref="AR303">IFERROR(ROUND(IF(BB303&lt;&gt;"",INDEX('M04-S13'!$BL$18:$BL$199,2*(ROWS(AT$290:AT303)-1)+1),""),2),"")</f>
        <v/>
      </c>
      <c r="AS303" t="str">
        <f t="shared" si="51"/>
        <v/>
      </c>
      <c r="AT303" s="9" t="str" cm="1">
        <f t="array" ref="AT303">IFERROR(ROUND(IF(BB303&lt;&gt;"",INDEX('M04-S13'!$BL$18:$BL$199,2*(ROWS(AT$290:AT303)-1)+1),""),2),"")</f>
        <v/>
      </c>
      <c r="AU303" s="184"/>
      <c r="AV303" s="5" t="str" cm="1">
        <f t="array" ref="AV303">IFERROR(IF(BB303&lt;&gt;"",ROUND(INDEX('M04-S13'!$V$18:$V$199,2*(ROWS(AV$290:AV303)-1)+1),3),""),"")</f>
        <v/>
      </c>
      <c r="AW303" s="5" t="str" cm="1">
        <f t="array" ref="AW303">IFERROR(IF(BB303&lt;&gt;"",ROUND(INDEX('M04-S13'!$V$18:$V$199,2*(ROWS(AW$290:AW303)-1)+1),3),""),"")</f>
        <v/>
      </c>
      <c r="AX303" s="184"/>
      <c r="AY303" s="26" t="str" cm="1">
        <f t="array" ref="AY303">IFERROR(IF(BB303&lt;&gt;"",INDEX('M04-S13'!$BE$18:$BE$199,2*(ROWS(AY$290:AY303)-1)+1),""),"")</f>
        <v/>
      </c>
      <c r="AZ303" s="184"/>
      <c r="BA303" s="32" t="str" cm="1">
        <f t="array" ref="BA303">IFERROR(IF(BB303&lt;&gt;"",INDEX('M04-S13'!$BF$18:$BF$199,2*(ROWS(BA$290:BA303)-1)+1),""),"")</f>
        <v/>
      </c>
      <c r="BB303" t="str" cm="1">
        <f t="array" ref="BB303">IFERROR(INDEX('M04-S13'!$BY$18:$BY$199,2*(ROWS(BB$290:BB303)-1)+1),"")</f>
        <v/>
      </c>
    </row>
    <row r="304" spans="1:54">
      <c r="A304" s="10">
        <f t="shared" si="48"/>
        <v>0</v>
      </c>
      <c r="B304" t="str">
        <f t="shared" si="50"/>
        <v/>
      </c>
      <c r="C304" t="str" cm="1">
        <f t="array" ref="C304">IFERROR(_xlfn.VALUETOTEXT(INDEX('M04-S13'!$BW$18:$BW$199,2*(ROWS($C$290:C304)-1)+1)),"")</f>
        <v/>
      </c>
      <c r="D304">
        <f>IFERROR(INDEX('M04-S13'!$B$18:$B$199,2*(ROWS(D$290:D304)-1)+1),"")</f>
        <v>15</v>
      </c>
      <c r="E304" s="51" t="str" cm="1">
        <f t="array" ref="E304">IFERROR(_xlfn.VALUETOTEXT(INDEX('M04-S13'!$BX$18:$BX$199,2*(ROWS($E$290:E304)-1)+1)),"")</f>
        <v/>
      </c>
      <c r="F304" t="str" cm="1">
        <f t="array" ref="F304">IF(C304&lt;&gt;"", _xlfn.SWITCH(Program_Banner, "Small Business / Non-Profit", "Hard-To-Reach Business", "Business Energy Savings", "Whole Business Efficiency", ""), "")</f>
        <v/>
      </c>
      <c r="G304" t="s">
        <v>2779</v>
      </c>
      <c r="H304" t="str">
        <f>IFERROR(INDEX('M04-S13'!$BC$18:$BC$199,2*(ROWS($H$290:H304)-1)+1),"")</f>
        <v/>
      </c>
      <c r="I304" t="str">
        <f>IFERROR(INDEX('M04-S13'!$BJ$18:$BJ$199,2*(ROWS(I$290:I304)-1)+1),"")</f>
        <v/>
      </c>
      <c r="J304" s="9" t="str">
        <f>IFERROR(INDEX('M04-S13'!$BN$18:$BN$199,2*(ROWS(J$290:J304)-1)+1),"")</f>
        <v/>
      </c>
      <c r="K304" s="9" t="str">
        <f>IFERROR(INDEX('M04-S13'!$BO$18:$BO$199,2*(ROWS(K$290:K304)-1)+1),"")</f>
        <v/>
      </c>
      <c r="L304" s="51" t="str">
        <f>IFERROR(INDEX('M04-S13'!$BD$18:$BD$199,2*(ROWS(L$290:L304)-1)+1),"")</f>
        <v/>
      </c>
      <c r="M304" s="184"/>
      <c r="N304" s="171"/>
      <c r="O304">
        <f>IFERROR(INDEX('M04-S13'!$C$18:$C$199,2*(ROWS(O$290:O304)-1)+1),"")</f>
        <v>0</v>
      </c>
      <c r="P304" t="str" cm="1">
        <f t="array" aca="1" ref="P304" ca="1">_xlfn.LET( _xlpm.Rows, 2*(ROWS(Q$290:Q304)-1)+1,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4" t="str" cm="1">
        <f t="array" aca="1" ref="Q304" ca="1">_xlfn.LET( _xlpm.Rows, 2*(ROWS(Q$290:Q304)-1)+1,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4" t="str">
        <f>IFERROR(INDEX('M04-S13'!$AX$18:$AX$199,2*(ROWS(S$290:S304)-1)+1),"")</f>
        <v/>
      </c>
      <c r="T304" s="545" t="str" cm="1">
        <f t="array" ref="T304">IFERROR(ROUND(IF(BB304&lt;&gt;"", "", INDEX('M04-S13'!$AY$18:$AY$199,2*(ROWS(T$290:T304)-1)+1)),3),"")</f>
        <v/>
      </c>
      <c r="U304" s="545" t="str" cm="1">
        <f t="array" ref="U304">IFERROR(ROUND(IF(BB304&lt;&gt;"", "", INDEX('M04-S13'!$AZ$18:$AZ$199,2*(ROWS(U$290:U304)-1)+1)),3),"")</f>
        <v/>
      </c>
      <c r="V304" s="184"/>
      <c r="W304" s="184"/>
      <c r="X304" s="184"/>
      <c r="Y304" s="184"/>
      <c r="Z304" s="184"/>
      <c r="AA304" s="9" t="str" cm="1">
        <f t="array" ref="AA304">IFERROR(ROUND(INDEX('M04-S13'!$AR$18:$AR$199,2*(ROWS(AA$290:AA304)-1)+1), 2),"")</f>
        <v/>
      </c>
      <c r="AB304" s="9" t="str" cm="1">
        <f t="array" ref="AB304">_xlfn.LET(_xlpm.ROWS, 2*(ROWS(AB$290:AB304)-1)+1,IFERROR(INDEX('M04-S13'!$AR$18:$AR$199, _xlpm.ROWS)-INDEX('M04-S13'!$BS$18:$BS$199, _xlpm.ROWS),""))</f>
        <v/>
      </c>
      <c r="AC304" s="9" cm="1">
        <f t="array" ref="AC304">IFERROR(ROUND(IF(BB304&lt;&gt;"", "",INDEX('M04-S13'!$AE$18:$AE$199,2*(ROWS(AC$290:AC304)-1)+1)),2),"")</f>
        <v>0</v>
      </c>
      <c r="AD304" s="9" cm="1">
        <f t="array" ref="AD304">IFERROR(ROUND(IF(BB304&lt;&gt;"", "", INDEX('M04-S13'!$AG$18:$AG$199,2*(ROWS(AD$290:AD304)-1)+1)),2),"")</f>
        <v>0</v>
      </c>
      <c r="AE304" s="9" t="str" cm="1">
        <f t="array" ref="AE304">IFERROR(ROUND(IF(BB304&lt;&gt;"", "", INDEX('M04-S13'!$BL$18:$BL$199,2*(ROWS(AG$290:AG304)-1)+1)),2),"")</f>
        <v/>
      </c>
      <c r="AF304" t="str">
        <f t="shared" si="46"/>
        <v>Incremental</v>
      </c>
      <c r="AG304" s="9" t="str" cm="1">
        <f t="array" ref="AG304">IFERROR(ROUND(IF(BB304&lt;&gt;"", "", INDEX('M04-S13'!$BL$18:$BL$199,2*(ROWS(AG$290:AG304)-1)+1)),2),"")</f>
        <v/>
      </c>
      <c r="AH304" s="184"/>
      <c r="AI304" s="184"/>
      <c r="AJ304" s="32" t="str">
        <f>IFERROR(ROUND(INDEX('M04-S13'!$BE$18:$BE$199,2*(ROWS(AJ$290:AJ304)-1)+1),4),"")</f>
        <v/>
      </c>
      <c r="AK304" s="184"/>
      <c r="AL304" s="32" t="str">
        <f>IFERROR(ROUND(INDEX('M04-S13'!$BF$18:$BF$199,2*(ROWS(AL$290:AL304)-1)+1),4),"")</f>
        <v/>
      </c>
      <c r="AM304" s="32" t="str">
        <f>IFERROR(ROUND(INDEX('M04-S13'!$BA$18:$BA$199,2*(ROWS(AM$290:AM304)-1)+1),4),"")</f>
        <v/>
      </c>
      <c r="AN304" s="32" t="str" cm="1">
        <f t="array" aca="1" ref="AN304" ca="1">IFERROR(ROUND(NDEX('M04-S13'!$BB$18:$BB$199,2*(ROWS(AN$290:AN304)-1)+1),4),"")</f>
        <v/>
      </c>
      <c r="AO304" s="184"/>
      <c r="AP304" s="9" t="str" cm="1">
        <f t="array" ref="AP304">IFERROR(ROUND(IF(BB304&lt;&gt;"",INDEX('M04-S13'!$AE$18:$AE$199,2*(ROWS(AP$290:AP304)-1)+1),""),2),"")</f>
        <v/>
      </c>
      <c r="AQ304" s="9" t="str" cm="1">
        <f t="array" ref="AQ304">IFERROR(ROUND(IF(BB304&lt;&gt;"",INDEX('M04-S13'!$AG$18:$AG$199,2*(ROWS(AQ$290:AQ304)-1)+1),""),2),"")</f>
        <v/>
      </c>
      <c r="AR304" s="9" t="str" cm="1">
        <f t="array" ref="AR304">IFERROR(ROUND(IF(BB304&lt;&gt;"",INDEX('M04-S13'!$BL$18:$BL$199,2*(ROWS(AT$290:AT304)-1)+1),""),2),"")</f>
        <v/>
      </c>
      <c r="AS304" t="str">
        <f t="shared" si="51"/>
        <v/>
      </c>
      <c r="AT304" s="9" t="str" cm="1">
        <f t="array" ref="AT304">IFERROR(ROUND(IF(BB304&lt;&gt;"",INDEX('M04-S13'!$BL$18:$BL$199,2*(ROWS(AT$290:AT304)-1)+1),""),2),"")</f>
        <v/>
      </c>
      <c r="AU304" s="184"/>
      <c r="AV304" s="5" t="str" cm="1">
        <f t="array" ref="AV304">IFERROR(IF(BB304&lt;&gt;"",ROUND(INDEX('M04-S13'!$V$18:$V$199,2*(ROWS(AV$290:AV304)-1)+1),3),""),"")</f>
        <v/>
      </c>
      <c r="AW304" s="5" t="str" cm="1">
        <f t="array" ref="AW304">IFERROR(IF(BB304&lt;&gt;"",ROUND(INDEX('M04-S13'!$V$18:$V$199,2*(ROWS(AW$290:AW304)-1)+1),3),""),"")</f>
        <v/>
      </c>
      <c r="AX304" s="184"/>
      <c r="AY304" s="26" t="str" cm="1">
        <f t="array" ref="AY304">IFERROR(IF(BB304&lt;&gt;"",INDEX('M04-S13'!$BE$18:$BE$199,2*(ROWS(AY$290:AY304)-1)+1),""),"")</f>
        <v/>
      </c>
      <c r="AZ304" s="184"/>
      <c r="BA304" s="32" t="str" cm="1">
        <f t="array" ref="BA304">IFERROR(IF(BB304&lt;&gt;"",INDEX('M04-S13'!$BF$18:$BF$199,2*(ROWS(BA$290:BA304)-1)+1),""),"")</f>
        <v/>
      </c>
      <c r="BB304" t="str" cm="1">
        <f t="array" ref="BB304">IFERROR(INDEX('M04-S13'!$BY$18:$BY$199,2*(ROWS(BB$290:BB304)-1)+1),"")</f>
        <v/>
      </c>
    </row>
    <row r="305" spans="1:54">
      <c r="A305" s="10">
        <f t="shared" si="48"/>
        <v>0</v>
      </c>
      <c r="B305" t="str">
        <f t="shared" si="50"/>
        <v/>
      </c>
      <c r="C305" t="str" cm="1">
        <f t="array" ref="C305">IFERROR(_xlfn.VALUETOTEXT(INDEX('M04-S13'!$BW$18:$BW$199,2*(ROWS($C$290:C305)-1)+1)),"")</f>
        <v/>
      </c>
      <c r="D305">
        <f>IFERROR(INDEX('M04-S13'!$B$18:$B$199,2*(ROWS(D$290:D305)-1)+1),"")</f>
        <v>16</v>
      </c>
      <c r="E305" s="51" t="str" cm="1">
        <f t="array" ref="E305">IFERROR(_xlfn.VALUETOTEXT(INDEX('M04-S13'!$BX$18:$BX$199,2*(ROWS($E$290:E305)-1)+1)),"")</f>
        <v/>
      </c>
      <c r="F305" t="str" cm="1">
        <f t="array" ref="F305">IF(C305&lt;&gt;"", _xlfn.SWITCH(Program_Banner, "Small Business / Non-Profit", "Hard-To-Reach Business", "Business Energy Savings", "Whole Business Efficiency", ""), "")</f>
        <v/>
      </c>
      <c r="G305" t="s">
        <v>2779</v>
      </c>
      <c r="H305" t="str">
        <f>IFERROR(INDEX('M04-S13'!$BC$18:$BC$199,2*(ROWS($H$290:H305)-1)+1),"")</f>
        <v/>
      </c>
      <c r="I305" t="str">
        <f>IFERROR(INDEX('M04-S13'!$BJ$18:$BJ$199,2*(ROWS(I$290:I305)-1)+1),"")</f>
        <v/>
      </c>
      <c r="J305" s="9" t="str">
        <f>IFERROR(INDEX('M04-S13'!$BN$18:$BN$199,2*(ROWS(J$290:J305)-1)+1),"")</f>
        <v/>
      </c>
      <c r="K305" s="9" t="str">
        <f>IFERROR(INDEX('M04-S13'!$BO$18:$BO$199,2*(ROWS(K$290:K305)-1)+1),"")</f>
        <v/>
      </c>
      <c r="L305" s="51" t="str">
        <f>IFERROR(INDEX('M04-S13'!$BD$18:$BD$199,2*(ROWS(L$290:L305)-1)+1),"")</f>
        <v/>
      </c>
      <c r="M305" s="184"/>
      <c r="N305" s="171"/>
      <c r="O305">
        <f>IFERROR(INDEX('M04-S13'!$C$18:$C$199,2*(ROWS(O$290:O305)-1)+1),"")</f>
        <v>0</v>
      </c>
      <c r="P305" t="str" cm="1">
        <f t="array" aca="1" ref="P305" ca="1">_xlfn.LET( _xlpm.Rows, 2*(ROWS(Q$290:Q305)-1)+1,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MATCH(C305,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5" t="str" cm="1">
        <f t="array" aca="1" ref="Q305" ca="1">_xlfn.LET( _xlpm.Rows, 2*(ROWS(Q$290:Q305)-1)+1,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MATCH(C305,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5" t="str">
        <f>IFERROR(INDEX('M04-S13'!$AX$18:$AX$199,2*(ROWS(S$290:S305)-1)+1),"")</f>
        <v/>
      </c>
      <c r="T305" s="545" t="str" cm="1">
        <f t="array" ref="T305">IFERROR(ROUND(IF(BB305&lt;&gt;"", "", INDEX('M04-S13'!$AY$18:$AY$199,2*(ROWS(T$290:T305)-1)+1)),3),"")</f>
        <v/>
      </c>
      <c r="U305" s="545" t="str" cm="1">
        <f t="array" ref="U305">IFERROR(ROUND(IF(BB305&lt;&gt;"", "", INDEX('M04-S13'!$AZ$18:$AZ$199,2*(ROWS(U$290:U305)-1)+1)),3),"")</f>
        <v/>
      </c>
      <c r="V305" s="184"/>
      <c r="W305" s="184"/>
      <c r="X305" s="184"/>
      <c r="Y305" s="184"/>
      <c r="Z305" s="184"/>
      <c r="AA305" s="9" t="str" cm="1">
        <f t="array" ref="AA305">IFERROR(ROUND(INDEX('M04-S13'!$AR$18:$AR$199,2*(ROWS(AA$290:AA305)-1)+1), 2),"")</f>
        <v/>
      </c>
      <c r="AB305" s="9" t="str" cm="1">
        <f t="array" ref="AB305">_xlfn.LET(_xlpm.ROWS, 2*(ROWS(AB$290:AB305)-1)+1,IFERROR(INDEX('M04-S13'!$AR$18:$AR$199, _xlpm.ROWS)-INDEX('M04-S13'!$BS$18:$BS$199, _xlpm.ROWS),""))</f>
        <v/>
      </c>
      <c r="AC305" s="9" cm="1">
        <f t="array" ref="AC305">IFERROR(ROUND(IF(BB305&lt;&gt;"", "",INDEX('M04-S13'!$AE$18:$AE$199,2*(ROWS(AC$290:AC305)-1)+1)),2),"")</f>
        <v>0</v>
      </c>
      <c r="AD305" s="9" cm="1">
        <f t="array" ref="AD305">IFERROR(ROUND(IF(BB305&lt;&gt;"", "", INDEX('M04-S13'!$AG$18:$AG$199,2*(ROWS(AD$290:AD305)-1)+1)),2),"")</f>
        <v>0</v>
      </c>
      <c r="AE305" s="9" t="str" cm="1">
        <f t="array" ref="AE305">IFERROR(ROUND(IF(BB305&lt;&gt;"", "", INDEX('M04-S13'!$BL$18:$BL$199,2*(ROWS(AG$290:AG305)-1)+1)),2),"")</f>
        <v/>
      </c>
      <c r="AF305" t="str">
        <f t="shared" si="46"/>
        <v>Incremental</v>
      </c>
      <c r="AG305" s="9" t="str" cm="1">
        <f t="array" ref="AG305">IFERROR(ROUND(IF(BB305&lt;&gt;"", "", INDEX('M04-S13'!$BL$18:$BL$199,2*(ROWS(AG$290:AG305)-1)+1)),2),"")</f>
        <v/>
      </c>
      <c r="AH305" s="184"/>
      <c r="AI305" s="184"/>
      <c r="AJ305" s="32" t="str">
        <f>IFERROR(ROUND(INDEX('M04-S13'!$BE$18:$BE$199,2*(ROWS(AJ$290:AJ305)-1)+1),4),"")</f>
        <v/>
      </c>
      <c r="AK305" s="184"/>
      <c r="AL305" s="32" t="str">
        <f>IFERROR(ROUND(INDEX('M04-S13'!$BF$18:$BF$199,2*(ROWS(AL$290:AL305)-1)+1),4),"")</f>
        <v/>
      </c>
      <c r="AM305" s="32" t="str">
        <f>IFERROR(ROUND(INDEX('M04-S13'!$BA$18:$BA$199,2*(ROWS(AM$290:AM305)-1)+1),4),"")</f>
        <v/>
      </c>
      <c r="AN305" s="32" t="str" cm="1">
        <f t="array" aca="1" ref="AN305" ca="1">IFERROR(ROUND(NDEX('M04-S13'!$BB$18:$BB$199,2*(ROWS(AN$290:AN305)-1)+1),4),"")</f>
        <v/>
      </c>
      <c r="AO305" s="184"/>
      <c r="AP305" s="9" t="str" cm="1">
        <f t="array" ref="AP305">IFERROR(ROUND(IF(BB305&lt;&gt;"",INDEX('M04-S13'!$AE$18:$AE$199,2*(ROWS(AP$290:AP305)-1)+1),""),2),"")</f>
        <v/>
      </c>
      <c r="AQ305" s="9" t="str" cm="1">
        <f t="array" ref="AQ305">IFERROR(ROUND(IF(BB305&lt;&gt;"",INDEX('M04-S13'!$AG$18:$AG$199,2*(ROWS(AQ$290:AQ305)-1)+1),""),2),"")</f>
        <v/>
      </c>
      <c r="AR305" s="9" t="str" cm="1">
        <f t="array" ref="AR305">IFERROR(ROUND(IF(BB305&lt;&gt;"",INDEX('M04-S13'!$BL$18:$BL$199,2*(ROWS(AT$290:AT305)-1)+1),""),2),"")</f>
        <v/>
      </c>
      <c r="AS305" t="str">
        <f t="shared" si="51"/>
        <v/>
      </c>
      <c r="AT305" s="9" t="str" cm="1">
        <f t="array" ref="AT305">IFERROR(ROUND(IF(BB305&lt;&gt;"",INDEX('M04-S13'!$BL$18:$BL$199,2*(ROWS(AT$290:AT305)-1)+1),""),2),"")</f>
        <v/>
      </c>
      <c r="AU305" s="184"/>
      <c r="AV305" s="5" t="str" cm="1">
        <f t="array" ref="AV305">IFERROR(IF(BB305&lt;&gt;"",ROUND(INDEX('M04-S13'!$V$18:$V$199,2*(ROWS(AV$290:AV305)-1)+1),3),""),"")</f>
        <v/>
      </c>
      <c r="AW305" s="5" t="str" cm="1">
        <f t="array" ref="AW305">IFERROR(IF(BB305&lt;&gt;"",ROUND(INDEX('M04-S13'!$V$18:$V$199,2*(ROWS(AW$290:AW305)-1)+1),3),""),"")</f>
        <v/>
      </c>
      <c r="AX305" s="184"/>
      <c r="AY305" s="26" t="str" cm="1">
        <f t="array" ref="AY305">IFERROR(IF(BB305&lt;&gt;"",INDEX('M04-S13'!$BE$18:$BE$199,2*(ROWS(AY$290:AY305)-1)+1),""),"")</f>
        <v/>
      </c>
      <c r="AZ305" s="184"/>
      <c r="BA305" s="32" t="str" cm="1">
        <f t="array" ref="BA305">IFERROR(IF(BB305&lt;&gt;"",INDEX('M04-S13'!$BF$18:$BF$199,2*(ROWS(BA$290:BA305)-1)+1),""),"")</f>
        <v/>
      </c>
      <c r="BB305" t="str" cm="1">
        <f t="array" ref="BB305">IFERROR(INDEX('M04-S13'!$BY$18:$BY$199,2*(ROWS(BB$290:BB305)-1)+1),"")</f>
        <v/>
      </c>
    </row>
    <row r="306" spans="1:54">
      <c r="A306" s="10">
        <f t="shared" si="48"/>
        <v>0</v>
      </c>
      <c r="B306" t="str">
        <f t="shared" si="50"/>
        <v/>
      </c>
      <c r="C306" t="str" cm="1">
        <f t="array" ref="C306">IFERROR(_xlfn.VALUETOTEXT(INDEX('M04-S13'!$BW$18:$BW$199,2*(ROWS($C$290:C306)-1)+1)),"")</f>
        <v/>
      </c>
      <c r="D306">
        <f>IFERROR(INDEX('M04-S13'!$B$18:$B$199,2*(ROWS(D$290:D306)-1)+1),"")</f>
        <v>17</v>
      </c>
      <c r="E306" s="51" t="str" cm="1">
        <f t="array" ref="E306">IFERROR(_xlfn.VALUETOTEXT(INDEX('M04-S13'!$BX$18:$BX$199,2*(ROWS($E$290:E306)-1)+1)),"")</f>
        <v/>
      </c>
      <c r="F306" t="str" cm="1">
        <f t="array" ref="F306">IF(C306&lt;&gt;"", _xlfn.SWITCH(Program_Banner, "Small Business / Non-Profit", "Hard-To-Reach Business", "Business Energy Savings", "Whole Business Efficiency", ""), "")</f>
        <v/>
      </c>
      <c r="G306" t="s">
        <v>2779</v>
      </c>
      <c r="H306" t="str">
        <f>IFERROR(INDEX('M04-S13'!$BC$18:$BC$199,2*(ROWS($H$290:H306)-1)+1),"")</f>
        <v/>
      </c>
      <c r="I306" t="str">
        <f>IFERROR(INDEX('M04-S13'!$BJ$18:$BJ$199,2*(ROWS(I$290:I306)-1)+1),"")</f>
        <v/>
      </c>
      <c r="J306" s="9" t="str">
        <f>IFERROR(INDEX('M04-S13'!$BN$18:$BN$199,2*(ROWS(J$290:J306)-1)+1),"")</f>
        <v/>
      </c>
      <c r="K306" s="9" t="str">
        <f>IFERROR(INDEX('M04-S13'!$BO$18:$BO$199,2*(ROWS(K$290:K306)-1)+1),"")</f>
        <v/>
      </c>
      <c r="L306" s="51" t="str">
        <f>IFERROR(INDEX('M04-S13'!$BD$18:$BD$199,2*(ROWS(L$290:L306)-1)+1),"")</f>
        <v/>
      </c>
      <c r="M306" s="184"/>
      <c r="N306" s="171"/>
      <c r="O306">
        <f>IFERROR(INDEX('M04-S13'!$C$18:$C$199,2*(ROWS(O$290:O306)-1)+1),"")</f>
        <v>0</v>
      </c>
      <c r="P306" t="str" cm="1">
        <f t="array" aca="1" ref="P306" ca="1">_xlfn.LET( _xlpm.Rows, 2*(ROWS(Q$290:Q306)-1)+1,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MATCH(C306,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6" t="str" cm="1">
        <f t="array" aca="1" ref="Q306" ca="1">_xlfn.LET( _xlpm.Rows, 2*(ROWS(Q$290:Q306)-1)+1,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MATCH(C306,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6" t="str">
        <f>IFERROR(INDEX('M04-S13'!$AX$18:$AX$199,2*(ROWS(S$290:S306)-1)+1),"")</f>
        <v/>
      </c>
      <c r="T306" s="545" t="str" cm="1">
        <f t="array" ref="T306">IFERROR(ROUND(IF(BB306&lt;&gt;"", "", INDEX('M04-S13'!$AY$18:$AY$199,2*(ROWS(T$290:T306)-1)+1)),3),"")</f>
        <v/>
      </c>
      <c r="U306" s="545" t="str" cm="1">
        <f t="array" ref="U306">IFERROR(ROUND(IF(BB306&lt;&gt;"", "", INDEX('M04-S13'!$AZ$18:$AZ$199,2*(ROWS(U$290:U306)-1)+1)),3),"")</f>
        <v/>
      </c>
      <c r="V306" s="184"/>
      <c r="W306" s="184"/>
      <c r="X306" s="184"/>
      <c r="Y306" s="184"/>
      <c r="Z306" s="184"/>
      <c r="AA306" s="9" t="str" cm="1">
        <f t="array" ref="AA306">IFERROR(ROUND(INDEX('M04-S13'!$AR$18:$AR$199,2*(ROWS(AA$290:AA306)-1)+1), 2),"")</f>
        <v/>
      </c>
      <c r="AB306" s="9" t="str" cm="1">
        <f t="array" ref="AB306">_xlfn.LET(_xlpm.ROWS, 2*(ROWS(AB$290:AB306)-1)+1,IFERROR(INDEX('M04-S13'!$AR$18:$AR$199, _xlpm.ROWS)-INDEX('M04-S13'!$BS$18:$BS$199, _xlpm.ROWS),""))</f>
        <v/>
      </c>
      <c r="AC306" s="9" cm="1">
        <f t="array" ref="AC306">IFERROR(ROUND(IF(BB306&lt;&gt;"", "",INDEX('M04-S13'!$AE$18:$AE$199,2*(ROWS(AC$290:AC306)-1)+1)),2),"")</f>
        <v>0</v>
      </c>
      <c r="AD306" s="9" cm="1">
        <f t="array" ref="AD306">IFERROR(ROUND(IF(BB306&lt;&gt;"", "", INDEX('M04-S13'!$AG$18:$AG$199,2*(ROWS(AD$290:AD306)-1)+1)),2),"")</f>
        <v>0</v>
      </c>
      <c r="AE306" s="9" t="str" cm="1">
        <f t="array" ref="AE306">IFERROR(ROUND(IF(BB306&lt;&gt;"", "", INDEX('M04-S13'!$BL$18:$BL$199,2*(ROWS(AG$290:AG306)-1)+1)),2),"")</f>
        <v/>
      </c>
      <c r="AF306" t="str">
        <f t="shared" si="46"/>
        <v>Incremental</v>
      </c>
      <c r="AG306" s="9" t="str" cm="1">
        <f t="array" ref="AG306">IFERROR(ROUND(IF(BB306&lt;&gt;"", "", INDEX('M04-S13'!$BL$18:$BL$199,2*(ROWS(AG$290:AG306)-1)+1)),2),"")</f>
        <v/>
      </c>
      <c r="AH306" s="184"/>
      <c r="AI306" s="184"/>
      <c r="AJ306" s="32" t="str">
        <f>IFERROR(ROUND(INDEX('M04-S13'!$BE$18:$BE$199,2*(ROWS(AJ$290:AJ306)-1)+1),4),"")</f>
        <v/>
      </c>
      <c r="AK306" s="184"/>
      <c r="AL306" s="32" t="str">
        <f>IFERROR(ROUND(INDEX('M04-S13'!$BF$18:$BF$199,2*(ROWS(AL$290:AL306)-1)+1),4),"")</f>
        <v/>
      </c>
      <c r="AM306" s="32" t="str">
        <f>IFERROR(ROUND(INDEX('M04-S13'!$BA$18:$BA$199,2*(ROWS(AM$290:AM306)-1)+1),4),"")</f>
        <v/>
      </c>
      <c r="AN306" s="32" t="str" cm="1">
        <f t="array" aca="1" ref="AN306" ca="1">IFERROR(ROUND(NDEX('M04-S13'!$BB$18:$BB$199,2*(ROWS(AN$290:AN306)-1)+1),4),"")</f>
        <v/>
      </c>
      <c r="AO306" s="184"/>
      <c r="AP306" s="9" t="str" cm="1">
        <f t="array" ref="AP306">IFERROR(ROUND(IF(BB306&lt;&gt;"",INDEX('M04-S13'!$AE$18:$AE$199,2*(ROWS(AP$290:AP306)-1)+1),""),2),"")</f>
        <v/>
      </c>
      <c r="AQ306" s="9" t="str" cm="1">
        <f t="array" ref="AQ306">IFERROR(ROUND(IF(BB306&lt;&gt;"",INDEX('M04-S13'!$AG$18:$AG$199,2*(ROWS(AQ$290:AQ306)-1)+1),""),2),"")</f>
        <v/>
      </c>
      <c r="AR306" s="9" t="str" cm="1">
        <f t="array" ref="AR306">IFERROR(ROUND(IF(BB306&lt;&gt;"",INDEX('M04-S13'!$BL$18:$BL$199,2*(ROWS(AT$290:AT306)-1)+1),""),2),"")</f>
        <v/>
      </c>
      <c r="AS306" t="str">
        <f t="shared" si="51"/>
        <v/>
      </c>
      <c r="AT306" s="9" t="str" cm="1">
        <f t="array" ref="AT306">IFERROR(ROUND(IF(BB306&lt;&gt;"",INDEX('M04-S13'!$BL$18:$BL$199,2*(ROWS(AT$290:AT306)-1)+1),""),2),"")</f>
        <v/>
      </c>
      <c r="AU306" s="184"/>
      <c r="AV306" s="5" t="str" cm="1">
        <f t="array" ref="AV306">IFERROR(IF(BB306&lt;&gt;"",ROUND(INDEX('M04-S13'!$V$18:$V$199,2*(ROWS(AV$290:AV306)-1)+1),3),""),"")</f>
        <v/>
      </c>
      <c r="AW306" s="5" t="str" cm="1">
        <f t="array" ref="AW306">IFERROR(IF(BB306&lt;&gt;"",ROUND(INDEX('M04-S13'!$V$18:$V$199,2*(ROWS(AW$290:AW306)-1)+1),3),""),"")</f>
        <v/>
      </c>
      <c r="AX306" s="184"/>
      <c r="AY306" s="26" t="str" cm="1">
        <f t="array" ref="AY306">IFERROR(IF(BB306&lt;&gt;"",INDEX('M04-S13'!$BE$18:$BE$199,2*(ROWS(AY$290:AY306)-1)+1),""),"")</f>
        <v/>
      </c>
      <c r="AZ306" s="184"/>
      <c r="BA306" s="32" t="str" cm="1">
        <f t="array" ref="BA306">IFERROR(IF(BB306&lt;&gt;"",INDEX('M04-S13'!$BF$18:$BF$199,2*(ROWS(BA$290:BA306)-1)+1),""),"")</f>
        <v/>
      </c>
      <c r="BB306" t="str" cm="1">
        <f t="array" ref="BB306">IFERROR(INDEX('M04-S13'!$BY$18:$BY$199,2*(ROWS(BB$290:BB306)-1)+1),"")</f>
        <v/>
      </c>
    </row>
    <row r="307" spans="1:54">
      <c r="A307" s="10">
        <f t="shared" si="48"/>
        <v>0</v>
      </c>
      <c r="B307" t="str">
        <f t="shared" si="50"/>
        <v/>
      </c>
      <c r="C307" t="str" cm="1">
        <f t="array" ref="C307">IFERROR(_xlfn.VALUETOTEXT(INDEX('M04-S13'!$BW$18:$BW$199,2*(ROWS($C$290:C307)-1)+1)),"")</f>
        <v/>
      </c>
      <c r="D307">
        <f>IFERROR(INDEX('M04-S13'!$B$18:$B$199,2*(ROWS(D$290:D307)-1)+1),"")</f>
        <v>18</v>
      </c>
      <c r="E307" s="51" t="str" cm="1">
        <f t="array" ref="E307">IFERROR(_xlfn.VALUETOTEXT(INDEX('M04-S13'!$BX$18:$BX$199,2*(ROWS($E$290:E307)-1)+1)),"")</f>
        <v/>
      </c>
      <c r="F307" t="str" cm="1">
        <f t="array" ref="F307">IF(C307&lt;&gt;"", _xlfn.SWITCH(Program_Banner, "Small Business / Non-Profit", "Hard-To-Reach Business", "Business Energy Savings", "Whole Business Efficiency", ""), "")</f>
        <v/>
      </c>
      <c r="G307" t="s">
        <v>2779</v>
      </c>
      <c r="H307" t="str">
        <f>IFERROR(INDEX('M04-S13'!$BC$18:$BC$199,2*(ROWS($H$290:H307)-1)+1),"")</f>
        <v/>
      </c>
      <c r="I307" t="str">
        <f>IFERROR(INDEX('M04-S13'!$BJ$18:$BJ$199,2*(ROWS(I$290:I307)-1)+1),"")</f>
        <v/>
      </c>
      <c r="J307" s="9" t="str">
        <f>IFERROR(INDEX('M04-S13'!$BN$18:$BN$199,2*(ROWS(J$290:J307)-1)+1),"")</f>
        <v/>
      </c>
      <c r="K307" s="9" t="str">
        <f>IFERROR(INDEX('M04-S13'!$BO$18:$BO$199,2*(ROWS(K$290:K307)-1)+1),"")</f>
        <v/>
      </c>
      <c r="L307" s="51" t="str">
        <f>IFERROR(INDEX('M04-S13'!$BD$18:$BD$199,2*(ROWS(L$290:L307)-1)+1),"")</f>
        <v/>
      </c>
      <c r="M307" s="184"/>
      <c r="N307" s="171"/>
      <c r="O307">
        <f>IFERROR(INDEX('M04-S13'!$C$18:$C$199,2*(ROWS(O$290:O307)-1)+1),"")</f>
        <v>0</v>
      </c>
      <c r="P307" t="str" cm="1">
        <f t="array" aca="1" ref="P307" ca="1">_xlfn.LET( _xlpm.Rows, 2*(ROWS(Q$290:Q307)-1)+1,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MATCH(C307,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7" t="str" cm="1">
        <f t="array" aca="1" ref="Q307" ca="1">_xlfn.LET( _xlpm.Rows, 2*(ROWS(Q$290:Q307)-1)+1,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MATCH(C307,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7" t="str">
        <f>IFERROR(INDEX('M04-S13'!$AX$18:$AX$199,2*(ROWS(S$290:S307)-1)+1),"")</f>
        <v/>
      </c>
      <c r="T307" s="545" t="str" cm="1">
        <f t="array" ref="T307">IFERROR(ROUND(IF(BB307&lt;&gt;"", "", INDEX('M04-S13'!$AY$18:$AY$199,2*(ROWS(T$290:T307)-1)+1)),3),"")</f>
        <v/>
      </c>
      <c r="U307" s="545" t="str" cm="1">
        <f t="array" ref="U307">IFERROR(ROUND(IF(BB307&lt;&gt;"", "", INDEX('M04-S13'!$AZ$18:$AZ$199,2*(ROWS(U$290:U307)-1)+1)),3),"")</f>
        <v/>
      </c>
      <c r="V307" s="184"/>
      <c r="W307" s="184"/>
      <c r="X307" s="184"/>
      <c r="Y307" s="184"/>
      <c r="Z307" s="184"/>
      <c r="AA307" s="9" t="str" cm="1">
        <f t="array" ref="AA307">IFERROR(ROUND(INDEX('M04-S13'!$AR$18:$AR$199,2*(ROWS(AA$290:AA307)-1)+1), 2),"")</f>
        <v/>
      </c>
      <c r="AB307" s="9" t="str" cm="1">
        <f t="array" ref="AB307">_xlfn.LET(_xlpm.ROWS, 2*(ROWS(AB$290:AB307)-1)+1,IFERROR(INDEX('M04-S13'!$AR$18:$AR$199, _xlpm.ROWS)-INDEX('M04-S13'!$BS$18:$BS$199, _xlpm.ROWS),""))</f>
        <v/>
      </c>
      <c r="AC307" s="9" cm="1">
        <f t="array" ref="AC307">IFERROR(ROUND(IF(BB307&lt;&gt;"", "",INDEX('M04-S13'!$AE$18:$AE$199,2*(ROWS(AC$290:AC307)-1)+1)),2),"")</f>
        <v>0</v>
      </c>
      <c r="AD307" s="9" cm="1">
        <f t="array" ref="AD307">IFERROR(ROUND(IF(BB307&lt;&gt;"", "", INDEX('M04-S13'!$AG$18:$AG$199,2*(ROWS(AD$290:AD307)-1)+1)),2),"")</f>
        <v>0</v>
      </c>
      <c r="AE307" s="9" t="str" cm="1">
        <f t="array" ref="AE307">IFERROR(ROUND(IF(BB307&lt;&gt;"", "", INDEX('M04-S13'!$BL$18:$BL$199,2*(ROWS(AG$290:AG307)-1)+1)),2),"")</f>
        <v/>
      </c>
      <c r="AF307" t="str">
        <f t="shared" si="46"/>
        <v>Incremental</v>
      </c>
      <c r="AG307" s="9" t="str" cm="1">
        <f t="array" ref="AG307">IFERROR(ROUND(IF(BB307&lt;&gt;"", "", INDEX('M04-S13'!$BL$18:$BL$199,2*(ROWS(AG$290:AG307)-1)+1)),2),"")</f>
        <v/>
      </c>
      <c r="AH307" s="184"/>
      <c r="AI307" s="184"/>
      <c r="AJ307" s="32" t="str">
        <f>IFERROR(ROUND(INDEX('M04-S13'!$BE$18:$BE$199,2*(ROWS(AJ$290:AJ307)-1)+1),4),"")</f>
        <v/>
      </c>
      <c r="AK307" s="184"/>
      <c r="AL307" s="32" t="str">
        <f>IFERROR(ROUND(INDEX('M04-S13'!$BF$18:$BF$199,2*(ROWS(AL$290:AL307)-1)+1),4),"")</f>
        <v/>
      </c>
      <c r="AM307" s="32" t="str">
        <f>IFERROR(ROUND(INDEX('M04-S13'!$BA$18:$BA$199,2*(ROWS(AM$290:AM307)-1)+1),4),"")</f>
        <v/>
      </c>
      <c r="AN307" s="32" t="str" cm="1">
        <f t="array" aca="1" ref="AN307" ca="1">IFERROR(ROUND(NDEX('M04-S13'!$BB$18:$BB$199,2*(ROWS(AN$290:AN307)-1)+1),4),"")</f>
        <v/>
      </c>
      <c r="AO307" s="184"/>
      <c r="AP307" s="9" t="str" cm="1">
        <f t="array" ref="AP307">IFERROR(ROUND(IF(BB307&lt;&gt;"",INDEX('M04-S13'!$AE$18:$AE$199,2*(ROWS(AP$290:AP307)-1)+1),""),2),"")</f>
        <v/>
      </c>
      <c r="AQ307" s="9" t="str" cm="1">
        <f t="array" ref="AQ307">IFERROR(ROUND(IF(BB307&lt;&gt;"",INDEX('M04-S13'!$AG$18:$AG$199,2*(ROWS(AQ$290:AQ307)-1)+1),""),2),"")</f>
        <v/>
      </c>
      <c r="AR307" s="9" t="str" cm="1">
        <f t="array" ref="AR307">IFERROR(ROUND(IF(BB307&lt;&gt;"",INDEX('M04-S13'!$BL$18:$BL$199,2*(ROWS(AT$290:AT307)-1)+1),""),2),"")</f>
        <v/>
      </c>
      <c r="AS307" t="str">
        <f t="shared" si="51"/>
        <v/>
      </c>
      <c r="AT307" s="9" t="str" cm="1">
        <f t="array" ref="AT307">IFERROR(ROUND(IF(BB307&lt;&gt;"",INDEX('M04-S13'!$BL$18:$BL$199,2*(ROWS(AT$290:AT307)-1)+1),""),2),"")</f>
        <v/>
      </c>
      <c r="AU307" s="184"/>
      <c r="AV307" s="5" t="str" cm="1">
        <f t="array" ref="AV307">IFERROR(IF(BB307&lt;&gt;"",ROUND(INDEX('M04-S13'!$V$18:$V$199,2*(ROWS(AV$290:AV307)-1)+1),3),""),"")</f>
        <v/>
      </c>
      <c r="AW307" s="5" t="str" cm="1">
        <f t="array" ref="AW307">IFERROR(IF(BB307&lt;&gt;"",ROUND(INDEX('M04-S13'!$V$18:$V$199,2*(ROWS(AW$290:AW307)-1)+1),3),""),"")</f>
        <v/>
      </c>
      <c r="AX307" s="184"/>
      <c r="AY307" s="26" t="str" cm="1">
        <f t="array" ref="AY307">IFERROR(IF(BB307&lt;&gt;"",INDEX('M04-S13'!$BE$18:$BE$199,2*(ROWS(AY$290:AY307)-1)+1),""),"")</f>
        <v/>
      </c>
      <c r="AZ307" s="184"/>
      <c r="BA307" s="32" t="str" cm="1">
        <f t="array" ref="BA307">IFERROR(IF(BB307&lt;&gt;"",INDEX('M04-S13'!$BF$18:$BF$199,2*(ROWS(BA$290:BA307)-1)+1),""),"")</f>
        <v/>
      </c>
      <c r="BB307" t="str" cm="1">
        <f t="array" ref="BB307">IFERROR(INDEX('M04-S13'!$BY$18:$BY$199,2*(ROWS(BB$290:BB307)-1)+1),"")</f>
        <v/>
      </c>
    </row>
    <row r="308" spans="1:54">
      <c r="A308" s="10">
        <f t="shared" si="48"/>
        <v>0</v>
      </c>
      <c r="B308" t="str">
        <f t="shared" si="50"/>
        <v/>
      </c>
      <c r="C308" t="str" cm="1">
        <f t="array" ref="C308">IFERROR(_xlfn.VALUETOTEXT(INDEX('M04-S13'!$BW$18:$BW$199,2*(ROWS($C$290:C308)-1)+1)),"")</f>
        <v/>
      </c>
      <c r="D308">
        <f>IFERROR(INDEX('M04-S13'!$B$18:$B$199,2*(ROWS(D$290:D308)-1)+1),"")</f>
        <v>19</v>
      </c>
      <c r="E308" s="51" t="str" cm="1">
        <f t="array" ref="E308">IFERROR(_xlfn.VALUETOTEXT(INDEX('M04-S13'!$BX$18:$BX$199,2*(ROWS($E$290:E308)-1)+1)),"")</f>
        <v/>
      </c>
      <c r="F308" t="str" cm="1">
        <f t="array" ref="F308">IF(C308&lt;&gt;"", _xlfn.SWITCH(Program_Banner, "Small Business / Non-Profit", "Hard-To-Reach Business", "Business Energy Savings", "Whole Business Efficiency", ""), "")</f>
        <v/>
      </c>
      <c r="G308" t="s">
        <v>2779</v>
      </c>
      <c r="H308" t="str">
        <f>IFERROR(INDEX('M04-S13'!$BC$18:$BC$199,2*(ROWS($H$290:H308)-1)+1),"")</f>
        <v/>
      </c>
      <c r="I308" t="str">
        <f>IFERROR(INDEX('M04-S13'!$BJ$18:$BJ$199,2*(ROWS(I$290:I308)-1)+1),"")</f>
        <v/>
      </c>
      <c r="J308" s="9" t="str">
        <f>IFERROR(INDEX('M04-S13'!$BN$18:$BN$199,2*(ROWS(J$290:J308)-1)+1),"")</f>
        <v/>
      </c>
      <c r="K308" s="9" t="str">
        <f>IFERROR(INDEX('M04-S13'!$BO$18:$BO$199,2*(ROWS(K$290:K308)-1)+1),"")</f>
        <v/>
      </c>
      <c r="L308" s="51" t="str">
        <f>IFERROR(INDEX('M04-S13'!$BD$18:$BD$199,2*(ROWS(L$290:L308)-1)+1),"")</f>
        <v/>
      </c>
      <c r="M308" s="184"/>
      <c r="N308" s="171"/>
      <c r="O308">
        <f>IFERROR(INDEX('M04-S13'!$C$18:$C$199,2*(ROWS(O$290:O308)-1)+1),"")</f>
        <v>0</v>
      </c>
      <c r="P308" t="str" cm="1">
        <f t="array" aca="1" ref="P308" ca="1">_xlfn.LET( _xlpm.Rows, 2*(ROWS(Q$290:Q308)-1)+1,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MATCH(C308,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8" t="str" cm="1">
        <f t="array" aca="1" ref="Q308" ca="1">_xlfn.LET( _xlpm.Rows, 2*(ROWS(Q$290:Q308)-1)+1,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MATCH(C308,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8" t="str">
        <f>IFERROR(INDEX('M04-S13'!$AX$18:$AX$199,2*(ROWS(S$290:S308)-1)+1),"")</f>
        <v/>
      </c>
      <c r="T308" s="545" t="str" cm="1">
        <f t="array" ref="T308">IFERROR(ROUND(IF(BB308&lt;&gt;"", "", INDEX('M04-S13'!$AY$18:$AY$199,2*(ROWS(T$290:T308)-1)+1)),3),"")</f>
        <v/>
      </c>
      <c r="U308" s="545" t="str" cm="1">
        <f t="array" ref="U308">IFERROR(ROUND(IF(BB308&lt;&gt;"", "", INDEX('M04-S13'!$AZ$18:$AZ$199,2*(ROWS(U$290:U308)-1)+1)),3),"")</f>
        <v/>
      </c>
      <c r="V308" s="184"/>
      <c r="W308" s="184"/>
      <c r="X308" s="184"/>
      <c r="Y308" s="184"/>
      <c r="Z308" s="184"/>
      <c r="AA308" s="9" t="str" cm="1">
        <f t="array" ref="AA308">IFERROR(ROUND(INDEX('M04-S13'!$AR$18:$AR$199,2*(ROWS(AA$290:AA308)-1)+1), 2),"")</f>
        <v/>
      </c>
      <c r="AB308" s="9" t="str" cm="1">
        <f t="array" ref="AB308">_xlfn.LET(_xlpm.ROWS, 2*(ROWS(AB$290:AB308)-1)+1,IFERROR(INDEX('M04-S13'!$AR$18:$AR$199, _xlpm.ROWS)-INDEX('M04-S13'!$BS$18:$BS$199, _xlpm.ROWS),""))</f>
        <v/>
      </c>
      <c r="AC308" s="9" cm="1">
        <f t="array" ref="AC308">IFERROR(ROUND(IF(BB308&lt;&gt;"", "",INDEX('M04-S13'!$AE$18:$AE$199,2*(ROWS(AC$290:AC308)-1)+1)),2),"")</f>
        <v>0</v>
      </c>
      <c r="AD308" s="9" cm="1">
        <f t="array" ref="AD308">IFERROR(ROUND(IF(BB308&lt;&gt;"", "", INDEX('M04-S13'!$AG$18:$AG$199,2*(ROWS(AD$290:AD308)-1)+1)),2),"")</f>
        <v>0</v>
      </c>
      <c r="AE308" s="9" t="str" cm="1">
        <f t="array" ref="AE308">IFERROR(ROUND(IF(BB308&lt;&gt;"", "", INDEX('M04-S13'!$BL$18:$BL$199,2*(ROWS(AG$290:AG308)-1)+1)),2),"")</f>
        <v/>
      </c>
      <c r="AF308" t="str">
        <f t="shared" si="46"/>
        <v>Incremental</v>
      </c>
      <c r="AG308" s="9" t="str" cm="1">
        <f t="array" ref="AG308">IFERROR(ROUND(IF(BB308&lt;&gt;"", "", INDEX('M04-S13'!$BL$18:$BL$199,2*(ROWS(AG$290:AG308)-1)+1)),2),"")</f>
        <v/>
      </c>
      <c r="AH308" s="184"/>
      <c r="AI308" s="184"/>
      <c r="AJ308" s="32" t="str">
        <f>IFERROR(ROUND(INDEX('M04-S13'!$BE$18:$BE$199,2*(ROWS(AJ$290:AJ308)-1)+1),4),"")</f>
        <v/>
      </c>
      <c r="AK308" s="184"/>
      <c r="AL308" s="32" t="str">
        <f>IFERROR(ROUND(INDEX('M04-S13'!$BF$18:$BF$199,2*(ROWS(AL$290:AL308)-1)+1),4),"")</f>
        <v/>
      </c>
      <c r="AM308" s="32" t="str">
        <f>IFERROR(ROUND(INDEX('M04-S13'!$BA$18:$BA$199,2*(ROWS(AM$290:AM308)-1)+1),4),"")</f>
        <v/>
      </c>
      <c r="AN308" s="32" t="str" cm="1">
        <f t="array" aca="1" ref="AN308" ca="1">IFERROR(ROUND(NDEX('M04-S13'!$BB$18:$BB$199,2*(ROWS(AN$290:AN308)-1)+1),4),"")</f>
        <v/>
      </c>
      <c r="AO308" s="184"/>
      <c r="AP308" s="9" t="str" cm="1">
        <f t="array" ref="AP308">IFERROR(ROUND(IF(BB308&lt;&gt;"",INDEX('M04-S13'!$AE$18:$AE$199,2*(ROWS(AP$290:AP308)-1)+1),""),2),"")</f>
        <v/>
      </c>
      <c r="AQ308" s="9" t="str" cm="1">
        <f t="array" ref="AQ308">IFERROR(ROUND(IF(BB308&lt;&gt;"",INDEX('M04-S13'!$AG$18:$AG$199,2*(ROWS(AQ$290:AQ308)-1)+1),""),2),"")</f>
        <v/>
      </c>
      <c r="AR308" s="9" t="str" cm="1">
        <f t="array" ref="AR308">IFERROR(ROUND(IF(BB308&lt;&gt;"",INDEX('M04-S13'!$BL$18:$BL$199,2*(ROWS(AT$290:AT308)-1)+1),""),2),"")</f>
        <v/>
      </c>
      <c r="AS308" t="str">
        <f t="shared" si="51"/>
        <v/>
      </c>
      <c r="AT308" s="9" t="str" cm="1">
        <f t="array" ref="AT308">IFERROR(ROUND(IF(BB308&lt;&gt;"",INDEX('M04-S13'!$BL$18:$BL$199,2*(ROWS(AT$290:AT308)-1)+1),""),2),"")</f>
        <v/>
      </c>
      <c r="AU308" s="184"/>
      <c r="AV308" s="5" t="str" cm="1">
        <f t="array" ref="AV308">IFERROR(IF(BB308&lt;&gt;"",ROUND(INDEX('M04-S13'!$V$18:$V$199,2*(ROWS(AV$290:AV308)-1)+1),3),""),"")</f>
        <v/>
      </c>
      <c r="AW308" s="5" t="str" cm="1">
        <f t="array" ref="AW308">IFERROR(IF(BB308&lt;&gt;"",ROUND(INDEX('M04-S13'!$V$18:$V$199,2*(ROWS(AW$290:AW308)-1)+1),3),""),"")</f>
        <v/>
      </c>
      <c r="AX308" s="184"/>
      <c r="AY308" s="26" t="str" cm="1">
        <f t="array" ref="AY308">IFERROR(IF(BB308&lt;&gt;"",INDEX('M04-S13'!$BE$18:$BE$199,2*(ROWS(AY$290:AY308)-1)+1),""),"")</f>
        <v/>
      </c>
      <c r="AZ308" s="184"/>
      <c r="BA308" s="32" t="str" cm="1">
        <f t="array" ref="BA308">IFERROR(IF(BB308&lt;&gt;"",INDEX('M04-S13'!$BF$18:$BF$199,2*(ROWS(BA$290:BA308)-1)+1),""),"")</f>
        <v/>
      </c>
      <c r="BB308" t="str" cm="1">
        <f t="array" ref="BB308">IFERROR(INDEX('M04-S13'!$BY$18:$BY$199,2*(ROWS(BB$290:BB308)-1)+1),"")</f>
        <v/>
      </c>
    </row>
    <row r="309" spans="1:54">
      <c r="A309" s="10">
        <f t="shared" si="48"/>
        <v>0</v>
      </c>
      <c r="B309" t="str">
        <f t="shared" ref="B309:B324" si="52">IF(C309="","",CONCATENATE(ROW(),"-",C309))</f>
        <v/>
      </c>
      <c r="C309" t="str" cm="1">
        <f t="array" ref="C309">IFERROR(_xlfn.VALUETOTEXT(INDEX('M04-S13'!$BW$18:$BW$199,2*(ROWS($C$290:C309)-1)+1)),"")</f>
        <v/>
      </c>
      <c r="D309">
        <f>IFERROR(INDEX('M04-S13'!$B$18:$B$199,2*(ROWS(D$290:D309)-1)+1),"")</f>
        <v>20</v>
      </c>
      <c r="E309" s="51" t="str" cm="1">
        <f t="array" ref="E309">IFERROR(_xlfn.VALUETOTEXT(INDEX('M04-S13'!$BX$18:$BX$199,2*(ROWS($E$290:E309)-1)+1)),"")</f>
        <v/>
      </c>
      <c r="F309" t="str" cm="1">
        <f t="array" ref="F309">IF(C309&lt;&gt;"", _xlfn.SWITCH(Program_Banner, "Small Business / Non-Profit", "Hard-To-Reach Business", "Business Energy Savings", "Whole Business Efficiency", ""), "")</f>
        <v/>
      </c>
      <c r="G309" t="s">
        <v>2779</v>
      </c>
      <c r="H309" t="str">
        <f>IFERROR(INDEX('M04-S13'!$BC$18:$BC$199,2*(ROWS($H$290:H309)-1)+1),"")</f>
        <v/>
      </c>
      <c r="I309" t="str">
        <f>IFERROR(INDEX('M04-S13'!$BJ$18:$BJ$199,2*(ROWS(I$290:I309)-1)+1),"")</f>
        <v/>
      </c>
      <c r="J309" s="9" t="str">
        <f>IFERROR(INDEX('M04-S13'!$BN$18:$BN$199,2*(ROWS(J$290:J309)-1)+1),"")</f>
        <v/>
      </c>
      <c r="K309" s="9" t="str">
        <f>IFERROR(INDEX('M04-S13'!$BO$18:$BO$199,2*(ROWS(K$290:K309)-1)+1),"")</f>
        <v/>
      </c>
      <c r="L309" s="51" t="str">
        <f>IFERROR(INDEX('M04-S13'!$BD$18:$BD$199,2*(ROWS(L$290:L309)-1)+1),"")</f>
        <v/>
      </c>
      <c r="M309" s="184"/>
      <c r="N309" s="171"/>
      <c r="O309">
        <f>IFERROR(INDEX('M04-S13'!$C$18:$C$199,2*(ROWS(O$290:O309)-1)+1),"")</f>
        <v>0</v>
      </c>
      <c r="P309" t="str" cm="1">
        <f t="array" aca="1" ref="P309" ca="1">_xlfn.LET( _xlpm.Rows, 2*(ROWS(Q$290:Q309)-1)+1,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MATCH(C309,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9" t="str" cm="1">
        <f t="array" aca="1" ref="Q309" ca="1">_xlfn.LET( _xlpm.Rows, 2*(ROWS(Q$290:Q309)-1)+1,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MATCH(C309,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9" t="str">
        <f>IFERROR(INDEX('M04-S13'!$AX$18:$AX$199,2*(ROWS(S$290:S309)-1)+1),"")</f>
        <v/>
      </c>
      <c r="T309" s="545" t="str" cm="1">
        <f t="array" ref="T309">IFERROR(ROUND(IF(BB309&lt;&gt;"", "", INDEX('M04-S13'!$AY$18:$AY$199,2*(ROWS(T$290:T309)-1)+1)),3),"")</f>
        <v/>
      </c>
      <c r="U309" s="545" t="str" cm="1">
        <f t="array" ref="U309">IFERROR(ROUND(IF(BB309&lt;&gt;"", "", INDEX('M04-S13'!$AZ$18:$AZ$199,2*(ROWS(U$290:U309)-1)+1)),3),"")</f>
        <v/>
      </c>
      <c r="V309" s="184"/>
      <c r="W309" s="184"/>
      <c r="X309" s="184"/>
      <c r="Y309" s="184"/>
      <c r="Z309" s="184"/>
      <c r="AA309" s="9" t="str" cm="1">
        <f t="array" ref="AA309">IFERROR(ROUND(INDEX('M04-S13'!$AR$18:$AR$199,2*(ROWS(AA$290:AA309)-1)+1), 2),"")</f>
        <v/>
      </c>
      <c r="AB309" s="9" t="str" cm="1">
        <f t="array" ref="AB309">_xlfn.LET(_xlpm.ROWS, 2*(ROWS(AB$290:AB309)-1)+1,IFERROR(INDEX('M04-S13'!$AR$18:$AR$199, _xlpm.ROWS)-INDEX('M04-S13'!$BS$18:$BS$199, _xlpm.ROWS),""))</f>
        <v/>
      </c>
      <c r="AC309" s="9" cm="1">
        <f t="array" ref="AC309">IFERROR(ROUND(IF(BB309&lt;&gt;"", "",INDEX('M04-S13'!$AE$18:$AE$199,2*(ROWS(AC$290:AC309)-1)+1)),2),"")</f>
        <v>0</v>
      </c>
      <c r="AD309" s="9" cm="1">
        <f t="array" ref="AD309">IFERROR(ROUND(IF(BB309&lt;&gt;"", "", INDEX('M04-S13'!$AG$18:$AG$199,2*(ROWS(AD$290:AD309)-1)+1)),2),"")</f>
        <v>0</v>
      </c>
      <c r="AE309" s="9" t="str" cm="1">
        <f t="array" ref="AE309">IFERROR(ROUND(IF(BB309&lt;&gt;"", "", INDEX('M04-S13'!$BL$18:$BL$199,2*(ROWS(AG$290:AG309)-1)+1)),2),"")</f>
        <v/>
      </c>
      <c r="AF309" t="str">
        <f t="shared" si="46"/>
        <v>Incremental</v>
      </c>
      <c r="AG309" s="9" t="str" cm="1">
        <f t="array" ref="AG309">IFERROR(ROUND(IF(BB309&lt;&gt;"", "", INDEX('M04-S13'!$BL$18:$BL$199,2*(ROWS(AG$290:AG309)-1)+1)),2),"")</f>
        <v/>
      </c>
      <c r="AH309" s="184"/>
      <c r="AI309" s="184"/>
      <c r="AJ309" s="32" t="str">
        <f>IFERROR(ROUND(INDEX('M04-S13'!$BE$18:$BE$199,2*(ROWS(AJ$290:AJ309)-1)+1),4),"")</f>
        <v/>
      </c>
      <c r="AK309" s="184"/>
      <c r="AL309" s="32" t="str">
        <f>IFERROR(ROUND(INDEX('M04-S13'!$BF$18:$BF$199,2*(ROWS(AL$290:AL309)-1)+1),4),"")</f>
        <v/>
      </c>
      <c r="AM309" s="32" t="str">
        <f>IFERROR(ROUND(INDEX('M04-S13'!$BA$18:$BA$199,2*(ROWS(AM$290:AM309)-1)+1),4),"")</f>
        <v/>
      </c>
      <c r="AN309" s="32" t="str" cm="1">
        <f t="array" aca="1" ref="AN309" ca="1">IFERROR(ROUND(NDEX('M04-S13'!$BB$18:$BB$199,2*(ROWS(AN$290:AN309)-1)+1),4),"")</f>
        <v/>
      </c>
      <c r="AO309" s="184"/>
      <c r="AP309" s="9" t="str" cm="1">
        <f t="array" ref="AP309">IFERROR(ROUND(IF(BB309&lt;&gt;"",INDEX('M04-S13'!$AE$18:$AE$199,2*(ROWS(AP$290:AP309)-1)+1),""),2),"")</f>
        <v/>
      </c>
      <c r="AQ309" s="9" t="str" cm="1">
        <f t="array" ref="AQ309">IFERROR(ROUND(IF(BB309&lt;&gt;"",INDEX('M04-S13'!$AG$18:$AG$199,2*(ROWS(AQ$290:AQ309)-1)+1),""),2),"")</f>
        <v/>
      </c>
      <c r="AR309" s="9" t="str" cm="1">
        <f t="array" ref="AR309">IFERROR(ROUND(IF(BB309&lt;&gt;"",INDEX('M04-S13'!$BL$18:$BL$199,2*(ROWS(AT$290:AT309)-1)+1),""),2),"")</f>
        <v/>
      </c>
      <c r="AS309" t="str">
        <f t="shared" si="51"/>
        <v/>
      </c>
      <c r="AT309" s="9" t="str" cm="1">
        <f t="array" ref="AT309">IFERROR(ROUND(IF(BB309&lt;&gt;"",INDEX('M04-S13'!$BL$18:$BL$199,2*(ROWS(AT$290:AT309)-1)+1),""),2),"")</f>
        <v/>
      </c>
      <c r="AU309" s="184"/>
      <c r="AV309" s="5" t="str" cm="1">
        <f t="array" ref="AV309">IFERROR(IF(BB309&lt;&gt;"",ROUND(INDEX('M04-S13'!$V$18:$V$199,2*(ROWS(AV$290:AV309)-1)+1),3),""),"")</f>
        <v/>
      </c>
      <c r="AW309" s="5" t="str" cm="1">
        <f t="array" ref="AW309">IFERROR(IF(BB309&lt;&gt;"",ROUND(INDEX('M04-S13'!$V$18:$V$199,2*(ROWS(AW$290:AW309)-1)+1),3),""),"")</f>
        <v/>
      </c>
      <c r="AX309" s="184"/>
      <c r="AY309" s="26" t="str" cm="1">
        <f t="array" ref="AY309">IFERROR(IF(BB309&lt;&gt;"",INDEX('M04-S13'!$BE$18:$BE$199,2*(ROWS(AY$290:AY309)-1)+1),""),"")</f>
        <v/>
      </c>
      <c r="AZ309" s="184"/>
      <c r="BA309" s="32" t="str" cm="1">
        <f t="array" ref="BA309">IFERROR(IF(BB309&lt;&gt;"",INDEX('M04-S13'!$BF$18:$BF$199,2*(ROWS(BA$290:BA309)-1)+1),""),"")</f>
        <v/>
      </c>
      <c r="BB309" t="str" cm="1">
        <f t="array" ref="BB309">IFERROR(INDEX('M04-S13'!$BY$18:$BY$199,2*(ROWS(BB$290:BB309)-1)+1),"")</f>
        <v/>
      </c>
    </row>
    <row r="310" spans="1:54">
      <c r="A310" s="10">
        <f t="shared" si="48"/>
        <v>0</v>
      </c>
      <c r="B310" t="str">
        <f t="shared" si="52"/>
        <v/>
      </c>
      <c r="C310" t="str" cm="1">
        <f t="array" ref="C310">IFERROR(_xlfn.VALUETOTEXT(INDEX('M04-S13'!$BW$18:$BW$199,2*(ROWS($C$290:C310)-1)+1)),"")</f>
        <v/>
      </c>
      <c r="D310">
        <f>IFERROR(INDEX('M04-S13'!$B$18:$B$199,2*(ROWS(D$290:D310)-1)+1),"")</f>
        <v>21</v>
      </c>
      <c r="E310" s="51" t="str" cm="1">
        <f t="array" ref="E310">IFERROR(_xlfn.VALUETOTEXT(INDEX('M04-S13'!$BX$18:$BX$199,2*(ROWS($E$290:E310)-1)+1)),"")</f>
        <v/>
      </c>
      <c r="F310" t="str" cm="1">
        <f t="array" ref="F310">IF(C310&lt;&gt;"", _xlfn.SWITCH(Program_Banner, "Small Business / Non-Profit", "Hard-To-Reach Business", "Business Energy Savings", "Whole Business Efficiency", ""), "")</f>
        <v/>
      </c>
      <c r="G310" t="s">
        <v>2779</v>
      </c>
      <c r="H310" t="str">
        <f>IFERROR(INDEX('M04-S13'!$BC$18:$BC$199,2*(ROWS($H$290:H310)-1)+1),"")</f>
        <v/>
      </c>
      <c r="I310" t="str">
        <f>IFERROR(INDEX('M04-S13'!$BJ$18:$BJ$199,2*(ROWS(I$290:I310)-1)+1),"")</f>
        <v/>
      </c>
      <c r="J310" s="9" t="str">
        <f>IFERROR(INDEX('M04-S13'!$BN$18:$BN$199,2*(ROWS(J$290:J310)-1)+1),"")</f>
        <v/>
      </c>
      <c r="K310" s="9" t="str">
        <f>IFERROR(INDEX('M04-S13'!$BO$18:$BO$199,2*(ROWS(K$290:K310)-1)+1),"")</f>
        <v/>
      </c>
      <c r="L310" s="51" t="str">
        <f>IFERROR(INDEX('M04-S13'!$BD$18:$BD$199,2*(ROWS(L$290:L310)-1)+1),"")</f>
        <v/>
      </c>
      <c r="M310" s="184"/>
      <c r="N310" s="171"/>
      <c r="O310">
        <f>IFERROR(INDEX('M04-S13'!$C$18:$C$199,2*(ROWS(O$290:O310)-1)+1),"")</f>
        <v>0</v>
      </c>
      <c r="P310" t="str" cm="1">
        <f t="array" aca="1" ref="P310" ca="1">_xlfn.LET( _xlpm.Rows, 2*(ROWS(Q$290:Q310)-1)+1,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0" t="str" cm="1">
        <f t="array" aca="1" ref="Q310" ca="1">_xlfn.LET( _xlpm.Rows, 2*(ROWS(Q$290:Q310)-1)+1,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0" t="str">
        <f>IFERROR(INDEX('M04-S13'!$AX$18:$AX$199,2*(ROWS(S$290:S310)-1)+1),"")</f>
        <v/>
      </c>
      <c r="T310" s="545" t="str" cm="1">
        <f t="array" ref="T310">IFERROR(ROUND(IF(BB310&lt;&gt;"", "", INDEX('M04-S13'!$AY$18:$AY$199,2*(ROWS(T$290:T310)-1)+1)),3),"")</f>
        <v/>
      </c>
      <c r="U310" s="545" t="str" cm="1">
        <f t="array" ref="U310">IFERROR(ROUND(IF(BB310&lt;&gt;"", "", INDEX('M04-S13'!$AZ$18:$AZ$199,2*(ROWS(U$290:U310)-1)+1)),3),"")</f>
        <v/>
      </c>
      <c r="V310" s="184"/>
      <c r="W310" s="184"/>
      <c r="X310" s="184"/>
      <c r="Y310" s="184"/>
      <c r="Z310" s="184"/>
      <c r="AA310" s="9" t="str" cm="1">
        <f t="array" ref="AA310">IFERROR(ROUND(INDEX('M04-S13'!$AR$18:$AR$199,2*(ROWS(AA$290:AA310)-1)+1), 2),"")</f>
        <v/>
      </c>
      <c r="AB310" s="9" t="str" cm="1">
        <f t="array" ref="AB310">_xlfn.LET(_xlpm.ROWS, 2*(ROWS(AB$290:AB310)-1)+1,IFERROR(INDEX('M04-S13'!$AR$18:$AR$199, _xlpm.ROWS)-INDEX('M04-S13'!$BS$18:$BS$199, _xlpm.ROWS),""))</f>
        <v/>
      </c>
      <c r="AC310" s="9" cm="1">
        <f t="array" ref="AC310">IFERROR(ROUND(IF(BB310&lt;&gt;"", "",INDEX('M04-S13'!$AE$18:$AE$199,2*(ROWS(AC$290:AC310)-1)+1)),2),"")</f>
        <v>0</v>
      </c>
      <c r="AD310" s="9" cm="1">
        <f t="array" ref="AD310">IFERROR(ROUND(IF(BB310&lt;&gt;"", "", INDEX('M04-S13'!$AG$18:$AG$199,2*(ROWS(AD$290:AD310)-1)+1)),2),"")</f>
        <v>0</v>
      </c>
      <c r="AE310" s="9" t="str" cm="1">
        <f t="array" ref="AE310">IFERROR(ROUND(IF(BB310&lt;&gt;"", "", INDEX('M04-S13'!$BL$18:$BL$199,2*(ROWS(AG$290:AG310)-1)+1)),2),"")</f>
        <v/>
      </c>
      <c r="AF310" t="str">
        <f t="shared" si="46"/>
        <v>Incremental</v>
      </c>
      <c r="AG310" s="9" t="str" cm="1">
        <f t="array" ref="AG310">IFERROR(ROUND(IF(BB310&lt;&gt;"", "", INDEX('M04-S13'!$BL$18:$BL$199,2*(ROWS(AG$290:AG310)-1)+1)),2),"")</f>
        <v/>
      </c>
      <c r="AH310" s="184"/>
      <c r="AI310" s="184"/>
      <c r="AJ310" s="32" t="str">
        <f>IFERROR(ROUND(INDEX('M04-S13'!$BE$18:$BE$199,2*(ROWS(AJ$290:AJ310)-1)+1),4),"")</f>
        <v/>
      </c>
      <c r="AK310" s="184"/>
      <c r="AL310" s="32" t="str">
        <f>IFERROR(ROUND(INDEX('M04-S13'!$BF$18:$BF$199,2*(ROWS(AL$290:AL310)-1)+1),4),"")</f>
        <v/>
      </c>
      <c r="AM310" s="32" t="str">
        <f>IFERROR(ROUND(INDEX('M04-S13'!$BA$18:$BA$199,2*(ROWS(AM$290:AM310)-1)+1),4),"")</f>
        <v/>
      </c>
      <c r="AN310" s="32" t="str" cm="1">
        <f t="array" aca="1" ref="AN310" ca="1">IFERROR(ROUND(NDEX('M04-S13'!$BB$18:$BB$199,2*(ROWS(AN$290:AN310)-1)+1),4),"")</f>
        <v/>
      </c>
      <c r="AO310" s="184"/>
      <c r="AP310" s="9" t="str" cm="1">
        <f t="array" ref="AP310">IFERROR(ROUND(IF(BB310&lt;&gt;"",INDEX('M04-S13'!$AE$18:$AE$199,2*(ROWS(AP$290:AP310)-1)+1),""),2),"")</f>
        <v/>
      </c>
      <c r="AQ310" s="9" t="str" cm="1">
        <f t="array" ref="AQ310">IFERROR(ROUND(IF(BB310&lt;&gt;"",INDEX('M04-S13'!$AG$18:$AG$199,2*(ROWS(AQ$290:AQ310)-1)+1),""),2),"")</f>
        <v/>
      </c>
      <c r="AR310" s="9" t="str" cm="1">
        <f t="array" ref="AR310">IFERROR(ROUND(IF(BB310&lt;&gt;"",INDEX('M04-S13'!$BL$18:$BL$199,2*(ROWS(AT$290:AT310)-1)+1),""),2),"")</f>
        <v/>
      </c>
      <c r="AS310" t="str">
        <f t="shared" si="51"/>
        <v/>
      </c>
      <c r="AT310" s="9" t="str" cm="1">
        <f t="array" ref="AT310">IFERROR(ROUND(IF(BB310&lt;&gt;"",INDEX('M04-S13'!$BL$18:$BL$199,2*(ROWS(AT$290:AT310)-1)+1),""),2),"")</f>
        <v/>
      </c>
      <c r="AU310" s="184"/>
      <c r="AV310" s="5" t="str" cm="1">
        <f t="array" ref="AV310">IFERROR(IF(BB310&lt;&gt;"",ROUND(INDEX('M04-S13'!$V$18:$V$199,2*(ROWS(AV$290:AV310)-1)+1),3),""),"")</f>
        <v/>
      </c>
      <c r="AW310" s="5" t="str" cm="1">
        <f t="array" ref="AW310">IFERROR(IF(BB310&lt;&gt;"",ROUND(INDEX('M04-S13'!$V$18:$V$199,2*(ROWS(AW$290:AW310)-1)+1),3),""),"")</f>
        <v/>
      </c>
      <c r="AX310" s="184"/>
      <c r="AY310" s="26" t="str" cm="1">
        <f t="array" ref="AY310">IFERROR(IF(BB310&lt;&gt;"",INDEX('M04-S13'!$BE$18:$BE$199,2*(ROWS(AY$290:AY310)-1)+1),""),"")</f>
        <v/>
      </c>
      <c r="AZ310" s="184"/>
      <c r="BA310" s="32" t="str" cm="1">
        <f t="array" ref="BA310">IFERROR(IF(BB310&lt;&gt;"",INDEX('M04-S13'!$BF$18:$BF$199,2*(ROWS(BA$290:BA310)-1)+1),""),"")</f>
        <v/>
      </c>
      <c r="BB310" t="str" cm="1">
        <f t="array" ref="BB310">IFERROR(INDEX('M04-S13'!$BY$18:$BY$199,2*(ROWS(BB$290:BB310)-1)+1),"")</f>
        <v/>
      </c>
    </row>
    <row r="311" spans="1:54">
      <c r="A311" s="10">
        <f t="shared" si="48"/>
        <v>0</v>
      </c>
      <c r="B311" t="str">
        <f t="shared" si="52"/>
        <v/>
      </c>
      <c r="C311" t="str" cm="1">
        <f t="array" ref="C311">IFERROR(_xlfn.VALUETOTEXT(INDEX('M04-S13'!$BW$18:$BW$199,2*(ROWS($C$290:C311)-1)+1)),"")</f>
        <v/>
      </c>
      <c r="D311">
        <f>IFERROR(INDEX('M04-S13'!$B$18:$B$199,2*(ROWS(D$290:D311)-1)+1),"")</f>
        <v>22</v>
      </c>
      <c r="E311" s="51" t="str" cm="1">
        <f t="array" ref="E311">IFERROR(_xlfn.VALUETOTEXT(INDEX('M04-S13'!$BX$18:$BX$199,2*(ROWS($E$290:E311)-1)+1)),"")</f>
        <v/>
      </c>
      <c r="F311" t="str" cm="1">
        <f t="array" ref="F311">IF(C311&lt;&gt;"", _xlfn.SWITCH(Program_Banner, "Small Business / Non-Profit", "Hard-To-Reach Business", "Business Energy Savings", "Whole Business Efficiency", ""), "")</f>
        <v/>
      </c>
      <c r="G311" t="s">
        <v>2779</v>
      </c>
      <c r="H311" t="str">
        <f>IFERROR(INDEX('M04-S13'!$BC$18:$BC$199,2*(ROWS($H$290:H311)-1)+1),"")</f>
        <v/>
      </c>
      <c r="I311" t="str">
        <f>IFERROR(INDEX('M04-S13'!$BJ$18:$BJ$199,2*(ROWS(I$290:I311)-1)+1),"")</f>
        <v/>
      </c>
      <c r="J311" s="9" t="str">
        <f>IFERROR(INDEX('M04-S13'!$BN$18:$BN$199,2*(ROWS(J$290:J311)-1)+1),"")</f>
        <v/>
      </c>
      <c r="K311" s="9" t="str">
        <f>IFERROR(INDEX('M04-S13'!$BO$18:$BO$199,2*(ROWS(K$290:K311)-1)+1),"")</f>
        <v/>
      </c>
      <c r="L311" s="51" t="str">
        <f>IFERROR(INDEX('M04-S13'!$BD$18:$BD$199,2*(ROWS(L$290:L311)-1)+1),"")</f>
        <v/>
      </c>
      <c r="M311" s="184"/>
      <c r="N311" s="171"/>
      <c r="O311">
        <f>IFERROR(INDEX('M04-S13'!$C$18:$C$199,2*(ROWS(O$290:O311)-1)+1),"")</f>
        <v>0</v>
      </c>
      <c r="P311" t="str" cm="1">
        <f t="array" aca="1" ref="P311" ca="1">_xlfn.LET( _xlpm.Rows, 2*(ROWS(Q$290:Q311)-1)+1,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1" t="str" cm="1">
        <f t="array" aca="1" ref="Q311" ca="1">_xlfn.LET( _xlpm.Rows, 2*(ROWS(Q$290:Q311)-1)+1,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1" t="str">
        <f>IFERROR(INDEX('M04-S13'!$AX$18:$AX$199,2*(ROWS(S$290:S311)-1)+1),"")</f>
        <v/>
      </c>
      <c r="T311" s="545" t="str" cm="1">
        <f t="array" ref="T311">IFERROR(ROUND(IF(BB311&lt;&gt;"", "", INDEX('M04-S13'!$AY$18:$AY$199,2*(ROWS(T$290:T311)-1)+1)),3),"")</f>
        <v/>
      </c>
      <c r="U311" s="545" t="str" cm="1">
        <f t="array" ref="U311">IFERROR(ROUND(IF(BB311&lt;&gt;"", "", INDEX('M04-S13'!$AZ$18:$AZ$199,2*(ROWS(U$290:U311)-1)+1)),3),"")</f>
        <v/>
      </c>
      <c r="V311" s="184"/>
      <c r="W311" s="184"/>
      <c r="X311" s="184"/>
      <c r="Y311" s="184"/>
      <c r="Z311" s="184"/>
      <c r="AA311" s="9" t="str" cm="1">
        <f t="array" ref="AA311">IFERROR(ROUND(INDEX('M04-S13'!$AR$18:$AR$199,2*(ROWS(AA$290:AA311)-1)+1), 2),"")</f>
        <v/>
      </c>
      <c r="AB311" s="9" t="str" cm="1">
        <f t="array" ref="AB311">_xlfn.LET(_xlpm.ROWS, 2*(ROWS(AB$290:AB311)-1)+1,IFERROR(INDEX('M04-S13'!$AR$18:$AR$199, _xlpm.ROWS)-INDEX('M04-S13'!$BS$18:$BS$199, _xlpm.ROWS),""))</f>
        <v/>
      </c>
      <c r="AC311" s="9" cm="1">
        <f t="array" ref="AC311">IFERROR(ROUND(IF(BB311&lt;&gt;"", "",INDEX('M04-S13'!$AE$18:$AE$199,2*(ROWS(AC$290:AC311)-1)+1)),2),"")</f>
        <v>0</v>
      </c>
      <c r="AD311" s="9" cm="1">
        <f t="array" ref="AD311">IFERROR(ROUND(IF(BB311&lt;&gt;"", "", INDEX('M04-S13'!$AG$18:$AG$199,2*(ROWS(AD$290:AD311)-1)+1)),2),"")</f>
        <v>0</v>
      </c>
      <c r="AE311" s="9" t="str" cm="1">
        <f t="array" ref="AE311">IFERROR(ROUND(IF(BB311&lt;&gt;"", "", INDEX('M04-S13'!$BL$18:$BL$199,2*(ROWS(AG$290:AG311)-1)+1)),2),"")</f>
        <v/>
      </c>
      <c r="AF311" t="str">
        <f t="shared" si="46"/>
        <v>Incremental</v>
      </c>
      <c r="AG311" s="9" t="str" cm="1">
        <f t="array" ref="AG311">IFERROR(ROUND(IF(BB311&lt;&gt;"", "", INDEX('M04-S13'!$BL$18:$BL$199,2*(ROWS(AG$290:AG311)-1)+1)),2),"")</f>
        <v/>
      </c>
      <c r="AH311" s="184"/>
      <c r="AI311" s="184"/>
      <c r="AJ311" s="32" t="str">
        <f>IFERROR(ROUND(INDEX('M04-S13'!$BE$18:$BE$199,2*(ROWS(AJ$290:AJ311)-1)+1),4),"")</f>
        <v/>
      </c>
      <c r="AK311" s="184"/>
      <c r="AL311" s="32" t="str">
        <f>IFERROR(ROUND(INDEX('M04-S13'!$BF$18:$BF$199,2*(ROWS(AL$290:AL311)-1)+1),4),"")</f>
        <v/>
      </c>
      <c r="AM311" s="32" t="str">
        <f>IFERROR(ROUND(INDEX('M04-S13'!$BA$18:$BA$199,2*(ROWS(AM$290:AM311)-1)+1),4),"")</f>
        <v/>
      </c>
      <c r="AN311" s="32" t="str" cm="1">
        <f t="array" aca="1" ref="AN311" ca="1">IFERROR(ROUND(NDEX('M04-S13'!$BB$18:$BB$199,2*(ROWS(AN$290:AN311)-1)+1),4),"")</f>
        <v/>
      </c>
      <c r="AO311" s="184"/>
      <c r="AP311" s="9" t="str" cm="1">
        <f t="array" ref="AP311">IFERROR(ROUND(IF(BB311&lt;&gt;"",INDEX('M04-S13'!$AE$18:$AE$199,2*(ROWS(AP$290:AP311)-1)+1),""),2),"")</f>
        <v/>
      </c>
      <c r="AQ311" s="9" t="str" cm="1">
        <f t="array" ref="AQ311">IFERROR(ROUND(IF(BB311&lt;&gt;"",INDEX('M04-S13'!$AG$18:$AG$199,2*(ROWS(AQ$290:AQ311)-1)+1),""),2),"")</f>
        <v/>
      </c>
      <c r="AR311" s="9" t="str" cm="1">
        <f t="array" ref="AR311">IFERROR(ROUND(IF(BB311&lt;&gt;"",INDEX('M04-S13'!$BL$18:$BL$199,2*(ROWS(AT$290:AT311)-1)+1),""),2),"")</f>
        <v/>
      </c>
      <c r="AS311" t="str">
        <f t="shared" si="51"/>
        <v/>
      </c>
      <c r="AT311" s="9" t="str" cm="1">
        <f t="array" ref="AT311">IFERROR(ROUND(IF(BB311&lt;&gt;"",INDEX('M04-S13'!$BL$18:$BL$199,2*(ROWS(AT$290:AT311)-1)+1),""),2),"")</f>
        <v/>
      </c>
      <c r="AU311" s="184"/>
      <c r="AV311" s="5" t="str" cm="1">
        <f t="array" ref="AV311">IFERROR(IF(BB311&lt;&gt;"",ROUND(INDEX('M04-S13'!$V$18:$V$199,2*(ROWS(AV$290:AV311)-1)+1),3),""),"")</f>
        <v/>
      </c>
      <c r="AW311" s="5" t="str" cm="1">
        <f t="array" ref="AW311">IFERROR(IF(BB311&lt;&gt;"",ROUND(INDEX('M04-S13'!$V$18:$V$199,2*(ROWS(AW$290:AW311)-1)+1),3),""),"")</f>
        <v/>
      </c>
      <c r="AX311" s="184"/>
      <c r="AY311" s="26" t="str" cm="1">
        <f t="array" ref="AY311">IFERROR(IF(BB311&lt;&gt;"",INDEX('M04-S13'!$BE$18:$BE$199,2*(ROWS(AY$290:AY311)-1)+1),""),"")</f>
        <v/>
      </c>
      <c r="AZ311" s="184"/>
      <c r="BA311" s="32" t="str" cm="1">
        <f t="array" ref="BA311">IFERROR(IF(BB311&lt;&gt;"",INDEX('M04-S13'!$BF$18:$BF$199,2*(ROWS(BA$290:BA311)-1)+1),""),"")</f>
        <v/>
      </c>
      <c r="BB311" t="str" cm="1">
        <f t="array" ref="BB311">IFERROR(INDEX('M04-S13'!$BY$18:$BY$199,2*(ROWS(BB$290:BB311)-1)+1),"")</f>
        <v/>
      </c>
    </row>
    <row r="312" spans="1:54">
      <c r="A312" s="10">
        <f t="shared" si="48"/>
        <v>0</v>
      </c>
      <c r="B312" t="str">
        <f t="shared" si="52"/>
        <v/>
      </c>
      <c r="C312" t="str" cm="1">
        <f t="array" ref="C312">IFERROR(_xlfn.VALUETOTEXT(INDEX('M04-S13'!$BW$18:$BW$199,2*(ROWS($C$290:C312)-1)+1)),"")</f>
        <v/>
      </c>
      <c r="D312">
        <f>IFERROR(INDEX('M04-S13'!$B$18:$B$199,2*(ROWS(D$290:D312)-1)+1),"")</f>
        <v>23</v>
      </c>
      <c r="E312" s="51" t="str" cm="1">
        <f t="array" ref="E312">IFERROR(_xlfn.VALUETOTEXT(INDEX('M04-S13'!$BX$18:$BX$199,2*(ROWS($E$290:E312)-1)+1)),"")</f>
        <v/>
      </c>
      <c r="F312" t="str" cm="1">
        <f t="array" ref="F312">IF(C312&lt;&gt;"", _xlfn.SWITCH(Program_Banner, "Small Business / Non-Profit", "Hard-To-Reach Business", "Business Energy Savings", "Whole Business Efficiency", ""), "")</f>
        <v/>
      </c>
      <c r="G312" t="s">
        <v>2779</v>
      </c>
      <c r="H312" t="str">
        <f>IFERROR(INDEX('M04-S13'!$BC$18:$BC$199,2*(ROWS($H$290:H312)-1)+1),"")</f>
        <v/>
      </c>
      <c r="I312" t="str">
        <f>IFERROR(INDEX('M04-S13'!$BJ$18:$BJ$199,2*(ROWS(I$290:I312)-1)+1),"")</f>
        <v/>
      </c>
      <c r="J312" s="9" t="str">
        <f>IFERROR(INDEX('M04-S13'!$BN$18:$BN$199,2*(ROWS(J$290:J312)-1)+1),"")</f>
        <v/>
      </c>
      <c r="K312" s="9" t="str">
        <f>IFERROR(INDEX('M04-S13'!$BO$18:$BO$199,2*(ROWS(K$290:K312)-1)+1),"")</f>
        <v/>
      </c>
      <c r="L312" s="51" t="str">
        <f>IFERROR(INDEX('M04-S13'!$BD$18:$BD$199,2*(ROWS(L$290:L312)-1)+1),"")</f>
        <v/>
      </c>
      <c r="M312" s="184"/>
      <c r="N312" s="171"/>
      <c r="O312">
        <f>IFERROR(INDEX('M04-S13'!$C$18:$C$199,2*(ROWS(O$290:O312)-1)+1),"")</f>
        <v>0</v>
      </c>
      <c r="P312" t="str" cm="1">
        <f t="array" aca="1" ref="P312" ca="1">_xlfn.LET( _xlpm.Rows, 2*(ROWS(Q$290:Q312)-1)+1,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2" t="str" cm="1">
        <f t="array" aca="1" ref="Q312" ca="1">_xlfn.LET( _xlpm.Rows, 2*(ROWS(Q$290:Q312)-1)+1,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2" t="str">
        <f>IFERROR(INDEX('M04-S13'!$AX$18:$AX$199,2*(ROWS(S$290:S312)-1)+1),"")</f>
        <v/>
      </c>
      <c r="T312" s="545" t="str" cm="1">
        <f t="array" ref="T312">IFERROR(ROUND(IF(BB312&lt;&gt;"", "", INDEX('M04-S13'!$AY$18:$AY$199,2*(ROWS(T$290:T312)-1)+1)),3),"")</f>
        <v/>
      </c>
      <c r="U312" s="545" t="str" cm="1">
        <f t="array" ref="U312">IFERROR(ROUND(IF(BB312&lt;&gt;"", "", INDEX('M04-S13'!$AZ$18:$AZ$199,2*(ROWS(U$290:U312)-1)+1)),3),"")</f>
        <v/>
      </c>
      <c r="V312" s="184"/>
      <c r="W312" s="184"/>
      <c r="X312" s="184"/>
      <c r="Y312" s="184"/>
      <c r="Z312" s="184"/>
      <c r="AA312" s="9" t="str" cm="1">
        <f t="array" ref="AA312">IFERROR(ROUND(INDEX('M04-S13'!$AR$18:$AR$199,2*(ROWS(AA$290:AA312)-1)+1), 2),"")</f>
        <v/>
      </c>
      <c r="AB312" s="9" t="str" cm="1">
        <f t="array" ref="AB312">_xlfn.LET(_xlpm.ROWS, 2*(ROWS(AB$290:AB312)-1)+1,IFERROR(INDEX('M04-S13'!$AR$18:$AR$199, _xlpm.ROWS)-INDEX('M04-S13'!$BS$18:$BS$199, _xlpm.ROWS),""))</f>
        <v/>
      </c>
      <c r="AC312" s="9" cm="1">
        <f t="array" ref="AC312">IFERROR(ROUND(IF(BB312&lt;&gt;"", "",INDEX('M04-S13'!$AE$18:$AE$199,2*(ROWS(AC$290:AC312)-1)+1)),2),"")</f>
        <v>0</v>
      </c>
      <c r="AD312" s="9" cm="1">
        <f t="array" ref="AD312">IFERROR(ROUND(IF(BB312&lt;&gt;"", "", INDEX('M04-S13'!$AG$18:$AG$199,2*(ROWS(AD$290:AD312)-1)+1)),2),"")</f>
        <v>0</v>
      </c>
      <c r="AE312" s="9" t="str" cm="1">
        <f t="array" ref="AE312">IFERROR(ROUND(IF(BB312&lt;&gt;"", "", INDEX('M04-S13'!$BL$18:$BL$199,2*(ROWS(AG$290:AG312)-1)+1)),2),"")</f>
        <v/>
      </c>
      <c r="AF312" t="str">
        <f t="shared" si="46"/>
        <v>Incremental</v>
      </c>
      <c r="AG312" s="9" t="str" cm="1">
        <f t="array" ref="AG312">IFERROR(ROUND(IF(BB312&lt;&gt;"", "", INDEX('M04-S13'!$BL$18:$BL$199,2*(ROWS(AG$290:AG312)-1)+1)),2),"")</f>
        <v/>
      </c>
      <c r="AH312" s="184"/>
      <c r="AI312" s="184"/>
      <c r="AJ312" s="32" t="str">
        <f>IFERROR(ROUND(INDEX('M04-S13'!$BE$18:$BE$199,2*(ROWS(AJ$290:AJ312)-1)+1),4),"")</f>
        <v/>
      </c>
      <c r="AK312" s="184"/>
      <c r="AL312" s="32" t="str">
        <f>IFERROR(ROUND(INDEX('M04-S13'!$BF$18:$BF$199,2*(ROWS(AL$290:AL312)-1)+1),4),"")</f>
        <v/>
      </c>
      <c r="AM312" s="32" t="str">
        <f>IFERROR(ROUND(INDEX('M04-S13'!$BA$18:$BA$199,2*(ROWS(AM$290:AM312)-1)+1),4),"")</f>
        <v/>
      </c>
      <c r="AN312" s="32" t="str" cm="1">
        <f t="array" aca="1" ref="AN312" ca="1">IFERROR(ROUND(NDEX('M04-S13'!$BB$18:$BB$199,2*(ROWS(AN$290:AN312)-1)+1),4),"")</f>
        <v/>
      </c>
      <c r="AO312" s="184"/>
      <c r="AP312" s="9" t="str" cm="1">
        <f t="array" ref="AP312">IFERROR(ROUND(IF(BB312&lt;&gt;"",INDEX('M04-S13'!$AE$18:$AE$199,2*(ROWS(AP$290:AP312)-1)+1),""),2),"")</f>
        <v/>
      </c>
      <c r="AQ312" s="9" t="str" cm="1">
        <f t="array" ref="AQ312">IFERROR(ROUND(IF(BB312&lt;&gt;"",INDEX('M04-S13'!$AG$18:$AG$199,2*(ROWS(AQ$290:AQ312)-1)+1),""),2),"")</f>
        <v/>
      </c>
      <c r="AR312" s="9" t="str" cm="1">
        <f t="array" ref="AR312">IFERROR(ROUND(IF(BB312&lt;&gt;"",INDEX('M04-S13'!$BL$18:$BL$199,2*(ROWS(AT$290:AT312)-1)+1),""),2),"")</f>
        <v/>
      </c>
      <c r="AS312" t="str">
        <f t="shared" si="51"/>
        <v/>
      </c>
      <c r="AT312" s="9" t="str" cm="1">
        <f t="array" ref="AT312">IFERROR(ROUND(IF(BB312&lt;&gt;"",INDEX('M04-S13'!$BL$18:$BL$199,2*(ROWS(AT$290:AT312)-1)+1),""),2),"")</f>
        <v/>
      </c>
      <c r="AU312" s="184"/>
      <c r="AV312" s="5" t="str" cm="1">
        <f t="array" ref="AV312">IFERROR(IF(BB312&lt;&gt;"",ROUND(INDEX('M04-S13'!$V$18:$V$199,2*(ROWS(AV$290:AV312)-1)+1),3),""),"")</f>
        <v/>
      </c>
      <c r="AW312" s="5" t="str" cm="1">
        <f t="array" ref="AW312">IFERROR(IF(BB312&lt;&gt;"",ROUND(INDEX('M04-S13'!$V$18:$V$199,2*(ROWS(AW$290:AW312)-1)+1),3),""),"")</f>
        <v/>
      </c>
      <c r="AX312" s="184"/>
      <c r="AY312" s="26" t="str" cm="1">
        <f t="array" ref="AY312">IFERROR(IF(BB312&lt;&gt;"",INDEX('M04-S13'!$BE$18:$BE$199,2*(ROWS(AY$290:AY312)-1)+1),""),"")</f>
        <v/>
      </c>
      <c r="AZ312" s="184"/>
      <c r="BA312" s="32" t="str" cm="1">
        <f t="array" ref="BA312">IFERROR(IF(BB312&lt;&gt;"",INDEX('M04-S13'!$BF$18:$BF$199,2*(ROWS(BA$290:BA312)-1)+1),""),"")</f>
        <v/>
      </c>
      <c r="BB312" t="str" cm="1">
        <f t="array" ref="BB312">IFERROR(INDEX('M04-S13'!$BY$18:$BY$199,2*(ROWS(BB$290:BB312)-1)+1),"")</f>
        <v/>
      </c>
    </row>
    <row r="313" spans="1:54">
      <c r="A313" s="10">
        <f t="shared" si="48"/>
        <v>0</v>
      </c>
      <c r="B313" t="str">
        <f t="shared" si="52"/>
        <v/>
      </c>
      <c r="C313" t="str" cm="1">
        <f t="array" ref="C313">IFERROR(_xlfn.VALUETOTEXT(INDEX('M04-S13'!$BW$18:$BW$199,2*(ROWS($C$290:C313)-1)+1)),"")</f>
        <v/>
      </c>
      <c r="D313">
        <f>IFERROR(INDEX('M04-S13'!$B$18:$B$199,2*(ROWS(D$290:D313)-1)+1),"")</f>
        <v>24</v>
      </c>
      <c r="E313" s="51" t="str" cm="1">
        <f t="array" ref="E313">IFERROR(_xlfn.VALUETOTEXT(INDEX('M04-S13'!$BX$18:$BX$199,2*(ROWS($E$290:E313)-1)+1)),"")</f>
        <v/>
      </c>
      <c r="F313" t="str" cm="1">
        <f t="array" ref="F313">IF(C313&lt;&gt;"", _xlfn.SWITCH(Program_Banner, "Small Business / Non-Profit", "Hard-To-Reach Business", "Business Energy Savings", "Whole Business Efficiency", ""), "")</f>
        <v/>
      </c>
      <c r="G313" t="s">
        <v>2779</v>
      </c>
      <c r="H313" t="str">
        <f>IFERROR(INDEX('M04-S13'!$BC$18:$BC$199,2*(ROWS($H$290:H313)-1)+1),"")</f>
        <v/>
      </c>
      <c r="I313" t="str">
        <f>IFERROR(INDEX('M04-S13'!$BJ$18:$BJ$199,2*(ROWS(I$290:I313)-1)+1),"")</f>
        <v/>
      </c>
      <c r="J313" s="9" t="str">
        <f>IFERROR(INDEX('M04-S13'!$BN$18:$BN$199,2*(ROWS(J$290:J313)-1)+1),"")</f>
        <v/>
      </c>
      <c r="K313" s="9" t="str">
        <f>IFERROR(INDEX('M04-S13'!$BO$18:$BO$199,2*(ROWS(K$290:K313)-1)+1),"")</f>
        <v/>
      </c>
      <c r="L313" s="51" t="str">
        <f>IFERROR(INDEX('M04-S13'!$BD$18:$BD$199,2*(ROWS(L$290:L313)-1)+1),"")</f>
        <v/>
      </c>
      <c r="M313" s="184"/>
      <c r="N313" s="171"/>
      <c r="O313">
        <f>IFERROR(INDEX('M04-S13'!$C$18:$C$199,2*(ROWS(O$290:O313)-1)+1),"")</f>
        <v>0</v>
      </c>
      <c r="P313" t="str" cm="1">
        <f t="array" aca="1" ref="P313" ca="1">_xlfn.LET( _xlpm.Rows, 2*(ROWS(Q$290:Q313)-1)+1,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3" t="str" cm="1">
        <f t="array" aca="1" ref="Q313" ca="1">_xlfn.LET( _xlpm.Rows, 2*(ROWS(Q$290:Q313)-1)+1,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3" t="str">
        <f>IFERROR(INDEX('M04-S13'!$AX$18:$AX$199,2*(ROWS(S$290:S313)-1)+1),"")</f>
        <v/>
      </c>
      <c r="T313" s="545" t="str" cm="1">
        <f t="array" ref="T313">IFERROR(ROUND(IF(BB313&lt;&gt;"", "", INDEX('M04-S13'!$AY$18:$AY$199,2*(ROWS(T$290:T313)-1)+1)),3),"")</f>
        <v/>
      </c>
      <c r="U313" s="545" t="str" cm="1">
        <f t="array" ref="U313">IFERROR(ROUND(IF(BB313&lt;&gt;"", "", INDEX('M04-S13'!$AZ$18:$AZ$199,2*(ROWS(U$290:U313)-1)+1)),3),"")</f>
        <v/>
      </c>
      <c r="V313" s="184"/>
      <c r="W313" s="184"/>
      <c r="X313" s="184"/>
      <c r="Y313" s="184"/>
      <c r="Z313" s="184"/>
      <c r="AA313" s="9" t="str" cm="1">
        <f t="array" ref="AA313">IFERROR(ROUND(INDEX('M04-S13'!$AR$18:$AR$199,2*(ROWS(AA$290:AA313)-1)+1), 2),"")</f>
        <v/>
      </c>
      <c r="AB313" s="9" t="str" cm="1">
        <f t="array" ref="AB313">_xlfn.LET(_xlpm.ROWS, 2*(ROWS(AB$290:AB313)-1)+1,IFERROR(INDEX('M04-S13'!$AR$18:$AR$199, _xlpm.ROWS)-INDEX('M04-S13'!$BS$18:$BS$199, _xlpm.ROWS),""))</f>
        <v/>
      </c>
      <c r="AC313" s="9" cm="1">
        <f t="array" ref="AC313">IFERROR(ROUND(IF(BB313&lt;&gt;"", "",INDEX('M04-S13'!$AE$18:$AE$199,2*(ROWS(AC$290:AC313)-1)+1)),2),"")</f>
        <v>0</v>
      </c>
      <c r="AD313" s="9" cm="1">
        <f t="array" ref="AD313">IFERROR(ROUND(IF(BB313&lt;&gt;"", "", INDEX('M04-S13'!$AG$18:$AG$199,2*(ROWS(AD$290:AD313)-1)+1)),2),"")</f>
        <v>0</v>
      </c>
      <c r="AE313" s="9" t="str" cm="1">
        <f t="array" ref="AE313">IFERROR(ROUND(IF(BB313&lt;&gt;"", "", INDEX('M04-S13'!$BL$18:$BL$199,2*(ROWS(AG$290:AG313)-1)+1)),2),"")</f>
        <v/>
      </c>
      <c r="AF313" t="str">
        <f t="shared" si="46"/>
        <v>Incremental</v>
      </c>
      <c r="AG313" s="9" t="str" cm="1">
        <f t="array" ref="AG313">IFERROR(ROUND(IF(BB313&lt;&gt;"", "", INDEX('M04-S13'!$BL$18:$BL$199,2*(ROWS(AG$290:AG313)-1)+1)),2),"")</f>
        <v/>
      </c>
      <c r="AH313" s="184"/>
      <c r="AI313" s="184"/>
      <c r="AJ313" s="32" t="str">
        <f>IFERROR(ROUND(INDEX('M04-S13'!$BE$18:$BE$199,2*(ROWS(AJ$290:AJ313)-1)+1),4),"")</f>
        <v/>
      </c>
      <c r="AK313" s="184"/>
      <c r="AL313" s="32" t="str">
        <f>IFERROR(ROUND(INDEX('M04-S13'!$BF$18:$BF$199,2*(ROWS(AL$290:AL313)-1)+1),4),"")</f>
        <v/>
      </c>
      <c r="AM313" s="32" t="str">
        <f>IFERROR(ROUND(INDEX('M04-S13'!$BA$18:$BA$199,2*(ROWS(AM$290:AM313)-1)+1),4),"")</f>
        <v/>
      </c>
      <c r="AN313" s="32" t="str" cm="1">
        <f t="array" aca="1" ref="AN313" ca="1">IFERROR(ROUND(NDEX('M04-S13'!$BB$18:$BB$199,2*(ROWS(AN$290:AN313)-1)+1),4),"")</f>
        <v/>
      </c>
      <c r="AO313" s="184"/>
      <c r="AP313" s="9" t="str" cm="1">
        <f t="array" ref="AP313">IFERROR(ROUND(IF(BB313&lt;&gt;"",INDEX('M04-S13'!$AE$18:$AE$199,2*(ROWS(AP$290:AP313)-1)+1),""),2),"")</f>
        <v/>
      </c>
      <c r="AQ313" s="9" t="str" cm="1">
        <f t="array" ref="AQ313">IFERROR(ROUND(IF(BB313&lt;&gt;"",INDEX('M04-S13'!$AG$18:$AG$199,2*(ROWS(AQ$290:AQ313)-1)+1),""),2),"")</f>
        <v/>
      </c>
      <c r="AR313" s="9" t="str" cm="1">
        <f t="array" ref="AR313">IFERROR(ROUND(IF(BB313&lt;&gt;"",INDEX('M04-S13'!$BL$18:$BL$199,2*(ROWS(AT$290:AT313)-1)+1),""),2),"")</f>
        <v/>
      </c>
      <c r="AS313" t="str">
        <f t="shared" si="51"/>
        <v/>
      </c>
      <c r="AT313" s="9" t="str" cm="1">
        <f t="array" ref="AT313">IFERROR(ROUND(IF(BB313&lt;&gt;"",INDEX('M04-S13'!$BL$18:$BL$199,2*(ROWS(AT$290:AT313)-1)+1),""),2),"")</f>
        <v/>
      </c>
      <c r="AU313" s="184"/>
      <c r="AV313" s="5" t="str" cm="1">
        <f t="array" ref="AV313">IFERROR(IF(BB313&lt;&gt;"",ROUND(INDEX('M04-S13'!$V$18:$V$199,2*(ROWS(AV$290:AV313)-1)+1),3),""),"")</f>
        <v/>
      </c>
      <c r="AW313" s="5" t="str" cm="1">
        <f t="array" ref="AW313">IFERROR(IF(BB313&lt;&gt;"",ROUND(INDEX('M04-S13'!$V$18:$V$199,2*(ROWS(AW$290:AW313)-1)+1),3),""),"")</f>
        <v/>
      </c>
      <c r="AX313" s="184"/>
      <c r="AY313" s="26" t="str" cm="1">
        <f t="array" ref="AY313">IFERROR(IF(BB313&lt;&gt;"",INDEX('M04-S13'!$BE$18:$BE$199,2*(ROWS(AY$290:AY313)-1)+1),""),"")</f>
        <v/>
      </c>
      <c r="AZ313" s="184"/>
      <c r="BA313" s="32" t="str" cm="1">
        <f t="array" ref="BA313">IFERROR(IF(BB313&lt;&gt;"",INDEX('M04-S13'!$BF$18:$BF$199,2*(ROWS(BA$290:BA313)-1)+1),""),"")</f>
        <v/>
      </c>
      <c r="BB313" t="str" cm="1">
        <f t="array" ref="BB313">IFERROR(INDEX('M04-S13'!$BY$18:$BY$199,2*(ROWS(BB$290:BB313)-1)+1),"")</f>
        <v/>
      </c>
    </row>
    <row r="314" spans="1:54">
      <c r="A314" s="10">
        <f t="shared" si="48"/>
        <v>0</v>
      </c>
      <c r="B314" t="str">
        <f t="shared" si="52"/>
        <v/>
      </c>
      <c r="C314" t="str" cm="1">
        <f t="array" ref="C314">IFERROR(_xlfn.VALUETOTEXT(INDEX('M04-S13'!$BW$18:$BW$199,2*(ROWS($C$290:C314)-1)+1)),"")</f>
        <v/>
      </c>
      <c r="D314">
        <f>IFERROR(INDEX('M04-S13'!$B$18:$B$199,2*(ROWS(D$290:D314)-1)+1),"")</f>
        <v>25</v>
      </c>
      <c r="E314" s="51" t="str" cm="1">
        <f t="array" ref="E314">IFERROR(_xlfn.VALUETOTEXT(INDEX('M04-S13'!$BX$18:$BX$199,2*(ROWS($E$290:E314)-1)+1)),"")</f>
        <v/>
      </c>
      <c r="F314" t="str" cm="1">
        <f t="array" ref="F314">IF(C314&lt;&gt;"", _xlfn.SWITCH(Program_Banner, "Small Business / Non-Profit", "Hard-To-Reach Business", "Business Energy Savings", "Whole Business Efficiency", ""), "")</f>
        <v/>
      </c>
      <c r="G314" t="s">
        <v>2779</v>
      </c>
      <c r="H314" t="str">
        <f>IFERROR(INDEX('M04-S13'!$BC$18:$BC$199,2*(ROWS($H$290:H314)-1)+1),"")</f>
        <v/>
      </c>
      <c r="I314" t="str">
        <f>IFERROR(INDEX('M04-S13'!$BJ$18:$BJ$199,2*(ROWS(I$290:I314)-1)+1),"")</f>
        <v/>
      </c>
      <c r="J314" s="9" t="str">
        <f>IFERROR(INDEX('M04-S13'!$BN$18:$BN$199,2*(ROWS(J$290:J314)-1)+1),"")</f>
        <v/>
      </c>
      <c r="K314" s="9" t="str">
        <f>IFERROR(INDEX('M04-S13'!$BO$18:$BO$199,2*(ROWS(K$290:K314)-1)+1),"")</f>
        <v/>
      </c>
      <c r="L314" s="51" t="str">
        <f>IFERROR(INDEX('M04-S13'!$BD$18:$BD$199,2*(ROWS(L$290:L314)-1)+1),"")</f>
        <v/>
      </c>
      <c r="M314" s="184"/>
      <c r="N314" s="171"/>
      <c r="O314">
        <f>IFERROR(INDEX('M04-S13'!$C$18:$C$199,2*(ROWS(O$290:O314)-1)+1),"")</f>
        <v>0</v>
      </c>
      <c r="P314" t="str" cm="1">
        <f t="array" aca="1" ref="P314" ca="1">_xlfn.LET( _xlpm.Rows, 2*(ROWS(Q$290:Q314)-1)+1,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4" t="str" cm="1">
        <f t="array" aca="1" ref="Q314" ca="1">_xlfn.LET( _xlpm.Rows, 2*(ROWS(Q$290:Q314)-1)+1,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4" t="str">
        <f>IFERROR(INDEX('M04-S13'!$AX$18:$AX$199,2*(ROWS(S$290:S314)-1)+1),"")</f>
        <v/>
      </c>
      <c r="T314" s="545" t="str" cm="1">
        <f t="array" ref="T314">IFERROR(ROUND(IF(BB314&lt;&gt;"", "", INDEX('M04-S13'!$AY$18:$AY$199,2*(ROWS(T$290:T314)-1)+1)),3),"")</f>
        <v/>
      </c>
      <c r="U314" s="545" t="str" cm="1">
        <f t="array" ref="U314">IFERROR(ROUND(IF(BB314&lt;&gt;"", "", INDEX('M04-S13'!$AZ$18:$AZ$199,2*(ROWS(U$290:U314)-1)+1)),3),"")</f>
        <v/>
      </c>
      <c r="V314" s="184"/>
      <c r="W314" s="184"/>
      <c r="X314" s="184"/>
      <c r="Y314" s="184"/>
      <c r="Z314" s="184"/>
      <c r="AA314" s="9" t="str" cm="1">
        <f t="array" ref="AA314">IFERROR(ROUND(INDEX('M04-S13'!$AR$18:$AR$199,2*(ROWS(AA$290:AA314)-1)+1), 2),"")</f>
        <v/>
      </c>
      <c r="AB314" s="9" t="str" cm="1">
        <f t="array" ref="AB314">_xlfn.LET(_xlpm.ROWS, 2*(ROWS(AB$290:AB314)-1)+1,IFERROR(INDEX('M04-S13'!$AR$18:$AR$199, _xlpm.ROWS)-INDEX('M04-S13'!$BS$18:$BS$199, _xlpm.ROWS),""))</f>
        <v/>
      </c>
      <c r="AC314" s="9" cm="1">
        <f t="array" ref="AC314">IFERROR(ROUND(IF(BB314&lt;&gt;"", "",INDEX('M04-S13'!$AE$18:$AE$199,2*(ROWS(AC$290:AC314)-1)+1)),2),"")</f>
        <v>0</v>
      </c>
      <c r="AD314" s="9" cm="1">
        <f t="array" ref="AD314">IFERROR(ROUND(IF(BB314&lt;&gt;"", "", INDEX('M04-S13'!$AG$18:$AG$199,2*(ROWS(AD$290:AD314)-1)+1)),2),"")</f>
        <v>0</v>
      </c>
      <c r="AE314" s="9" t="str" cm="1">
        <f t="array" ref="AE314">IFERROR(ROUND(IF(BB314&lt;&gt;"", "", INDEX('M04-S13'!$BL$18:$BL$199,2*(ROWS(AG$290:AG314)-1)+1)),2),"")</f>
        <v/>
      </c>
      <c r="AF314" t="str">
        <f t="shared" si="46"/>
        <v>Incremental</v>
      </c>
      <c r="AG314" s="9" t="str" cm="1">
        <f t="array" ref="AG314">IFERROR(ROUND(IF(BB314&lt;&gt;"", "", INDEX('M04-S13'!$BL$18:$BL$199,2*(ROWS(AG$290:AG314)-1)+1)),2),"")</f>
        <v/>
      </c>
      <c r="AH314" s="184"/>
      <c r="AI314" s="184"/>
      <c r="AJ314" s="32" t="str">
        <f>IFERROR(ROUND(INDEX('M04-S13'!$BE$18:$BE$199,2*(ROWS(AJ$290:AJ314)-1)+1),4),"")</f>
        <v/>
      </c>
      <c r="AK314" s="184"/>
      <c r="AL314" s="32" t="str">
        <f>IFERROR(ROUND(INDEX('M04-S13'!$BF$18:$BF$199,2*(ROWS(AL$290:AL314)-1)+1),4),"")</f>
        <v/>
      </c>
      <c r="AM314" s="32" t="str">
        <f>IFERROR(ROUND(INDEX('M04-S13'!$BA$18:$BA$199,2*(ROWS(AM$290:AM314)-1)+1),4),"")</f>
        <v/>
      </c>
      <c r="AN314" s="32" t="str" cm="1">
        <f t="array" aca="1" ref="AN314" ca="1">IFERROR(ROUND(NDEX('M04-S13'!$BB$18:$BB$199,2*(ROWS(AN$290:AN314)-1)+1),4),"")</f>
        <v/>
      </c>
      <c r="AO314" s="184"/>
      <c r="AP314" s="9" t="str" cm="1">
        <f t="array" ref="AP314">IFERROR(ROUND(IF(BB314&lt;&gt;"",INDEX('M04-S13'!$AE$18:$AE$199,2*(ROWS(AP$290:AP314)-1)+1),""),2),"")</f>
        <v/>
      </c>
      <c r="AQ314" s="9" t="str" cm="1">
        <f t="array" ref="AQ314">IFERROR(ROUND(IF(BB314&lt;&gt;"",INDEX('M04-S13'!$AG$18:$AG$199,2*(ROWS(AQ$290:AQ314)-1)+1),""),2),"")</f>
        <v/>
      </c>
      <c r="AR314" s="9" t="str" cm="1">
        <f t="array" ref="AR314">IFERROR(ROUND(IF(BB314&lt;&gt;"",INDEX('M04-S13'!$BL$18:$BL$199,2*(ROWS(AT$290:AT314)-1)+1),""),2),"")</f>
        <v/>
      </c>
      <c r="AS314" t="str">
        <f t="shared" si="51"/>
        <v/>
      </c>
      <c r="AT314" s="9" t="str" cm="1">
        <f t="array" ref="AT314">IFERROR(ROUND(IF(BB314&lt;&gt;"",INDEX('M04-S13'!$BL$18:$BL$199,2*(ROWS(AT$290:AT314)-1)+1),""),2),"")</f>
        <v/>
      </c>
      <c r="AU314" s="184"/>
      <c r="AV314" s="5" t="str" cm="1">
        <f t="array" ref="AV314">IFERROR(IF(BB314&lt;&gt;"",ROUND(INDEX('M04-S13'!$V$18:$V$199,2*(ROWS(AV$290:AV314)-1)+1),3),""),"")</f>
        <v/>
      </c>
      <c r="AW314" s="5" t="str" cm="1">
        <f t="array" ref="AW314">IFERROR(IF(BB314&lt;&gt;"",ROUND(INDEX('M04-S13'!$V$18:$V$199,2*(ROWS(AW$290:AW314)-1)+1),3),""),"")</f>
        <v/>
      </c>
      <c r="AX314" s="184"/>
      <c r="AY314" s="26" t="str" cm="1">
        <f t="array" ref="AY314">IFERROR(IF(BB314&lt;&gt;"",INDEX('M04-S13'!$BE$18:$BE$199,2*(ROWS(AY$290:AY314)-1)+1),""),"")</f>
        <v/>
      </c>
      <c r="AZ314" s="184"/>
      <c r="BA314" s="32" t="str" cm="1">
        <f t="array" ref="BA314">IFERROR(IF(BB314&lt;&gt;"",INDEX('M04-S13'!$BF$18:$BF$199,2*(ROWS(BA$290:BA314)-1)+1),""),"")</f>
        <v/>
      </c>
      <c r="BB314" t="str" cm="1">
        <f t="array" ref="BB314">IFERROR(INDEX('M04-S13'!$BY$18:$BY$199,2*(ROWS(BB$290:BB314)-1)+1),"")</f>
        <v/>
      </c>
    </row>
    <row r="315" spans="1:54">
      <c r="A315" s="10">
        <f t="shared" si="48"/>
        <v>0</v>
      </c>
      <c r="B315" t="str">
        <f t="shared" si="52"/>
        <v/>
      </c>
      <c r="C315" t="str" cm="1">
        <f t="array" ref="C315">IFERROR(_xlfn.VALUETOTEXT(INDEX('M04-S13'!$BW$18:$BW$199,2*(ROWS($C$290:C315)-1)+1)),"")</f>
        <v/>
      </c>
      <c r="D315">
        <f>IFERROR(INDEX('M04-S13'!$B$18:$B$199,2*(ROWS(D$290:D315)-1)+1),"")</f>
        <v>26</v>
      </c>
      <c r="E315" s="51" t="str" cm="1">
        <f t="array" ref="E315">IFERROR(_xlfn.VALUETOTEXT(INDEX('M04-S13'!$BX$18:$BX$199,2*(ROWS($E$290:E315)-1)+1)),"")</f>
        <v/>
      </c>
      <c r="F315" t="str" cm="1">
        <f t="array" ref="F315">IF(C315&lt;&gt;"", _xlfn.SWITCH(Program_Banner, "Small Business / Non-Profit", "Hard-To-Reach Business", "Business Energy Savings", "Whole Business Efficiency", ""), "")</f>
        <v/>
      </c>
      <c r="G315" t="s">
        <v>2779</v>
      </c>
      <c r="H315" t="str">
        <f>IFERROR(INDEX('M04-S13'!$BC$18:$BC$199,2*(ROWS($H$290:H315)-1)+1),"")</f>
        <v/>
      </c>
      <c r="I315" t="str">
        <f>IFERROR(INDEX('M04-S13'!$BJ$18:$BJ$199,2*(ROWS(I$290:I315)-1)+1),"")</f>
        <v/>
      </c>
      <c r="J315" s="9" t="str">
        <f>IFERROR(INDEX('M04-S13'!$BN$18:$BN$199,2*(ROWS(J$290:J315)-1)+1),"")</f>
        <v/>
      </c>
      <c r="K315" s="9" t="str">
        <f>IFERROR(INDEX('M04-S13'!$BO$18:$BO$199,2*(ROWS(K$290:K315)-1)+1),"")</f>
        <v/>
      </c>
      <c r="L315" s="51" t="str">
        <f>IFERROR(INDEX('M04-S13'!$BD$18:$BD$199,2*(ROWS(L$290:L315)-1)+1),"")</f>
        <v/>
      </c>
      <c r="M315" s="184"/>
      <c r="N315" s="171"/>
      <c r="O315">
        <f>IFERROR(INDEX('M04-S13'!$C$18:$C$199,2*(ROWS(O$290:O315)-1)+1),"")</f>
        <v>0</v>
      </c>
      <c r="P315" t="str" cm="1">
        <f t="array" aca="1" ref="P315" ca="1">_xlfn.LET( _xlpm.Rows, 2*(ROWS(Q$290:Q315)-1)+1,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MATCH(C315,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5" t="str" cm="1">
        <f t="array" aca="1" ref="Q315" ca="1">_xlfn.LET( _xlpm.Rows, 2*(ROWS(Q$290:Q315)-1)+1,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MATCH(C315,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5" t="str">
        <f>IFERROR(INDEX('M04-S13'!$AX$18:$AX$199,2*(ROWS(S$290:S315)-1)+1),"")</f>
        <v/>
      </c>
      <c r="T315" s="545" t="str" cm="1">
        <f t="array" ref="T315">IFERROR(ROUND(IF(BB315&lt;&gt;"", "", INDEX('M04-S13'!$AY$18:$AY$199,2*(ROWS(T$290:T315)-1)+1)),3),"")</f>
        <v/>
      </c>
      <c r="U315" s="545" t="str" cm="1">
        <f t="array" ref="U315">IFERROR(ROUND(IF(BB315&lt;&gt;"", "", INDEX('M04-S13'!$AZ$18:$AZ$199,2*(ROWS(U$290:U315)-1)+1)),3),"")</f>
        <v/>
      </c>
      <c r="V315" s="184"/>
      <c r="W315" s="184"/>
      <c r="X315" s="184"/>
      <c r="Y315" s="184"/>
      <c r="Z315" s="184"/>
      <c r="AA315" s="9" t="str" cm="1">
        <f t="array" ref="AA315">IFERROR(ROUND(INDEX('M04-S13'!$AR$18:$AR$199,2*(ROWS(AA$290:AA315)-1)+1), 2),"")</f>
        <v/>
      </c>
      <c r="AB315" s="9" t="str" cm="1">
        <f t="array" ref="AB315">_xlfn.LET(_xlpm.ROWS, 2*(ROWS(AB$290:AB315)-1)+1,IFERROR(INDEX('M04-S13'!$AR$18:$AR$199, _xlpm.ROWS)-INDEX('M04-S13'!$BS$18:$BS$199, _xlpm.ROWS),""))</f>
        <v/>
      </c>
      <c r="AC315" s="9" cm="1">
        <f t="array" ref="AC315">IFERROR(ROUND(IF(BB315&lt;&gt;"", "",INDEX('M04-S13'!$AE$18:$AE$199,2*(ROWS(AC$290:AC315)-1)+1)),2),"")</f>
        <v>0</v>
      </c>
      <c r="AD315" s="9" cm="1">
        <f t="array" ref="AD315">IFERROR(ROUND(IF(BB315&lt;&gt;"", "", INDEX('M04-S13'!$AG$18:$AG$199,2*(ROWS(AD$290:AD315)-1)+1)),2),"")</f>
        <v>0</v>
      </c>
      <c r="AE315" s="9" t="str" cm="1">
        <f t="array" ref="AE315">IFERROR(ROUND(IF(BB315&lt;&gt;"", "", INDEX('M04-S13'!$BL$18:$BL$199,2*(ROWS(AG$290:AG315)-1)+1)),2),"")</f>
        <v/>
      </c>
      <c r="AF315" t="str">
        <f t="shared" si="46"/>
        <v>Incremental</v>
      </c>
      <c r="AG315" s="9" t="str" cm="1">
        <f t="array" ref="AG315">IFERROR(ROUND(IF(BB315&lt;&gt;"", "", INDEX('M04-S13'!$BL$18:$BL$199,2*(ROWS(AG$290:AG315)-1)+1)),2),"")</f>
        <v/>
      </c>
      <c r="AH315" s="184"/>
      <c r="AI315" s="184"/>
      <c r="AJ315" s="32" t="str">
        <f>IFERROR(ROUND(INDEX('M04-S13'!$BE$18:$BE$199,2*(ROWS(AJ$290:AJ315)-1)+1),4),"")</f>
        <v/>
      </c>
      <c r="AK315" s="184"/>
      <c r="AL315" s="32" t="str">
        <f>IFERROR(ROUND(INDEX('M04-S13'!$BF$18:$BF$199,2*(ROWS(AL$290:AL315)-1)+1),4),"")</f>
        <v/>
      </c>
      <c r="AM315" s="32" t="str">
        <f>IFERROR(ROUND(INDEX('M04-S13'!$BA$18:$BA$199,2*(ROWS(AM$290:AM315)-1)+1),4),"")</f>
        <v/>
      </c>
      <c r="AN315" s="32" t="str" cm="1">
        <f t="array" aca="1" ref="AN315" ca="1">IFERROR(ROUND(NDEX('M04-S13'!$BB$18:$BB$199,2*(ROWS(AN$290:AN315)-1)+1),4),"")</f>
        <v/>
      </c>
      <c r="AO315" s="184"/>
      <c r="AP315" s="9" t="str" cm="1">
        <f t="array" ref="AP315">IFERROR(ROUND(IF(BB315&lt;&gt;"",INDEX('M04-S13'!$AE$18:$AE$199,2*(ROWS(AP$290:AP315)-1)+1),""),2),"")</f>
        <v/>
      </c>
      <c r="AQ315" s="9" t="str" cm="1">
        <f t="array" ref="AQ315">IFERROR(ROUND(IF(BB315&lt;&gt;"",INDEX('M04-S13'!$AG$18:$AG$199,2*(ROWS(AQ$290:AQ315)-1)+1),""),2),"")</f>
        <v/>
      </c>
      <c r="AR315" s="9" t="str" cm="1">
        <f t="array" ref="AR315">IFERROR(ROUND(IF(BB315&lt;&gt;"",INDEX('M04-S13'!$BL$18:$BL$199,2*(ROWS(AT$290:AT315)-1)+1),""),2),"")</f>
        <v/>
      </c>
      <c r="AS315" t="str">
        <f t="shared" si="51"/>
        <v/>
      </c>
      <c r="AT315" s="9" t="str" cm="1">
        <f t="array" ref="AT315">IFERROR(ROUND(IF(BB315&lt;&gt;"",INDEX('M04-S13'!$BL$18:$BL$199,2*(ROWS(AT$290:AT315)-1)+1),""),2),"")</f>
        <v/>
      </c>
      <c r="AU315" s="184"/>
      <c r="AV315" s="5" t="str" cm="1">
        <f t="array" ref="AV315">IFERROR(IF(BB315&lt;&gt;"",ROUND(INDEX('M04-S13'!$V$18:$V$199,2*(ROWS(AV$290:AV315)-1)+1),3),""),"")</f>
        <v/>
      </c>
      <c r="AW315" s="5" t="str" cm="1">
        <f t="array" ref="AW315">IFERROR(IF(BB315&lt;&gt;"",ROUND(INDEX('M04-S13'!$V$18:$V$199,2*(ROWS(AW$290:AW315)-1)+1),3),""),"")</f>
        <v/>
      </c>
      <c r="AX315" s="184"/>
      <c r="AY315" s="26" t="str" cm="1">
        <f t="array" ref="AY315">IFERROR(IF(BB315&lt;&gt;"",INDEX('M04-S13'!$BE$18:$BE$199,2*(ROWS(AY$290:AY315)-1)+1),""),"")</f>
        <v/>
      </c>
      <c r="AZ315" s="184"/>
      <c r="BA315" s="32" t="str" cm="1">
        <f t="array" ref="BA315">IFERROR(IF(BB315&lt;&gt;"",INDEX('M04-S13'!$BF$18:$BF$199,2*(ROWS(BA$290:BA315)-1)+1),""),"")</f>
        <v/>
      </c>
      <c r="BB315" t="str" cm="1">
        <f t="array" ref="BB315">IFERROR(INDEX('M04-S13'!$BY$18:$BY$199,2*(ROWS(BB$290:BB315)-1)+1),"")</f>
        <v/>
      </c>
    </row>
    <row r="316" spans="1:54">
      <c r="A316" s="10">
        <f t="shared" si="48"/>
        <v>0</v>
      </c>
      <c r="B316" t="str">
        <f t="shared" si="52"/>
        <v/>
      </c>
      <c r="C316" t="str" cm="1">
        <f t="array" ref="C316">IFERROR(_xlfn.VALUETOTEXT(INDEX('M04-S13'!$BW$18:$BW$199,2*(ROWS($C$290:C316)-1)+1)),"")</f>
        <v/>
      </c>
      <c r="D316">
        <f>IFERROR(INDEX('M04-S13'!$B$18:$B$199,2*(ROWS(D$290:D316)-1)+1),"")</f>
        <v>27</v>
      </c>
      <c r="E316" s="51" t="str" cm="1">
        <f t="array" ref="E316">IFERROR(_xlfn.VALUETOTEXT(INDEX('M04-S13'!$BX$18:$BX$199,2*(ROWS($E$290:E316)-1)+1)),"")</f>
        <v/>
      </c>
      <c r="F316" t="str" cm="1">
        <f t="array" ref="F316">IF(C316&lt;&gt;"", _xlfn.SWITCH(Program_Banner, "Small Business / Non-Profit", "Hard-To-Reach Business", "Business Energy Savings", "Whole Business Efficiency", ""), "")</f>
        <v/>
      </c>
      <c r="G316" t="s">
        <v>2779</v>
      </c>
      <c r="H316" t="str">
        <f>IFERROR(INDEX('M04-S13'!$BC$18:$BC$199,2*(ROWS($H$290:H316)-1)+1),"")</f>
        <v/>
      </c>
      <c r="I316" t="str">
        <f>IFERROR(INDEX('M04-S13'!$BJ$18:$BJ$199,2*(ROWS(I$290:I316)-1)+1),"")</f>
        <v/>
      </c>
      <c r="J316" s="9" t="str">
        <f>IFERROR(INDEX('M04-S13'!$BN$18:$BN$199,2*(ROWS(J$290:J316)-1)+1),"")</f>
        <v/>
      </c>
      <c r="K316" s="9" t="str">
        <f>IFERROR(INDEX('M04-S13'!$BO$18:$BO$199,2*(ROWS(K$290:K316)-1)+1),"")</f>
        <v/>
      </c>
      <c r="L316" s="51" t="str">
        <f>IFERROR(INDEX('M04-S13'!$BD$18:$BD$199,2*(ROWS(L$290:L316)-1)+1),"")</f>
        <v/>
      </c>
      <c r="M316" s="184"/>
      <c r="N316" s="171"/>
      <c r="O316">
        <f>IFERROR(INDEX('M04-S13'!$C$18:$C$199,2*(ROWS(O$290:O316)-1)+1),"")</f>
        <v>0</v>
      </c>
      <c r="P316" t="str" cm="1">
        <f t="array" aca="1" ref="P316" ca="1">_xlfn.LET( _xlpm.Rows, 2*(ROWS(Q$290:Q316)-1)+1,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MATCH(C316,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6" t="str" cm="1">
        <f t="array" aca="1" ref="Q316" ca="1">_xlfn.LET( _xlpm.Rows, 2*(ROWS(Q$290:Q316)-1)+1,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MATCH(C316,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6" t="str">
        <f>IFERROR(INDEX('M04-S13'!$AX$18:$AX$199,2*(ROWS(S$290:S316)-1)+1),"")</f>
        <v/>
      </c>
      <c r="T316" s="545" t="str" cm="1">
        <f t="array" ref="T316">IFERROR(ROUND(IF(BB316&lt;&gt;"", "", INDEX('M04-S13'!$AY$18:$AY$199,2*(ROWS(T$290:T316)-1)+1)),3),"")</f>
        <v/>
      </c>
      <c r="U316" s="545" t="str" cm="1">
        <f t="array" ref="U316">IFERROR(ROUND(IF(BB316&lt;&gt;"", "", INDEX('M04-S13'!$AZ$18:$AZ$199,2*(ROWS(U$290:U316)-1)+1)),3),"")</f>
        <v/>
      </c>
      <c r="V316" s="184"/>
      <c r="W316" s="184"/>
      <c r="X316" s="184"/>
      <c r="Y316" s="184"/>
      <c r="Z316" s="184"/>
      <c r="AA316" s="9" t="str" cm="1">
        <f t="array" ref="AA316">IFERROR(ROUND(INDEX('M04-S13'!$AR$18:$AR$199,2*(ROWS(AA$290:AA316)-1)+1), 2),"")</f>
        <v/>
      </c>
      <c r="AB316" s="9" t="str" cm="1">
        <f t="array" ref="AB316">_xlfn.LET(_xlpm.ROWS, 2*(ROWS(AB$290:AB316)-1)+1,IFERROR(INDEX('M04-S13'!$AR$18:$AR$199, _xlpm.ROWS)-INDEX('M04-S13'!$BS$18:$BS$199, _xlpm.ROWS),""))</f>
        <v/>
      </c>
      <c r="AC316" s="9" cm="1">
        <f t="array" ref="AC316">IFERROR(ROUND(IF(BB316&lt;&gt;"", "",INDEX('M04-S13'!$AE$18:$AE$199,2*(ROWS(AC$290:AC316)-1)+1)),2),"")</f>
        <v>0</v>
      </c>
      <c r="AD316" s="9" cm="1">
        <f t="array" ref="AD316">IFERROR(ROUND(IF(BB316&lt;&gt;"", "", INDEX('M04-S13'!$AG$18:$AG$199,2*(ROWS(AD$290:AD316)-1)+1)),2),"")</f>
        <v>0</v>
      </c>
      <c r="AE316" s="9" t="str" cm="1">
        <f t="array" ref="AE316">IFERROR(ROUND(IF(BB316&lt;&gt;"", "", INDEX('M04-S13'!$BL$18:$BL$199,2*(ROWS(AG$290:AG316)-1)+1)),2),"")</f>
        <v/>
      </c>
      <c r="AF316" t="str">
        <f t="shared" si="46"/>
        <v>Incremental</v>
      </c>
      <c r="AG316" s="9" t="str" cm="1">
        <f t="array" ref="AG316">IFERROR(ROUND(IF(BB316&lt;&gt;"", "", INDEX('M04-S13'!$BL$18:$BL$199,2*(ROWS(AG$290:AG316)-1)+1)),2),"")</f>
        <v/>
      </c>
      <c r="AH316" s="184"/>
      <c r="AI316" s="184"/>
      <c r="AJ316" s="32" t="str">
        <f>IFERROR(ROUND(INDEX('M04-S13'!$BE$18:$BE$199,2*(ROWS(AJ$290:AJ316)-1)+1),4),"")</f>
        <v/>
      </c>
      <c r="AK316" s="184"/>
      <c r="AL316" s="32" t="str">
        <f>IFERROR(ROUND(INDEX('M04-S13'!$BF$18:$BF$199,2*(ROWS(AL$290:AL316)-1)+1),4),"")</f>
        <v/>
      </c>
      <c r="AM316" s="32" t="str">
        <f>IFERROR(ROUND(INDEX('M04-S13'!$BA$18:$BA$199,2*(ROWS(AM$290:AM316)-1)+1),4),"")</f>
        <v/>
      </c>
      <c r="AN316" s="32" t="str" cm="1">
        <f t="array" aca="1" ref="AN316" ca="1">IFERROR(ROUND(NDEX('M04-S13'!$BB$18:$BB$199,2*(ROWS(AN$290:AN316)-1)+1),4),"")</f>
        <v/>
      </c>
      <c r="AO316" s="184"/>
      <c r="AP316" s="9" t="str" cm="1">
        <f t="array" ref="AP316">IFERROR(ROUND(IF(BB316&lt;&gt;"",INDEX('M04-S13'!$AE$18:$AE$199,2*(ROWS(AP$290:AP316)-1)+1),""),2),"")</f>
        <v/>
      </c>
      <c r="AQ316" s="9" t="str" cm="1">
        <f t="array" ref="AQ316">IFERROR(ROUND(IF(BB316&lt;&gt;"",INDEX('M04-S13'!$AG$18:$AG$199,2*(ROWS(AQ$290:AQ316)-1)+1),""),2),"")</f>
        <v/>
      </c>
      <c r="AR316" s="9" t="str" cm="1">
        <f t="array" ref="AR316">IFERROR(ROUND(IF(BB316&lt;&gt;"",INDEX('M04-S13'!$BL$18:$BL$199,2*(ROWS(AT$290:AT316)-1)+1),""),2),"")</f>
        <v/>
      </c>
      <c r="AS316" t="str">
        <f t="shared" si="51"/>
        <v/>
      </c>
      <c r="AT316" s="9" t="str" cm="1">
        <f t="array" ref="AT316">IFERROR(ROUND(IF(BB316&lt;&gt;"",INDEX('M04-S13'!$BL$18:$BL$199,2*(ROWS(AT$290:AT316)-1)+1),""),2),"")</f>
        <v/>
      </c>
      <c r="AU316" s="184"/>
      <c r="AV316" s="5" t="str" cm="1">
        <f t="array" ref="AV316">IFERROR(IF(BB316&lt;&gt;"",ROUND(INDEX('M04-S13'!$V$18:$V$199,2*(ROWS(AV$290:AV316)-1)+1),3),""),"")</f>
        <v/>
      </c>
      <c r="AW316" s="5" t="str" cm="1">
        <f t="array" ref="AW316">IFERROR(IF(BB316&lt;&gt;"",ROUND(INDEX('M04-S13'!$V$18:$V$199,2*(ROWS(AW$290:AW316)-1)+1),3),""),"")</f>
        <v/>
      </c>
      <c r="AX316" s="184"/>
      <c r="AY316" s="26" t="str" cm="1">
        <f t="array" ref="AY316">IFERROR(IF(BB316&lt;&gt;"",INDEX('M04-S13'!$BE$18:$BE$199,2*(ROWS(AY$290:AY316)-1)+1),""),"")</f>
        <v/>
      </c>
      <c r="AZ316" s="184"/>
      <c r="BA316" s="32" t="str" cm="1">
        <f t="array" ref="BA316">IFERROR(IF(BB316&lt;&gt;"",INDEX('M04-S13'!$BF$18:$BF$199,2*(ROWS(BA$290:BA316)-1)+1),""),"")</f>
        <v/>
      </c>
      <c r="BB316" t="str" cm="1">
        <f t="array" ref="BB316">IFERROR(INDEX('M04-S13'!$BY$18:$BY$199,2*(ROWS(BB$290:BB316)-1)+1),"")</f>
        <v/>
      </c>
    </row>
    <row r="317" spans="1:54">
      <c r="A317" s="10">
        <f t="shared" si="48"/>
        <v>0</v>
      </c>
      <c r="B317" t="str">
        <f t="shared" si="52"/>
        <v/>
      </c>
      <c r="C317" t="str" cm="1">
        <f t="array" ref="C317">IFERROR(_xlfn.VALUETOTEXT(INDEX('M04-S13'!$BW$18:$BW$199,2*(ROWS($C$290:C317)-1)+1)),"")</f>
        <v/>
      </c>
      <c r="D317">
        <f>IFERROR(INDEX('M04-S13'!$B$18:$B$199,2*(ROWS(D$290:D317)-1)+1),"")</f>
        <v>28</v>
      </c>
      <c r="E317" s="51" t="str" cm="1">
        <f t="array" ref="E317">IFERROR(_xlfn.VALUETOTEXT(INDEX('M04-S13'!$BX$18:$BX$199,2*(ROWS($E$290:E317)-1)+1)),"")</f>
        <v/>
      </c>
      <c r="F317" t="str" cm="1">
        <f t="array" ref="F317">IF(C317&lt;&gt;"", _xlfn.SWITCH(Program_Banner, "Small Business / Non-Profit", "Hard-To-Reach Business", "Business Energy Savings", "Whole Business Efficiency", ""), "")</f>
        <v/>
      </c>
      <c r="G317" t="s">
        <v>2779</v>
      </c>
      <c r="H317" t="str">
        <f>IFERROR(INDEX('M04-S13'!$BC$18:$BC$199,2*(ROWS($H$290:H317)-1)+1),"")</f>
        <v/>
      </c>
      <c r="I317" t="str">
        <f>IFERROR(INDEX('M04-S13'!$BJ$18:$BJ$199,2*(ROWS(I$290:I317)-1)+1),"")</f>
        <v/>
      </c>
      <c r="J317" s="9" t="str">
        <f>IFERROR(INDEX('M04-S13'!$BN$18:$BN$199,2*(ROWS(J$290:J317)-1)+1),"")</f>
        <v/>
      </c>
      <c r="K317" s="9" t="str">
        <f>IFERROR(INDEX('M04-S13'!$BO$18:$BO$199,2*(ROWS(K$290:K317)-1)+1),"")</f>
        <v/>
      </c>
      <c r="L317" s="51" t="str">
        <f>IFERROR(INDEX('M04-S13'!$BD$18:$BD$199,2*(ROWS(L$290:L317)-1)+1),"")</f>
        <v/>
      </c>
      <c r="M317" s="184"/>
      <c r="N317" s="171"/>
      <c r="O317">
        <f>IFERROR(INDEX('M04-S13'!$C$18:$C$199,2*(ROWS(O$290:O317)-1)+1),"")</f>
        <v>0</v>
      </c>
      <c r="P317" t="str" cm="1">
        <f t="array" aca="1" ref="P317" ca="1">_xlfn.LET( _xlpm.Rows, 2*(ROWS(Q$290:Q317)-1)+1,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MATCH(C317,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7" t="str" cm="1">
        <f t="array" aca="1" ref="Q317" ca="1">_xlfn.LET( _xlpm.Rows, 2*(ROWS(Q$290:Q317)-1)+1,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MATCH(C317,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7" t="str">
        <f>IFERROR(INDEX('M04-S13'!$AX$18:$AX$199,2*(ROWS(S$290:S317)-1)+1),"")</f>
        <v/>
      </c>
      <c r="T317" s="545" t="str" cm="1">
        <f t="array" ref="T317">IFERROR(ROUND(IF(BB317&lt;&gt;"", "", INDEX('M04-S13'!$AY$18:$AY$199,2*(ROWS(T$290:T317)-1)+1)),3),"")</f>
        <v/>
      </c>
      <c r="U317" s="545" t="str" cm="1">
        <f t="array" ref="U317">IFERROR(ROUND(IF(BB317&lt;&gt;"", "", INDEX('M04-S13'!$AZ$18:$AZ$199,2*(ROWS(U$290:U317)-1)+1)),3),"")</f>
        <v/>
      </c>
      <c r="V317" s="184"/>
      <c r="W317" s="184"/>
      <c r="X317" s="184"/>
      <c r="Y317" s="184"/>
      <c r="Z317" s="184"/>
      <c r="AA317" s="9" t="str" cm="1">
        <f t="array" ref="AA317">IFERROR(ROUND(INDEX('M04-S13'!$AR$18:$AR$199,2*(ROWS(AA$290:AA317)-1)+1), 2),"")</f>
        <v/>
      </c>
      <c r="AB317" s="9" t="str" cm="1">
        <f t="array" ref="AB317">_xlfn.LET(_xlpm.ROWS, 2*(ROWS(AB$290:AB317)-1)+1,IFERROR(INDEX('M04-S13'!$AR$18:$AR$199, _xlpm.ROWS)-INDEX('M04-S13'!$BS$18:$BS$199, _xlpm.ROWS),""))</f>
        <v/>
      </c>
      <c r="AC317" s="9" cm="1">
        <f t="array" ref="AC317">IFERROR(ROUND(IF(BB317&lt;&gt;"", "",INDEX('M04-S13'!$AE$18:$AE$199,2*(ROWS(AC$290:AC317)-1)+1)),2),"")</f>
        <v>0</v>
      </c>
      <c r="AD317" s="9" cm="1">
        <f t="array" ref="AD317">IFERROR(ROUND(IF(BB317&lt;&gt;"", "", INDEX('M04-S13'!$AG$18:$AG$199,2*(ROWS(AD$290:AD317)-1)+1)),2),"")</f>
        <v>0</v>
      </c>
      <c r="AE317" s="9" t="str" cm="1">
        <f t="array" ref="AE317">IFERROR(ROUND(IF(BB317&lt;&gt;"", "", INDEX('M04-S13'!$BL$18:$BL$199,2*(ROWS(AG$290:AG317)-1)+1)),2),"")</f>
        <v/>
      </c>
      <c r="AF317" t="str">
        <f t="shared" si="46"/>
        <v>Incremental</v>
      </c>
      <c r="AG317" s="9" t="str" cm="1">
        <f t="array" ref="AG317">IFERROR(ROUND(IF(BB317&lt;&gt;"", "", INDEX('M04-S13'!$BL$18:$BL$199,2*(ROWS(AG$290:AG317)-1)+1)),2),"")</f>
        <v/>
      </c>
      <c r="AH317" s="184"/>
      <c r="AI317" s="184"/>
      <c r="AJ317" s="32" t="str">
        <f>IFERROR(ROUND(INDEX('M04-S13'!$BE$18:$BE$199,2*(ROWS(AJ$290:AJ317)-1)+1),4),"")</f>
        <v/>
      </c>
      <c r="AK317" s="184"/>
      <c r="AL317" s="32" t="str">
        <f>IFERROR(ROUND(INDEX('M04-S13'!$BF$18:$BF$199,2*(ROWS(AL$290:AL317)-1)+1),4),"")</f>
        <v/>
      </c>
      <c r="AM317" s="32" t="str">
        <f>IFERROR(ROUND(INDEX('M04-S13'!$BA$18:$BA$199,2*(ROWS(AM$290:AM317)-1)+1),4),"")</f>
        <v/>
      </c>
      <c r="AN317" s="32" t="str" cm="1">
        <f t="array" aca="1" ref="AN317" ca="1">IFERROR(ROUND(NDEX('M04-S13'!$BB$18:$BB$199,2*(ROWS(AN$290:AN317)-1)+1),4),"")</f>
        <v/>
      </c>
      <c r="AO317" s="184"/>
      <c r="AP317" s="9" t="str" cm="1">
        <f t="array" ref="AP317">IFERROR(ROUND(IF(BB317&lt;&gt;"",INDEX('M04-S13'!$AE$18:$AE$199,2*(ROWS(AP$290:AP317)-1)+1),""),2),"")</f>
        <v/>
      </c>
      <c r="AQ317" s="9" t="str" cm="1">
        <f t="array" ref="AQ317">IFERROR(ROUND(IF(BB317&lt;&gt;"",INDEX('M04-S13'!$AG$18:$AG$199,2*(ROWS(AQ$290:AQ317)-1)+1),""),2),"")</f>
        <v/>
      </c>
      <c r="AR317" s="9" t="str" cm="1">
        <f t="array" ref="AR317">IFERROR(ROUND(IF(BB317&lt;&gt;"",INDEX('M04-S13'!$BL$18:$BL$199,2*(ROWS(AT$290:AT317)-1)+1),""),2),"")</f>
        <v/>
      </c>
      <c r="AS317" t="str">
        <f t="shared" si="51"/>
        <v/>
      </c>
      <c r="AT317" s="9" t="str" cm="1">
        <f t="array" ref="AT317">IFERROR(ROUND(IF(BB317&lt;&gt;"",INDEX('M04-S13'!$BL$18:$BL$199,2*(ROWS(AT$290:AT317)-1)+1),""),2),"")</f>
        <v/>
      </c>
      <c r="AU317" s="184"/>
      <c r="AV317" s="5" t="str" cm="1">
        <f t="array" ref="AV317">IFERROR(IF(BB317&lt;&gt;"",ROUND(INDEX('M04-S13'!$V$18:$V$199,2*(ROWS(AV$290:AV317)-1)+1),3),""),"")</f>
        <v/>
      </c>
      <c r="AW317" s="5" t="str" cm="1">
        <f t="array" ref="AW317">IFERROR(IF(BB317&lt;&gt;"",ROUND(INDEX('M04-S13'!$V$18:$V$199,2*(ROWS(AW$290:AW317)-1)+1),3),""),"")</f>
        <v/>
      </c>
      <c r="AX317" s="184"/>
      <c r="AY317" s="26" t="str" cm="1">
        <f t="array" ref="AY317">IFERROR(IF(BB317&lt;&gt;"",INDEX('M04-S13'!$BE$18:$BE$199,2*(ROWS(AY$290:AY317)-1)+1),""),"")</f>
        <v/>
      </c>
      <c r="AZ317" s="184"/>
      <c r="BA317" s="32" t="str" cm="1">
        <f t="array" ref="BA317">IFERROR(IF(BB317&lt;&gt;"",INDEX('M04-S13'!$BF$18:$BF$199,2*(ROWS(BA$290:BA317)-1)+1),""),"")</f>
        <v/>
      </c>
      <c r="BB317" t="str" cm="1">
        <f t="array" ref="BB317">IFERROR(INDEX('M04-S13'!$BY$18:$BY$199,2*(ROWS(BB$290:BB317)-1)+1),"")</f>
        <v/>
      </c>
    </row>
    <row r="318" spans="1:54">
      <c r="A318" s="10">
        <f t="shared" si="48"/>
        <v>0</v>
      </c>
      <c r="B318" t="str">
        <f t="shared" si="52"/>
        <v/>
      </c>
      <c r="C318" t="str" cm="1">
        <f t="array" ref="C318">IFERROR(_xlfn.VALUETOTEXT(INDEX('M04-S13'!$BW$18:$BW$199,2*(ROWS($C$290:C318)-1)+1)),"")</f>
        <v/>
      </c>
      <c r="D318">
        <f>IFERROR(INDEX('M04-S13'!$B$18:$B$199,2*(ROWS(D$290:D318)-1)+1),"")</f>
        <v>29</v>
      </c>
      <c r="E318" s="51" t="str" cm="1">
        <f t="array" ref="E318">IFERROR(_xlfn.VALUETOTEXT(INDEX('M04-S13'!$BX$18:$BX$199,2*(ROWS($E$290:E318)-1)+1)),"")</f>
        <v/>
      </c>
      <c r="F318" t="str" cm="1">
        <f t="array" ref="F318">IF(C318&lt;&gt;"", _xlfn.SWITCH(Program_Banner, "Small Business / Non-Profit", "Hard-To-Reach Business", "Business Energy Savings", "Whole Business Efficiency", ""), "")</f>
        <v/>
      </c>
      <c r="G318" t="s">
        <v>2779</v>
      </c>
      <c r="H318" t="str">
        <f>IFERROR(INDEX('M04-S13'!$BC$18:$BC$199,2*(ROWS($H$290:H318)-1)+1),"")</f>
        <v/>
      </c>
      <c r="I318" t="str">
        <f>IFERROR(INDEX('M04-S13'!$BJ$18:$BJ$199,2*(ROWS(I$290:I318)-1)+1),"")</f>
        <v/>
      </c>
      <c r="J318" s="9" t="str">
        <f>IFERROR(INDEX('M04-S13'!$BN$18:$BN$199,2*(ROWS(J$290:J318)-1)+1),"")</f>
        <v/>
      </c>
      <c r="K318" s="9" t="str">
        <f>IFERROR(INDEX('M04-S13'!$BO$18:$BO$199,2*(ROWS(K$290:K318)-1)+1),"")</f>
        <v/>
      </c>
      <c r="L318" s="51" t="str">
        <f>IFERROR(INDEX('M04-S13'!$BD$18:$BD$199,2*(ROWS(L$290:L318)-1)+1),"")</f>
        <v/>
      </c>
      <c r="M318" s="184"/>
      <c r="N318" s="171"/>
      <c r="O318">
        <f>IFERROR(INDEX('M04-S13'!$C$18:$C$199,2*(ROWS(O$290:O318)-1)+1),"")</f>
        <v>0</v>
      </c>
      <c r="P318" t="str" cm="1">
        <f t="array" aca="1" ref="P318" ca="1">_xlfn.LET( _xlpm.Rows, 2*(ROWS(Q$290:Q318)-1)+1,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MATCH(C318,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8" t="str" cm="1">
        <f t="array" aca="1" ref="Q318" ca="1">_xlfn.LET( _xlpm.Rows, 2*(ROWS(Q$290:Q318)-1)+1,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MATCH(C318,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8" t="str">
        <f>IFERROR(INDEX('M04-S13'!$AX$18:$AX$199,2*(ROWS(S$290:S318)-1)+1),"")</f>
        <v/>
      </c>
      <c r="T318" s="545" t="str" cm="1">
        <f t="array" ref="T318">IFERROR(ROUND(IF(BB318&lt;&gt;"", "", INDEX('M04-S13'!$AY$18:$AY$199,2*(ROWS(T$290:T318)-1)+1)),3),"")</f>
        <v/>
      </c>
      <c r="U318" s="545" t="str" cm="1">
        <f t="array" ref="U318">IFERROR(ROUND(IF(BB318&lt;&gt;"", "", INDEX('M04-S13'!$AZ$18:$AZ$199,2*(ROWS(U$290:U318)-1)+1)),3),"")</f>
        <v/>
      </c>
      <c r="V318" s="184"/>
      <c r="W318" s="184"/>
      <c r="X318" s="184"/>
      <c r="Y318" s="184"/>
      <c r="Z318" s="184"/>
      <c r="AA318" s="9" t="str" cm="1">
        <f t="array" ref="AA318">IFERROR(ROUND(INDEX('M04-S13'!$AR$18:$AR$199,2*(ROWS(AA$290:AA318)-1)+1), 2),"")</f>
        <v/>
      </c>
      <c r="AB318" s="9" t="str" cm="1">
        <f t="array" ref="AB318">_xlfn.LET(_xlpm.ROWS, 2*(ROWS(AB$290:AB318)-1)+1,IFERROR(INDEX('M04-S13'!$AR$18:$AR$199, _xlpm.ROWS)-INDEX('M04-S13'!$BS$18:$BS$199, _xlpm.ROWS),""))</f>
        <v/>
      </c>
      <c r="AC318" s="9" cm="1">
        <f t="array" ref="AC318">IFERROR(ROUND(IF(BB318&lt;&gt;"", "",INDEX('M04-S13'!$AE$18:$AE$199,2*(ROWS(AC$290:AC318)-1)+1)),2),"")</f>
        <v>0</v>
      </c>
      <c r="AD318" s="9" cm="1">
        <f t="array" ref="AD318">IFERROR(ROUND(IF(BB318&lt;&gt;"", "", INDEX('M04-S13'!$AG$18:$AG$199,2*(ROWS(AD$290:AD318)-1)+1)),2),"")</f>
        <v>0</v>
      </c>
      <c r="AE318" s="9" t="str" cm="1">
        <f t="array" ref="AE318">IFERROR(ROUND(IF(BB318&lt;&gt;"", "", INDEX('M04-S13'!$BL$18:$BL$199,2*(ROWS(AG$290:AG318)-1)+1)),2),"")</f>
        <v/>
      </c>
      <c r="AF318" t="str">
        <f t="shared" si="46"/>
        <v>Incremental</v>
      </c>
      <c r="AG318" s="9" t="str" cm="1">
        <f t="array" ref="AG318">IFERROR(ROUND(IF(BB318&lt;&gt;"", "", INDEX('M04-S13'!$BL$18:$BL$199,2*(ROWS(AG$290:AG318)-1)+1)),2),"")</f>
        <v/>
      </c>
      <c r="AH318" s="184"/>
      <c r="AI318" s="184"/>
      <c r="AJ318" s="32" t="str">
        <f>IFERROR(ROUND(INDEX('M04-S13'!$BE$18:$BE$199,2*(ROWS(AJ$290:AJ318)-1)+1),4),"")</f>
        <v/>
      </c>
      <c r="AK318" s="184"/>
      <c r="AL318" s="32" t="str">
        <f>IFERROR(ROUND(INDEX('M04-S13'!$BF$18:$BF$199,2*(ROWS(AL$290:AL318)-1)+1),4),"")</f>
        <v/>
      </c>
      <c r="AM318" s="32" t="str">
        <f>IFERROR(ROUND(INDEX('M04-S13'!$BA$18:$BA$199,2*(ROWS(AM$290:AM318)-1)+1),4),"")</f>
        <v/>
      </c>
      <c r="AN318" s="32" t="str" cm="1">
        <f t="array" aca="1" ref="AN318" ca="1">IFERROR(ROUND(NDEX('M04-S13'!$BB$18:$BB$199,2*(ROWS(AN$290:AN318)-1)+1),4),"")</f>
        <v/>
      </c>
      <c r="AO318" s="184"/>
      <c r="AP318" s="9" t="str" cm="1">
        <f t="array" ref="AP318">IFERROR(ROUND(IF(BB318&lt;&gt;"",INDEX('M04-S13'!$AE$18:$AE$199,2*(ROWS(AP$290:AP318)-1)+1),""),2),"")</f>
        <v/>
      </c>
      <c r="AQ318" s="9" t="str" cm="1">
        <f t="array" ref="AQ318">IFERROR(ROUND(IF(BB318&lt;&gt;"",INDEX('M04-S13'!$AG$18:$AG$199,2*(ROWS(AQ$290:AQ318)-1)+1),""),2),"")</f>
        <v/>
      </c>
      <c r="AR318" s="9" t="str" cm="1">
        <f t="array" ref="AR318">IFERROR(ROUND(IF(BB318&lt;&gt;"",INDEX('M04-S13'!$BL$18:$BL$199,2*(ROWS(AT$290:AT318)-1)+1),""),2),"")</f>
        <v/>
      </c>
      <c r="AS318" t="str">
        <f t="shared" si="51"/>
        <v/>
      </c>
      <c r="AT318" s="9" t="str" cm="1">
        <f t="array" ref="AT318">IFERROR(ROUND(IF(BB318&lt;&gt;"",INDEX('M04-S13'!$BL$18:$BL$199,2*(ROWS(AT$290:AT318)-1)+1),""),2),"")</f>
        <v/>
      </c>
      <c r="AU318" s="184"/>
      <c r="AV318" s="5" t="str" cm="1">
        <f t="array" ref="AV318">IFERROR(IF(BB318&lt;&gt;"",ROUND(INDEX('M04-S13'!$V$18:$V$199,2*(ROWS(AV$290:AV318)-1)+1),3),""),"")</f>
        <v/>
      </c>
      <c r="AW318" s="5" t="str" cm="1">
        <f t="array" ref="AW318">IFERROR(IF(BB318&lt;&gt;"",ROUND(INDEX('M04-S13'!$V$18:$V$199,2*(ROWS(AW$290:AW318)-1)+1),3),""),"")</f>
        <v/>
      </c>
      <c r="AX318" s="184"/>
      <c r="AY318" s="26" t="str" cm="1">
        <f t="array" ref="AY318">IFERROR(IF(BB318&lt;&gt;"",INDEX('M04-S13'!$BE$18:$BE$199,2*(ROWS(AY$290:AY318)-1)+1),""),"")</f>
        <v/>
      </c>
      <c r="AZ318" s="184"/>
      <c r="BA318" s="32" t="str" cm="1">
        <f t="array" ref="BA318">IFERROR(IF(BB318&lt;&gt;"",INDEX('M04-S13'!$BF$18:$BF$199,2*(ROWS(BA$290:BA318)-1)+1),""),"")</f>
        <v/>
      </c>
      <c r="BB318" t="str" cm="1">
        <f t="array" ref="BB318">IFERROR(INDEX('M04-S13'!$BY$18:$BY$199,2*(ROWS(BB$290:BB318)-1)+1),"")</f>
        <v/>
      </c>
    </row>
    <row r="319" spans="1:54">
      <c r="A319" s="10">
        <f t="shared" si="48"/>
        <v>0</v>
      </c>
      <c r="B319" t="str">
        <f t="shared" si="52"/>
        <v/>
      </c>
      <c r="C319" t="str" cm="1">
        <f t="array" ref="C319">IFERROR(_xlfn.VALUETOTEXT(INDEX('M04-S13'!$BW$18:$BW$199,2*(ROWS($C$290:C319)-1)+1)),"")</f>
        <v/>
      </c>
      <c r="D319">
        <f>IFERROR(INDEX('M04-S13'!$B$18:$B$199,2*(ROWS(D$290:D319)-1)+1),"")</f>
        <v>30</v>
      </c>
      <c r="E319" s="51" t="str" cm="1">
        <f t="array" ref="E319">IFERROR(_xlfn.VALUETOTEXT(INDEX('M04-S13'!$BX$18:$BX$199,2*(ROWS($E$290:E319)-1)+1)),"")</f>
        <v/>
      </c>
      <c r="F319" t="str" cm="1">
        <f t="array" ref="F319">IF(C319&lt;&gt;"", _xlfn.SWITCH(Program_Banner, "Small Business / Non-Profit", "Hard-To-Reach Business", "Business Energy Savings", "Whole Business Efficiency", ""), "")</f>
        <v/>
      </c>
      <c r="G319" t="s">
        <v>2779</v>
      </c>
      <c r="H319" t="str">
        <f>IFERROR(INDEX('M04-S13'!$BC$18:$BC$199,2*(ROWS($H$290:H319)-1)+1),"")</f>
        <v/>
      </c>
      <c r="I319" t="str">
        <f>IFERROR(INDEX('M04-S13'!$BJ$18:$BJ$199,2*(ROWS(I$290:I319)-1)+1),"")</f>
        <v/>
      </c>
      <c r="J319" s="9" t="str">
        <f>IFERROR(INDEX('M04-S13'!$BN$18:$BN$199,2*(ROWS(J$290:J319)-1)+1),"")</f>
        <v/>
      </c>
      <c r="K319" s="9" t="str">
        <f>IFERROR(INDEX('M04-S13'!$BO$18:$BO$199,2*(ROWS(K$290:K319)-1)+1),"")</f>
        <v/>
      </c>
      <c r="L319" s="51" t="str">
        <f>IFERROR(INDEX('M04-S13'!$BD$18:$BD$199,2*(ROWS(L$290:L319)-1)+1),"")</f>
        <v/>
      </c>
      <c r="M319" s="184"/>
      <c r="N319" s="171"/>
      <c r="O319">
        <f>IFERROR(INDEX('M04-S13'!$C$18:$C$199,2*(ROWS(O$290:O319)-1)+1),"")</f>
        <v>0</v>
      </c>
      <c r="P319" t="str" cm="1">
        <f t="array" aca="1" ref="P319" ca="1">_xlfn.LET( _xlpm.Rows, 2*(ROWS(Q$290:Q319)-1)+1,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MATCH(C319,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9" t="str" cm="1">
        <f t="array" aca="1" ref="Q319" ca="1">_xlfn.LET( _xlpm.Rows, 2*(ROWS(Q$290:Q319)-1)+1,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MATCH(C319,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9" t="str">
        <f>IFERROR(INDEX('M04-S13'!$AX$18:$AX$199,2*(ROWS(S$290:S319)-1)+1),"")</f>
        <v/>
      </c>
      <c r="T319" s="545" t="str" cm="1">
        <f t="array" ref="T319">IFERROR(ROUND(IF(BB319&lt;&gt;"", "", INDEX('M04-S13'!$AY$18:$AY$199,2*(ROWS(T$290:T319)-1)+1)),3),"")</f>
        <v/>
      </c>
      <c r="U319" s="545" t="str" cm="1">
        <f t="array" ref="U319">IFERROR(ROUND(IF(BB319&lt;&gt;"", "", INDEX('M04-S13'!$AZ$18:$AZ$199,2*(ROWS(U$290:U319)-1)+1)),3),"")</f>
        <v/>
      </c>
      <c r="V319" s="184"/>
      <c r="W319" s="184"/>
      <c r="X319" s="184"/>
      <c r="Y319" s="184"/>
      <c r="Z319" s="184"/>
      <c r="AA319" s="9" t="str" cm="1">
        <f t="array" ref="AA319">IFERROR(ROUND(INDEX('M04-S13'!$AR$18:$AR$199,2*(ROWS(AA$290:AA319)-1)+1), 2),"")</f>
        <v/>
      </c>
      <c r="AB319" s="9" t="str" cm="1">
        <f t="array" ref="AB319">_xlfn.LET(_xlpm.ROWS, 2*(ROWS(AB$290:AB319)-1)+1,IFERROR(INDEX('M04-S13'!$AR$18:$AR$199, _xlpm.ROWS)-INDEX('M04-S13'!$BS$18:$BS$199, _xlpm.ROWS),""))</f>
        <v/>
      </c>
      <c r="AC319" s="9" cm="1">
        <f t="array" ref="AC319">IFERROR(ROUND(IF(BB319&lt;&gt;"", "",INDEX('M04-S13'!$AE$18:$AE$199,2*(ROWS(AC$290:AC319)-1)+1)),2),"")</f>
        <v>0</v>
      </c>
      <c r="AD319" s="9" cm="1">
        <f t="array" ref="AD319">IFERROR(ROUND(IF(BB319&lt;&gt;"", "", INDEX('M04-S13'!$AG$18:$AG$199,2*(ROWS(AD$290:AD319)-1)+1)),2),"")</f>
        <v>0</v>
      </c>
      <c r="AE319" s="9" t="str" cm="1">
        <f t="array" ref="AE319">IFERROR(ROUND(IF(BB319&lt;&gt;"", "", INDEX('M04-S13'!$BL$18:$BL$199,2*(ROWS(AG$290:AG319)-1)+1)),2),"")</f>
        <v/>
      </c>
      <c r="AF319" t="str">
        <f t="shared" si="46"/>
        <v>Incremental</v>
      </c>
      <c r="AG319" s="9" t="str" cm="1">
        <f t="array" ref="AG319">IFERROR(ROUND(IF(BB319&lt;&gt;"", "", INDEX('M04-S13'!$BL$18:$BL$199,2*(ROWS(AG$290:AG319)-1)+1)),2),"")</f>
        <v/>
      </c>
      <c r="AH319" s="184"/>
      <c r="AI319" s="184"/>
      <c r="AJ319" s="32" t="str">
        <f>IFERROR(ROUND(INDEX('M04-S13'!$BE$18:$BE$199,2*(ROWS(AJ$290:AJ319)-1)+1),4),"")</f>
        <v/>
      </c>
      <c r="AK319" s="184"/>
      <c r="AL319" s="32" t="str">
        <f>IFERROR(ROUND(INDEX('M04-S13'!$BF$18:$BF$199,2*(ROWS(AL$290:AL319)-1)+1),4),"")</f>
        <v/>
      </c>
      <c r="AM319" s="32" t="str">
        <f>IFERROR(ROUND(INDEX('M04-S13'!$BA$18:$BA$199,2*(ROWS(AM$290:AM319)-1)+1),4),"")</f>
        <v/>
      </c>
      <c r="AN319" s="32" t="str" cm="1">
        <f t="array" aca="1" ref="AN319" ca="1">IFERROR(ROUND(NDEX('M04-S13'!$BB$18:$BB$199,2*(ROWS(AN$290:AN319)-1)+1),4),"")</f>
        <v/>
      </c>
      <c r="AO319" s="184"/>
      <c r="AP319" s="9" t="str" cm="1">
        <f t="array" ref="AP319">IFERROR(ROUND(IF(BB319&lt;&gt;"",INDEX('M04-S13'!$AE$18:$AE$199,2*(ROWS(AP$290:AP319)-1)+1),""),2),"")</f>
        <v/>
      </c>
      <c r="AQ319" s="9" t="str" cm="1">
        <f t="array" ref="AQ319">IFERROR(ROUND(IF(BB319&lt;&gt;"",INDEX('M04-S13'!$AG$18:$AG$199,2*(ROWS(AQ$290:AQ319)-1)+1),""),2),"")</f>
        <v/>
      </c>
      <c r="AR319" s="9" t="str" cm="1">
        <f t="array" ref="AR319">IFERROR(ROUND(IF(BB319&lt;&gt;"",INDEX('M04-S13'!$BL$18:$BL$199,2*(ROWS(AT$290:AT319)-1)+1),""),2),"")</f>
        <v/>
      </c>
      <c r="AS319" t="str">
        <f t="shared" si="51"/>
        <v/>
      </c>
      <c r="AT319" s="9" t="str" cm="1">
        <f t="array" ref="AT319">IFERROR(ROUND(IF(BB319&lt;&gt;"",INDEX('M04-S13'!$BL$18:$BL$199,2*(ROWS(AT$290:AT319)-1)+1),""),2),"")</f>
        <v/>
      </c>
      <c r="AU319" s="184"/>
      <c r="AV319" s="5" t="str" cm="1">
        <f t="array" ref="AV319">IFERROR(IF(BB319&lt;&gt;"",ROUND(INDEX('M04-S13'!$V$18:$V$199,2*(ROWS(AV$290:AV319)-1)+1),3),""),"")</f>
        <v/>
      </c>
      <c r="AW319" s="5" t="str" cm="1">
        <f t="array" ref="AW319">IFERROR(IF(BB319&lt;&gt;"",ROUND(INDEX('M04-S13'!$V$18:$V$199,2*(ROWS(AW$290:AW319)-1)+1),3),""),"")</f>
        <v/>
      </c>
      <c r="AX319" s="184"/>
      <c r="AY319" s="26" t="str" cm="1">
        <f t="array" ref="AY319">IFERROR(IF(BB319&lt;&gt;"",INDEX('M04-S13'!$BE$18:$BE$199,2*(ROWS(AY$290:AY319)-1)+1),""),"")</f>
        <v/>
      </c>
      <c r="AZ319" s="184"/>
      <c r="BA319" s="32" t="str" cm="1">
        <f t="array" ref="BA319">IFERROR(IF(BB319&lt;&gt;"",INDEX('M04-S13'!$BF$18:$BF$199,2*(ROWS(BA$290:BA319)-1)+1),""),"")</f>
        <v/>
      </c>
      <c r="BB319" t="str" cm="1">
        <f t="array" ref="BB319">IFERROR(INDEX('M04-S13'!$BY$18:$BY$199,2*(ROWS(BB$290:BB319)-1)+1),"")</f>
        <v/>
      </c>
    </row>
    <row r="320" spans="1:54">
      <c r="A320" s="10">
        <f t="shared" si="48"/>
        <v>0</v>
      </c>
      <c r="B320" t="str">
        <f t="shared" si="52"/>
        <v/>
      </c>
      <c r="C320" t="str" cm="1">
        <f t="array" ref="C320">IFERROR(_xlfn.VALUETOTEXT(INDEX('M04-S13'!$BW$18:$BW$199,2*(ROWS($C$290:C320)-1)+1)),"")</f>
        <v/>
      </c>
      <c r="D320">
        <f>IFERROR(INDEX('M04-S13'!$B$18:$B$199,2*(ROWS(D$290:D320)-1)+1),"")</f>
        <v>31</v>
      </c>
      <c r="E320" s="51" t="str" cm="1">
        <f t="array" ref="E320">IFERROR(_xlfn.VALUETOTEXT(INDEX('M04-S13'!$BX$18:$BX$199,2*(ROWS($E$290:E320)-1)+1)),"")</f>
        <v/>
      </c>
      <c r="F320" t="str" cm="1">
        <f t="array" ref="F320">IF(C320&lt;&gt;"", _xlfn.SWITCH(Program_Banner, "Small Business / Non-Profit", "Hard-To-Reach Business", "Business Energy Savings", "Whole Business Efficiency", ""), "")</f>
        <v/>
      </c>
      <c r="G320" t="s">
        <v>2779</v>
      </c>
      <c r="H320" t="str">
        <f>IFERROR(INDEX('M04-S13'!$BC$18:$BC$199,2*(ROWS($H$290:H320)-1)+1),"")</f>
        <v/>
      </c>
      <c r="I320" t="str">
        <f>IFERROR(INDEX('M04-S13'!$BJ$18:$BJ$199,2*(ROWS(I$290:I320)-1)+1),"")</f>
        <v/>
      </c>
      <c r="J320" s="9" t="str">
        <f>IFERROR(INDEX('M04-S13'!$BN$18:$BN$199,2*(ROWS(J$290:J320)-1)+1),"")</f>
        <v/>
      </c>
      <c r="K320" s="9" t="str">
        <f>IFERROR(INDEX('M04-S13'!$BO$18:$BO$199,2*(ROWS(K$290:K320)-1)+1),"")</f>
        <v/>
      </c>
      <c r="L320" s="51" t="str">
        <f>IFERROR(INDEX('M04-S13'!$BD$18:$BD$199,2*(ROWS(L$290:L320)-1)+1),"")</f>
        <v/>
      </c>
      <c r="M320" s="184"/>
      <c r="N320" s="171"/>
      <c r="O320">
        <f>IFERROR(INDEX('M04-S13'!$C$18:$C$199,2*(ROWS(O$290:O320)-1)+1),"")</f>
        <v>0</v>
      </c>
      <c r="P320" t="str" cm="1">
        <f t="array" aca="1" ref="P320" ca="1">_xlfn.LET( _xlpm.Rows, 2*(ROWS(Q$290:Q320)-1)+1,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0" t="str" cm="1">
        <f t="array" aca="1" ref="Q320" ca="1">_xlfn.LET( _xlpm.Rows, 2*(ROWS(Q$290:Q320)-1)+1,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0" t="str">
        <f>IFERROR(INDEX('M04-S13'!$AX$18:$AX$199,2*(ROWS(S$290:S320)-1)+1),"")</f>
        <v/>
      </c>
      <c r="T320" s="545" t="str" cm="1">
        <f t="array" ref="T320">IFERROR(ROUND(IF(BB320&lt;&gt;"", "", INDEX('M04-S13'!$AY$18:$AY$199,2*(ROWS(T$290:T320)-1)+1)),3),"")</f>
        <v/>
      </c>
      <c r="U320" s="545" t="str" cm="1">
        <f t="array" ref="U320">IFERROR(ROUND(IF(BB320&lt;&gt;"", "", INDEX('M04-S13'!$AZ$18:$AZ$199,2*(ROWS(U$290:U320)-1)+1)),3),"")</f>
        <v/>
      </c>
      <c r="V320" s="184"/>
      <c r="W320" s="184"/>
      <c r="X320" s="184"/>
      <c r="Y320" s="184"/>
      <c r="Z320" s="184"/>
      <c r="AA320" s="9" t="str" cm="1">
        <f t="array" ref="AA320">IFERROR(ROUND(INDEX('M04-S13'!$AR$18:$AR$199,2*(ROWS(AA$290:AA320)-1)+1), 2),"")</f>
        <v/>
      </c>
      <c r="AB320" s="9" t="str" cm="1">
        <f t="array" ref="AB320">_xlfn.LET(_xlpm.ROWS, 2*(ROWS(AB$290:AB320)-1)+1,IFERROR(INDEX('M04-S13'!$AR$18:$AR$199, _xlpm.ROWS)-INDEX('M04-S13'!$BS$18:$BS$199, _xlpm.ROWS),""))</f>
        <v/>
      </c>
      <c r="AC320" s="9" cm="1">
        <f t="array" ref="AC320">IFERROR(ROUND(IF(BB320&lt;&gt;"", "",INDEX('M04-S13'!$AE$18:$AE$199,2*(ROWS(AC$290:AC320)-1)+1)),2),"")</f>
        <v>0</v>
      </c>
      <c r="AD320" s="9" cm="1">
        <f t="array" ref="AD320">IFERROR(ROUND(IF(BB320&lt;&gt;"", "", INDEX('M04-S13'!$AG$18:$AG$199,2*(ROWS(AD$290:AD320)-1)+1)),2),"")</f>
        <v>0</v>
      </c>
      <c r="AE320" s="9" t="str" cm="1">
        <f t="array" ref="AE320">IFERROR(ROUND(IF(BB320&lt;&gt;"", "", INDEX('M04-S13'!$BL$18:$BL$199,2*(ROWS(AG$290:AG320)-1)+1)),2),"")</f>
        <v/>
      </c>
      <c r="AF320" t="str">
        <f t="shared" si="46"/>
        <v>Incremental</v>
      </c>
      <c r="AG320" s="9" t="str" cm="1">
        <f t="array" ref="AG320">IFERROR(ROUND(IF(BB320&lt;&gt;"", "", INDEX('M04-S13'!$BL$18:$BL$199,2*(ROWS(AG$290:AG320)-1)+1)),2),"")</f>
        <v/>
      </c>
      <c r="AH320" s="184"/>
      <c r="AI320" s="184"/>
      <c r="AJ320" s="32" t="str">
        <f>IFERROR(ROUND(INDEX('M04-S13'!$BE$18:$BE$199,2*(ROWS(AJ$290:AJ320)-1)+1),4),"")</f>
        <v/>
      </c>
      <c r="AK320" s="184"/>
      <c r="AL320" s="32" t="str">
        <f>IFERROR(ROUND(INDEX('M04-S13'!$BF$18:$BF$199,2*(ROWS(AL$290:AL320)-1)+1),4),"")</f>
        <v/>
      </c>
      <c r="AM320" s="32" t="str">
        <f>IFERROR(ROUND(INDEX('M04-S13'!$BA$18:$BA$199,2*(ROWS(AM$290:AM320)-1)+1),4),"")</f>
        <v/>
      </c>
      <c r="AN320" s="32" t="str" cm="1">
        <f t="array" aca="1" ref="AN320" ca="1">IFERROR(ROUND(NDEX('M04-S13'!$BB$18:$BB$199,2*(ROWS(AN$290:AN320)-1)+1),4),"")</f>
        <v/>
      </c>
      <c r="AO320" s="184"/>
      <c r="AP320" s="9" t="str" cm="1">
        <f t="array" ref="AP320">IFERROR(ROUND(IF(BB320&lt;&gt;"",INDEX('M04-S13'!$AE$18:$AE$199,2*(ROWS(AP$290:AP320)-1)+1),""),2),"")</f>
        <v/>
      </c>
      <c r="AQ320" s="9" t="str" cm="1">
        <f t="array" ref="AQ320">IFERROR(ROUND(IF(BB320&lt;&gt;"",INDEX('M04-S13'!$AG$18:$AG$199,2*(ROWS(AQ$290:AQ320)-1)+1),""),2),"")</f>
        <v/>
      </c>
      <c r="AR320" s="9" t="str" cm="1">
        <f t="array" ref="AR320">IFERROR(ROUND(IF(BB320&lt;&gt;"",INDEX('M04-S13'!$BL$18:$BL$199,2*(ROWS(AT$290:AT320)-1)+1),""),2),"")</f>
        <v/>
      </c>
      <c r="AS320" t="str">
        <f t="shared" si="51"/>
        <v/>
      </c>
      <c r="AT320" s="9" t="str" cm="1">
        <f t="array" ref="AT320">IFERROR(ROUND(IF(BB320&lt;&gt;"",INDEX('M04-S13'!$BL$18:$BL$199,2*(ROWS(AT$290:AT320)-1)+1),""),2),"")</f>
        <v/>
      </c>
      <c r="AU320" s="184"/>
      <c r="AV320" s="5" t="str" cm="1">
        <f t="array" ref="AV320">IFERROR(IF(BB320&lt;&gt;"",ROUND(INDEX('M04-S13'!$V$18:$V$199,2*(ROWS(AV$290:AV320)-1)+1),3),""),"")</f>
        <v/>
      </c>
      <c r="AW320" s="5" t="str" cm="1">
        <f t="array" ref="AW320">IFERROR(IF(BB320&lt;&gt;"",ROUND(INDEX('M04-S13'!$V$18:$V$199,2*(ROWS(AW$290:AW320)-1)+1),3),""),"")</f>
        <v/>
      </c>
      <c r="AX320" s="184"/>
      <c r="AY320" s="26" t="str" cm="1">
        <f t="array" ref="AY320">IFERROR(IF(BB320&lt;&gt;"",INDEX('M04-S13'!$BE$18:$BE$199,2*(ROWS(AY$290:AY320)-1)+1),""),"")</f>
        <v/>
      </c>
      <c r="AZ320" s="184"/>
      <c r="BA320" s="32" t="str" cm="1">
        <f t="array" ref="BA320">IFERROR(IF(BB320&lt;&gt;"",INDEX('M04-S13'!$BF$18:$BF$199,2*(ROWS(BA$290:BA320)-1)+1),""),"")</f>
        <v/>
      </c>
      <c r="BB320" t="str" cm="1">
        <f t="array" ref="BB320">IFERROR(INDEX('M04-S13'!$BY$18:$BY$199,2*(ROWS(BB$290:BB320)-1)+1),"")</f>
        <v/>
      </c>
    </row>
    <row r="321" spans="1:54">
      <c r="A321" s="10">
        <f t="shared" si="48"/>
        <v>0</v>
      </c>
      <c r="B321" t="str">
        <f t="shared" si="52"/>
        <v/>
      </c>
      <c r="C321" t="str" cm="1">
        <f t="array" ref="C321">IFERROR(_xlfn.VALUETOTEXT(INDEX('M04-S13'!$BW$18:$BW$199,2*(ROWS($C$290:C321)-1)+1)),"")</f>
        <v/>
      </c>
      <c r="D321">
        <f>IFERROR(INDEX('M04-S13'!$B$18:$B$199,2*(ROWS(D$290:D321)-1)+1),"")</f>
        <v>32</v>
      </c>
      <c r="E321" s="51" t="str" cm="1">
        <f t="array" ref="E321">IFERROR(_xlfn.VALUETOTEXT(INDEX('M04-S13'!$BX$18:$BX$199,2*(ROWS($E$290:E321)-1)+1)),"")</f>
        <v/>
      </c>
      <c r="F321" t="str" cm="1">
        <f t="array" ref="F321">IF(C321&lt;&gt;"", _xlfn.SWITCH(Program_Banner, "Small Business / Non-Profit", "Hard-To-Reach Business", "Business Energy Savings", "Whole Business Efficiency", ""), "")</f>
        <v/>
      </c>
      <c r="G321" t="s">
        <v>2779</v>
      </c>
      <c r="H321" t="str">
        <f>IFERROR(INDEX('M04-S13'!$BC$18:$BC$199,2*(ROWS($H$290:H321)-1)+1),"")</f>
        <v/>
      </c>
      <c r="I321" t="str">
        <f>IFERROR(INDEX('M04-S13'!$BJ$18:$BJ$199,2*(ROWS(I$290:I321)-1)+1),"")</f>
        <v/>
      </c>
      <c r="J321" s="9" t="str">
        <f>IFERROR(INDEX('M04-S13'!$BN$18:$BN$199,2*(ROWS(J$290:J321)-1)+1),"")</f>
        <v/>
      </c>
      <c r="K321" s="9" t="str">
        <f>IFERROR(INDEX('M04-S13'!$BO$18:$BO$199,2*(ROWS(K$290:K321)-1)+1),"")</f>
        <v/>
      </c>
      <c r="L321" s="51" t="str">
        <f>IFERROR(INDEX('M04-S13'!$BD$18:$BD$199,2*(ROWS(L$290:L321)-1)+1),"")</f>
        <v/>
      </c>
      <c r="M321" s="184"/>
      <c r="N321" s="171"/>
      <c r="O321">
        <f>IFERROR(INDEX('M04-S13'!$C$18:$C$199,2*(ROWS(O$290:O321)-1)+1),"")</f>
        <v>0</v>
      </c>
      <c r="P321" t="str" cm="1">
        <f t="array" aca="1" ref="P321" ca="1">_xlfn.LET( _xlpm.Rows, 2*(ROWS(Q$290:Q321)-1)+1,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1" t="str" cm="1">
        <f t="array" aca="1" ref="Q321" ca="1">_xlfn.LET( _xlpm.Rows, 2*(ROWS(Q$290:Q321)-1)+1,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1" t="str">
        <f>IFERROR(INDEX('M04-S13'!$AX$18:$AX$199,2*(ROWS(S$290:S321)-1)+1),"")</f>
        <v/>
      </c>
      <c r="T321" s="545" t="str" cm="1">
        <f t="array" ref="T321">IFERROR(ROUND(IF(BB321&lt;&gt;"", "", INDEX('M04-S13'!$AY$18:$AY$199,2*(ROWS(T$290:T321)-1)+1)),3),"")</f>
        <v/>
      </c>
      <c r="U321" s="545" t="str" cm="1">
        <f t="array" ref="U321">IFERROR(ROUND(IF(BB321&lt;&gt;"", "", INDEX('M04-S13'!$AZ$18:$AZ$199,2*(ROWS(U$290:U321)-1)+1)),3),"")</f>
        <v/>
      </c>
      <c r="V321" s="184"/>
      <c r="W321" s="184"/>
      <c r="X321" s="184"/>
      <c r="Y321" s="184"/>
      <c r="Z321" s="184"/>
      <c r="AA321" s="9" t="str" cm="1">
        <f t="array" ref="AA321">IFERROR(ROUND(INDEX('M04-S13'!$AR$18:$AR$199,2*(ROWS(AA$290:AA321)-1)+1), 2),"")</f>
        <v/>
      </c>
      <c r="AB321" s="9" t="str" cm="1">
        <f t="array" ref="AB321">_xlfn.LET(_xlpm.ROWS, 2*(ROWS(AB$290:AB321)-1)+1,IFERROR(INDEX('M04-S13'!$AR$18:$AR$199, _xlpm.ROWS)-INDEX('M04-S13'!$BS$18:$BS$199, _xlpm.ROWS),""))</f>
        <v/>
      </c>
      <c r="AC321" s="9" cm="1">
        <f t="array" ref="AC321">IFERROR(ROUND(IF(BB321&lt;&gt;"", "",INDEX('M04-S13'!$AE$18:$AE$199,2*(ROWS(AC$290:AC321)-1)+1)),2),"")</f>
        <v>0</v>
      </c>
      <c r="AD321" s="9" cm="1">
        <f t="array" ref="AD321">IFERROR(ROUND(IF(BB321&lt;&gt;"", "", INDEX('M04-S13'!$AG$18:$AG$199,2*(ROWS(AD$290:AD321)-1)+1)),2),"")</f>
        <v>0</v>
      </c>
      <c r="AE321" s="9" t="str" cm="1">
        <f t="array" ref="AE321">IFERROR(ROUND(IF(BB321&lt;&gt;"", "", INDEX('M04-S13'!$BL$18:$BL$199,2*(ROWS(AG$290:AG321)-1)+1)),2),"")</f>
        <v/>
      </c>
      <c r="AF321" t="str">
        <f t="shared" si="46"/>
        <v>Incremental</v>
      </c>
      <c r="AG321" s="9" t="str" cm="1">
        <f t="array" ref="AG321">IFERROR(ROUND(IF(BB321&lt;&gt;"", "", INDEX('M04-S13'!$BL$18:$BL$199,2*(ROWS(AG$290:AG321)-1)+1)),2),"")</f>
        <v/>
      </c>
      <c r="AH321" s="184"/>
      <c r="AI321" s="184"/>
      <c r="AJ321" s="32" t="str">
        <f>IFERROR(ROUND(INDEX('M04-S13'!$BE$18:$BE$199,2*(ROWS(AJ$290:AJ321)-1)+1),4),"")</f>
        <v/>
      </c>
      <c r="AK321" s="184"/>
      <c r="AL321" s="32" t="str">
        <f>IFERROR(ROUND(INDEX('M04-S13'!$BF$18:$BF$199,2*(ROWS(AL$290:AL321)-1)+1),4),"")</f>
        <v/>
      </c>
      <c r="AM321" s="32" t="str">
        <f>IFERROR(ROUND(INDEX('M04-S13'!$BA$18:$BA$199,2*(ROWS(AM$290:AM321)-1)+1),4),"")</f>
        <v/>
      </c>
      <c r="AN321" s="32" t="str" cm="1">
        <f t="array" aca="1" ref="AN321" ca="1">IFERROR(ROUND(NDEX('M04-S13'!$BB$18:$BB$199,2*(ROWS(AN$290:AN321)-1)+1),4),"")</f>
        <v/>
      </c>
      <c r="AO321" s="184"/>
      <c r="AP321" s="9" t="str" cm="1">
        <f t="array" ref="AP321">IFERROR(ROUND(IF(BB321&lt;&gt;"",INDEX('M04-S13'!$AE$18:$AE$199,2*(ROWS(AP$290:AP321)-1)+1),""),2),"")</f>
        <v/>
      </c>
      <c r="AQ321" s="9" t="str" cm="1">
        <f t="array" ref="AQ321">IFERROR(ROUND(IF(BB321&lt;&gt;"",INDEX('M04-S13'!$AG$18:$AG$199,2*(ROWS(AQ$290:AQ321)-1)+1),""),2),"")</f>
        <v/>
      </c>
      <c r="AR321" s="9" t="str" cm="1">
        <f t="array" ref="AR321">IFERROR(ROUND(IF(BB321&lt;&gt;"",INDEX('M04-S13'!$BL$18:$BL$199,2*(ROWS(AT$290:AT321)-1)+1),""),2),"")</f>
        <v/>
      </c>
      <c r="AS321" t="str">
        <f t="shared" si="51"/>
        <v/>
      </c>
      <c r="AT321" s="9" t="str" cm="1">
        <f t="array" ref="AT321">IFERROR(ROUND(IF(BB321&lt;&gt;"",INDEX('M04-S13'!$BL$18:$BL$199,2*(ROWS(AT$290:AT321)-1)+1),""),2),"")</f>
        <v/>
      </c>
      <c r="AU321" s="184"/>
      <c r="AV321" s="5" t="str" cm="1">
        <f t="array" ref="AV321">IFERROR(IF(BB321&lt;&gt;"",ROUND(INDEX('M04-S13'!$V$18:$V$199,2*(ROWS(AV$290:AV321)-1)+1),3),""),"")</f>
        <v/>
      </c>
      <c r="AW321" s="5" t="str" cm="1">
        <f t="array" ref="AW321">IFERROR(IF(BB321&lt;&gt;"",ROUND(INDEX('M04-S13'!$V$18:$V$199,2*(ROWS(AW$290:AW321)-1)+1),3),""),"")</f>
        <v/>
      </c>
      <c r="AX321" s="184"/>
      <c r="AY321" s="26" t="str" cm="1">
        <f t="array" ref="AY321">IFERROR(IF(BB321&lt;&gt;"",INDEX('M04-S13'!$BE$18:$BE$199,2*(ROWS(AY$290:AY321)-1)+1),""),"")</f>
        <v/>
      </c>
      <c r="AZ321" s="184"/>
      <c r="BA321" s="32" t="str" cm="1">
        <f t="array" ref="BA321">IFERROR(IF(BB321&lt;&gt;"",INDEX('M04-S13'!$BF$18:$BF$199,2*(ROWS(BA$290:BA321)-1)+1),""),"")</f>
        <v/>
      </c>
      <c r="BB321" t="str" cm="1">
        <f t="array" ref="BB321">IFERROR(INDEX('M04-S13'!$BY$18:$BY$199,2*(ROWS(BB$290:BB321)-1)+1),"")</f>
        <v/>
      </c>
    </row>
    <row r="322" spans="1:54">
      <c r="A322" s="10">
        <f t="shared" si="48"/>
        <v>0</v>
      </c>
      <c r="B322" t="str">
        <f t="shared" si="52"/>
        <v/>
      </c>
      <c r="C322" t="str" cm="1">
        <f t="array" ref="C322">IFERROR(_xlfn.VALUETOTEXT(INDEX('M04-S13'!$BW$18:$BW$199,2*(ROWS($C$290:C322)-1)+1)),"")</f>
        <v/>
      </c>
      <c r="D322">
        <f>IFERROR(INDEX('M04-S13'!$B$18:$B$199,2*(ROWS(D$290:D322)-1)+1),"")</f>
        <v>33</v>
      </c>
      <c r="E322" s="51" t="str" cm="1">
        <f t="array" ref="E322">IFERROR(_xlfn.VALUETOTEXT(INDEX('M04-S13'!$BX$18:$BX$199,2*(ROWS($E$290:E322)-1)+1)),"")</f>
        <v/>
      </c>
      <c r="F322" t="str" cm="1">
        <f t="array" ref="F322">IF(C322&lt;&gt;"", _xlfn.SWITCH(Program_Banner, "Small Business / Non-Profit", "Hard-To-Reach Business", "Business Energy Savings", "Whole Business Efficiency", ""), "")</f>
        <v/>
      </c>
      <c r="G322" t="s">
        <v>2779</v>
      </c>
      <c r="H322" t="str">
        <f>IFERROR(INDEX('M04-S13'!$BC$18:$BC$199,2*(ROWS($H$290:H322)-1)+1),"")</f>
        <v/>
      </c>
      <c r="I322" t="str">
        <f>IFERROR(INDEX('M04-S13'!$BJ$18:$BJ$199,2*(ROWS(I$290:I322)-1)+1),"")</f>
        <v/>
      </c>
      <c r="J322" s="9" t="str">
        <f>IFERROR(INDEX('M04-S13'!$BN$18:$BN$199,2*(ROWS(J$290:J322)-1)+1),"")</f>
        <v/>
      </c>
      <c r="K322" s="9" t="str">
        <f>IFERROR(INDEX('M04-S13'!$BO$18:$BO$199,2*(ROWS(K$290:K322)-1)+1),"")</f>
        <v/>
      </c>
      <c r="L322" s="51" t="str">
        <f>IFERROR(INDEX('M04-S13'!$BD$18:$BD$199,2*(ROWS(L$290:L322)-1)+1),"")</f>
        <v/>
      </c>
      <c r="M322" s="184"/>
      <c r="N322" s="171"/>
      <c r="O322">
        <f>IFERROR(INDEX('M04-S13'!$C$18:$C$199,2*(ROWS(O$290:O322)-1)+1),"")</f>
        <v>0</v>
      </c>
      <c r="P322" t="str" cm="1">
        <f t="array" aca="1" ref="P322" ca="1">_xlfn.LET( _xlpm.Rows, 2*(ROWS(Q$290:Q322)-1)+1,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2" t="str" cm="1">
        <f t="array" aca="1" ref="Q322" ca="1">_xlfn.LET( _xlpm.Rows, 2*(ROWS(Q$290:Q322)-1)+1,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2" t="str">
        <f>IFERROR(INDEX('M04-S13'!$AX$18:$AX$199,2*(ROWS(S$290:S322)-1)+1),"")</f>
        <v/>
      </c>
      <c r="T322" s="545" t="str" cm="1">
        <f t="array" ref="T322">IFERROR(ROUND(IF(BB322&lt;&gt;"", "", INDEX('M04-S13'!$AY$18:$AY$199,2*(ROWS(T$290:T322)-1)+1)),3),"")</f>
        <v/>
      </c>
      <c r="U322" s="545" t="str" cm="1">
        <f t="array" ref="U322">IFERROR(ROUND(IF(BB322&lt;&gt;"", "", INDEX('M04-S13'!$AZ$18:$AZ$199,2*(ROWS(U$290:U322)-1)+1)),3),"")</f>
        <v/>
      </c>
      <c r="V322" s="184"/>
      <c r="W322" s="184"/>
      <c r="X322" s="184"/>
      <c r="Y322" s="184"/>
      <c r="Z322" s="184"/>
      <c r="AA322" s="9" t="str" cm="1">
        <f t="array" ref="AA322">IFERROR(ROUND(INDEX('M04-S13'!$AR$18:$AR$199,2*(ROWS(AA$290:AA322)-1)+1), 2),"")</f>
        <v/>
      </c>
      <c r="AB322" s="9" t="str" cm="1">
        <f t="array" ref="AB322">_xlfn.LET(_xlpm.ROWS, 2*(ROWS(AB$290:AB322)-1)+1,IFERROR(INDEX('M04-S13'!$AR$18:$AR$199, _xlpm.ROWS)-INDEX('M04-S13'!$BS$18:$BS$199, _xlpm.ROWS),""))</f>
        <v/>
      </c>
      <c r="AC322" s="9" cm="1">
        <f t="array" ref="AC322">IFERROR(ROUND(IF(BB322&lt;&gt;"", "",INDEX('M04-S13'!$AE$18:$AE$199,2*(ROWS(AC$290:AC322)-1)+1)),2),"")</f>
        <v>0</v>
      </c>
      <c r="AD322" s="9" cm="1">
        <f t="array" ref="AD322">IFERROR(ROUND(IF(BB322&lt;&gt;"", "", INDEX('M04-S13'!$AG$18:$AG$199,2*(ROWS(AD$290:AD322)-1)+1)),2),"")</f>
        <v>0</v>
      </c>
      <c r="AE322" s="9" t="str" cm="1">
        <f t="array" ref="AE322">IFERROR(ROUND(IF(BB322&lt;&gt;"", "", INDEX('M04-S13'!$BL$18:$BL$199,2*(ROWS(AG$290:AG322)-1)+1)),2),"")</f>
        <v/>
      </c>
      <c r="AF322" t="str">
        <f t="shared" si="46"/>
        <v>Incremental</v>
      </c>
      <c r="AG322" s="9" t="str" cm="1">
        <f t="array" ref="AG322">IFERROR(ROUND(IF(BB322&lt;&gt;"", "", INDEX('M04-S13'!$BL$18:$BL$199,2*(ROWS(AG$290:AG322)-1)+1)),2),"")</f>
        <v/>
      </c>
      <c r="AH322" s="184"/>
      <c r="AI322" s="184"/>
      <c r="AJ322" s="32" t="str">
        <f>IFERROR(ROUND(INDEX('M04-S13'!$BE$18:$BE$199,2*(ROWS(AJ$290:AJ322)-1)+1),4),"")</f>
        <v/>
      </c>
      <c r="AK322" s="184"/>
      <c r="AL322" s="32" t="str">
        <f>IFERROR(ROUND(INDEX('M04-S13'!$BF$18:$BF$199,2*(ROWS(AL$290:AL322)-1)+1),4),"")</f>
        <v/>
      </c>
      <c r="AM322" s="32" t="str">
        <f>IFERROR(ROUND(INDEX('M04-S13'!$BA$18:$BA$199,2*(ROWS(AM$290:AM322)-1)+1),4),"")</f>
        <v/>
      </c>
      <c r="AN322" s="32" t="str" cm="1">
        <f t="array" aca="1" ref="AN322" ca="1">IFERROR(ROUND(NDEX('M04-S13'!$BB$18:$BB$199,2*(ROWS(AN$290:AN322)-1)+1),4),"")</f>
        <v/>
      </c>
      <c r="AO322" s="184"/>
      <c r="AP322" s="9" t="str" cm="1">
        <f t="array" ref="AP322">IFERROR(ROUND(IF(BB322&lt;&gt;"",INDEX('M04-S13'!$AE$18:$AE$199,2*(ROWS(AP$290:AP322)-1)+1),""),2),"")</f>
        <v/>
      </c>
      <c r="AQ322" s="9" t="str" cm="1">
        <f t="array" ref="AQ322">IFERROR(ROUND(IF(BB322&lt;&gt;"",INDEX('M04-S13'!$AG$18:$AG$199,2*(ROWS(AQ$290:AQ322)-1)+1),""),2),"")</f>
        <v/>
      </c>
      <c r="AR322" s="9" t="str" cm="1">
        <f t="array" ref="AR322">IFERROR(ROUND(IF(BB322&lt;&gt;"",INDEX('M04-S13'!$BL$18:$BL$199,2*(ROWS(AT$290:AT322)-1)+1),""),2),"")</f>
        <v/>
      </c>
      <c r="AS322" t="str">
        <f t="shared" si="51"/>
        <v/>
      </c>
      <c r="AT322" s="9" t="str" cm="1">
        <f t="array" ref="AT322">IFERROR(ROUND(IF(BB322&lt;&gt;"",INDEX('M04-S13'!$BL$18:$BL$199,2*(ROWS(AT$290:AT322)-1)+1),""),2),"")</f>
        <v/>
      </c>
      <c r="AU322" s="184"/>
      <c r="AV322" s="5" t="str" cm="1">
        <f t="array" ref="AV322">IFERROR(IF(BB322&lt;&gt;"",ROUND(INDEX('M04-S13'!$V$18:$V$199,2*(ROWS(AV$290:AV322)-1)+1),3),""),"")</f>
        <v/>
      </c>
      <c r="AW322" s="5" t="str" cm="1">
        <f t="array" ref="AW322">IFERROR(IF(BB322&lt;&gt;"",ROUND(INDEX('M04-S13'!$V$18:$V$199,2*(ROWS(AW$290:AW322)-1)+1),3),""),"")</f>
        <v/>
      </c>
      <c r="AX322" s="184"/>
      <c r="AY322" s="26" t="str" cm="1">
        <f t="array" ref="AY322">IFERROR(IF(BB322&lt;&gt;"",INDEX('M04-S13'!$BE$18:$BE$199,2*(ROWS(AY$290:AY322)-1)+1),""),"")</f>
        <v/>
      </c>
      <c r="AZ322" s="184"/>
      <c r="BA322" s="32" t="str" cm="1">
        <f t="array" ref="BA322">IFERROR(IF(BB322&lt;&gt;"",INDEX('M04-S13'!$BF$18:$BF$199,2*(ROWS(BA$290:BA322)-1)+1),""),"")</f>
        <v/>
      </c>
      <c r="BB322" t="str" cm="1">
        <f t="array" ref="BB322">IFERROR(INDEX('M04-S13'!$BY$18:$BY$199,2*(ROWS(BB$290:BB322)-1)+1),"")</f>
        <v/>
      </c>
    </row>
    <row r="323" spans="1:54">
      <c r="A323" s="10">
        <f t="shared" si="48"/>
        <v>0</v>
      </c>
      <c r="B323" t="str">
        <f t="shared" si="52"/>
        <v/>
      </c>
      <c r="C323" t="str" cm="1">
        <f t="array" ref="C323">IFERROR(_xlfn.VALUETOTEXT(INDEX('M04-S13'!$BW$18:$BW$199,2*(ROWS($C$290:C323)-1)+1)),"")</f>
        <v/>
      </c>
      <c r="D323">
        <f>IFERROR(INDEX('M04-S13'!$B$18:$B$199,2*(ROWS(D$290:D323)-1)+1),"")</f>
        <v>34</v>
      </c>
      <c r="E323" s="51" t="str" cm="1">
        <f t="array" ref="E323">IFERROR(_xlfn.VALUETOTEXT(INDEX('M04-S13'!$BX$18:$BX$199,2*(ROWS($E$290:E323)-1)+1)),"")</f>
        <v/>
      </c>
      <c r="F323" t="str" cm="1">
        <f t="array" ref="F323">IF(C323&lt;&gt;"", _xlfn.SWITCH(Program_Banner, "Small Business / Non-Profit", "Hard-To-Reach Business", "Business Energy Savings", "Whole Business Efficiency", ""), "")</f>
        <v/>
      </c>
      <c r="G323" t="s">
        <v>2779</v>
      </c>
      <c r="H323" t="str">
        <f>IFERROR(INDEX('M04-S13'!$BC$18:$BC$199,2*(ROWS($H$290:H323)-1)+1),"")</f>
        <v/>
      </c>
      <c r="I323" t="str">
        <f>IFERROR(INDEX('M04-S13'!$BJ$18:$BJ$199,2*(ROWS(I$290:I323)-1)+1),"")</f>
        <v/>
      </c>
      <c r="J323" s="9" t="str">
        <f>IFERROR(INDEX('M04-S13'!$BN$18:$BN$199,2*(ROWS(J$290:J323)-1)+1),"")</f>
        <v/>
      </c>
      <c r="K323" s="9" t="str">
        <f>IFERROR(INDEX('M04-S13'!$BO$18:$BO$199,2*(ROWS(K$290:K323)-1)+1),"")</f>
        <v/>
      </c>
      <c r="L323" s="51" t="str">
        <f>IFERROR(INDEX('M04-S13'!$BD$18:$BD$199,2*(ROWS(L$290:L323)-1)+1),"")</f>
        <v/>
      </c>
      <c r="M323" s="184"/>
      <c r="N323" s="171"/>
      <c r="O323">
        <f>IFERROR(INDEX('M04-S13'!$C$18:$C$199,2*(ROWS(O$290:O323)-1)+1),"")</f>
        <v>0</v>
      </c>
      <c r="P323" t="str" cm="1">
        <f t="array" aca="1" ref="P323" ca="1">_xlfn.LET( _xlpm.Rows, 2*(ROWS(Q$290:Q323)-1)+1,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3" t="str" cm="1">
        <f t="array" aca="1" ref="Q323" ca="1">_xlfn.LET( _xlpm.Rows, 2*(ROWS(Q$290:Q323)-1)+1,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3" t="str">
        <f>IFERROR(INDEX('M04-S13'!$AX$18:$AX$199,2*(ROWS(S$290:S323)-1)+1),"")</f>
        <v/>
      </c>
      <c r="T323" s="545" t="str" cm="1">
        <f t="array" ref="T323">IFERROR(ROUND(IF(BB323&lt;&gt;"", "", INDEX('M04-S13'!$AY$18:$AY$199,2*(ROWS(T$290:T323)-1)+1)),3),"")</f>
        <v/>
      </c>
      <c r="U323" s="545" t="str" cm="1">
        <f t="array" ref="U323">IFERROR(ROUND(IF(BB323&lt;&gt;"", "", INDEX('M04-S13'!$AZ$18:$AZ$199,2*(ROWS(U$290:U323)-1)+1)),3),"")</f>
        <v/>
      </c>
      <c r="V323" s="184"/>
      <c r="W323" s="184"/>
      <c r="X323" s="184"/>
      <c r="Y323" s="184"/>
      <c r="Z323" s="184"/>
      <c r="AA323" s="9" t="str" cm="1">
        <f t="array" ref="AA323">IFERROR(ROUND(INDEX('M04-S13'!$AR$18:$AR$199,2*(ROWS(AA$290:AA323)-1)+1), 2),"")</f>
        <v/>
      </c>
      <c r="AB323" s="9" t="str" cm="1">
        <f t="array" ref="AB323">_xlfn.LET(_xlpm.ROWS, 2*(ROWS(AB$290:AB323)-1)+1,IFERROR(INDEX('M04-S13'!$AR$18:$AR$199, _xlpm.ROWS)-INDEX('M04-S13'!$BS$18:$BS$199, _xlpm.ROWS),""))</f>
        <v/>
      </c>
      <c r="AC323" s="9" cm="1">
        <f t="array" ref="AC323">IFERROR(ROUND(IF(BB323&lt;&gt;"", "",INDEX('M04-S13'!$AE$18:$AE$199,2*(ROWS(AC$290:AC323)-1)+1)),2),"")</f>
        <v>0</v>
      </c>
      <c r="AD323" s="9" cm="1">
        <f t="array" ref="AD323">IFERROR(ROUND(IF(BB323&lt;&gt;"", "", INDEX('M04-S13'!$AG$18:$AG$199,2*(ROWS(AD$290:AD323)-1)+1)),2),"")</f>
        <v>0</v>
      </c>
      <c r="AE323" s="9" t="str" cm="1">
        <f t="array" ref="AE323">IFERROR(ROUND(IF(BB323&lt;&gt;"", "", INDEX('M04-S13'!$BL$18:$BL$199,2*(ROWS(AG$290:AG323)-1)+1)),2),"")</f>
        <v/>
      </c>
      <c r="AF323" t="str">
        <f t="shared" si="46"/>
        <v>Incremental</v>
      </c>
      <c r="AG323" s="9" t="str" cm="1">
        <f t="array" ref="AG323">IFERROR(ROUND(IF(BB323&lt;&gt;"", "", INDEX('M04-S13'!$BL$18:$BL$199,2*(ROWS(AG$290:AG323)-1)+1)),2),"")</f>
        <v/>
      </c>
      <c r="AH323" s="184"/>
      <c r="AI323" s="184"/>
      <c r="AJ323" s="32" t="str">
        <f>IFERROR(ROUND(INDEX('M04-S13'!$BE$18:$BE$199,2*(ROWS(AJ$290:AJ323)-1)+1),4),"")</f>
        <v/>
      </c>
      <c r="AK323" s="184"/>
      <c r="AL323" s="32" t="str">
        <f>IFERROR(ROUND(INDEX('M04-S13'!$BF$18:$BF$199,2*(ROWS(AL$290:AL323)-1)+1),4),"")</f>
        <v/>
      </c>
      <c r="AM323" s="32" t="str">
        <f>IFERROR(ROUND(INDEX('M04-S13'!$BA$18:$BA$199,2*(ROWS(AM$290:AM323)-1)+1),4),"")</f>
        <v/>
      </c>
      <c r="AN323" s="32" t="str" cm="1">
        <f t="array" aca="1" ref="AN323" ca="1">IFERROR(ROUND(NDEX('M04-S13'!$BB$18:$BB$199,2*(ROWS(AN$290:AN323)-1)+1),4),"")</f>
        <v/>
      </c>
      <c r="AO323" s="184"/>
      <c r="AP323" s="9" t="str" cm="1">
        <f t="array" ref="AP323">IFERROR(ROUND(IF(BB323&lt;&gt;"",INDEX('M04-S13'!$AE$18:$AE$199,2*(ROWS(AP$290:AP323)-1)+1),""),2),"")</f>
        <v/>
      </c>
      <c r="AQ323" s="9" t="str" cm="1">
        <f t="array" ref="AQ323">IFERROR(ROUND(IF(BB323&lt;&gt;"",INDEX('M04-S13'!$AG$18:$AG$199,2*(ROWS(AQ$290:AQ323)-1)+1),""),2),"")</f>
        <v/>
      </c>
      <c r="AR323" s="9" t="str" cm="1">
        <f t="array" ref="AR323">IFERROR(ROUND(IF(BB323&lt;&gt;"",INDEX('M04-S13'!$BL$18:$BL$199,2*(ROWS(AT$290:AT323)-1)+1),""),2),"")</f>
        <v/>
      </c>
      <c r="AS323" t="str">
        <f t="shared" si="51"/>
        <v/>
      </c>
      <c r="AT323" s="9" t="str" cm="1">
        <f t="array" ref="AT323">IFERROR(ROUND(IF(BB323&lt;&gt;"",INDEX('M04-S13'!$BL$18:$BL$199,2*(ROWS(AT$290:AT323)-1)+1),""),2),"")</f>
        <v/>
      </c>
      <c r="AU323" s="184"/>
      <c r="AV323" s="5" t="str" cm="1">
        <f t="array" ref="AV323">IFERROR(IF(BB323&lt;&gt;"",ROUND(INDEX('M04-S13'!$V$18:$V$199,2*(ROWS(AV$290:AV323)-1)+1),3),""),"")</f>
        <v/>
      </c>
      <c r="AW323" s="5" t="str" cm="1">
        <f t="array" ref="AW323">IFERROR(IF(BB323&lt;&gt;"",ROUND(INDEX('M04-S13'!$V$18:$V$199,2*(ROWS(AW$290:AW323)-1)+1),3),""),"")</f>
        <v/>
      </c>
      <c r="AX323" s="184"/>
      <c r="AY323" s="26" t="str" cm="1">
        <f t="array" ref="AY323">IFERROR(IF(BB323&lt;&gt;"",INDEX('M04-S13'!$BE$18:$BE$199,2*(ROWS(AY$290:AY323)-1)+1),""),"")</f>
        <v/>
      </c>
      <c r="AZ323" s="184"/>
      <c r="BA323" s="32" t="str" cm="1">
        <f t="array" ref="BA323">IFERROR(IF(BB323&lt;&gt;"",INDEX('M04-S13'!$BF$18:$BF$199,2*(ROWS(BA$290:BA323)-1)+1),""),"")</f>
        <v/>
      </c>
      <c r="BB323" t="str" cm="1">
        <f t="array" ref="BB323">IFERROR(INDEX('M04-S13'!$BY$18:$BY$199,2*(ROWS(BB$290:BB323)-1)+1),"")</f>
        <v/>
      </c>
    </row>
    <row r="324" spans="1:54">
      <c r="A324" s="10">
        <f t="shared" si="48"/>
        <v>0</v>
      </c>
      <c r="B324" t="str">
        <f t="shared" si="52"/>
        <v/>
      </c>
      <c r="C324" t="str" cm="1">
        <f t="array" ref="C324">IFERROR(_xlfn.VALUETOTEXT(INDEX('M04-S13'!$BW$18:$BW$199,2*(ROWS($C$290:C324)-1)+1)),"")</f>
        <v/>
      </c>
      <c r="D324">
        <f>IFERROR(INDEX('M04-S13'!$B$18:$B$199,2*(ROWS(D$290:D324)-1)+1),"")</f>
        <v>35</v>
      </c>
      <c r="E324" s="51" t="str" cm="1">
        <f t="array" ref="E324">IFERROR(_xlfn.VALUETOTEXT(INDEX('M04-S13'!$BX$18:$BX$199,2*(ROWS($E$290:E324)-1)+1)),"")</f>
        <v/>
      </c>
      <c r="F324" t="str" cm="1">
        <f t="array" ref="F324">IF(C324&lt;&gt;"", _xlfn.SWITCH(Program_Banner, "Small Business / Non-Profit", "Hard-To-Reach Business", "Business Energy Savings", "Whole Business Efficiency", ""), "")</f>
        <v/>
      </c>
      <c r="G324" t="s">
        <v>2779</v>
      </c>
      <c r="H324" t="str">
        <f>IFERROR(INDEX('M04-S13'!$BC$18:$BC$199,2*(ROWS($H$290:H324)-1)+1),"")</f>
        <v/>
      </c>
      <c r="I324" t="str">
        <f>IFERROR(INDEX('M04-S13'!$BJ$18:$BJ$199,2*(ROWS(I$290:I324)-1)+1),"")</f>
        <v/>
      </c>
      <c r="J324" s="9" t="str">
        <f>IFERROR(INDEX('M04-S13'!$BN$18:$BN$199,2*(ROWS(J$290:J324)-1)+1),"")</f>
        <v/>
      </c>
      <c r="K324" s="9" t="str">
        <f>IFERROR(INDEX('M04-S13'!$BO$18:$BO$199,2*(ROWS(K$290:K324)-1)+1),"")</f>
        <v/>
      </c>
      <c r="L324" s="51" t="str">
        <f>IFERROR(INDEX('M04-S13'!$BD$18:$BD$199,2*(ROWS(L$290:L324)-1)+1),"")</f>
        <v/>
      </c>
      <c r="M324" s="184"/>
      <c r="N324" s="171"/>
      <c r="O324">
        <f>IFERROR(INDEX('M04-S13'!$C$18:$C$199,2*(ROWS(O$290:O324)-1)+1),"")</f>
        <v>0</v>
      </c>
      <c r="P324" t="str" cm="1">
        <f t="array" aca="1" ref="P324" ca="1">_xlfn.LET( _xlpm.Rows, 2*(ROWS(Q$290:Q324)-1)+1,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4" t="str" cm="1">
        <f t="array" aca="1" ref="Q324" ca="1">_xlfn.LET( _xlpm.Rows, 2*(ROWS(Q$290:Q324)-1)+1,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4" t="str">
        <f>IFERROR(INDEX('M04-S13'!$AX$18:$AX$199,2*(ROWS(S$290:S324)-1)+1),"")</f>
        <v/>
      </c>
      <c r="T324" s="545" t="str" cm="1">
        <f t="array" ref="T324">IFERROR(ROUND(IF(BB324&lt;&gt;"", "", INDEX('M04-S13'!$AY$18:$AY$199,2*(ROWS(T$290:T324)-1)+1)),3),"")</f>
        <v/>
      </c>
      <c r="U324" s="545" t="str" cm="1">
        <f t="array" ref="U324">IFERROR(ROUND(IF(BB324&lt;&gt;"", "", INDEX('M04-S13'!$AZ$18:$AZ$199,2*(ROWS(U$290:U324)-1)+1)),3),"")</f>
        <v/>
      </c>
      <c r="V324" s="184"/>
      <c r="W324" s="184"/>
      <c r="X324" s="184"/>
      <c r="Y324" s="184"/>
      <c r="Z324" s="184"/>
      <c r="AA324" s="9" t="str" cm="1">
        <f t="array" ref="AA324">IFERROR(ROUND(INDEX('M04-S13'!$AR$18:$AR$199,2*(ROWS(AA$290:AA324)-1)+1), 2),"")</f>
        <v/>
      </c>
      <c r="AB324" s="9" t="str" cm="1">
        <f t="array" ref="AB324">_xlfn.LET(_xlpm.ROWS, 2*(ROWS(AB$290:AB324)-1)+1,IFERROR(INDEX('M04-S13'!$AR$18:$AR$199, _xlpm.ROWS)-INDEX('M04-S13'!$BS$18:$BS$199, _xlpm.ROWS),""))</f>
        <v/>
      </c>
      <c r="AC324" s="9" cm="1">
        <f t="array" ref="AC324">IFERROR(ROUND(IF(BB324&lt;&gt;"", "",INDEX('M04-S13'!$AE$18:$AE$199,2*(ROWS(AC$290:AC324)-1)+1)),2),"")</f>
        <v>0</v>
      </c>
      <c r="AD324" s="9" cm="1">
        <f t="array" ref="AD324">IFERROR(ROUND(IF(BB324&lt;&gt;"", "", INDEX('M04-S13'!$AG$18:$AG$199,2*(ROWS(AD$290:AD324)-1)+1)),2),"")</f>
        <v>0</v>
      </c>
      <c r="AE324" s="9" t="str" cm="1">
        <f t="array" ref="AE324">IFERROR(ROUND(IF(BB324&lt;&gt;"", "", INDEX('M04-S13'!$BL$18:$BL$199,2*(ROWS(AG$290:AG324)-1)+1)),2),"")</f>
        <v/>
      </c>
      <c r="AF324" t="str">
        <f t="shared" ref="AF324" si="53">IF(BB324&lt;&gt;"", "", "Incremental")</f>
        <v>Incremental</v>
      </c>
      <c r="AG324" s="9" t="str" cm="1">
        <f t="array" ref="AG324">IFERROR(ROUND(IF(BB324&lt;&gt;"", "", INDEX('M04-S13'!$BL$18:$BL$199,2*(ROWS(AG$290:AG324)-1)+1)),2),"")</f>
        <v/>
      </c>
      <c r="AH324" s="184"/>
      <c r="AI324" s="184"/>
      <c r="AJ324" s="32" t="str">
        <f>IFERROR(ROUND(INDEX('M04-S13'!$BE$18:$BE$199,2*(ROWS(AJ$290:AJ324)-1)+1),4),"")</f>
        <v/>
      </c>
      <c r="AK324" s="184"/>
      <c r="AL324" s="32" t="str">
        <f>IFERROR(ROUND(INDEX('M04-S13'!$BF$18:$BF$199,2*(ROWS(AL$290:AL324)-1)+1),4),"")</f>
        <v/>
      </c>
      <c r="AM324" s="32" t="str">
        <f>IFERROR(ROUND(INDEX('M04-S13'!$BA$18:$BA$199,2*(ROWS(AM$290:AM324)-1)+1),4),"")</f>
        <v/>
      </c>
      <c r="AN324" s="32" t="str" cm="1">
        <f t="array" aca="1" ref="AN324" ca="1">IFERROR(ROUND(NDEX('M04-S13'!$BB$18:$BB$199,2*(ROWS(AN$290:AN324)-1)+1),4),"")</f>
        <v/>
      </c>
      <c r="AO324" s="184"/>
      <c r="AP324" s="9" t="str" cm="1">
        <f t="array" ref="AP324">IFERROR(ROUND(IF(BB324&lt;&gt;"",INDEX('M04-S13'!$AE$18:$AE$199,2*(ROWS(AP$290:AP324)-1)+1),""),2),"")</f>
        <v/>
      </c>
      <c r="AQ324" s="9" t="str" cm="1">
        <f t="array" ref="AQ324">IFERROR(ROUND(IF(BB324&lt;&gt;"",INDEX('M04-S13'!$AG$18:$AG$199,2*(ROWS(AQ$290:AQ324)-1)+1),""),2),"")</f>
        <v/>
      </c>
      <c r="AR324" s="9" t="str" cm="1">
        <f t="array" ref="AR324">IFERROR(ROUND(IF(BB324&lt;&gt;"",INDEX('M04-S13'!$BL$18:$BL$199,2*(ROWS(AT$290:AT324)-1)+1),""),2),"")</f>
        <v/>
      </c>
      <c r="AS324" t="str">
        <f t="shared" si="51"/>
        <v/>
      </c>
      <c r="AT324" s="9" t="str" cm="1">
        <f t="array" ref="AT324">IFERROR(ROUND(IF(BB324&lt;&gt;"",INDEX('M04-S13'!$BL$18:$BL$199,2*(ROWS(AT$290:AT324)-1)+1),""),2),"")</f>
        <v/>
      </c>
      <c r="AU324" s="184"/>
      <c r="AV324" s="5" t="str" cm="1">
        <f t="array" ref="AV324">IFERROR(IF(BB324&lt;&gt;"",ROUND(INDEX('M04-S13'!$V$18:$V$199,2*(ROWS(AV$290:AV324)-1)+1),3),""),"")</f>
        <v/>
      </c>
      <c r="AW324" s="5" t="str" cm="1">
        <f t="array" ref="AW324">IFERROR(IF(BB324&lt;&gt;"",ROUND(INDEX('M04-S13'!$V$18:$V$199,2*(ROWS(AW$290:AW324)-1)+1),3),""),"")</f>
        <v/>
      </c>
      <c r="AX324" s="184"/>
      <c r="AY324" s="26" t="str" cm="1">
        <f t="array" ref="AY324">IFERROR(IF(BB324&lt;&gt;"",INDEX('M04-S13'!$BE$18:$BE$199,2*(ROWS(AY$290:AY324)-1)+1),""),"")</f>
        <v/>
      </c>
      <c r="AZ324" s="184"/>
      <c r="BA324" s="32" t="str" cm="1">
        <f t="array" ref="BA324">IFERROR(IF(BB324&lt;&gt;"",INDEX('M04-S13'!$BF$18:$BF$199,2*(ROWS(BA$290:BA324)-1)+1),""),"")</f>
        <v/>
      </c>
      <c r="BB324" t="str" cm="1">
        <f t="array" ref="BB324">IFERROR(INDEX('M04-S13'!$BY$18:$BY$199,2*(ROWS(BB$290:BB324)-1)+1),"")</f>
        <v/>
      </c>
    </row>
    <row r="326" spans="1:54">
      <c r="J326" s="9"/>
      <c r="K326" s="9"/>
      <c r="T326" s="5"/>
      <c r="U326" s="5"/>
      <c r="V326" s="26"/>
      <c r="W326" s="26"/>
      <c r="X326" s="26"/>
      <c r="Y326" s="26"/>
      <c r="Z326" s="26"/>
      <c r="AA326" s="9"/>
      <c r="AC326" s="9"/>
      <c r="AD326" s="9"/>
      <c r="AE326" s="9"/>
      <c r="AI326" s="26"/>
      <c r="AJ326" s="26"/>
      <c r="AK326" s="32"/>
      <c r="AL326" s="32"/>
      <c r="AM326" s="26"/>
      <c r="AN326" s="26"/>
      <c r="AO326" s="26"/>
      <c r="AP326" s="9"/>
      <c r="AQ326" s="9"/>
      <c r="AR326" s="9"/>
      <c r="AV326" s="5"/>
      <c r="AW326" s="5"/>
      <c r="AX326" s="26"/>
      <c r="AY326" s="26"/>
      <c r="AZ326" s="32"/>
      <c r="BA326" s="32"/>
    </row>
    <row r="327" spans="1:54">
      <c r="J327" s="9"/>
      <c r="K327" s="9"/>
      <c r="T327" s="5"/>
      <c r="U327" s="5"/>
      <c r="V327" s="26"/>
      <c r="W327" s="26"/>
      <c r="X327" s="26"/>
      <c r="Y327" s="26"/>
      <c r="Z327" s="26"/>
      <c r="AA327" s="9"/>
      <c r="AC327" s="9"/>
      <c r="AD327" s="9"/>
      <c r="AE327" s="9"/>
      <c r="AI327" s="26"/>
      <c r="AJ327" s="26"/>
      <c r="AK327" s="32"/>
      <c r="AL327" s="32"/>
      <c r="AM327" s="26"/>
      <c r="AN327" s="26"/>
      <c r="AO327" s="26"/>
      <c r="AP327" s="9"/>
      <c r="AQ327" s="9"/>
      <c r="AR327" s="9"/>
      <c r="AV327" s="5"/>
      <c r="AW327" s="5"/>
      <c r="AX327" s="26"/>
      <c r="AY327" s="26"/>
      <c r="AZ327" s="32"/>
      <c r="BA327" s="32"/>
    </row>
    <row r="328" spans="1:54">
      <c r="J328" s="9"/>
      <c r="K328" s="9"/>
      <c r="T328" s="5"/>
      <c r="U328" s="5"/>
      <c r="V328" s="26"/>
      <c r="W328" s="26"/>
      <c r="X328" s="26"/>
      <c r="Y328" s="26"/>
      <c r="Z328" s="26"/>
      <c r="AA328" s="9"/>
      <c r="AC328" s="9"/>
      <c r="AD328" s="9"/>
      <c r="AE328" s="9"/>
      <c r="AI328" s="26"/>
      <c r="AJ328" s="26"/>
      <c r="AK328" s="32"/>
      <c r="AL328" s="32"/>
      <c r="AM328" s="26"/>
      <c r="AN328" s="26"/>
      <c r="AO328" s="26"/>
      <c r="AP328" s="9"/>
      <c r="AQ328" s="9"/>
      <c r="AR328" s="9"/>
      <c r="AV328" s="5"/>
      <c r="AW328" s="5"/>
      <c r="AX328" s="26"/>
      <c r="AY328" s="26"/>
      <c r="AZ328" s="32"/>
      <c r="BA328" s="32"/>
    </row>
    <row r="329" spans="1:54">
      <c r="J329" s="9"/>
      <c r="K329" s="9"/>
      <c r="T329" s="5"/>
      <c r="U329" s="5"/>
      <c r="V329" s="26"/>
      <c r="W329" s="26"/>
      <c r="X329" s="26"/>
      <c r="Y329" s="26"/>
      <c r="Z329" s="26"/>
      <c r="AA329" s="9"/>
      <c r="AC329" s="9"/>
      <c r="AD329" s="9"/>
      <c r="AE329" s="9"/>
      <c r="AI329" s="26"/>
      <c r="AJ329" s="26"/>
      <c r="AK329" s="32"/>
      <c r="AL329" s="32"/>
      <c r="AM329" s="26"/>
      <c r="AN329" s="26"/>
      <c r="AO329" s="26"/>
      <c r="AP329" s="9"/>
      <c r="AQ329" s="9"/>
      <c r="AR329" s="9"/>
      <c r="AV329" s="5"/>
      <c r="AW329" s="5"/>
      <c r="AX329" s="26"/>
      <c r="AY329" s="26"/>
      <c r="AZ329" s="32"/>
      <c r="BA329" s="32"/>
    </row>
    <row r="330" spans="1:54">
      <c r="J330" s="9"/>
      <c r="K330" s="9"/>
      <c r="T330" s="5"/>
      <c r="U330" s="5"/>
      <c r="V330" s="26"/>
      <c r="W330" s="26"/>
      <c r="X330" s="26"/>
      <c r="Y330" s="26"/>
      <c r="Z330" s="26"/>
      <c r="AA330" s="9"/>
      <c r="AC330" s="9"/>
      <c r="AD330" s="9"/>
      <c r="AE330" s="9"/>
      <c r="AI330" s="26"/>
      <c r="AJ330" s="26"/>
      <c r="AK330" s="32"/>
      <c r="AL330" s="32"/>
      <c r="AM330" s="26"/>
      <c r="AN330" s="26"/>
      <c r="AO330" s="26"/>
      <c r="AP330" s="9"/>
      <c r="AQ330" s="9"/>
      <c r="AR330" s="9"/>
      <c r="AV330" s="5"/>
      <c r="AW330" s="5"/>
      <c r="AX330" s="26"/>
      <c r="AY330" s="26"/>
      <c r="AZ330" s="32"/>
      <c r="BA330" s="32"/>
    </row>
    <row r="331" spans="1:54">
      <c r="J331" s="9"/>
      <c r="K331" s="9"/>
      <c r="T331" s="5"/>
      <c r="U331" s="5"/>
      <c r="V331" s="26"/>
      <c r="W331" s="26"/>
      <c r="X331" s="26"/>
      <c r="Y331" s="26"/>
      <c r="Z331" s="26"/>
      <c r="AA331" s="9"/>
      <c r="AC331" s="9"/>
      <c r="AD331" s="9"/>
      <c r="AE331" s="9"/>
      <c r="AI331" s="26"/>
      <c r="AJ331" s="26"/>
      <c r="AK331" s="32"/>
      <c r="AL331" s="32"/>
      <c r="AM331" s="26"/>
      <c r="AN331" s="26"/>
      <c r="AO331" s="26"/>
      <c r="AP331" s="9"/>
      <c r="AQ331" s="9"/>
      <c r="AR331" s="9"/>
      <c r="AV331" s="5"/>
      <c r="AW331" s="5"/>
      <c r="AX331" s="26"/>
      <c r="AY331" s="26"/>
      <c r="AZ331" s="32"/>
      <c r="BA331" s="32"/>
    </row>
    <row r="332" spans="1:54">
      <c r="J332" s="9"/>
      <c r="K332" s="9"/>
      <c r="T332" s="5"/>
      <c r="U332" s="5"/>
      <c r="V332" s="26"/>
      <c r="W332" s="26"/>
      <c r="X332" s="26"/>
      <c r="Y332" s="26"/>
      <c r="Z332" s="26"/>
      <c r="AA332" s="9"/>
      <c r="AC332" s="9"/>
      <c r="AD332" s="9"/>
      <c r="AE332" s="9"/>
      <c r="AI332" s="26"/>
      <c r="AJ332" s="26"/>
      <c r="AK332" s="32"/>
      <c r="AL332" s="32"/>
      <c r="AM332" s="26"/>
      <c r="AN332" s="26"/>
      <c r="AO332" s="26"/>
      <c r="AP332" s="9"/>
      <c r="AQ332" s="9"/>
      <c r="AR332" s="9"/>
      <c r="AV332" s="5"/>
      <c r="AW332" s="5"/>
      <c r="AX332" s="26"/>
      <c r="AY332" s="26"/>
      <c r="AZ332" s="32"/>
      <c r="BA332" s="32"/>
    </row>
    <row r="333" spans="1:54">
      <c r="J333" s="9"/>
      <c r="K333" s="9"/>
      <c r="T333" s="5"/>
      <c r="U333" s="5"/>
      <c r="V333" s="26"/>
      <c r="W333" s="26"/>
      <c r="X333" s="26"/>
      <c r="Y333" s="26"/>
      <c r="Z333" s="26"/>
      <c r="AA333" s="9"/>
      <c r="AC333" s="9"/>
      <c r="AD333" s="9"/>
      <c r="AE333" s="9"/>
      <c r="AI333" s="26"/>
      <c r="AJ333" s="26"/>
      <c r="AK333" s="32"/>
      <c r="AL333" s="32"/>
      <c r="AM333" s="26"/>
      <c r="AN333" s="26"/>
      <c r="AO333" s="26"/>
      <c r="AP333" s="9"/>
      <c r="AQ333" s="9"/>
      <c r="AR333" s="9"/>
      <c r="AV333" s="5"/>
      <c r="AW333" s="5"/>
      <c r="AX333" s="26"/>
      <c r="AY333" s="26"/>
      <c r="AZ333" s="32"/>
      <c r="BA333" s="32"/>
    </row>
    <row r="334" spans="1:54">
      <c r="J334" s="9"/>
      <c r="K334" s="9"/>
      <c r="T334" s="5"/>
      <c r="U334" s="5"/>
      <c r="V334" s="26"/>
      <c r="W334" s="26"/>
      <c r="X334" s="26"/>
      <c r="Y334" s="26"/>
      <c r="Z334" s="26"/>
      <c r="AA334" s="9"/>
      <c r="AC334" s="9"/>
      <c r="AD334" s="9"/>
      <c r="AE334" s="9"/>
      <c r="AI334" s="26"/>
      <c r="AJ334" s="26"/>
      <c r="AK334" s="32"/>
      <c r="AL334" s="32"/>
      <c r="AM334" s="26"/>
      <c r="AN334" s="26"/>
      <c r="AO334" s="26"/>
      <c r="AP334" s="9"/>
      <c r="AQ334" s="9"/>
      <c r="AR334" s="9"/>
      <c r="AV334" s="5"/>
      <c r="AW334" s="5"/>
      <c r="AX334" s="26"/>
      <c r="AY334" s="26"/>
      <c r="AZ334" s="32"/>
      <c r="BA334" s="32"/>
    </row>
    <row r="335" spans="1:54">
      <c r="J335" s="9"/>
      <c r="K335" s="9"/>
      <c r="T335" s="5"/>
      <c r="U335" s="5"/>
      <c r="V335" s="26"/>
      <c r="W335" s="26"/>
      <c r="X335" s="26"/>
      <c r="Y335" s="26"/>
      <c r="Z335" s="26"/>
      <c r="AA335" s="9"/>
      <c r="AC335" s="9"/>
      <c r="AD335" s="9"/>
      <c r="AE335" s="9"/>
      <c r="AI335" s="26"/>
      <c r="AJ335" s="26"/>
      <c r="AK335" s="32"/>
      <c r="AL335" s="32"/>
      <c r="AM335" s="26"/>
      <c r="AN335" s="26"/>
      <c r="AO335" s="26"/>
      <c r="AP335" s="9"/>
      <c r="AQ335" s="9"/>
      <c r="AR335" s="9"/>
      <c r="AV335" s="5"/>
      <c r="AW335" s="5"/>
      <c r="AX335" s="26"/>
      <c r="AY335" s="26"/>
      <c r="AZ335" s="32"/>
      <c r="BA335" s="32"/>
    </row>
    <row r="336" spans="1:54">
      <c r="J336" s="9"/>
      <c r="K336" s="9"/>
      <c r="T336" s="5"/>
      <c r="U336" s="5"/>
      <c r="V336" s="26"/>
      <c r="W336" s="26"/>
      <c r="X336" s="26"/>
      <c r="Y336" s="26"/>
      <c r="Z336" s="26"/>
      <c r="AA336" s="9"/>
      <c r="AC336" s="9"/>
      <c r="AD336" s="9"/>
      <c r="AE336" s="9"/>
      <c r="AI336" s="26"/>
      <c r="AJ336" s="26"/>
      <c r="AK336" s="32"/>
      <c r="AL336" s="32"/>
      <c r="AM336" s="26"/>
      <c r="AN336" s="26"/>
      <c r="AO336" s="26"/>
      <c r="AP336" s="9"/>
      <c r="AQ336" s="9"/>
      <c r="AR336" s="9"/>
      <c r="AV336" s="5"/>
      <c r="AW336" s="5"/>
      <c r="AX336" s="26"/>
      <c r="AY336" s="26"/>
      <c r="AZ336" s="32"/>
      <c r="BA336" s="32"/>
    </row>
    <row r="337" spans="10:53">
      <c r="J337" s="9"/>
      <c r="K337" s="9"/>
      <c r="T337" s="5"/>
      <c r="U337" s="5"/>
      <c r="V337" s="26"/>
      <c r="W337" s="26"/>
      <c r="X337" s="26"/>
      <c r="Y337" s="26"/>
      <c r="Z337" s="26"/>
      <c r="AA337" s="9"/>
      <c r="AC337" s="9"/>
      <c r="AD337" s="9"/>
      <c r="AE337" s="9"/>
      <c r="AI337" s="26"/>
      <c r="AJ337" s="26"/>
      <c r="AK337" s="32"/>
      <c r="AL337" s="32"/>
      <c r="AM337" s="26"/>
      <c r="AN337" s="26"/>
      <c r="AO337" s="26"/>
      <c r="AP337" s="9"/>
      <c r="AQ337" s="9"/>
      <c r="AR337" s="9"/>
      <c r="AV337" s="5"/>
      <c r="AW337" s="5"/>
      <c r="AX337" s="26"/>
      <c r="AY337" s="26"/>
      <c r="AZ337" s="32"/>
      <c r="BA337" s="32"/>
    </row>
    <row r="338" spans="10:53">
      <c r="J338" s="9"/>
      <c r="K338" s="9"/>
      <c r="T338" s="5"/>
      <c r="U338" s="5"/>
      <c r="V338" s="26"/>
      <c r="W338" s="26"/>
      <c r="X338" s="26"/>
      <c r="Y338" s="26"/>
      <c r="Z338" s="26"/>
      <c r="AA338" s="9"/>
      <c r="AC338" s="9"/>
      <c r="AD338" s="9"/>
      <c r="AE338" s="9"/>
      <c r="AI338" s="26"/>
      <c r="AJ338" s="26"/>
      <c r="AK338" s="32"/>
      <c r="AL338" s="32"/>
      <c r="AM338" s="26"/>
      <c r="AN338" s="26"/>
      <c r="AO338" s="26"/>
      <c r="AP338" s="9"/>
      <c r="AQ338" s="9"/>
      <c r="AR338" s="9"/>
      <c r="AV338" s="5"/>
      <c r="AW338" s="5"/>
      <c r="AX338" s="26"/>
      <c r="AY338" s="26"/>
      <c r="AZ338" s="32"/>
      <c r="BA338" s="32"/>
    </row>
    <row r="339" spans="10:53">
      <c r="J339" s="9"/>
      <c r="K339" s="9"/>
      <c r="T339" s="5"/>
      <c r="U339" s="5"/>
      <c r="V339" s="26"/>
      <c r="W339" s="26"/>
      <c r="X339" s="26"/>
      <c r="Y339" s="26"/>
      <c r="Z339" s="26"/>
      <c r="AA339" s="9"/>
      <c r="AC339" s="9"/>
      <c r="AD339" s="9"/>
      <c r="AE339" s="9"/>
      <c r="AI339" s="26"/>
      <c r="AJ339" s="26"/>
      <c r="AK339" s="32"/>
      <c r="AL339" s="32"/>
      <c r="AM339" s="26"/>
      <c r="AN339" s="26"/>
      <c r="AO339" s="26"/>
      <c r="AP339" s="9"/>
      <c r="AQ339" s="9"/>
      <c r="AR339" s="9"/>
      <c r="AV339" s="5"/>
      <c r="AW339" s="5"/>
      <c r="AX339" s="26"/>
      <c r="AY339" s="26"/>
      <c r="AZ339" s="32"/>
      <c r="BA339" s="32"/>
    </row>
    <row r="340" spans="10:53">
      <c r="J340" s="9"/>
      <c r="K340" s="9"/>
      <c r="T340" s="5"/>
      <c r="U340" s="5"/>
      <c r="V340" s="26"/>
      <c r="W340" s="26"/>
      <c r="X340" s="26"/>
      <c r="Y340" s="26"/>
      <c r="Z340" s="26"/>
      <c r="AA340" s="9"/>
      <c r="AC340" s="9"/>
      <c r="AD340" s="9"/>
      <c r="AE340" s="9"/>
      <c r="AI340" s="26"/>
      <c r="AJ340" s="26"/>
      <c r="AK340" s="32"/>
      <c r="AL340" s="32"/>
      <c r="AM340" s="26"/>
      <c r="AN340" s="26"/>
      <c r="AO340" s="26"/>
      <c r="AP340" s="9"/>
      <c r="AQ340" s="9"/>
      <c r="AR340" s="9"/>
      <c r="AV340" s="5"/>
      <c r="AW340" s="5"/>
      <c r="AX340" s="26"/>
      <c r="AY340" s="26"/>
      <c r="AZ340" s="32"/>
      <c r="BA340" s="32"/>
    </row>
    <row r="341" spans="10:53">
      <c r="J341" s="9"/>
      <c r="K341" s="9"/>
      <c r="T341" s="5"/>
      <c r="U341" s="5"/>
      <c r="V341" s="26"/>
      <c r="W341" s="26"/>
      <c r="X341" s="26"/>
      <c r="Y341" s="26"/>
      <c r="Z341" s="26"/>
      <c r="AA341" s="9"/>
      <c r="AC341" s="9"/>
      <c r="AD341" s="9"/>
      <c r="AE341" s="9"/>
      <c r="AI341" s="26"/>
      <c r="AJ341" s="26"/>
      <c r="AK341" s="32"/>
      <c r="AL341" s="32"/>
      <c r="AM341" s="26"/>
      <c r="AN341" s="26"/>
      <c r="AO341" s="26"/>
      <c r="AP341" s="9"/>
      <c r="AQ341" s="9"/>
      <c r="AR341" s="9"/>
      <c r="AV341" s="5"/>
      <c r="AW341" s="5"/>
      <c r="AX341" s="26"/>
      <c r="AY341" s="26"/>
      <c r="AZ341" s="32"/>
      <c r="BA341" s="32"/>
    </row>
    <row r="342" spans="10:53">
      <c r="J342" s="9"/>
      <c r="K342" s="9"/>
      <c r="T342" s="5"/>
      <c r="U342" s="5"/>
      <c r="V342" s="26"/>
      <c r="W342" s="26"/>
      <c r="X342" s="26"/>
      <c r="Y342" s="26"/>
      <c r="Z342" s="26"/>
      <c r="AA342" s="9"/>
      <c r="AC342" s="9"/>
      <c r="AD342" s="9"/>
      <c r="AE342" s="9"/>
      <c r="AI342" s="26"/>
      <c r="AJ342" s="26"/>
      <c r="AK342" s="32"/>
      <c r="AL342" s="32"/>
      <c r="AM342" s="26"/>
      <c r="AN342" s="26"/>
      <c r="AO342" s="26"/>
      <c r="AP342" s="9"/>
      <c r="AQ342" s="9"/>
      <c r="AR342" s="9"/>
      <c r="AV342" s="5"/>
      <c r="AW342" s="5"/>
      <c r="AX342" s="26"/>
      <c r="AY342" s="26"/>
      <c r="AZ342" s="32"/>
      <c r="BA342" s="32"/>
    </row>
    <row r="343" spans="10:53">
      <c r="J343" s="9"/>
      <c r="K343" s="9"/>
      <c r="T343" s="5"/>
      <c r="U343" s="5"/>
      <c r="V343" s="26"/>
      <c r="W343" s="26"/>
      <c r="X343" s="26"/>
      <c r="Y343" s="26"/>
      <c r="Z343" s="26"/>
      <c r="AA343" s="9"/>
      <c r="AC343" s="9"/>
      <c r="AD343" s="9"/>
      <c r="AE343" s="9"/>
      <c r="AI343" s="26"/>
      <c r="AJ343" s="26"/>
      <c r="AK343" s="32"/>
      <c r="AL343" s="32"/>
      <c r="AM343" s="26"/>
      <c r="AN343" s="26"/>
      <c r="AO343" s="26"/>
      <c r="AP343" s="9"/>
      <c r="AQ343" s="9"/>
      <c r="AR343" s="9"/>
      <c r="AV343" s="5"/>
      <c r="AW343" s="5"/>
      <c r="AX343" s="26"/>
      <c r="AY343" s="26"/>
      <c r="AZ343" s="32"/>
      <c r="BA343" s="32"/>
    </row>
    <row r="344" spans="10:53">
      <c r="J344" s="9"/>
      <c r="K344" s="9"/>
      <c r="T344" s="5"/>
      <c r="U344" s="5"/>
      <c r="V344" s="26"/>
      <c r="W344" s="26"/>
      <c r="X344" s="26"/>
      <c r="Y344" s="26"/>
      <c r="Z344" s="26"/>
      <c r="AA344" s="9"/>
      <c r="AC344" s="9"/>
      <c r="AD344" s="9"/>
      <c r="AE344" s="9"/>
      <c r="AI344" s="26"/>
      <c r="AJ344" s="26"/>
      <c r="AK344" s="32"/>
      <c r="AL344" s="32"/>
      <c r="AM344" s="26"/>
      <c r="AN344" s="26"/>
      <c r="AO344" s="26"/>
      <c r="AP344" s="9"/>
      <c r="AQ344" s="9"/>
      <c r="AR344" s="9"/>
      <c r="AV344" s="5"/>
      <c r="AW344" s="5"/>
      <c r="AX344" s="26"/>
      <c r="AY344" s="26"/>
      <c r="AZ344" s="32"/>
      <c r="BA344" s="32"/>
    </row>
    <row r="345" spans="10:53">
      <c r="J345" s="9"/>
      <c r="K345" s="9"/>
      <c r="T345" s="5"/>
      <c r="U345" s="5"/>
      <c r="V345" s="26"/>
      <c r="W345" s="26"/>
      <c r="X345" s="26"/>
      <c r="Y345" s="26"/>
      <c r="Z345" s="26"/>
      <c r="AA345" s="9"/>
      <c r="AC345" s="9"/>
      <c r="AD345" s="9"/>
      <c r="AE345" s="9"/>
      <c r="AI345" s="26"/>
      <c r="AJ345" s="26"/>
      <c r="AK345" s="32"/>
      <c r="AL345" s="32"/>
      <c r="AM345" s="26"/>
      <c r="AN345" s="26"/>
      <c r="AO345" s="26"/>
      <c r="AP345" s="9"/>
      <c r="AQ345" s="9"/>
      <c r="AR345" s="9"/>
      <c r="AV345" s="5"/>
      <c r="AW345" s="5"/>
      <c r="AX345" s="26"/>
      <c r="AY345" s="26"/>
      <c r="AZ345" s="32"/>
      <c r="BA345" s="32"/>
    </row>
    <row r="346" spans="10:53">
      <c r="J346" s="9"/>
      <c r="K346" s="9"/>
      <c r="T346" s="5"/>
      <c r="U346" s="5"/>
      <c r="V346" s="26"/>
      <c r="W346" s="26"/>
      <c r="X346" s="26"/>
      <c r="Y346" s="26"/>
      <c r="Z346" s="26"/>
      <c r="AA346" s="9"/>
      <c r="AC346" s="9"/>
      <c r="AD346" s="9"/>
      <c r="AE346" s="9"/>
      <c r="AI346" s="26"/>
      <c r="AJ346" s="26"/>
      <c r="AK346" s="32"/>
      <c r="AL346" s="32"/>
      <c r="AM346" s="26"/>
      <c r="AN346" s="26"/>
      <c r="AO346" s="26"/>
      <c r="AP346" s="9"/>
      <c r="AQ346" s="9"/>
      <c r="AR346" s="9"/>
      <c r="AV346" s="5"/>
      <c r="AW346" s="5"/>
      <c r="AX346" s="26"/>
      <c r="AY346" s="26"/>
      <c r="AZ346" s="32"/>
      <c r="BA346" s="32"/>
    </row>
    <row r="347" spans="10:53">
      <c r="J347" s="9"/>
      <c r="K347" s="9"/>
      <c r="T347" s="5"/>
      <c r="U347" s="5"/>
      <c r="V347" s="26"/>
      <c r="W347" s="26"/>
      <c r="X347" s="26"/>
      <c r="Y347" s="26"/>
      <c r="Z347" s="26"/>
      <c r="AA347" s="9"/>
      <c r="AC347" s="9"/>
      <c r="AD347" s="9"/>
      <c r="AE347" s="9"/>
      <c r="AI347" s="26"/>
      <c r="AJ347" s="26"/>
      <c r="AK347" s="32"/>
      <c r="AL347" s="32"/>
      <c r="AM347" s="26"/>
      <c r="AN347" s="26"/>
      <c r="AO347" s="26"/>
      <c r="AP347" s="9"/>
      <c r="AQ347" s="9"/>
      <c r="AR347" s="9"/>
      <c r="AV347" s="5"/>
      <c r="AW347" s="5"/>
      <c r="AX347" s="26"/>
      <c r="AY347" s="26"/>
      <c r="AZ347" s="32"/>
      <c r="BA347" s="32"/>
    </row>
    <row r="348" spans="10:53">
      <c r="J348" s="9"/>
      <c r="K348" s="9"/>
      <c r="T348" s="5"/>
      <c r="U348" s="5"/>
      <c r="V348" s="26"/>
      <c r="W348" s="26"/>
      <c r="X348" s="26"/>
      <c r="Y348" s="26"/>
      <c r="Z348" s="26"/>
      <c r="AA348" s="9"/>
      <c r="AC348" s="9"/>
      <c r="AD348" s="9"/>
      <c r="AE348" s="9"/>
      <c r="AI348" s="26"/>
      <c r="AJ348" s="26"/>
      <c r="AK348" s="32"/>
      <c r="AL348" s="32"/>
      <c r="AM348" s="26"/>
      <c r="AN348" s="26"/>
      <c r="AO348" s="26"/>
      <c r="AP348" s="9"/>
      <c r="AQ348" s="9"/>
      <c r="AR348" s="9"/>
      <c r="AV348" s="5"/>
      <c r="AW348" s="5"/>
      <c r="AX348" s="26"/>
      <c r="AY348" s="26"/>
      <c r="AZ348" s="32"/>
      <c r="BA348" s="32"/>
    </row>
    <row r="349" spans="10:53">
      <c r="J349" s="9"/>
      <c r="K349" s="9"/>
      <c r="T349" s="5"/>
      <c r="U349" s="5"/>
      <c r="V349" s="26"/>
      <c r="W349" s="26"/>
      <c r="X349" s="26"/>
      <c r="Y349" s="26"/>
      <c r="Z349" s="26"/>
      <c r="AA349" s="9"/>
      <c r="AC349" s="9"/>
      <c r="AD349" s="9"/>
      <c r="AE349" s="9"/>
      <c r="AI349" s="26"/>
      <c r="AJ349" s="26"/>
      <c r="AK349" s="32"/>
      <c r="AL349" s="32"/>
      <c r="AM349" s="26"/>
      <c r="AN349" s="26"/>
      <c r="AO349" s="26"/>
      <c r="AP349" s="9"/>
      <c r="AQ349" s="9"/>
      <c r="AR349" s="9"/>
      <c r="AV349" s="5"/>
      <c r="AW349" s="5"/>
      <c r="AX349" s="26"/>
      <c r="AY349" s="26"/>
      <c r="AZ349" s="32"/>
      <c r="BA349" s="32"/>
    </row>
    <row r="350" spans="10:53">
      <c r="J350" s="9"/>
      <c r="K350" s="9"/>
      <c r="T350" s="5"/>
      <c r="U350" s="5"/>
      <c r="V350" s="26"/>
      <c r="W350" s="26"/>
      <c r="X350" s="26"/>
      <c r="Y350" s="26"/>
      <c r="Z350" s="26"/>
      <c r="AA350" s="9"/>
      <c r="AC350" s="9"/>
      <c r="AD350" s="9"/>
      <c r="AE350" s="9"/>
      <c r="AI350" s="26"/>
      <c r="AJ350" s="26"/>
      <c r="AK350" s="32"/>
      <c r="AL350" s="32"/>
      <c r="AM350" s="26"/>
      <c r="AN350" s="26"/>
      <c r="AO350" s="26"/>
      <c r="AP350" s="9"/>
      <c r="AQ350" s="9"/>
      <c r="AR350" s="9"/>
      <c r="AV350" s="5"/>
      <c r="AW350" s="5"/>
      <c r="AX350" s="26"/>
      <c r="AY350" s="26"/>
      <c r="AZ350" s="32"/>
      <c r="BA350" s="32"/>
    </row>
    <row r="351" spans="10:53">
      <c r="J351" s="9"/>
      <c r="K351" s="9"/>
      <c r="T351" s="5"/>
      <c r="U351" s="5"/>
      <c r="V351" s="26"/>
      <c r="W351" s="26"/>
      <c r="X351" s="26"/>
      <c r="Y351" s="26"/>
      <c r="Z351" s="26"/>
      <c r="AA351" s="9"/>
      <c r="AC351" s="9"/>
      <c r="AD351" s="9"/>
      <c r="AE351" s="9"/>
      <c r="AI351" s="26"/>
      <c r="AJ351" s="26"/>
      <c r="AK351" s="32"/>
      <c r="AL351" s="32"/>
      <c r="AM351" s="26"/>
      <c r="AN351" s="26"/>
      <c r="AO351" s="26"/>
      <c r="AP351" s="9"/>
      <c r="AQ351" s="9"/>
      <c r="AR351" s="9"/>
      <c r="AV351" s="5"/>
      <c r="AW351" s="5"/>
      <c r="AX351" s="26"/>
      <c r="AY351" s="26"/>
      <c r="AZ351" s="32"/>
      <c r="BA351" s="32"/>
    </row>
    <row r="352" spans="10:53">
      <c r="J352" s="9"/>
      <c r="K352" s="9"/>
      <c r="T352" s="5"/>
      <c r="U352" s="5"/>
      <c r="V352" s="26"/>
      <c r="W352" s="26"/>
      <c r="X352" s="26"/>
      <c r="Y352" s="26"/>
      <c r="Z352" s="26"/>
      <c r="AA352" s="9"/>
      <c r="AC352" s="9"/>
      <c r="AD352" s="9"/>
      <c r="AE352" s="9"/>
      <c r="AI352" s="26"/>
      <c r="AJ352" s="26"/>
      <c r="AK352" s="32"/>
      <c r="AL352" s="32"/>
      <c r="AM352" s="26"/>
      <c r="AN352" s="26"/>
      <c r="AO352" s="26"/>
      <c r="AP352" s="9"/>
      <c r="AQ352" s="9"/>
      <c r="AR352" s="9"/>
      <c r="AV352" s="5"/>
      <c r="AW352" s="5"/>
      <c r="AX352" s="26"/>
      <c r="AY352" s="26"/>
      <c r="AZ352" s="32"/>
      <c r="BA352" s="32"/>
    </row>
    <row r="353" spans="10:53">
      <c r="J353" s="9"/>
      <c r="K353" s="9"/>
      <c r="T353" s="5"/>
      <c r="U353" s="5"/>
      <c r="V353" s="26"/>
      <c r="W353" s="26"/>
      <c r="X353" s="26"/>
      <c r="Y353" s="26"/>
      <c r="Z353" s="26"/>
      <c r="AA353" s="9"/>
      <c r="AC353" s="9"/>
      <c r="AD353" s="9"/>
      <c r="AE353" s="9"/>
      <c r="AI353" s="26"/>
      <c r="AJ353" s="26"/>
      <c r="AK353" s="32"/>
      <c r="AL353" s="32"/>
      <c r="AM353" s="26"/>
      <c r="AN353" s="26"/>
      <c r="AO353" s="26"/>
      <c r="AP353" s="9"/>
      <c r="AQ353" s="9"/>
      <c r="AR353" s="9"/>
      <c r="AV353" s="5"/>
      <c r="AW353" s="5"/>
      <c r="AX353" s="26"/>
      <c r="AY353" s="26"/>
      <c r="AZ353" s="32"/>
      <c r="BA353" s="32"/>
    </row>
    <row r="354" spans="10:53">
      <c r="J354" s="9"/>
      <c r="K354" s="9"/>
      <c r="T354" s="5"/>
      <c r="U354" s="5"/>
      <c r="V354" s="26"/>
      <c r="W354" s="26"/>
      <c r="X354" s="26"/>
      <c r="Y354" s="26"/>
      <c r="Z354" s="26"/>
      <c r="AA354" s="9"/>
      <c r="AC354" s="9"/>
      <c r="AD354" s="9"/>
      <c r="AE354" s="9"/>
      <c r="AI354" s="26"/>
      <c r="AJ354" s="26"/>
      <c r="AK354" s="32"/>
      <c r="AL354" s="32"/>
      <c r="AM354" s="26"/>
      <c r="AN354" s="26"/>
      <c r="AO354" s="26"/>
      <c r="AP354" s="9"/>
      <c r="AQ354" s="9"/>
      <c r="AR354" s="9"/>
      <c r="AV354" s="5"/>
      <c r="AW354" s="5"/>
      <c r="AX354" s="26"/>
      <c r="AY354" s="26"/>
      <c r="AZ354" s="32"/>
      <c r="BA354" s="32"/>
    </row>
    <row r="355" spans="10:53">
      <c r="J355" s="9"/>
      <c r="K355" s="9"/>
      <c r="T355" s="5"/>
      <c r="U355" s="5"/>
      <c r="V355" s="26"/>
      <c r="W355" s="26"/>
      <c r="X355" s="26"/>
      <c r="Y355" s="26"/>
      <c r="Z355" s="26"/>
      <c r="AA355" s="9"/>
      <c r="AC355" s="9"/>
      <c r="AD355" s="9"/>
      <c r="AE355" s="9"/>
      <c r="AI355" s="26"/>
      <c r="AJ355" s="26"/>
      <c r="AK355" s="32"/>
      <c r="AL355" s="32"/>
      <c r="AM355" s="26"/>
      <c r="AN355" s="26"/>
      <c r="AO355" s="26"/>
      <c r="AP355" s="9"/>
      <c r="AQ355" s="9"/>
      <c r="AR355" s="9"/>
      <c r="AV355" s="5"/>
      <c r="AW355" s="5"/>
      <c r="AX355" s="26"/>
      <c r="AY355" s="26"/>
      <c r="AZ355" s="32"/>
      <c r="BA355" s="32"/>
    </row>
    <row r="356" spans="10:53">
      <c r="J356" s="9"/>
      <c r="K356" s="9"/>
      <c r="T356" s="5"/>
      <c r="U356" s="5"/>
      <c r="V356" s="26"/>
      <c r="W356" s="26"/>
      <c r="X356" s="26"/>
      <c r="Y356" s="26"/>
      <c r="Z356" s="26"/>
      <c r="AA356" s="9"/>
      <c r="AC356" s="9"/>
      <c r="AD356" s="9"/>
      <c r="AE356" s="9"/>
      <c r="AI356" s="26"/>
      <c r="AJ356" s="26"/>
      <c r="AK356" s="32"/>
      <c r="AL356" s="32"/>
      <c r="AM356" s="26"/>
      <c r="AN356" s="26"/>
      <c r="AO356" s="26"/>
      <c r="AP356" s="9"/>
      <c r="AQ356" s="9"/>
      <c r="AR356" s="9"/>
      <c r="AV356" s="5"/>
      <c r="AW356" s="5"/>
      <c r="AX356" s="26"/>
      <c r="AY356" s="26"/>
      <c r="AZ356" s="32"/>
      <c r="BA356" s="32"/>
    </row>
    <row r="357" spans="10:53">
      <c r="J357" s="9"/>
      <c r="K357" s="9"/>
      <c r="T357" s="5"/>
      <c r="U357" s="5"/>
      <c r="V357" s="26"/>
      <c r="W357" s="26"/>
      <c r="X357" s="26"/>
      <c r="Y357" s="26"/>
      <c r="Z357" s="26"/>
      <c r="AA357" s="9"/>
      <c r="AC357" s="9"/>
      <c r="AD357" s="9"/>
      <c r="AE357" s="9"/>
      <c r="AI357" s="26"/>
      <c r="AJ357" s="26"/>
      <c r="AK357" s="32"/>
      <c r="AL357" s="32"/>
      <c r="AM357" s="26"/>
      <c r="AN357" s="26"/>
      <c r="AO357" s="26"/>
      <c r="AP357" s="9"/>
      <c r="AQ357" s="9"/>
      <c r="AR357" s="9"/>
      <c r="AV357" s="5"/>
      <c r="AW357" s="5"/>
      <c r="AX357" s="26"/>
      <c r="AY357" s="26"/>
      <c r="AZ357" s="32"/>
      <c r="BA357" s="32"/>
    </row>
    <row r="358" spans="10:53">
      <c r="J358" s="9"/>
      <c r="K358" s="9"/>
      <c r="T358" s="5"/>
      <c r="U358" s="5"/>
      <c r="V358" s="26"/>
      <c r="W358" s="26"/>
      <c r="X358" s="26"/>
      <c r="Y358" s="26"/>
      <c r="Z358" s="26"/>
      <c r="AA358" s="9"/>
      <c r="AC358" s="9"/>
      <c r="AD358" s="9"/>
      <c r="AE358" s="9"/>
      <c r="AI358" s="26"/>
      <c r="AJ358" s="26"/>
      <c r="AK358" s="32"/>
      <c r="AL358" s="32"/>
      <c r="AM358" s="26"/>
      <c r="AN358" s="26"/>
      <c r="AO358" s="26"/>
      <c r="AP358" s="9"/>
      <c r="AQ358" s="9"/>
      <c r="AR358" s="9"/>
      <c r="AV358" s="5"/>
      <c r="AW358" s="5"/>
      <c r="AX358" s="26"/>
      <c r="AY358" s="26"/>
      <c r="AZ358" s="32"/>
      <c r="BA358" s="32"/>
    </row>
    <row r="359" spans="10:53">
      <c r="J359" s="9"/>
      <c r="K359" s="9"/>
      <c r="T359" s="5"/>
      <c r="U359" s="5"/>
      <c r="V359" s="26"/>
      <c r="W359" s="26"/>
      <c r="X359" s="26"/>
      <c r="Y359" s="26"/>
      <c r="Z359" s="26"/>
      <c r="AA359" s="9"/>
      <c r="AC359" s="9"/>
      <c r="AD359" s="9"/>
      <c r="AE359" s="9"/>
      <c r="AI359" s="26"/>
      <c r="AJ359" s="26"/>
      <c r="AK359" s="32"/>
      <c r="AL359" s="32"/>
      <c r="AM359" s="26"/>
      <c r="AN359" s="26"/>
      <c r="AO359" s="26"/>
      <c r="AP359" s="9"/>
      <c r="AQ359" s="9"/>
      <c r="AR359" s="9"/>
      <c r="AV359" s="5"/>
      <c r="AW359" s="5"/>
      <c r="AX359" s="26"/>
      <c r="AY359" s="26"/>
      <c r="AZ359" s="32"/>
      <c r="BA359" s="32"/>
    </row>
    <row r="360" spans="10:53">
      <c r="J360" s="9"/>
      <c r="K360" s="9"/>
      <c r="T360" s="5"/>
      <c r="U360" s="5"/>
      <c r="V360" s="26"/>
      <c r="W360" s="26"/>
      <c r="X360" s="26"/>
      <c r="Y360" s="26"/>
      <c r="Z360" s="26"/>
      <c r="AA360" s="9"/>
      <c r="AC360" s="9"/>
      <c r="AD360" s="9"/>
      <c r="AE360" s="9"/>
      <c r="AI360" s="26"/>
      <c r="AJ360" s="26"/>
      <c r="AK360" s="32"/>
      <c r="AL360" s="32"/>
      <c r="AM360" s="26"/>
      <c r="AN360" s="26"/>
      <c r="AO360" s="26"/>
      <c r="AP360" s="9"/>
      <c r="AQ360" s="9"/>
      <c r="AR360" s="9"/>
      <c r="AV360" s="5"/>
      <c r="AW360" s="5"/>
      <c r="AX360" s="26"/>
      <c r="AY360" s="26"/>
      <c r="AZ360" s="32"/>
      <c r="BA360" s="32"/>
    </row>
    <row r="361" spans="10:53">
      <c r="J361" s="9"/>
      <c r="K361" s="9"/>
      <c r="T361" s="5"/>
      <c r="U361" s="5"/>
      <c r="V361" s="26"/>
      <c r="W361" s="26"/>
      <c r="X361" s="26"/>
      <c r="Y361" s="26"/>
      <c r="Z361" s="26"/>
      <c r="AA361" s="9"/>
      <c r="AC361" s="9"/>
      <c r="AD361" s="9"/>
      <c r="AE361" s="9"/>
      <c r="AI361" s="26"/>
      <c r="AJ361" s="26"/>
      <c r="AK361" s="32"/>
      <c r="AL361" s="32"/>
      <c r="AM361" s="26"/>
      <c r="AN361" s="26"/>
      <c r="AO361" s="26"/>
      <c r="AP361" s="9"/>
      <c r="AQ361" s="9"/>
      <c r="AR361" s="9"/>
      <c r="AV361" s="5"/>
      <c r="AW361" s="5"/>
      <c r="AX361" s="26"/>
      <c r="AY361" s="26"/>
      <c r="AZ361" s="32"/>
      <c r="BA361" s="32"/>
    </row>
    <row r="362" spans="10:53">
      <c r="J362" s="9"/>
      <c r="K362" s="9"/>
      <c r="T362" s="5"/>
      <c r="U362" s="5"/>
      <c r="V362" s="26"/>
      <c r="W362" s="26"/>
      <c r="X362" s="26"/>
      <c r="Y362" s="26"/>
      <c r="Z362" s="26"/>
      <c r="AA362" s="9"/>
      <c r="AC362" s="9"/>
      <c r="AD362" s="9"/>
      <c r="AE362" s="9"/>
      <c r="AI362" s="26"/>
      <c r="AJ362" s="26"/>
      <c r="AK362" s="32"/>
      <c r="AL362" s="32"/>
      <c r="AM362" s="26"/>
      <c r="AN362" s="26"/>
      <c r="AO362" s="26"/>
      <c r="AP362" s="9"/>
      <c r="AQ362" s="9"/>
      <c r="AR362" s="9"/>
      <c r="AV362" s="5"/>
      <c r="AW362" s="5"/>
      <c r="AX362" s="26"/>
      <c r="AY362" s="26"/>
      <c r="AZ362" s="32"/>
      <c r="BA362" s="32"/>
    </row>
    <row r="363" spans="10:53">
      <c r="J363" s="9"/>
      <c r="K363" s="9"/>
      <c r="T363" s="5"/>
      <c r="U363" s="5"/>
      <c r="V363" s="26"/>
      <c r="W363" s="26"/>
      <c r="X363" s="26"/>
      <c r="Y363" s="26"/>
      <c r="Z363" s="26"/>
      <c r="AA363" s="9"/>
      <c r="AC363" s="9"/>
      <c r="AD363" s="9"/>
      <c r="AE363" s="9"/>
      <c r="AI363" s="26"/>
      <c r="AJ363" s="26"/>
      <c r="AK363" s="32"/>
      <c r="AL363" s="32"/>
      <c r="AM363" s="26"/>
      <c r="AN363" s="26"/>
      <c r="AO363" s="26"/>
      <c r="AP363" s="9"/>
      <c r="AQ363" s="9"/>
      <c r="AR363" s="9"/>
      <c r="AV363" s="5"/>
      <c r="AW363" s="5"/>
      <c r="AX363" s="26"/>
      <c r="AY363" s="26"/>
      <c r="AZ363" s="32"/>
      <c r="BA363" s="32"/>
    </row>
    <row r="364" spans="10:53">
      <c r="J364" s="9"/>
      <c r="K364" s="9"/>
      <c r="T364" s="5"/>
      <c r="U364" s="5"/>
      <c r="V364" s="26"/>
      <c r="W364" s="26"/>
      <c r="X364" s="26"/>
      <c r="Y364" s="26"/>
      <c r="Z364" s="26"/>
      <c r="AA364" s="9"/>
      <c r="AC364" s="9"/>
      <c r="AD364" s="9"/>
      <c r="AE364" s="9"/>
      <c r="AI364" s="26"/>
      <c r="AJ364" s="26"/>
      <c r="AK364" s="32"/>
      <c r="AL364" s="32"/>
      <c r="AM364" s="26"/>
      <c r="AN364" s="26"/>
      <c r="AO364" s="26"/>
      <c r="AP364" s="9"/>
      <c r="AQ364" s="9"/>
      <c r="AR364" s="9"/>
      <c r="AV364" s="5"/>
      <c r="AW364" s="5"/>
      <c r="AX364" s="26"/>
      <c r="AY364" s="26"/>
      <c r="AZ364" s="32"/>
      <c r="BA364" s="32"/>
    </row>
    <row r="365" spans="10:53">
      <c r="J365" s="9"/>
      <c r="K365" s="9"/>
      <c r="T365" s="5"/>
      <c r="U365" s="5"/>
      <c r="V365" s="26"/>
      <c r="W365" s="26"/>
      <c r="X365" s="26"/>
      <c r="Y365" s="26"/>
      <c r="Z365" s="26"/>
      <c r="AA365" s="9"/>
      <c r="AC365" s="9"/>
      <c r="AD365" s="9"/>
      <c r="AE365" s="9"/>
      <c r="AI365" s="26"/>
      <c r="AJ365" s="26"/>
      <c r="AK365" s="32"/>
      <c r="AL365" s="32"/>
      <c r="AM365" s="26"/>
      <c r="AN365" s="26"/>
      <c r="AO365" s="26"/>
      <c r="AP365" s="9"/>
      <c r="AQ365" s="9"/>
      <c r="AR365" s="9"/>
      <c r="AV365" s="5"/>
      <c r="AW365" s="5"/>
      <c r="AX365" s="26"/>
      <c r="AY365" s="26"/>
      <c r="AZ365" s="32"/>
      <c r="BA365" s="32"/>
    </row>
    <row r="366" spans="10:53">
      <c r="J366" s="9"/>
      <c r="K366" s="9"/>
      <c r="T366" s="5"/>
      <c r="U366" s="5"/>
      <c r="V366" s="26"/>
      <c r="W366" s="26"/>
      <c r="X366" s="26"/>
      <c r="Y366" s="26"/>
      <c r="Z366" s="26"/>
      <c r="AA366" s="9"/>
      <c r="AC366" s="9"/>
      <c r="AD366" s="9"/>
      <c r="AE366" s="9"/>
      <c r="AI366" s="26"/>
      <c r="AJ366" s="26"/>
      <c r="AK366" s="32"/>
      <c r="AL366" s="32"/>
      <c r="AM366" s="26"/>
      <c r="AN366" s="26"/>
      <c r="AO366" s="26"/>
      <c r="AP366" s="9"/>
      <c r="AQ366" s="9"/>
      <c r="AR366" s="9"/>
      <c r="AV366" s="5"/>
      <c r="AW366" s="5"/>
      <c r="AX366" s="26"/>
      <c r="AY366" s="26"/>
      <c r="AZ366" s="32"/>
      <c r="BA366" s="32"/>
    </row>
    <row r="367" spans="10:53">
      <c r="J367" s="9"/>
      <c r="K367" s="9"/>
      <c r="T367" s="5"/>
      <c r="U367" s="5"/>
      <c r="V367" s="26"/>
      <c r="W367" s="26"/>
      <c r="X367" s="26"/>
      <c r="Y367" s="26"/>
      <c r="Z367" s="26"/>
      <c r="AA367" s="9"/>
      <c r="AC367" s="9"/>
      <c r="AD367" s="9"/>
      <c r="AE367" s="9"/>
      <c r="AI367" s="26"/>
      <c r="AJ367" s="26"/>
      <c r="AK367" s="32"/>
      <c r="AL367" s="32"/>
      <c r="AM367" s="26"/>
      <c r="AN367" s="26"/>
      <c r="AO367" s="26"/>
      <c r="AP367" s="9"/>
      <c r="AQ367" s="9"/>
      <c r="AR367" s="9"/>
      <c r="AV367" s="5"/>
      <c r="AW367" s="5"/>
      <c r="AX367" s="26"/>
      <c r="AY367" s="26"/>
      <c r="AZ367" s="32"/>
      <c r="BA367" s="32"/>
    </row>
    <row r="368" spans="10:53">
      <c r="J368" s="9"/>
      <c r="K368" s="9"/>
      <c r="T368" s="5"/>
      <c r="U368" s="5"/>
      <c r="V368" s="26"/>
      <c r="W368" s="26"/>
      <c r="X368" s="26"/>
      <c r="Y368" s="26"/>
      <c r="Z368" s="26"/>
      <c r="AA368" s="9"/>
      <c r="AC368" s="9"/>
      <c r="AD368" s="9"/>
      <c r="AE368" s="9"/>
      <c r="AI368" s="26"/>
      <c r="AJ368" s="26"/>
      <c r="AK368" s="32"/>
      <c r="AL368" s="32"/>
      <c r="AM368" s="26"/>
      <c r="AN368" s="26"/>
      <c r="AO368" s="26"/>
      <c r="AP368" s="9"/>
      <c r="AQ368" s="9"/>
      <c r="AR368" s="9"/>
      <c r="AV368" s="5"/>
      <c r="AW368" s="5"/>
      <c r="AX368" s="26"/>
      <c r="AY368" s="26"/>
      <c r="AZ368" s="32"/>
      <c r="BA368" s="32"/>
    </row>
    <row r="369" spans="10:53">
      <c r="J369" s="9"/>
      <c r="K369" s="9"/>
      <c r="T369" s="5"/>
      <c r="U369" s="5"/>
      <c r="V369" s="26"/>
      <c r="W369" s="26"/>
      <c r="X369" s="26"/>
      <c r="Y369" s="26"/>
      <c r="Z369" s="26"/>
      <c r="AA369" s="9"/>
      <c r="AC369" s="9"/>
      <c r="AD369" s="9"/>
      <c r="AE369" s="9"/>
      <c r="AI369" s="26"/>
      <c r="AJ369" s="26"/>
      <c r="AK369" s="32"/>
      <c r="AL369" s="32"/>
      <c r="AM369" s="26"/>
      <c r="AN369" s="26"/>
      <c r="AO369" s="26"/>
      <c r="AP369" s="9"/>
      <c r="AQ369" s="9"/>
      <c r="AR369" s="9"/>
      <c r="AV369" s="5"/>
      <c r="AW369" s="5"/>
      <c r="AX369" s="26"/>
      <c r="AY369" s="26"/>
      <c r="AZ369" s="32"/>
      <c r="BA369" s="32"/>
    </row>
    <row r="370" spans="10:53">
      <c r="J370" s="9"/>
      <c r="K370" s="9"/>
      <c r="T370" s="5"/>
      <c r="U370" s="5"/>
      <c r="V370" s="26"/>
      <c r="W370" s="26"/>
      <c r="X370" s="26"/>
      <c r="Y370" s="26"/>
      <c r="Z370" s="26"/>
      <c r="AA370" s="9"/>
      <c r="AC370" s="9"/>
      <c r="AD370" s="9"/>
      <c r="AE370" s="9"/>
      <c r="AI370" s="26"/>
      <c r="AJ370" s="26"/>
      <c r="AK370" s="32"/>
      <c r="AL370" s="32"/>
      <c r="AM370" s="26"/>
      <c r="AN370" s="26"/>
      <c r="AO370" s="26"/>
      <c r="AP370" s="9"/>
      <c r="AQ370" s="9"/>
      <c r="AR370" s="9"/>
      <c r="AV370" s="5"/>
      <c r="AW370" s="5"/>
      <c r="AX370" s="26"/>
      <c r="AY370" s="26"/>
      <c r="AZ370" s="32"/>
      <c r="BA370" s="32"/>
    </row>
    <row r="371" spans="10:53">
      <c r="J371" s="9"/>
      <c r="K371" s="9"/>
      <c r="T371" s="5"/>
      <c r="U371" s="5"/>
      <c r="V371" s="26"/>
      <c r="W371" s="26"/>
      <c r="X371" s="26"/>
      <c r="Y371" s="26"/>
      <c r="Z371" s="26"/>
      <c r="AA371" s="9"/>
      <c r="AC371" s="9"/>
      <c r="AD371" s="9"/>
      <c r="AE371" s="9"/>
      <c r="AI371" s="26"/>
      <c r="AJ371" s="26"/>
      <c r="AK371" s="32"/>
      <c r="AL371" s="32"/>
      <c r="AM371" s="26"/>
      <c r="AN371" s="26"/>
      <c r="AO371" s="26"/>
      <c r="AP371" s="9"/>
      <c r="AQ371" s="9"/>
      <c r="AR371" s="9"/>
      <c r="AV371" s="5"/>
      <c r="AW371" s="5"/>
      <c r="AX371" s="26"/>
      <c r="AY371" s="26"/>
      <c r="AZ371" s="32"/>
      <c r="BA371" s="32"/>
    </row>
    <row r="372" spans="10:53">
      <c r="J372" s="9"/>
      <c r="K372" s="9"/>
      <c r="T372" s="5"/>
      <c r="U372" s="5"/>
      <c r="V372" s="26"/>
      <c r="W372" s="26"/>
      <c r="X372" s="26"/>
      <c r="Y372" s="26"/>
      <c r="Z372" s="26"/>
      <c r="AA372" s="9"/>
      <c r="AC372" s="9"/>
      <c r="AD372" s="9"/>
      <c r="AE372" s="9"/>
      <c r="AI372" s="26"/>
      <c r="AJ372" s="26"/>
      <c r="AK372" s="32"/>
      <c r="AL372" s="32"/>
      <c r="AM372" s="26"/>
      <c r="AN372" s="26"/>
      <c r="AO372" s="26"/>
      <c r="AP372" s="9"/>
      <c r="AQ372" s="9"/>
      <c r="AR372" s="9"/>
      <c r="AV372" s="5"/>
      <c r="AW372" s="5"/>
      <c r="AX372" s="26"/>
      <c r="AY372" s="26"/>
      <c r="AZ372" s="32"/>
      <c r="BA372" s="32"/>
    </row>
    <row r="373" spans="10:53">
      <c r="J373" s="9"/>
      <c r="K373" s="9"/>
      <c r="T373" s="5"/>
      <c r="U373" s="5"/>
      <c r="V373" s="26"/>
      <c r="W373" s="26"/>
      <c r="X373" s="26"/>
      <c r="Y373" s="26"/>
      <c r="Z373" s="26"/>
      <c r="AA373" s="9"/>
      <c r="AC373" s="9"/>
      <c r="AD373" s="9"/>
      <c r="AE373" s="9"/>
      <c r="AI373" s="26"/>
      <c r="AJ373" s="26"/>
      <c r="AK373" s="32"/>
      <c r="AL373" s="32"/>
      <c r="AM373" s="26"/>
      <c r="AN373" s="26"/>
      <c r="AO373" s="26"/>
      <c r="AP373" s="9"/>
      <c r="AQ373" s="9"/>
      <c r="AR373" s="9"/>
      <c r="AV373" s="5"/>
      <c r="AW373" s="5"/>
      <c r="AX373" s="26"/>
      <c r="AY373" s="26"/>
      <c r="AZ373" s="32"/>
      <c r="BA373" s="32"/>
    </row>
    <row r="374" spans="10:53">
      <c r="J374" s="9"/>
      <c r="K374" s="9"/>
      <c r="T374" s="5"/>
      <c r="U374" s="5"/>
      <c r="V374" s="26"/>
      <c r="W374" s="26"/>
      <c r="X374" s="26"/>
      <c r="Y374" s="26"/>
      <c r="Z374" s="26"/>
      <c r="AA374" s="9"/>
      <c r="AC374" s="9"/>
      <c r="AD374" s="9"/>
      <c r="AE374" s="9"/>
      <c r="AI374" s="26"/>
      <c r="AJ374" s="26"/>
      <c r="AK374" s="32"/>
      <c r="AL374" s="32"/>
      <c r="AM374" s="26"/>
      <c r="AN374" s="26"/>
      <c r="AO374" s="26"/>
      <c r="AP374" s="9"/>
      <c r="AQ374" s="9"/>
      <c r="AR374" s="9"/>
      <c r="AV374" s="5"/>
      <c r="AW374" s="5"/>
      <c r="AX374" s="26"/>
      <c r="AY374" s="26"/>
      <c r="AZ374" s="32"/>
      <c r="BA374" s="32"/>
    </row>
    <row r="375" spans="10:53">
      <c r="J375" s="9"/>
      <c r="K375" s="9"/>
      <c r="T375" s="5"/>
      <c r="U375" s="5"/>
      <c r="V375" s="26"/>
      <c r="W375" s="26"/>
      <c r="X375" s="26"/>
      <c r="Y375" s="26"/>
      <c r="Z375" s="26"/>
      <c r="AA375" s="9"/>
      <c r="AC375" s="9"/>
      <c r="AD375" s="9"/>
      <c r="AE375" s="9"/>
      <c r="AI375" s="26"/>
      <c r="AJ375" s="26"/>
      <c r="AK375" s="32"/>
      <c r="AL375" s="32"/>
      <c r="AM375" s="26"/>
      <c r="AN375" s="26"/>
      <c r="AO375" s="26"/>
      <c r="AP375" s="9"/>
      <c r="AQ375" s="9"/>
      <c r="AR375" s="9"/>
      <c r="AV375" s="5"/>
      <c r="AW375" s="5"/>
      <c r="AX375" s="26"/>
      <c r="AY375" s="26"/>
      <c r="AZ375" s="32"/>
      <c r="BA375" s="32"/>
    </row>
    <row r="376" spans="10:53">
      <c r="J376" s="9"/>
      <c r="K376" s="9"/>
      <c r="T376" s="5"/>
      <c r="U376" s="5"/>
      <c r="V376" s="26"/>
      <c r="W376" s="26"/>
      <c r="X376" s="26"/>
      <c r="Y376" s="26"/>
      <c r="Z376" s="26"/>
      <c r="AA376" s="9"/>
      <c r="AC376" s="9"/>
      <c r="AD376" s="9"/>
      <c r="AE376" s="9"/>
      <c r="AI376" s="26"/>
      <c r="AJ376" s="26"/>
      <c r="AK376" s="32"/>
      <c r="AL376" s="32"/>
      <c r="AM376" s="26"/>
      <c r="AN376" s="26"/>
      <c r="AO376" s="26"/>
      <c r="AP376" s="9"/>
      <c r="AQ376" s="9"/>
      <c r="AR376" s="9"/>
      <c r="AV376" s="5"/>
      <c r="AW376" s="5"/>
      <c r="AX376" s="26"/>
      <c r="AY376" s="26"/>
      <c r="AZ376" s="32"/>
      <c r="BA376" s="32"/>
    </row>
    <row r="377" spans="10:53">
      <c r="J377" s="9"/>
      <c r="K377" s="9"/>
      <c r="T377" s="5"/>
      <c r="U377" s="5"/>
      <c r="V377" s="26"/>
      <c r="W377" s="26"/>
      <c r="X377" s="26"/>
      <c r="Y377" s="26"/>
      <c r="Z377" s="26"/>
      <c r="AA377" s="9"/>
      <c r="AC377" s="9"/>
      <c r="AD377" s="9"/>
      <c r="AE377" s="9"/>
      <c r="AI377" s="26"/>
      <c r="AJ377" s="26"/>
      <c r="AK377" s="32"/>
      <c r="AL377" s="32"/>
      <c r="AM377" s="26"/>
      <c r="AN377" s="26"/>
      <c r="AO377" s="26"/>
      <c r="AP377" s="9"/>
      <c r="AQ377" s="9"/>
      <c r="AR377" s="9"/>
      <c r="AV377" s="5"/>
      <c r="AW377" s="5"/>
      <c r="AX377" s="26"/>
      <c r="AY377" s="26"/>
      <c r="AZ377" s="32"/>
      <c r="BA377" s="32"/>
    </row>
    <row r="378" spans="10:53">
      <c r="J378" s="9"/>
      <c r="K378" s="9"/>
      <c r="T378" s="5"/>
      <c r="U378" s="5"/>
      <c r="V378" s="26"/>
      <c r="W378" s="26"/>
      <c r="X378" s="26"/>
      <c r="Y378" s="26"/>
      <c r="Z378" s="26"/>
      <c r="AA378" s="9"/>
      <c r="AC378" s="9"/>
      <c r="AD378" s="9"/>
      <c r="AE378" s="9"/>
      <c r="AI378" s="26"/>
      <c r="AJ378" s="26"/>
      <c r="AK378" s="32"/>
      <c r="AL378" s="32"/>
      <c r="AM378" s="26"/>
      <c r="AN378" s="26"/>
      <c r="AO378" s="26"/>
      <c r="AP378" s="9"/>
      <c r="AQ378" s="9"/>
      <c r="AR378" s="9"/>
      <c r="AV378" s="5"/>
      <c r="AW378" s="5"/>
      <c r="AX378" s="26"/>
      <c r="AY378" s="26"/>
      <c r="AZ378" s="32"/>
      <c r="BA378" s="32"/>
    </row>
    <row r="379" spans="10:53">
      <c r="J379" s="9"/>
      <c r="K379" s="9"/>
      <c r="T379" s="5"/>
      <c r="U379" s="5"/>
      <c r="V379" s="26"/>
      <c r="W379" s="26"/>
      <c r="X379" s="26"/>
      <c r="Y379" s="26"/>
      <c r="Z379" s="26"/>
      <c r="AA379" s="9"/>
      <c r="AC379" s="9"/>
      <c r="AD379" s="9"/>
      <c r="AE379" s="9"/>
      <c r="AI379" s="26"/>
      <c r="AJ379" s="26"/>
      <c r="AK379" s="32"/>
      <c r="AL379" s="32"/>
      <c r="AM379" s="26"/>
      <c r="AN379" s="26"/>
      <c r="AO379" s="26"/>
      <c r="AP379" s="9"/>
      <c r="AQ379" s="9"/>
      <c r="AR379" s="9"/>
      <c r="AV379" s="5"/>
      <c r="AW379" s="5"/>
      <c r="AX379" s="26"/>
      <c r="AY379" s="26"/>
      <c r="AZ379" s="32"/>
      <c r="BA379" s="32"/>
    </row>
    <row r="380" spans="10:53">
      <c r="J380" s="9"/>
      <c r="K380" s="9"/>
      <c r="T380" s="5"/>
      <c r="U380" s="5"/>
      <c r="V380" s="26"/>
      <c r="W380" s="26"/>
      <c r="X380" s="26"/>
      <c r="Y380" s="26"/>
      <c r="Z380" s="26"/>
      <c r="AA380" s="9"/>
      <c r="AC380" s="9"/>
      <c r="AD380" s="9"/>
      <c r="AE380" s="9"/>
      <c r="AI380" s="26"/>
      <c r="AJ380" s="26"/>
      <c r="AK380" s="32"/>
      <c r="AL380" s="32"/>
      <c r="AM380" s="26"/>
      <c r="AN380" s="26"/>
      <c r="AO380" s="26"/>
      <c r="AP380" s="9"/>
      <c r="AQ380" s="9"/>
      <c r="AR380" s="9"/>
      <c r="AV380" s="5"/>
      <c r="AW380" s="5"/>
      <c r="AX380" s="26"/>
      <c r="AY380" s="26"/>
      <c r="AZ380" s="32"/>
      <c r="BA380" s="32"/>
    </row>
    <row r="381" spans="10:53">
      <c r="J381" s="9"/>
      <c r="K381" s="9"/>
      <c r="T381" s="5"/>
      <c r="U381" s="5"/>
      <c r="V381" s="26"/>
      <c r="W381" s="26"/>
      <c r="X381" s="26"/>
      <c r="Y381" s="26"/>
      <c r="Z381" s="26"/>
      <c r="AA381" s="9"/>
      <c r="AC381" s="9"/>
      <c r="AD381" s="9"/>
      <c r="AE381" s="9"/>
      <c r="AI381" s="26"/>
      <c r="AJ381" s="26"/>
      <c r="AK381" s="32"/>
      <c r="AL381" s="32"/>
      <c r="AM381" s="26"/>
      <c r="AN381" s="26"/>
      <c r="AO381" s="26"/>
      <c r="AP381" s="9"/>
      <c r="AQ381" s="9"/>
      <c r="AR381" s="9"/>
      <c r="AV381" s="5"/>
      <c r="AW381" s="5"/>
      <c r="AX381" s="26"/>
      <c r="AY381" s="26"/>
      <c r="AZ381" s="32"/>
      <c r="BA381" s="32"/>
    </row>
    <row r="382" spans="10:53">
      <c r="J382" s="9"/>
      <c r="K382" s="9"/>
      <c r="T382" s="5"/>
      <c r="U382" s="5"/>
      <c r="V382" s="26"/>
      <c r="W382" s="26"/>
      <c r="X382" s="26"/>
      <c r="Y382" s="26"/>
      <c r="Z382" s="26"/>
      <c r="AA382" s="9"/>
      <c r="AC382" s="9"/>
      <c r="AD382" s="9"/>
      <c r="AE382" s="9"/>
      <c r="AI382" s="26"/>
      <c r="AJ382" s="26"/>
      <c r="AK382" s="32"/>
      <c r="AL382" s="32"/>
      <c r="AM382" s="26"/>
      <c r="AN382" s="26"/>
      <c r="AO382" s="26"/>
      <c r="AP382" s="9"/>
      <c r="AQ382" s="9"/>
      <c r="AR382" s="9"/>
      <c r="AV382" s="5"/>
      <c r="AW382" s="5"/>
      <c r="AX382" s="26"/>
      <c r="AY382" s="26"/>
      <c r="AZ382" s="32"/>
      <c r="BA382" s="32"/>
    </row>
    <row r="383" spans="10:53">
      <c r="J383" s="9"/>
      <c r="K383" s="9"/>
      <c r="T383" s="5"/>
      <c r="U383" s="5"/>
      <c r="V383" s="26"/>
      <c r="W383" s="26"/>
      <c r="X383" s="26"/>
      <c r="Y383" s="26"/>
      <c r="Z383" s="26"/>
      <c r="AA383" s="9"/>
      <c r="AC383" s="9"/>
      <c r="AD383" s="9"/>
      <c r="AE383" s="9"/>
      <c r="AI383" s="26"/>
      <c r="AJ383" s="26"/>
      <c r="AK383" s="32"/>
      <c r="AL383" s="32"/>
      <c r="AM383" s="26"/>
      <c r="AN383" s="26"/>
      <c r="AO383" s="26"/>
      <c r="AP383" s="9"/>
      <c r="AQ383" s="9"/>
      <c r="AR383" s="9"/>
      <c r="AV383" s="5"/>
      <c r="AW383" s="5"/>
      <c r="AX383" s="26"/>
      <c r="AY383" s="26"/>
      <c r="AZ383" s="32"/>
      <c r="BA383" s="32"/>
    </row>
    <row r="384" spans="10:53">
      <c r="J384" s="9"/>
      <c r="K384" s="9"/>
      <c r="T384" s="5"/>
      <c r="U384" s="5"/>
      <c r="V384" s="26"/>
      <c r="W384" s="26"/>
      <c r="X384" s="26"/>
      <c r="Y384" s="26"/>
      <c r="Z384" s="26"/>
      <c r="AA384" s="9"/>
      <c r="AC384" s="9"/>
      <c r="AD384" s="9"/>
      <c r="AE384" s="9"/>
      <c r="AI384" s="26"/>
      <c r="AJ384" s="26"/>
      <c r="AK384" s="32"/>
      <c r="AL384" s="32"/>
      <c r="AM384" s="26"/>
      <c r="AN384" s="26"/>
      <c r="AO384" s="26"/>
      <c r="AP384" s="9"/>
      <c r="AQ384" s="9"/>
      <c r="AR384" s="9"/>
      <c r="AV384" s="5"/>
      <c r="AW384" s="5"/>
      <c r="AX384" s="26"/>
      <c r="AY384" s="26"/>
      <c r="AZ384" s="32"/>
      <c r="BA384" s="32"/>
    </row>
    <row r="385" spans="10:53">
      <c r="J385" s="9"/>
      <c r="K385" s="9"/>
      <c r="T385" s="5"/>
      <c r="U385" s="5"/>
      <c r="V385" s="26"/>
      <c r="W385" s="26"/>
      <c r="X385" s="26"/>
      <c r="Y385" s="26"/>
      <c r="Z385" s="26"/>
      <c r="AA385" s="9"/>
      <c r="AC385" s="9"/>
      <c r="AD385" s="9"/>
      <c r="AE385" s="9"/>
      <c r="AI385" s="26"/>
      <c r="AJ385" s="26"/>
      <c r="AK385" s="32"/>
      <c r="AL385" s="32"/>
      <c r="AM385" s="26"/>
      <c r="AN385" s="26"/>
      <c r="AO385" s="26"/>
      <c r="AP385" s="9"/>
      <c r="AQ385" s="9"/>
      <c r="AR385" s="9"/>
      <c r="AV385" s="5"/>
      <c r="AW385" s="5"/>
      <c r="AX385" s="26"/>
      <c r="AY385" s="26"/>
      <c r="AZ385" s="32"/>
      <c r="BA385" s="32"/>
    </row>
    <row r="386" spans="10:53">
      <c r="J386" s="9"/>
      <c r="K386" s="9"/>
      <c r="T386" s="5"/>
      <c r="U386" s="5"/>
      <c r="V386" s="26"/>
      <c r="W386" s="26"/>
      <c r="X386" s="26"/>
      <c r="Y386" s="26"/>
      <c r="Z386" s="26"/>
      <c r="AA386" s="9"/>
      <c r="AC386" s="9"/>
      <c r="AD386" s="9"/>
      <c r="AE386" s="9"/>
      <c r="AI386" s="26"/>
      <c r="AJ386" s="26"/>
      <c r="AK386" s="32"/>
      <c r="AL386" s="32"/>
      <c r="AM386" s="26"/>
      <c r="AN386" s="26"/>
      <c r="AO386" s="26"/>
      <c r="AP386" s="9"/>
      <c r="AQ386" s="9"/>
      <c r="AR386" s="9"/>
      <c r="AV386" s="5"/>
      <c r="AW386" s="5"/>
      <c r="AX386" s="26"/>
      <c r="AY386" s="26"/>
      <c r="AZ386" s="32"/>
      <c r="BA386" s="32"/>
    </row>
    <row r="387" spans="10:53">
      <c r="J387" s="9"/>
      <c r="K387" s="9"/>
      <c r="T387" s="5"/>
      <c r="U387" s="5"/>
      <c r="V387" s="26"/>
      <c r="W387" s="26"/>
      <c r="X387" s="26"/>
      <c r="Y387" s="26"/>
      <c r="Z387" s="26"/>
      <c r="AA387" s="9"/>
      <c r="AC387" s="9"/>
      <c r="AD387" s="9"/>
      <c r="AE387" s="9"/>
      <c r="AI387" s="26"/>
      <c r="AJ387" s="26"/>
      <c r="AK387" s="32"/>
      <c r="AL387" s="32"/>
      <c r="AM387" s="26"/>
      <c r="AN387" s="26"/>
      <c r="AO387" s="26"/>
      <c r="AP387" s="9"/>
      <c r="AQ387" s="9"/>
      <c r="AR387" s="9"/>
      <c r="AV387" s="5"/>
      <c r="AW387" s="5"/>
      <c r="AX387" s="26"/>
      <c r="AY387" s="26"/>
      <c r="AZ387" s="32"/>
      <c r="BA387" s="32"/>
    </row>
    <row r="388" spans="10:53">
      <c r="J388" s="9"/>
      <c r="K388" s="9"/>
      <c r="T388" s="5"/>
      <c r="U388" s="5"/>
      <c r="V388" s="26"/>
      <c r="W388" s="26"/>
      <c r="X388" s="26"/>
      <c r="Y388" s="26"/>
      <c r="Z388" s="26"/>
      <c r="AA388" s="9"/>
      <c r="AC388" s="9"/>
      <c r="AD388" s="9"/>
      <c r="AE388" s="9"/>
      <c r="AI388" s="26"/>
      <c r="AJ388" s="26"/>
      <c r="AK388" s="32"/>
      <c r="AL388" s="32"/>
      <c r="AM388" s="26"/>
      <c r="AN388" s="26"/>
      <c r="AO388" s="26"/>
      <c r="AP388" s="9"/>
      <c r="AQ388" s="9"/>
      <c r="AR388" s="9"/>
      <c r="AV388" s="5"/>
      <c r="AW388" s="5"/>
      <c r="AX388" s="26"/>
      <c r="AY388" s="26"/>
      <c r="AZ388" s="32"/>
      <c r="BA388" s="32"/>
    </row>
    <row r="389" spans="10:53">
      <c r="J389" s="9"/>
      <c r="K389" s="9"/>
      <c r="T389" s="5"/>
      <c r="U389" s="5"/>
      <c r="V389" s="26"/>
      <c r="W389" s="26"/>
      <c r="X389" s="26"/>
      <c r="Y389" s="26"/>
      <c r="Z389" s="26"/>
      <c r="AA389" s="9"/>
      <c r="AC389" s="9"/>
      <c r="AD389" s="9"/>
      <c r="AE389" s="9"/>
      <c r="AI389" s="26"/>
      <c r="AJ389" s="26"/>
      <c r="AK389" s="32"/>
      <c r="AL389" s="32"/>
      <c r="AM389" s="26"/>
      <c r="AN389" s="26"/>
      <c r="AO389" s="26"/>
      <c r="AP389" s="9"/>
      <c r="AQ389" s="9"/>
      <c r="AR389" s="9"/>
      <c r="AV389" s="5"/>
      <c r="AW389" s="5"/>
      <c r="AX389" s="26"/>
      <c r="AY389" s="26"/>
      <c r="AZ389" s="32"/>
      <c r="BA389" s="32"/>
    </row>
    <row r="390" spans="10:53">
      <c r="J390" s="9"/>
      <c r="K390" s="9"/>
      <c r="T390" s="5"/>
      <c r="U390" s="5"/>
      <c r="V390" s="26"/>
      <c r="W390" s="26"/>
      <c r="X390" s="26"/>
      <c r="Y390" s="26"/>
      <c r="Z390" s="26"/>
      <c r="AA390" s="9"/>
      <c r="AC390" s="9"/>
      <c r="AD390" s="9"/>
      <c r="AE390" s="9"/>
      <c r="AI390" s="26"/>
      <c r="AJ390" s="26"/>
      <c r="AK390" s="32"/>
      <c r="AL390" s="32"/>
      <c r="AM390" s="26"/>
      <c r="AN390" s="26"/>
      <c r="AO390" s="26"/>
      <c r="AP390" s="9"/>
      <c r="AQ390" s="9"/>
      <c r="AR390" s="9"/>
      <c r="AV390" s="5"/>
      <c r="AW390" s="5"/>
      <c r="AX390" s="26"/>
      <c r="AY390" s="26"/>
      <c r="AZ390" s="32"/>
      <c r="BA390" s="32"/>
    </row>
    <row r="391" spans="10:53">
      <c r="J391" s="9"/>
      <c r="K391" s="9"/>
      <c r="T391" s="5"/>
      <c r="U391" s="5"/>
      <c r="V391" s="26"/>
      <c r="W391" s="26"/>
      <c r="X391" s="26"/>
      <c r="Y391" s="26"/>
      <c r="Z391" s="26"/>
      <c r="AA391" s="9"/>
      <c r="AC391" s="9"/>
      <c r="AD391" s="9"/>
      <c r="AE391" s="9"/>
      <c r="AI391" s="26"/>
      <c r="AJ391" s="26"/>
      <c r="AK391" s="32"/>
      <c r="AL391" s="32"/>
      <c r="AM391" s="26"/>
      <c r="AN391" s="26"/>
      <c r="AO391" s="26"/>
      <c r="AP391" s="9"/>
      <c r="AQ391" s="9"/>
      <c r="AR391" s="9"/>
      <c r="AV391" s="5"/>
      <c r="AW391" s="5"/>
      <c r="AX391" s="26"/>
      <c r="AY391" s="26"/>
      <c r="AZ391" s="32"/>
      <c r="BA391" s="32"/>
    </row>
    <row r="392" spans="10:53">
      <c r="J392" s="9"/>
      <c r="K392" s="9"/>
      <c r="T392" s="5"/>
      <c r="U392" s="5"/>
      <c r="V392" s="26"/>
      <c r="W392" s="26"/>
      <c r="X392" s="26"/>
      <c r="Y392" s="26"/>
      <c r="Z392" s="26"/>
      <c r="AA392" s="9"/>
      <c r="AC392" s="9"/>
      <c r="AD392" s="9"/>
      <c r="AE392" s="9"/>
      <c r="AI392" s="26"/>
      <c r="AJ392" s="26"/>
      <c r="AK392" s="32"/>
      <c r="AL392" s="32"/>
      <c r="AM392" s="26"/>
      <c r="AN392" s="26"/>
      <c r="AO392" s="26"/>
      <c r="AP392" s="9"/>
      <c r="AQ392" s="9"/>
      <c r="AR392" s="9"/>
      <c r="AV392" s="5"/>
      <c r="AW392" s="5"/>
      <c r="AX392" s="26"/>
      <c r="AY392" s="26"/>
      <c r="AZ392" s="32"/>
      <c r="BA392" s="32"/>
    </row>
    <row r="393" spans="10:53">
      <c r="J393" s="9"/>
      <c r="K393" s="9"/>
      <c r="T393" s="5"/>
      <c r="U393" s="5"/>
      <c r="V393" s="26"/>
      <c r="W393" s="26"/>
      <c r="X393" s="26"/>
      <c r="Y393" s="26"/>
      <c r="Z393" s="26"/>
      <c r="AA393" s="9"/>
      <c r="AC393" s="9"/>
      <c r="AD393" s="9"/>
      <c r="AE393" s="9"/>
      <c r="AI393" s="26"/>
      <c r="AJ393" s="26"/>
      <c r="AK393" s="32"/>
      <c r="AL393" s="32"/>
      <c r="AM393" s="26"/>
      <c r="AN393" s="26"/>
      <c r="AO393" s="26"/>
      <c r="AP393" s="9"/>
      <c r="AQ393" s="9"/>
      <c r="AR393" s="9"/>
      <c r="AV393" s="5"/>
      <c r="AW393" s="5"/>
      <c r="AX393" s="26"/>
      <c r="AY393" s="26"/>
      <c r="AZ393" s="32"/>
      <c r="BA393" s="32"/>
    </row>
    <row r="394" spans="10:53">
      <c r="J394" s="9"/>
      <c r="K394" s="9"/>
      <c r="T394" s="5"/>
      <c r="U394" s="5"/>
      <c r="V394" s="26"/>
      <c r="W394" s="26"/>
      <c r="X394" s="26"/>
      <c r="Y394" s="26"/>
      <c r="Z394" s="26"/>
      <c r="AA394" s="9"/>
      <c r="AC394" s="9"/>
      <c r="AD394" s="9"/>
      <c r="AE394" s="9"/>
      <c r="AI394" s="26"/>
      <c r="AJ394" s="26"/>
      <c r="AK394" s="32"/>
      <c r="AL394" s="32"/>
      <c r="AM394" s="26"/>
      <c r="AN394" s="26"/>
      <c r="AO394" s="26"/>
      <c r="AP394" s="9"/>
      <c r="AQ394" s="9"/>
      <c r="AR394" s="9"/>
      <c r="AV394" s="5"/>
      <c r="AW394" s="5"/>
      <c r="AX394" s="26"/>
      <c r="AY394" s="26"/>
      <c r="AZ394" s="32"/>
      <c r="BA394" s="32"/>
    </row>
    <row r="395" spans="10:53">
      <c r="J395" s="9"/>
      <c r="K395" s="9"/>
      <c r="T395" s="5"/>
      <c r="U395" s="5"/>
      <c r="V395" s="26"/>
      <c r="W395" s="26"/>
      <c r="X395" s="26"/>
      <c r="Y395" s="26"/>
      <c r="Z395" s="26"/>
      <c r="AA395" s="9"/>
      <c r="AC395" s="9"/>
      <c r="AD395" s="9"/>
      <c r="AE395" s="9"/>
      <c r="AI395" s="26"/>
      <c r="AJ395" s="26"/>
      <c r="AK395" s="32"/>
      <c r="AL395" s="32"/>
      <c r="AM395" s="26"/>
      <c r="AN395" s="26"/>
      <c r="AO395" s="26"/>
      <c r="AP395" s="9"/>
      <c r="AQ395" s="9"/>
      <c r="AR395" s="9"/>
      <c r="AV395" s="5"/>
      <c r="AW395" s="5"/>
      <c r="AX395" s="26"/>
      <c r="AY395" s="26"/>
      <c r="AZ395" s="32"/>
      <c r="BA395" s="32"/>
    </row>
    <row r="396" spans="10:53">
      <c r="J396" s="9"/>
      <c r="K396" s="9"/>
      <c r="T396" s="5"/>
      <c r="U396" s="5"/>
      <c r="V396" s="26"/>
      <c r="W396" s="26"/>
      <c r="X396" s="26"/>
      <c r="Y396" s="26"/>
      <c r="Z396" s="26"/>
      <c r="AA396" s="9"/>
      <c r="AC396" s="9"/>
      <c r="AD396" s="9"/>
      <c r="AE396" s="9"/>
      <c r="AI396" s="26"/>
      <c r="AJ396" s="26"/>
      <c r="AK396" s="32"/>
      <c r="AL396" s="32"/>
      <c r="AM396" s="26"/>
      <c r="AN396" s="26"/>
      <c r="AO396" s="26"/>
      <c r="AP396" s="9"/>
      <c r="AQ396" s="9"/>
      <c r="AR396" s="9"/>
      <c r="AV396" s="5"/>
      <c r="AW396" s="5"/>
      <c r="AX396" s="26"/>
      <c r="AY396" s="26"/>
      <c r="AZ396" s="32"/>
      <c r="BA396" s="32"/>
    </row>
    <row r="397" spans="10:53">
      <c r="J397" s="9"/>
      <c r="K397" s="9"/>
      <c r="T397" s="5"/>
      <c r="U397" s="5"/>
      <c r="V397" s="26"/>
      <c r="W397" s="26"/>
      <c r="X397" s="26"/>
      <c r="Y397" s="26"/>
      <c r="Z397" s="26"/>
      <c r="AA397" s="9"/>
      <c r="AC397" s="9"/>
      <c r="AD397" s="9"/>
      <c r="AE397" s="9"/>
      <c r="AI397" s="26"/>
      <c r="AJ397" s="26"/>
      <c r="AK397" s="32"/>
      <c r="AL397" s="32"/>
      <c r="AM397" s="26"/>
      <c r="AN397" s="26"/>
      <c r="AO397" s="26"/>
      <c r="AP397" s="9"/>
      <c r="AQ397" s="9"/>
      <c r="AR397" s="9"/>
      <c r="AV397" s="5"/>
      <c r="AW397" s="5"/>
      <c r="AX397" s="26"/>
      <c r="AY397" s="26"/>
      <c r="AZ397" s="32"/>
      <c r="BA397" s="32"/>
    </row>
    <row r="398" spans="10:53">
      <c r="J398" s="9"/>
      <c r="K398" s="9"/>
      <c r="T398" s="5"/>
      <c r="U398" s="5"/>
      <c r="V398" s="26"/>
      <c r="W398" s="26"/>
      <c r="X398" s="26"/>
      <c r="Y398" s="26"/>
      <c r="Z398" s="26"/>
      <c r="AA398" s="9"/>
      <c r="AC398" s="9"/>
      <c r="AD398" s="9"/>
      <c r="AE398" s="9"/>
      <c r="AI398" s="26"/>
      <c r="AJ398" s="26"/>
      <c r="AK398" s="32"/>
      <c r="AL398" s="32"/>
      <c r="AM398" s="26"/>
      <c r="AN398" s="26"/>
      <c r="AO398" s="26"/>
      <c r="AP398" s="9"/>
      <c r="AQ398" s="9"/>
      <c r="AR398" s="9"/>
      <c r="AV398" s="5"/>
      <c r="AW398" s="5"/>
      <c r="AX398" s="26"/>
      <c r="AY398" s="26"/>
      <c r="AZ398" s="32"/>
      <c r="BA398" s="32"/>
    </row>
    <row r="399" spans="10:53">
      <c r="J399" s="9"/>
      <c r="K399" s="9"/>
      <c r="T399" s="5"/>
      <c r="U399" s="5"/>
      <c r="V399" s="26"/>
      <c r="W399" s="26"/>
      <c r="X399" s="26"/>
      <c r="Y399" s="26"/>
      <c r="Z399" s="26"/>
      <c r="AA399" s="9"/>
      <c r="AC399" s="9"/>
      <c r="AD399" s="9"/>
      <c r="AE399" s="9"/>
      <c r="AI399" s="26"/>
      <c r="AJ399" s="26"/>
      <c r="AK399" s="32"/>
      <c r="AL399" s="32"/>
      <c r="AM399" s="26"/>
      <c r="AN399" s="26"/>
      <c r="AO399" s="26"/>
      <c r="AP399" s="9"/>
      <c r="AQ399" s="9"/>
      <c r="AR399" s="9"/>
      <c r="AV399" s="5"/>
      <c r="AW399" s="5"/>
      <c r="AX399" s="26"/>
      <c r="AY399" s="26"/>
      <c r="AZ399" s="32"/>
      <c r="BA399" s="32"/>
    </row>
    <row r="400" spans="10:53">
      <c r="J400" s="9"/>
      <c r="K400" s="9"/>
      <c r="T400" s="5"/>
      <c r="U400" s="5"/>
      <c r="V400" s="26"/>
      <c r="W400" s="26"/>
      <c r="X400" s="26"/>
      <c r="Y400" s="26"/>
      <c r="Z400" s="26"/>
      <c r="AA400" s="9"/>
      <c r="AC400" s="9"/>
      <c r="AD400" s="9"/>
      <c r="AE400" s="9"/>
      <c r="AI400" s="26"/>
      <c r="AJ400" s="26"/>
      <c r="AK400" s="32"/>
      <c r="AL400" s="32"/>
      <c r="AM400" s="26"/>
      <c r="AN400" s="26"/>
      <c r="AO400" s="26"/>
      <c r="AP400" s="9"/>
      <c r="AQ400" s="9"/>
      <c r="AR400" s="9"/>
      <c r="AV400" s="5"/>
      <c r="AW400" s="5"/>
      <c r="AX400" s="26"/>
      <c r="AY400" s="26"/>
      <c r="AZ400" s="32"/>
      <c r="BA400" s="32"/>
    </row>
    <row r="401" spans="10:53">
      <c r="J401" s="9"/>
      <c r="K401" s="9"/>
      <c r="T401" s="5"/>
      <c r="U401" s="5"/>
      <c r="V401" s="26"/>
      <c r="W401" s="26"/>
      <c r="X401" s="26"/>
      <c r="Y401" s="26"/>
      <c r="Z401" s="26"/>
      <c r="AA401" s="9"/>
      <c r="AC401" s="9"/>
      <c r="AD401" s="9"/>
      <c r="AE401" s="9"/>
      <c r="AI401" s="26"/>
      <c r="AJ401" s="26"/>
      <c r="AK401" s="32"/>
      <c r="AL401" s="32"/>
      <c r="AM401" s="26"/>
      <c r="AN401" s="26"/>
      <c r="AO401" s="26"/>
      <c r="AP401" s="9"/>
      <c r="AQ401" s="9"/>
      <c r="AR401" s="9"/>
      <c r="AV401" s="5"/>
      <c r="AW401" s="5"/>
      <c r="AX401" s="26"/>
      <c r="AY401" s="26"/>
      <c r="AZ401" s="32"/>
      <c r="BA401" s="32"/>
    </row>
    <row r="402" spans="10:53">
      <c r="J402" s="9"/>
      <c r="K402" s="9"/>
      <c r="T402" s="5"/>
      <c r="U402" s="5"/>
      <c r="V402" s="26"/>
      <c r="W402" s="26"/>
      <c r="X402" s="26"/>
      <c r="Y402" s="26"/>
      <c r="Z402" s="26"/>
      <c r="AA402" s="9"/>
      <c r="AC402" s="9"/>
      <c r="AD402" s="9"/>
      <c r="AE402" s="9"/>
      <c r="AI402" s="26"/>
      <c r="AJ402" s="26"/>
      <c r="AK402" s="32"/>
      <c r="AL402" s="32"/>
      <c r="AM402" s="26"/>
      <c r="AN402" s="26"/>
      <c r="AO402" s="26"/>
      <c r="AP402" s="9"/>
      <c r="AQ402" s="9"/>
      <c r="AR402" s="9"/>
      <c r="AV402" s="5"/>
      <c r="AW402" s="5"/>
      <c r="AX402" s="26"/>
      <c r="AY402" s="26"/>
      <c r="AZ402" s="32"/>
      <c r="BA402" s="32"/>
    </row>
    <row r="403" spans="10:53">
      <c r="J403" s="9"/>
      <c r="K403" s="9"/>
      <c r="T403" s="5"/>
      <c r="U403" s="5"/>
      <c r="V403" s="26"/>
      <c r="W403" s="26"/>
      <c r="X403" s="26"/>
      <c r="Y403" s="26"/>
      <c r="Z403" s="26"/>
      <c r="AA403" s="9"/>
      <c r="AC403" s="9"/>
      <c r="AD403" s="9"/>
      <c r="AE403" s="9"/>
      <c r="AI403" s="26"/>
      <c r="AJ403" s="26"/>
      <c r="AK403" s="32"/>
      <c r="AL403" s="32"/>
      <c r="AM403" s="26"/>
      <c r="AN403" s="26"/>
      <c r="AO403" s="26"/>
      <c r="AP403" s="9"/>
      <c r="AQ403" s="9"/>
      <c r="AR403" s="9"/>
      <c r="AV403" s="5"/>
      <c r="AW403" s="5"/>
      <c r="AX403" s="26"/>
      <c r="AY403" s="26"/>
      <c r="AZ403" s="32"/>
      <c r="BA403" s="32"/>
    </row>
    <row r="404" spans="10:53">
      <c r="J404" s="9"/>
      <c r="K404" s="9"/>
      <c r="T404" s="5"/>
      <c r="U404" s="5"/>
      <c r="V404" s="26"/>
      <c r="W404" s="26"/>
      <c r="X404" s="26"/>
      <c r="Y404" s="26"/>
      <c r="Z404" s="26"/>
      <c r="AA404" s="9"/>
      <c r="AC404" s="9"/>
      <c r="AD404" s="9"/>
      <c r="AE404" s="9"/>
      <c r="AI404" s="26"/>
      <c r="AJ404" s="26"/>
      <c r="AK404" s="32"/>
      <c r="AL404" s="32"/>
      <c r="AM404" s="26"/>
      <c r="AN404" s="26"/>
      <c r="AO404" s="26"/>
      <c r="AP404" s="9"/>
      <c r="AQ404" s="9"/>
      <c r="AR404" s="9"/>
      <c r="AV404" s="5"/>
      <c r="AW404" s="5"/>
      <c r="AX404" s="26"/>
      <c r="AY404" s="26"/>
      <c r="AZ404" s="32"/>
      <c r="BA404" s="32"/>
    </row>
    <row r="405" spans="10:53">
      <c r="J405" s="9"/>
      <c r="K405" s="9"/>
      <c r="T405" s="5"/>
      <c r="U405" s="5"/>
      <c r="V405" s="26"/>
      <c r="W405" s="26"/>
      <c r="X405" s="26"/>
      <c r="Y405" s="26"/>
      <c r="Z405" s="26"/>
      <c r="AA405" s="9"/>
      <c r="AC405" s="9"/>
      <c r="AD405" s="9"/>
      <c r="AE405" s="9"/>
      <c r="AI405" s="26"/>
      <c r="AJ405" s="26"/>
      <c r="AK405" s="32"/>
      <c r="AL405" s="32"/>
      <c r="AM405" s="26"/>
      <c r="AN405" s="26"/>
      <c r="AO405" s="26"/>
      <c r="AP405" s="9"/>
      <c r="AQ405" s="9"/>
      <c r="AR405" s="9"/>
      <c r="AV405" s="5"/>
      <c r="AW405" s="5"/>
      <c r="AX405" s="26"/>
      <c r="AY405" s="26"/>
      <c r="AZ405" s="32"/>
      <c r="BA405" s="32"/>
    </row>
    <row r="406" spans="10:53">
      <c r="J406" s="9"/>
      <c r="K406" s="9"/>
      <c r="T406" s="5"/>
      <c r="U406" s="5"/>
      <c r="V406" s="26"/>
      <c r="W406" s="26"/>
      <c r="X406" s="26"/>
      <c r="Y406" s="26"/>
      <c r="Z406" s="26"/>
      <c r="AA406" s="9"/>
      <c r="AC406" s="9"/>
      <c r="AD406" s="9"/>
      <c r="AE406" s="9"/>
      <c r="AI406" s="26"/>
      <c r="AJ406" s="26"/>
      <c r="AK406" s="32"/>
      <c r="AL406" s="32"/>
      <c r="AM406" s="26"/>
      <c r="AN406" s="26"/>
      <c r="AO406" s="26"/>
      <c r="AP406" s="9"/>
      <c r="AQ406" s="9"/>
      <c r="AR406" s="9"/>
      <c r="AV406" s="5"/>
      <c r="AW406" s="5"/>
      <c r="AX406" s="26"/>
      <c r="AY406" s="26"/>
      <c r="AZ406" s="32"/>
      <c r="BA406" s="32"/>
    </row>
    <row r="407" spans="10:53">
      <c r="J407" s="9"/>
      <c r="K407" s="9"/>
      <c r="T407" s="5"/>
      <c r="U407" s="5"/>
      <c r="V407" s="26"/>
      <c r="W407" s="26"/>
      <c r="X407" s="26"/>
      <c r="Y407" s="26"/>
      <c r="Z407" s="26"/>
      <c r="AA407" s="9"/>
      <c r="AC407" s="9"/>
      <c r="AD407" s="9"/>
      <c r="AE407" s="9"/>
      <c r="AI407" s="26"/>
      <c r="AJ407" s="26"/>
      <c r="AK407" s="32"/>
      <c r="AL407" s="32"/>
      <c r="AM407" s="26"/>
      <c r="AN407" s="26"/>
      <c r="AO407" s="26"/>
      <c r="AP407" s="9"/>
      <c r="AQ407" s="9"/>
      <c r="AR407" s="9"/>
      <c r="AV407" s="5"/>
      <c r="AW407" s="5"/>
      <c r="AX407" s="26"/>
      <c r="AY407" s="26"/>
      <c r="AZ407" s="32"/>
      <c r="BA407" s="32"/>
    </row>
    <row r="408" spans="10:53">
      <c r="J408" s="9"/>
      <c r="K408" s="9"/>
      <c r="T408" s="5"/>
      <c r="U408" s="5"/>
      <c r="V408" s="26"/>
      <c r="W408" s="26"/>
      <c r="X408" s="26"/>
      <c r="Y408" s="26"/>
      <c r="Z408" s="26"/>
      <c r="AA408" s="9"/>
      <c r="AC408" s="9"/>
      <c r="AD408" s="9"/>
      <c r="AE408" s="9"/>
      <c r="AI408" s="26"/>
      <c r="AJ408" s="26"/>
      <c r="AK408" s="32"/>
      <c r="AL408" s="32"/>
      <c r="AM408" s="26"/>
      <c r="AN408" s="26"/>
      <c r="AO408" s="26"/>
      <c r="AP408" s="9"/>
      <c r="AQ408" s="9"/>
      <c r="AR408" s="9"/>
      <c r="AV408" s="5"/>
      <c r="AW408" s="5"/>
      <c r="AX408" s="26"/>
      <c r="AY408" s="26"/>
      <c r="AZ408" s="32"/>
      <c r="BA408" s="32"/>
    </row>
    <row r="409" spans="10:53">
      <c r="J409" s="9"/>
      <c r="K409" s="9"/>
      <c r="T409" s="5"/>
      <c r="U409" s="5"/>
      <c r="V409" s="26"/>
      <c r="W409" s="26"/>
      <c r="X409" s="26"/>
      <c r="Y409" s="26"/>
      <c r="Z409" s="26"/>
      <c r="AA409" s="9"/>
      <c r="AC409" s="9"/>
      <c r="AD409" s="9"/>
      <c r="AE409" s="9"/>
      <c r="AI409" s="26"/>
      <c r="AJ409" s="26"/>
      <c r="AK409" s="32"/>
      <c r="AL409" s="32"/>
      <c r="AM409" s="26"/>
      <c r="AN409" s="26"/>
      <c r="AO409" s="26"/>
      <c r="AP409" s="9"/>
      <c r="AQ409" s="9"/>
      <c r="AR409" s="9"/>
      <c r="AV409" s="5"/>
      <c r="AW409" s="5"/>
      <c r="AX409" s="26"/>
      <c r="AY409" s="26"/>
      <c r="AZ409" s="32"/>
      <c r="BA409" s="32"/>
    </row>
    <row r="410" spans="10:53">
      <c r="J410" s="9"/>
      <c r="K410" s="9"/>
      <c r="T410" s="5"/>
      <c r="U410" s="5"/>
      <c r="V410" s="26"/>
      <c r="W410" s="26"/>
      <c r="X410" s="26"/>
      <c r="Y410" s="26"/>
      <c r="Z410" s="26"/>
      <c r="AA410" s="9"/>
      <c r="AC410" s="9"/>
      <c r="AD410" s="9"/>
      <c r="AE410" s="9"/>
      <c r="AI410" s="26"/>
      <c r="AJ410" s="26"/>
      <c r="AK410" s="32"/>
      <c r="AL410" s="32"/>
      <c r="AM410" s="26"/>
      <c r="AN410" s="26"/>
      <c r="AO410" s="26"/>
      <c r="AP410" s="9"/>
      <c r="AQ410" s="9"/>
      <c r="AR410" s="9"/>
      <c r="AV410" s="5"/>
      <c r="AW410" s="5"/>
      <c r="AX410" s="26"/>
      <c r="AY410" s="26"/>
      <c r="AZ410" s="32"/>
      <c r="BA410" s="32"/>
    </row>
    <row r="411" spans="10:53">
      <c r="J411" s="9"/>
      <c r="K411" s="9"/>
      <c r="T411" s="5"/>
      <c r="U411" s="5"/>
      <c r="V411" s="26"/>
      <c r="W411" s="26"/>
      <c r="X411" s="26"/>
      <c r="Y411" s="26"/>
      <c r="Z411" s="26"/>
      <c r="AA411" s="9"/>
      <c r="AC411" s="9"/>
      <c r="AD411" s="9"/>
      <c r="AE411" s="9"/>
      <c r="AI411" s="26"/>
      <c r="AJ411" s="26"/>
      <c r="AK411" s="32"/>
      <c r="AL411" s="32"/>
      <c r="AM411" s="26"/>
      <c r="AN411" s="26"/>
      <c r="AO411" s="26"/>
      <c r="AP411" s="9"/>
      <c r="AQ411" s="9"/>
      <c r="AR411" s="9"/>
      <c r="AV411" s="5"/>
      <c r="AW411" s="5"/>
      <c r="AX411" s="26"/>
      <c r="AY411" s="26"/>
      <c r="AZ411" s="32"/>
      <c r="BA411" s="32"/>
    </row>
    <row r="412" spans="10:53">
      <c r="J412" s="9"/>
      <c r="K412" s="9"/>
      <c r="T412" s="5"/>
      <c r="U412" s="5"/>
      <c r="V412" s="26"/>
      <c r="W412" s="26"/>
      <c r="X412" s="26"/>
      <c r="Y412" s="26"/>
      <c r="Z412" s="26"/>
      <c r="AA412" s="9"/>
      <c r="AC412" s="9"/>
      <c r="AD412" s="9"/>
      <c r="AE412" s="9"/>
      <c r="AI412" s="26"/>
      <c r="AJ412" s="26"/>
      <c r="AK412" s="32"/>
      <c r="AL412" s="32"/>
      <c r="AM412" s="26"/>
      <c r="AN412" s="26"/>
      <c r="AO412" s="26"/>
      <c r="AP412" s="9"/>
      <c r="AQ412" s="9"/>
      <c r="AR412" s="9"/>
      <c r="AV412" s="5"/>
      <c r="AW412" s="5"/>
      <c r="AX412" s="26"/>
      <c r="AY412" s="26"/>
      <c r="AZ412" s="32"/>
      <c r="BA412" s="32"/>
    </row>
    <row r="413" spans="10:53">
      <c r="J413" s="9"/>
      <c r="K413" s="9"/>
      <c r="T413" s="5"/>
      <c r="U413" s="5"/>
      <c r="V413" s="26"/>
      <c r="W413" s="26"/>
      <c r="X413" s="26"/>
      <c r="Y413" s="26"/>
      <c r="Z413" s="26"/>
      <c r="AA413" s="9"/>
      <c r="AC413" s="9"/>
      <c r="AD413" s="9"/>
      <c r="AE413" s="9"/>
      <c r="AI413" s="26"/>
      <c r="AJ413" s="26"/>
      <c r="AK413" s="32"/>
      <c r="AL413" s="32"/>
      <c r="AM413" s="26"/>
      <c r="AN413" s="26"/>
      <c r="AO413" s="26"/>
      <c r="AP413" s="9"/>
      <c r="AQ413" s="9"/>
      <c r="AR413" s="9"/>
      <c r="AV413" s="5"/>
      <c r="AW413" s="5"/>
      <c r="AX413" s="26"/>
      <c r="AY413" s="26"/>
      <c r="AZ413" s="32"/>
      <c r="BA413" s="32"/>
    </row>
    <row r="414" spans="10:53">
      <c r="J414" s="9"/>
      <c r="K414" s="9"/>
      <c r="T414" s="5"/>
      <c r="U414" s="5"/>
      <c r="V414" s="26"/>
      <c r="W414" s="26"/>
      <c r="X414" s="26"/>
      <c r="Y414" s="26"/>
      <c r="Z414" s="26"/>
      <c r="AA414" s="9"/>
      <c r="AC414" s="9"/>
      <c r="AD414" s="9"/>
      <c r="AE414" s="9"/>
      <c r="AI414" s="26"/>
      <c r="AJ414" s="26"/>
      <c r="AK414" s="32"/>
      <c r="AL414" s="32"/>
      <c r="AM414" s="26"/>
      <c r="AN414" s="26"/>
      <c r="AO414" s="26"/>
      <c r="AP414" s="9"/>
      <c r="AQ414" s="9"/>
      <c r="AR414" s="9"/>
      <c r="AV414" s="5"/>
      <c r="AW414" s="5"/>
      <c r="AX414" s="26"/>
      <c r="AY414" s="26"/>
      <c r="AZ414" s="32"/>
      <c r="BA414" s="32"/>
    </row>
    <row r="415" spans="10:53">
      <c r="J415" s="9"/>
      <c r="K415" s="9"/>
      <c r="T415" s="5"/>
      <c r="U415" s="5"/>
      <c r="V415" s="26"/>
      <c r="W415" s="26"/>
      <c r="X415" s="26"/>
      <c r="Y415" s="26"/>
      <c r="Z415" s="26"/>
      <c r="AA415" s="9"/>
      <c r="AC415" s="9"/>
      <c r="AD415" s="9"/>
      <c r="AE415" s="9"/>
      <c r="AI415" s="26"/>
      <c r="AJ415" s="26"/>
      <c r="AK415" s="32"/>
      <c r="AL415" s="32"/>
      <c r="AM415" s="26"/>
      <c r="AN415" s="26"/>
      <c r="AO415" s="26"/>
      <c r="AP415" s="9"/>
      <c r="AQ415" s="9"/>
      <c r="AR415" s="9"/>
      <c r="AV415" s="5"/>
      <c r="AW415" s="5"/>
      <c r="AX415" s="26"/>
      <c r="AY415" s="26"/>
      <c r="AZ415" s="32"/>
      <c r="BA415" s="32"/>
    </row>
    <row r="416" spans="10:53">
      <c r="J416" s="9"/>
      <c r="K416" s="9"/>
      <c r="T416" s="5"/>
      <c r="U416" s="5"/>
      <c r="V416" s="26"/>
      <c r="W416" s="26"/>
      <c r="X416" s="26"/>
      <c r="Y416" s="26"/>
      <c r="Z416" s="26"/>
      <c r="AA416" s="9"/>
      <c r="AC416" s="9"/>
      <c r="AD416" s="9"/>
      <c r="AE416" s="9"/>
      <c r="AI416" s="26"/>
      <c r="AJ416" s="26"/>
      <c r="AK416" s="32"/>
      <c r="AL416" s="32"/>
      <c r="AM416" s="26"/>
      <c r="AN416" s="26"/>
      <c r="AO416" s="26"/>
      <c r="AP416" s="9"/>
      <c r="AQ416" s="9"/>
      <c r="AR416" s="9"/>
      <c r="AV416" s="5"/>
      <c r="AW416" s="5"/>
      <c r="AX416" s="26"/>
      <c r="AY416" s="26"/>
      <c r="AZ416" s="32"/>
      <c r="BA416" s="32"/>
    </row>
    <row r="417" spans="10:53">
      <c r="J417" s="9"/>
      <c r="K417" s="9"/>
      <c r="T417" s="5"/>
      <c r="U417" s="5"/>
      <c r="V417" s="26"/>
      <c r="W417" s="26"/>
      <c r="X417" s="26"/>
      <c r="Y417" s="26"/>
      <c r="Z417" s="26"/>
      <c r="AA417" s="9"/>
      <c r="AC417" s="9"/>
      <c r="AD417" s="9"/>
      <c r="AE417" s="9"/>
      <c r="AI417" s="26"/>
      <c r="AJ417" s="26"/>
      <c r="AK417" s="32"/>
      <c r="AL417" s="32"/>
      <c r="AM417" s="26"/>
      <c r="AN417" s="26"/>
      <c r="AO417" s="26"/>
      <c r="AP417" s="9"/>
      <c r="AQ417" s="9"/>
      <c r="AR417" s="9"/>
      <c r="AV417" s="5"/>
      <c r="AW417" s="5"/>
      <c r="AX417" s="26"/>
      <c r="AY417" s="26"/>
      <c r="AZ417" s="32"/>
      <c r="BA417" s="32"/>
    </row>
    <row r="418" spans="10:53">
      <c r="J418" s="9"/>
      <c r="K418" s="9"/>
      <c r="T418" s="5"/>
      <c r="U418" s="5"/>
      <c r="V418" s="26"/>
      <c r="W418" s="26"/>
      <c r="X418" s="26"/>
      <c r="Y418" s="26"/>
      <c r="Z418" s="26"/>
      <c r="AA418" s="9"/>
      <c r="AC418" s="9"/>
      <c r="AD418" s="9"/>
      <c r="AE418" s="9"/>
      <c r="AI418" s="26"/>
      <c r="AJ418" s="26"/>
      <c r="AK418" s="32"/>
      <c r="AL418" s="32"/>
      <c r="AM418" s="26"/>
      <c r="AN418" s="26"/>
      <c r="AO418" s="26"/>
      <c r="AP418" s="9"/>
      <c r="AQ418" s="9"/>
      <c r="AR418" s="9"/>
      <c r="AV418" s="5"/>
      <c r="AW418" s="5"/>
      <c r="AX418" s="26"/>
      <c r="AY418" s="26"/>
      <c r="AZ418" s="32"/>
      <c r="BA418" s="32"/>
    </row>
    <row r="419" spans="10:53">
      <c r="J419" s="9"/>
      <c r="K419" s="9"/>
      <c r="T419" s="5"/>
      <c r="U419" s="5"/>
      <c r="V419" s="26"/>
      <c r="W419" s="26"/>
      <c r="X419" s="26"/>
      <c r="Y419" s="26"/>
      <c r="Z419" s="26"/>
      <c r="AA419" s="9"/>
      <c r="AC419" s="9"/>
      <c r="AD419" s="9"/>
      <c r="AE419" s="9"/>
      <c r="AI419" s="26"/>
      <c r="AJ419" s="26"/>
      <c r="AK419" s="32"/>
      <c r="AL419" s="32"/>
      <c r="AM419" s="26"/>
      <c r="AN419" s="26"/>
      <c r="AO419" s="26"/>
      <c r="AP419" s="9"/>
      <c r="AQ419" s="9"/>
      <c r="AR419" s="9"/>
      <c r="AV419" s="5"/>
      <c r="AW419" s="5"/>
      <c r="AX419" s="26"/>
      <c r="AY419" s="26"/>
      <c r="AZ419" s="32"/>
      <c r="BA419" s="32"/>
    </row>
    <row r="420" spans="10:53">
      <c r="J420" s="9"/>
      <c r="K420" s="9"/>
      <c r="T420" s="5"/>
      <c r="U420" s="5"/>
      <c r="V420" s="26"/>
      <c r="W420" s="26"/>
      <c r="X420" s="26"/>
      <c r="Y420" s="26"/>
      <c r="Z420" s="26"/>
      <c r="AA420" s="9"/>
      <c r="AC420" s="9"/>
      <c r="AD420" s="9"/>
      <c r="AE420" s="9"/>
      <c r="AI420" s="26"/>
      <c r="AJ420" s="26"/>
      <c r="AK420" s="32"/>
      <c r="AL420" s="32"/>
      <c r="AM420" s="26"/>
      <c r="AN420" s="26"/>
      <c r="AO420" s="26"/>
      <c r="AP420" s="9"/>
      <c r="AQ420" s="9"/>
      <c r="AR420" s="9"/>
      <c r="AV420" s="5"/>
      <c r="AW420" s="5"/>
      <c r="AX420" s="26"/>
      <c r="AY420" s="26"/>
      <c r="AZ420" s="32"/>
      <c r="BA420" s="32"/>
    </row>
    <row r="421" spans="10:53">
      <c r="J421" s="9"/>
      <c r="K421" s="9"/>
      <c r="T421" s="5"/>
      <c r="U421" s="5"/>
      <c r="V421" s="26"/>
      <c r="W421" s="26"/>
      <c r="X421" s="26"/>
      <c r="Y421" s="26"/>
      <c r="Z421" s="26"/>
      <c r="AA421" s="9"/>
      <c r="AC421" s="9"/>
      <c r="AD421" s="9"/>
      <c r="AE421" s="9"/>
      <c r="AI421" s="26"/>
      <c r="AJ421" s="26"/>
      <c r="AK421" s="32"/>
      <c r="AL421" s="32"/>
      <c r="AM421" s="26"/>
      <c r="AN421" s="26"/>
      <c r="AO421" s="26"/>
      <c r="AP421" s="9"/>
      <c r="AQ421" s="9"/>
      <c r="AR421" s="9"/>
      <c r="AV421" s="5"/>
      <c r="AW421" s="5"/>
      <c r="AX421" s="26"/>
      <c r="AY421" s="26"/>
      <c r="AZ421" s="32"/>
      <c r="BA421" s="32"/>
    </row>
    <row r="422" spans="10:53">
      <c r="J422" s="9"/>
      <c r="K422" s="9"/>
      <c r="T422" s="5"/>
      <c r="U422" s="5"/>
      <c r="V422" s="26"/>
      <c r="W422" s="26"/>
      <c r="X422" s="26"/>
      <c r="Y422" s="26"/>
      <c r="Z422" s="26"/>
      <c r="AA422" s="9"/>
      <c r="AC422" s="9"/>
      <c r="AD422" s="9"/>
      <c r="AE422" s="9"/>
      <c r="AI422" s="26"/>
      <c r="AJ422" s="26"/>
      <c r="AK422" s="32"/>
      <c r="AL422" s="32"/>
      <c r="AM422" s="26"/>
      <c r="AN422" s="26"/>
      <c r="AO422" s="26"/>
      <c r="AP422" s="9"/>
      <c r="AQ422" s="9"/>
      <c r="AR422" s="9"/>
      <c r="AV422" s="5"/>
      <c r="AW422" s="5"/>
      <c r="AX422" s="26"/>
      <c r="AY422" s="26"/>
      <c r="AZ422" s="32"/>
      <c r="BA422" s="32"/>
    </row>
    <row r="423" spans="10:53">
      <c r="J423" s="9"/>
      <c r="K423" s="9"/>
      <c r="T423" s="5"/>
      <c r="U423" s="5"/>
      <c r="V423" s="26"/>
      <c r="W423" s="26"/>
      <c r="X423" s="26"/>
      <c r="Y423" s="26"/>
      <c r="Z423" s="26"/>
      <c r="AA423" s="9"/>
      <c r="AC423" s="9"/>
      <c r="AD423" s="9"/>
      <c r="AE423" s="9"/>
      <c r="AI423" s="26"/>
      <c r="AJ423" s="26"/>
      <c r="AK423" s="32"/>
      <c r="AL423" s="32"/>
      <c r="AM423" s="26"/>
      <c r="AN423" s="26"/>
      <c r="AO423" s="26"/>
      <c r="AP423" s="9"/>
      <c r="AQ423" s="9"/>
      <c r="AR423" s="9"/>
      <c r="AV423" s="5"/>
      <c r="AW423" s="5"/>
      <c r="AX423" s="26"/>
      <c r="AY423" s="26"/>
      <c r="AZ423" s="32"/>
      <c r="BA423" s="32"/>
    </row>
    <row r="424" spans="10:53">
      <c r="J424" s="9"/>
      <c r="K424" s="9"/>
      <c r="T424" s="5"/>
      <c r="U424" s="5"/>
      <c r="V424" s="26"/>
      <c r="W424" s="26"/>
      <c r="X424" s="26"/>
      <c r="Y424" s="26"/>
      <c r="Z424" s="26"/>
      <c r="AA424" s="9"/>
      <c r="AC424" s="9"/>
      <c r="AD424" s="9"/>
      <c r="AE424" s="9"/>
      <c r="AI424" s="26"/>
      <c r="AJ424" s="26"/>
      <c r="AK424" s="32"/>
      <c r="AL424" s="32"/>
      <c r="AM424" s="26"/>
      <c r="AN424" s="26"/>
      <c r="AO424" s="26"/>
      <c r="AP424" s="9"/>
      <c r="AQ424" s="9"/>
      <c r="AR424" s="9"/>
      <c r="AV424" s="5"/>
      <c r="AW424" s="5"/>
      <c r="AX424" s="26"/>
      <c r="AY424" s="26"/>
      <c r="AZ424" s="32"/>
      <c r="BA424" s="32"/>
    </row>
    <row r="425" spans="10:53">
      <c r="J425" s="9"/>
      <c r="K425" s="9"/>
      <c r="T425" s="5"/>
      <c r="U425" s="5"/>
      <c r="V425" s="26"/>
      <c r="W425" s="26"/>
      <c r="X425" s="26"/>
      <c r="Y425" s="26"/>
      <c r="Z425" s="26"/>
      <c r="AA425" s="9"/>
      <c r="AC425" s="9"/>
      <c r="AD425" s="9"/>
      <c r="AE425" s="9"/>
      <c r="AI425" s="26"/>
      <c r="AJ425" s="26"/>
      <c r="AK425" s="32"/>
      <c r="AL425" s="32"/>
      <c r="AM425" s="26"/>
      <c r="AN425" s="26"/>
      <c r="AO425" s="26"/>
      <c r="AP425" s="9"/>
      <c r="AQ425" s="9"/>
      <c r="AR425" s="9"/>
      <c r="AV425" s="5"/>
      <c r="AW425" s="5"/>
      <c r="AX425" s="26"/>
      <c r="AY425" s="26"/>
      <c r="AZ425" s="32"/>
      <c r="BA425" s="32"/>
    </row>
    <row r="426" spans="10:53">
      <c r="J426" s="9"/>
      <c r="K426" s="9"/>
      <c r="T426" s="5"/>
      <c r="U426" s="5"/>
      <c r="V426" s="26"/>
      <c r="W426" s="26"/>
      <c r="X426" s="26"/>
      <c r="Y426" s="26"/>
      <c r="Z426" s="26"/>
      <c r="AA426" s="9"/>
      <c r="AC426" s="9"/>
      <c r="AD426" s="9"/>
      <c r="AE426" s="9"/>
      <c r="AI426" s="26"/>
      <c r="AJ426" s="26"/>
      <c r="AK426" s="32"/>
      <c r="AL426" s="32"/>
      <c r="AM426" s="26"/>
      <c r="AN426" s="26"/>
      <c r="AO426" s="26"/>
      <c r="AP426" s="9"/>
      <c r="AQ426" s="9"/>
      <c r="AR426" s="9"/>
      <c r="AV426" s="5"/>
      <c r="AW426" s="5"/>
      <c r="AX426" s="26"/>
      <c r="AY426" s="26"/>
      <c r="AZ426" s="32"/>
      <c r="BA426" s="32"/>
    </row>
    <row r="427" spans="10:53">
      <c r="J427" s="9"/>
      <c r="K427" s="9"/>
      <c r="T427" s="5"/>
      <c r="U427" s="5"/>
      <c r="V427" s="26"/>
      <c r="W427" s="26"/>
      <c r="X427" s="26"/>
      <c r="Y427" s="26"/>
      <c r="Z427" s="26"/>
      <c r="AA427" s="9"/>
      <c r="AC427" s="9"/>
      <c r="AD427" s="9"/>
      <c r="AE427" s="9"/>
      <c r="AI427" s="26"/>
      <c r="AJ427" s="26"/>
      <c r="AK427" s="32"/>
      <c r="AL427" s="32"/>
      <c r="AM427" s="26"/>
      <c r="AN427" s="26"/>
      <c r="AO427" s="26"/>
      <c r="AP427" s="9"/>
      <c r="AQ427" s="9"/>
      <c r="AR427" s="9"/>
      <c r="AV427" s="5"/>
      <c r="AW427" s="5"/>
      <c r="AX427" s="26"/>
      <c r="AY427" s="26"/>
      <c r="AZ427" s="32"/>
      <c r="BA427" s="32"/>
    </row>
    <row r="428" spans="10:53">
      <c r="J428" s="9"/>
      <c r="K428" s="9"/>
      <c r="T428" s="5"/>
      <c r="U428" s="5"/>
      <c r="V428" s="26"/>
      <c r="W428" s="26"/>
      <c r="X428" s="26"/>
      <c r="Y428" s="26"/>
      <c r="Z428" s="26"/>
      <c r="AA428" s="9"/>
      <c r="AC428" s="9"/>
      <c r="AD428" s="9"/>
      <c r="AE428" s="9"/>
      <c r="AI428" s="26"/>
      <c r="AJ428" s="26"/>
      <c r="AK428" s="32"/>
      <c r="AL428" s="32"/>
      <c r="AM428" s="26"/>
      <c r="AN428" s="26"/>
      <c r="AO428" s="26"/>
      <c r="AP428" s="9"/>
      <c r="AQ428" s="9"/>
      <c r="AR428" s="9"/>
      <c r="AV428" s="5"/>
      <c r="AW428" s="5"/>
      <c r="AX428" s="26"/>
      <c r="AY428" s="26"/>
      <c r="AZ428" s="32"/>
      <c r="BA428" s="32"/>
    </row>
    <row r="429" spans="10:53">
      <c r="J429" s="9"/>
      <c r="K429" s="9"/>
      <c r="T429" s="5"/>
      <c r="U429" s="5"/>
      <c r="V429" s="26"/>
      <c r="W429" s="26"/>
      <c r="X429" s="26"/>
      <c r="Y429" s="26"/>
      <c r="Z429" s="26"/>
      <c r="AA429" s="9"/>
      <c r="AC429" s="9"/>
      <c r="AD429" s="9"/>
      <c r="AE429" s="9"/>
      <c r="AI429" s="26"/>
      <c r="AJ429" s="26"/>
      <c r="AK429" s="32"/>
      <c r="AL429" s="32"/>
      <c r="AM429" s="26"/>
      <c r="AN429" s="26"/>
      <c r="AO429" s="26"/>
      <c r="AP429" s="9"/>
      <c r="AQ429" s="9"/>
      <c r="AR429" s="9"/>
      <c r="AV429" s="5"/>
      <c r="AW429" s="5"/>
      <c r="AX429" s="26"/>
      <c r="AY429" s="26"/>
      <c r="AZ429" s="32"/>
      <c r="BA429" s="32"/>
    </row>
    <row r="430" spans="10:53">
      <c r="J430" s="9"/>
      <c r="K430" s="9"/>
      <c r="T430" s="5"/>
      <c r="U430" s="5"/>
      <c r="V430" s="26"/>
      <c r="W430" s="26"/>
      <c r="X430" s="26"/>
      <c r="Y430" s="26"/>
      <c r="Z430" s="26"/>
      <c r="AA430" s="9"/>
      <c r="AC430" s="9"/>
      <c r="AD430" s="9"/>
      <c r="AE430" s="9"/>
      <c r="AI430" s="26"/>
      <c r="AJ430" s="26"/>
      <c r="AK430" s="32"/>
      <c r="AL430" s="32"/>
      <c r="AM430" s="26"/>
      <c r="AN430" s="26"/>
      <c r="AO430" s="26"/>
      <c r="AP430" s="9"/>
      <c r="AQ430" s="9"/>
      <c r="AR430" s="9"/>
      <c r="AV430" s="5"/>
      <c r="AW430" s="5"/>
      <c r="AX430" s="26"/>
      <c r="AY430" s="26"/>
      <c r="AZ430" s="32"/>
      <c r="BA430" s="32"/>
    </row>
    <row r="431" spans="10:53">
      <c r="J431" s="9"/>
      <c r="K431" s="9"/>
      <c r="T431" s="5"/>
      <c r="U431" s="5"/>
      <c r="V431" s="26"/>
      <c r="W431" s="26"/>
      <c r="X431" s="26"/>
      <c r="Y431" s="26"/>
      <c r="Z431" s="26"/>
      <c r="AA431" s="9"/>
      <c r="AC431" s="9"/>
      <c r="AD431" s="9"/>
      <c r="AE431" s="9"/>
      <c r="AI431" s="26"/>
      <c r="AJ431" s="26"/>
      <c r="AK431" s="32"/>
      <c r="AL431" s="32"/>
      <c r="AM431" s="26"/>
      <c r="AN431" s="26"/>
      <c r="AO431" s="26"/>
      <c r="AP431" s="9"/>
      <c r="AQ431" s="9"/>
      <c r="AR431" s="9"/>
      <c r="AV431" s="5"/>
      <c r="AW431" s="5"/>
      <c r="AX431" s="26"/>
      <c r="AY431" s="26"/>
      <c r="AZ431" s="32"/>
      <c r="BA431" s="32"/>
    </row>
    <row r="432" spans="10:53">
      <c r="J432" s="9"/>
      <c r="K432" s="9"/>
      <c r="T432" s="5"/>
      <c r="U432" s="5"/>
      <c r="V432" s="26"/>
      <c r="W432" s="26"/>
      <c r="X432" s="26"/>
      <c r="Y432" s="26"/>
      <c r="Z432" s="26"/>
      <c r="AA432" s="9"/>
      <c r="AC432" s="9"/>
      <c r="AD432" s="9"/>
      <c r="AE432" s="9"/>
      <c r="AI432" s="26"/>
      <c r="AJ432" s="26"/>
      <c r="AK432" s="32"/>
      <c r="AL432" s="32"/>
      <c r="AM432" s="26"/>
      <c r="AN432" s="26"/>
      <c r="AO432" s="26"/>
      <c r="AP432" s="9"/>
      <c r="AQ432" s="9"/>
      <c r="AR432" s="9"/>
      <c r="AV432" s="5"/>
      <c r="AW432" s="5"/>
      <c r="AX432" s="26"/>
      <c r="AY432" s="26"/>
      <c r="AZ432" s="32"/>
      <c r="BA432" s="32"/>
    </row>
    <row r="433" spans="10:53">
      <c r="J433" s="9"/>
      <c r="K433" s="9"/>
      <c r="T433" s="5"/>
      <c r="U433" s="5"/>
      <c r="V433" s="26"/>
      <c r="W433" s="26"/>
      <c r="X433" s="26"/>
      <c r="Y433" s="26"/>
      <c r="Z433" s="26"/>
      <c r="AA433" s="9"/>
      <c r="AC433" s="9"/>
      <c r="AD433" s="9"/>
      <c r="AE433" s="9"/>
      <c r="AI433" s="26"/>
      <c r="AJ433" s="26"/>
      <c r="AK433" s="32"/>
      <c r="AL433" s="32"/>
      <c r="AM433" s="26"/>
      <c r="AN433" s="26"/>
      <c r="AO433" s="26"/>
      <c r="AP433" s="9"/>
      <c r="AQ433" s="9"/>
      <c r="AR433" s="9"/>
      <c r="AV433" s="5"/>
      <c r="AW433" s="5"/>
      <c r="AX433" s="26"/>
      <c r="AY433" s="26"/>
      <c r="AZ433" s="32"/>
      <c r="BA433" s="32"/>
    </row>
    <row r="434" spans="10:53">
      <c r="J434" s="9"/>
      <c r="K434" s="9"/>
      <c r="T434" s="5"/>
      <c r="U434" s="5"/>
      <c r="V434" s="26"/>
      <c r="W434" s="26"/>
      <c r="X434" s="26"/>
      <c r="Y434" s="26"/>
      <c r="Z434" s="26"/>
      <c r="AA434" s="9"/>
      <c r="AC434" s="9"/>
      <c r="AD434" s="9"/>
      <c r="AE434" s="9"/>
      <c r="AI434" s="26"/>
      <c r="AJ434" s="26"/>
      <c r="AK434" s="32"/>
      <c r="AL434" s="32"/>
      <c r="AM434" s="26"/>
      <c r="AN434" s="26"/>
      <c r="AO434" s="26"/>
      <c r="AP434" s="9"/>
      <c r="AQ434" s="9"/>
      <c r="AR434" s="9"/>
      <c r="AV434" s="5"/>
      <c r="AW434" s="5"/>
      <c r="AX434" s="26"/>
      <c r="AY434" s="26"/>
      <c r="AZ434" s="32"/>
      <c r="BA434" s="32"/>
    </row>
    <row r="435" spans="10:53">
      <c r="J435" s="9"/>
      <c r="K435" s="9"/>
      <c r="T435" s="5"/>
      <c r="U435" s="5"/>
      <c r="V435" s="26"/>
      <c r="W435" s="26"/>
      <c r="X435" s="26"/>
      <c r="Y435" s="26"/>
      <c r="Z435" s="26"/>
      <c r="AA435" s="9"/>
      <c r="AC435" s="9"/>
      <c r="AD435" s="9"/>
      <c r="AE435" s="9"/>
      <c r="AI435" s="26"/>
      <c r="AJ435" s="26"/>
      <c r="AK435" s="32"/>
      <c r="AL435" s="32"/>
      <c r="AM435" s="26"/>
      <c r="AN435" s="26"/>
      <c r="AO435" s="26"/>
      <c r="AP435" s="9"/>
      <c r="AQ435" s="9"/>
      <c r="AR435" s="9"/>
      <c r="AV435" s="5"/>
      <c r="AW435" s="5"/>
      <c r="AX435" s="26"/>
      <c r="AY435" s="26"/>
      <c r="AZ435" s="32"/>
      <c r="BA435" s="32"/>
    </row>
    <row r="436" spans="10:53">
      <c r="J436" s="9"/>
      <c r="K436" s="9"/>
      <c r="T436" s="5"/>
      <c r="U436" s="5"/>
      <c r="V436" s="26"/>
      <c r="W436" s="26"/>
      <c r="X436" s="26"/>
      <c r="Y436" s="26"/>
      <c r="Z436" s="26"/>
      <c r="AA436" s="9"/>
      <c r="AC436" s="9"/>
      <c r="AD436" s="9"/>
      <c r="AE436" s="9"/>
      <c r="AI436" s="26"/>
      <c r="AJ436" s="26"/>
      <c r="AK436" s="32"/>
      <c r="AL436" s="32"/>
      <c r="AM436" s="26"/>
      <c r="AN436" s="26"/>
      <c r="AO436" s="26"/>
      <c r="AP436" s="9"/>
      <c r="AQ436" s="9"/>
      <c r="AR436" s="9"/>
      <c r="AV436" s="5"/>
      <c r="AW436" s="5"/>
      <c r="AX436" s="26"/>
      <c r="AY436" s="26"/>
      <c r="AZ436" s="32"/>
      <c r="BA436" s="32"/>
    </row>
    <row r="437" spans="10:53">
      <c r="J437" s="9"/>
      <c r="K437" s="9"/>
      <c r="T437" s="5"/>
      <c r="U437" s="5"/>
      <c r="V437" s="26"/>
      <c r="W437" s="26"/>
      <c r="X437" s="26"/>
      <c r="Y437" s="26"/>
      <c r="Z437" s="26"/>
      <c r="AA437" s="9"/>
      <c r="AC437" s="9"/>
      <c r="AD437" s="9"/>
      <c r="AE437" s="9"/>
      <c r="AI437" s="26"/>
      <c r="AJ437" s="26"/>
      <c r="AK437" s="32"/>
      <c r="AL437" s="32"/>
      <c r="AM437" s="26"/>
      <c r="AN437" s="26"/>
      <c r="AO437" s="26"/>
      <c r="AP437" s="9"/>
      <c r="AQ437" s="9"/>
      <c r="AR437" s="9"/>
      <c r="AV437" s="5"/>
      <c r="AW437" s="5"/>
      <c r="AX437" s="26"/>
      <c r="AY437" s="26"/>
      <c r="AZ437" s="32"/>
      <c r="BA437" s="32"/>
    </row>
    <row r="438" spans="10:53">
      <c r="J438" s="9"/>
      <c r="K438" s="9"/>
      <c r="T438" s="5"/>
      <c r="U438" s="5"/>
      <c r="V438" s="26"/>
      <c r="W438" s="26"/>
      <c r="X438" s="26"/>
      <c r="Y438" s="26"/>
      <c r="Z438" s="26"/>
      <c r="AA438" s="9"/>
      <c r="AC438" s="9"/>
      <c r="AD438" s="9"/>
      <c r="AE438" s="9"/>
      <c r="AI438" s="26"/>
      <c r="AJ438" s="26"/>
      <c r="AK438" s="32"/>
      <c r="AL438" s="32"/>
      <c r="AM438" s="26"/>
      <c r="AN438" s="26"/>
      <c r="AO438" s="26"/>
      <c r="AP438" s="9"/>
      <c r="AQ438" s="9"/>
      <c r="AR438" s="9"/>
      <c r="AV438" s="5"/>
      <c r="AW438" s="5"/>
      <c r="AX438" s="26"/>
      <c r="AY438" s="26"/>
      <c r="AZ438" s="32"/>
      <c r="BA438" s="32"/>
    </row>
    <row r="439" spans="10:53">
      <c r="J439" s="9"/>
      <c r="K439" s="9"/>
      <c r="T439" s="5"/>
      <c r="U439" s="5"/>
      <c r="V439" s="26"/>
      <c r="W439" s="26"/>
      <c r="X439" s="26"/>
      <c r="Y439" s="26"/>
      <c r="Z439" s="26"/>
      <c r="AA439" s="9"/>
      <c r="AC439" s="9"/>
      <c r="AD439" s="9"/>
      <c r="AE439" s="9"/>
      <c r="AI439" s="26"/>
      <c r="AJ439" s="26"/>
      <c r="AK439" s="32"/>
      <c r="AL439" s="32"/>
      <c r="AM439" s="26"/>
      <c r="AN439" s="26"/>
      <c r="AO439" s="26"/>
      <c r="AP439" s="9"/>
      <c r="AQ439" s="9"/>
      <c r="AR439" s="9"/>
      <c r="AV439" s="5"/>
      <c r="AW439" s="5"/>
      <c r="AX439" s="26"/>
      <c r="AY439" s="26"/>
      <c r="AZ439" s="32"/>
      <c r="BA439" s="32"/>
    </row>
    <row r="440" spans="10:53">
      <c r="J440" s="9"/>
      <c r="K440" s="9"/>
      <c r="T440" s="5"/>
      <c r="U440" s="5"/>
      <c r="V440" s="26"/>
      <c r="W440" s="26"/>
      <c r="X440" s="26"/>
      <c r="Y440" s="26"/>
      <c r="Z440" s="26"/>
      <c r="AA440" s="9"/>
      <c r="AC440" s="9"/>
      <c r="AD440" s="9"/>
      <c r="AE440" s="9"/>
      <c r="AI440" s="26"/>
      <c r="AJ440" s="26"/>
      <c r="AK440" s="32"/>
      <c r="AL440" s="32"/>
      <c r="AM440" s="26"/>
      <c r="AN440" s="26"/>
      <c r="AO440" s="26"/>
      <c r="AP440" s="9"/>
      <c r="AQ440" s="9"/>
      <c r="AR440" s="9"/>
      <c r="AV440" s="5"/>
      <c r="AW440" s="5"/>
      <c r="AX440" s="26"/>
      <c r="AY440" s="26"/>
      <c r="AZ440" s="32"/>
      <c r="BA440" s="32"/>
    </row>
    <row r="441" spans="10:53">
      <c r="J441" s="9"/>
      <c r="K441" s="9"/>
      <c r="T441" s="5"/>
      <c r="U441" s="5"/>
      <c r="V441" s="26"/>
      <c r="W441" s="26"/>
      <c r="X441" s="26"/>
      <c r="Y441" s="26"/>
      <c r="Z441" s="26"/>
      <c r="AA441" s="9"/>
      <c r="AC441" s="9"/>
      <c r="AD441" s="9"/>
      <c r="AE441" s="9"/>
      <c r="AI441" s="26"/>
      <c r="AJ441" s="26"/>
      <c r="AK441" s="32"/>
      <c r="AL441" s="32"/>
      <c r="AM441" s="26"/>
      <c r="AN441" s="26"/>
      <c r="AO441" s="26"/>
      <c r="AP441" s="9"/>
      <c r="AQ441" s="9"/>
      <c r="AR441" s="9"/>
      <c r="AV441" s="5"/>
      <c r="AW441" s="5"/>
      <c r="AX441" s="26"/>
      <c r="AY441" s="26"/>
      <c r="AZ441" s="32"/>
      <c r="BA441" s="32"/>
    </row>
    <row r="442" spans="10:53">
      <c r="J442" s="9"/>
      <c r="K442" s="9"/>
      <c r="T442" s="5"/>
      <c r="U442" s="5"/>
      <c r="V442" s="26"/>
      <c r="W442" s="26"/>
      <c r="X442" s="26"/>
      <c r="Y442" s="26"/>
      <c r="Z442" s="26"/>
      <c r="AA442" s="9"/>
      <c r="AC442" s="9"/>
      <c r="AD442" s="9"/>
      <c r="AE442" s="9"/>
      <c r="AI442" s="26"/>
      <c r="AJ442" s="26"/>
      <c r="AK442" s="32"/>
      <c r="AL442" s="32"/>
      <c r="AM442" s="26"/>
      <c r="AN442" s="26"/>
      <c r="AO442" s="26"/>
      <c r="AP442" s="9"/>
      <c r="AQ442" s="9"/>
      <c r="AR442" s="9"/>
      <c r="AV442" s="5"/>
      <c r="AW442" s="5"/>
      <c r="AX442" s="26"/>
      <c r="AY442" s="26"/>
      <c r="AZ442" s="32"/>
      <c r="BA442" s="32"/>
    </row>
    <row r="443" spans="10:53">
      <c r="J443" s="9"/>
      <c r="K443" s="9"/>
      <c r="T443" s="5"/>
      <c r="U443" s="5"/>
      <c r="V443" s="26"/>
      <c r="W443" s="26"/>
      <c r="X443" s="26"/>
      <c r="Y443" s="26"/>
      <c r="Z443" s="26"/>
      <c r="AA443" s="9"/>
      <c r="AC443" s="9"/>
      <c r="AD443" s="9"/>
      <c r="AE443" s="9"/>
      <c r="AI443" s="26"/>
      <c r="AJ443" s="26"/>
      <c r="AK443" s="32"/>
      <c r="AL443" s="32"/>
      <c r="AM443" s="26"/>
      <c r="AN443" s="26"/>
      <c r="AO443" s="26"/>
      <c r="AP443" s="9"/>
      <c r="AQ443" s="9"/>
      <c r="AR443" s="9"/>
      <c r="AV443" s="5"/>
      <c r="AW443" s="5"/>
      <c r="AX443" s="26"/>
      <c r="AY443" s="26"/>
      <c r="AZ443" s="32"/>
      <c r="BA443" s="32"/>
    </row>
    <row r="444" spans="10:53">
      <c r="J444" s="9"/>
      <c r="K444" s="9"/>
      <c r="T444" s="5"/>
      <c r="U444" s="5"/>
      <c r="V444" s="26"/>
      <c r="W444" s="26"/>
      <c r="X444" s="26"/>
      <c r="Y444" s="26"/>
      <c r="Z444" s="26"/>
      <c r="AA444" s="9"/>
      <c r="AC444" s="9"/>
      <c r="AD444" s="9"/>
      <c r="AE444" s="9"/>
      <c r="AI444" s="26"/>
      <c r="AJ444" s="26"/>
      <c r="AK444" s="32"/>
      <c r="AL444" s="32"/>
      <c r="AM444" s="26"/>
      <c r="AN444" s="26"/>
      <c r="AO444" s="26"/>
      <c r="AP444" s="9"/>
      <c r="AQ444" s="9"/>
      <c r="AR444" s="9"/>
      <c r="AV444" s="5"/>
      <c r="AW444" s="5"/>
      <c r="AX444" s="26"/>
      <c r="AY444" s="26"/>
      <c r="AZ444" s="32"/>
      <c r="BA444" s="32"/>
    </row>
    <row r="445" spans="10:53">
      <c r="J445" s="9"/>
      <c r="K445" s="9"/>
      <c r="T445" s="5"/>
      <c r="U445" s="5"/>
      <c r="V445" s="26"/>
      <c r="W445" s="26"/>
      <c r="X445" s="26"/>
      <c r="Y445" s="26"/>
      <c r="Z445" s="26"/>
      <c r="AA445" s="9"/>
      <c r="AC445" s="9"/>
      <c r="AD445" s="9"/>
      <c r="AE445" s="9"/>
      <c r="AI445" s="26"/>
      <c r="AJ445" s="26"/>
      <c r="AK445" s="32"/>
      <c r="AL445" s="32"/>
      <c r="AM445" s="26"/>
      <c r="AN445" s="26"/>
      <c r="AO445" s="26"/>
      <c r="AP445" s="9"/>
      <c r="AQ445" s="9"/>
      <c r="AR445" s="9"/>
      <c r="AV445" s="5"/>
      <c r="AW445" s="5"/>
      <c r="AX445" s="26"/>
      <c r="AY445" s="26"/>
      <c r="AZ445" s="32"/>
      <c r="BA445" s="32"/>
    </row>
    <row r="446" spans="10:53">
      <c r="J446" s="9"/>
      <c r="K446" s="9"/>
      <c r="T446" s="5"/>
      <c r="U446" s="5"/>
      <c r="V446" s="26"/>
      <c r="W446" s="26"/>
      <c r="X446" s="26"/>
      <c r="Y446" s="26"/>
      <c r="Z446" s="26"/>
      <c r="AA446" s="9"/>
      <c r="AC446" s="9"/>
      <c r="AD446" s="9"/>
      <c r="AE446" s="9"/>
      <c r="AI446" s="26"/>
      <c r="AJ446" s="26"/>
      <c r="AK446" s="32"/>
      <c r="AL446" s="32"/>
      <c r="AM446" s="26"/>
      <c r="AN446" s="26"/>
      <c r="AO446" s="26"/>
      <c r="AP446" s="9"/>
      <c r="AQ446" s="9"/>
      <c r="AR446" s="9"/>
      <c r="AV446" s="5"/>
      <c r="AW446" s="5"/>
      <c r="AX446" s="26"/>
      <c r="AY446" s="26"/>
      <c r="AZ446" s="32"/>
      <c r="BA446" s="32"/>
    </row>
    <row r="447" spans="10:53">
      <c r="J447" s="9"/>
      <c r="K447" s="9"/>
      <c r="T447" s="5"/>
      <c r="U447" s="5"/>
      <c r="V447" s="26"/>
      <c r="W447" s="26"/>
      <c r="X447" s="26"/>
      <c r="Y447" s="26"/>
      <c r="Z447" s="26"/>
      <c r="AA447" s="9"/>
      <c r="AC447" s="9"/>
      <c r="AD447" s="9"/>
      <c r="AE447" s="9"/>
      <c r="AI447" s="26"/>
      <c r="AJ447" s="26"/>
      <c r="AK447" s="32"/>
      <c r="AL447" s="32"/>
      <c r="AM447" s="26"/>
      <c r="AN447" s="26"/>
      <c r="AO447" s="26"/>
      <c r="AP447" s="9"/>
      <c r="AQ447" s="9"/>
      <c r="AR447" s="9"/>
      <c r="AV447" s="5"/>
      <c r="AW447" s="5"/>
      <c r="AX447" s="26"/>
      <c r="AY447" s="26"/>
      <c r="AZ447" s="32"/>
      <c r="BA447" s="32"/>
    </row>
    <row r="448" spans="10:53">
      <c r="J448" s="9"/>
      <c r="K448" s="9"/>
      <c r="T448" s="5"/>
      <c r="U448" s="5"/>
      <c r="V448" s="26"/>
      <c r="W448" s="26"/>
      <c r="X448" s="26"/>
      <c r="Y448" s="26"/>
      <c r="Z448" s="26"/>
      <c r="AA448" s="9"/>
      <c r="AC448" s="9"/>
      <c r="AD448" s="9"/>
      <c r="AE448" s="9"/>
      <c r="AI448" s="26"/>
      <c r="AJ448" s="26"/>
      <c r="AK448" s="32"/>
      <c r="AL448" s="32"/>
      <c r="AM448" s="26"/>
      <c r="AN448" s="26"/>
      <c r="AO448" s="26"/>
      <c r="AP448" s="9"/>
      <c r="AQ448" s="9"/>
      <c r="AR448" s="9"/>
      <c r="AV448" s="5"/>
      <c r="AW448" s="5"/>
      <c r="AX448" s="26"/>
      <c r="AY448" s="26"/>
      <c r="AZ448" s="32"/>
      <c r="BA448" s="32"/>
    </row>
    <row r="449" spans="10:53">
      <c r="J449" s="9"/>
      <c r="K449" s="9"/>
      <c r="T449" s="5"/>
      <c r="U449" s="5"/>
      <c r="V449" s="26"/>
      <c r="W449" s="26"/>
      <c r="X449" s="26"/>
      <c r="Y449" s="26"/>
      <c r="Z449" s="26"/>
      <c r="AA449" s="9"/>
      <c r="AC449" s="9"/>
      <c r="AD449" s="9"/>
      <c r="AE449" s="9"/>
      <c r="AI449" s="26"/>
      <c r="AJ449" s="26"/>
      <c r="AK449" s="32"/>
      <c r="AL449" s="32"/>
      <c r="AM449" s="26"/>
      <c r="AN449" s="26"/>
      <c r="AO449" s="26"/>
      <c r="AP449" s="9"/>
      <c r="AQ449" s="9"/>
      <c r="AR449" s="9"/>
      <c r="AV449" s="5"/>
      <c r="AW449" s="5"/>
      <c r="AX449" s="26"/>
      <c r="AY449" s="26"/>
      <c r="AZ449" s="32"/>
      <c r="BA449" s="32"/>
    </row>
    <row r="450" spans="10:53">
      <c r="J450" s="9"/>
      <c r="K450" s="9"/>
      <c r="T450" s="5"/>
      <c r="U450" s="5"/>
      <c r="V450" s="26"/>
      <c r="W450" s="26"/>
      <c r="X450" s="26"/>
      <c r="Y450" s="26"/>
      <c r="Z450" s="26"/>
      <c r="AA450" s="9"/>
      <c r="AC450" s="9"/>
      <c r="AD450" s="9"/>
      <c r="AE450" s="9"/>
      <c r="AI450" s="26"/>
      <c r="AJ450" s="26"/>
      <c r="AK450" s="32"/>
      <c r="AL450" s="32"/>
      <c r="AM450" s="26"/>
      <c r="AN450" s="26"/>
      <c r="AO450" s="26"/>
      <c r="AP450" s="9"/>
      <c r="AQ450" s="9"/>
      <c r="AR450" s="9"/>
      <c r="AV450" s="5"/>
      <c r="AW450" s="5"/>
      <c r="AX450" s="26"/>
      <c r="AY450" s="26"/>
      <c r="AZ450" s="32"/>
      <c r="BA450" s="32"/>
    </row>
    <row r="451" spans="10:53">
      <c r="J451" s="9"/>
      <c r="K451" s="9"/>
      <c r="T451" s="5"/>
      <c r="U451" s="5"/>
      <c r="V451" s="26"/>
      <c r="W451" s="26"/>
      <c r="X451" s="26"/>
      <c r="Y451" s="26"/>
      <c r="Z451" s="26"/>
      <c r="AA451" s="9"/>
      <c r="AC451" s="9"/>
      <c r="AD451" s="9"/>
      <c r="AE451" s="9"/>
      <c r="AI451" s="26"/>
      <c r="AJ451" s="26"/>
      <c r="AK451" s="32"/>
      <c r="AL451" s="32"/>
      <c r="AM451" s="26"/>
      <c r="AN451" s="26"/>
      <c r="AO451" s="26"/>
      <c r="AP451" s="9"/>
      <c r="AQ451" s="9"/>
      <c r="AR451" s="9"/>
      <c r="AV451" s="5"/>
      <c r="AW451" s="5"/>
      <c r="AX451" s="26"/>
      <c r="AY451" s="26"/>
      <c r="AZ451" s="32"/>
      <c r="BA451" s="32"/>
    </row>
    <row r="452" spans="10:53">
      <c r="J452" s="9"/>
      <c r="K452" s="9"/>
      <c r="T452" s="5"/>
      <c r="U452" s="5"/>
      <c r="V452" s="26"/>
      <c r="W452" s="26"/>
      <c r="X452" s="26"/>
      <c r="Y452" s="26"/>
      <c r="Z452" s="26"/>
      <c r="AA452" s="9"/>
      <c r="AC452" s="9"/>
      <c r="AD452" s="9"/>
      <c r="AE452" s="9"/>
      <c r="AI452" s="26"/>
      <c r="AJ452" s="26"/>
      <c r="AK452" s="32"/>
      <c r="AL452" s="32"/>
      <c r="AM452" s="26"/>
      <c r="AN452" s="26"/>
      <c r="AO452" s="26"/>
      <c r="AP452" s="9"/>
      <c r="AQ452" s="9"/>
      <c r="AR452" s="9"/>
      <c r="AV452" s="5"/>
      <c r="AW452" s="5"/>
      <c r="AX452" s="26"/>
      <c r="AY452" s="26"/>
      <c r="AZ452" s="32"/>
      <c r="BA452" s="32"/>
    </row>
    <row r="453" spans="10:53">
      <c r="J453" s="9"/>
      <c r="K453" s="9"/>
      <c r="T453" s="5"/>
      <c r="U453" s="5"/>
      <c r="V453" s="26"/>
      <c r="W453" s="26"/>
      <c r="X453" s="26"/>
      <c r="Y453" s="26"/>
      <c r="Z453" s="26"/>
      <c r="AA453" s="9"/>
      <c r="AC453" s="9"/>
      <c r="AD453" s="9"/>
      <c r="AE453" s="9"/>
      <c r="AI453" s="26"/>
      <c r="AJ453" s="26"/>
      <c r="AK453" s="32"/>
      <c r="AL453" s="32"/>
      <c r="AM453" s="26"/>
      <c r="AN453" s="26"/>
      <c r="AO453" s="26"/>
      <c r="AP453" s="9"/>
      <c r="AQ453" s="9"/>
      <c r="AR453" s="9"/>
      <c r="AV453" s="5"/>
      <c r="AW453" s="5"/>
      <c r="AX453" s="26"/>
      <c r="AY453" s="26"/>
      <c r="AZ453" s="32"/>
      <c r="BA453" s="32"/>
    </row>
    <row r="454" spans="10:53">
      <c r="J454" s="9"/>
      <c r="K454" s="9"/>
      <c r="T454" s="5"/>
      <c r="U454" s="5"/>
      <c r="V454" s="26"/>
      <c r="W454" s="26"/>
      <c r="X454" s="26"/>
      <c r="Y454" s="26"/>
      <c r="Z454" s="26"/>
      <c r="AA454" s="9"/>
      <c r="AC454" s="9"/>
      <c r="AD454" s="9"/>
      <c r="AE454" s="9"/>
      <c r="AI454" s="26"/>
      <c r="AJ454" s="26"/>
      <c r="AK454" s="32"/>
      <c r="AL454" s="32"/>
      <c r="AM454" s="26"/>
      <c r="AN454" s="26"/>
      <c r="AO454" s="26"/>
      <c r="AP454" s="9"/>
      <c r="AQ454" s="9"/>
      <c r="AR454" s="9"/>
      <c r="AV454" s="5"/>
      <c r="AW454" s="5"/>
      <c r="AX454" s="26"/>
      <c r="AY454" s="26"/>
      <c r="AZ454" s="32"/>
      <c r="BA454" s="32"/>
    </row>
    <row r="455" spans="10:53">
      <c r="J455" s="9"/>
      <c r="K455" s="9"/>
      <c r="T455" s="5"/>
      <c r="U455" s="5"/>
      <c r="V455" s="26"/>
      <c r="W455" s="26"/>
      <c r="X455" s="26"/>
      <c r="Y455" s="26"/>
      <c r="Z455" s="26"/>
      <c r="AA455" s="9"/>
      <c r="AC455" s="9"/>
      <c r="AD455" s="9"/>
      <c r="AE455" s="9"/>
      <c r="AI455" s="26"/>
      <c r="AJ455" s="26"/>
      <c r="AK455" s="32"/>
      <c r="AL455" s="32"/>
      <c r="AM455" s="26"/>
      <c r="AN455" s="26"/>
      <c r="AO455" s="26"/>
      <c r="AP455" s="9"/>
      <c r="AQ455" s="9"/>
      <c r="AR455" s="9"/>
      <c r="AV455" s="5"/>
      <c r="AW455" s="5"/>
      <c r="AX455" s="26"/>
      <c r="AY455" s="26"/>
      <c r="AZ455" s="32"/>
      <c r="BA455" s="32"/>
    </row>
    <row r="456" spans="10:53">
      <c r="J456" s="9"/>
      <c r="K456" s="9"/>
      <c r="T456" s="5"/>
      <c r="U456" s="5"/>
      <c r="V456" s="26"/>
      <c r="W456" s="26"/>
      <c r="X456" s="26"/>
      <c r="Y456" s="26"/>
      <c r="Z456" s="26"/>
      <c r="AA456" s="9"/>
      <c r="AC456" s="9"/>
      <c r="AD456" s="9"/>
      <c r="AE456" s="9"/>
      <c r="AI456" s="26"/>
      <c r="AJ456" s="26"/>
      <c r="AK456" s="32"/>
      <c r="AL456" s="32"/>
      <c r="AM456" s="26"/>
      <c r="AN456" s="26"/>
      <c r="AO456" s="26"/>
      <c r="AP456" s="9"/>
      <c r="AQ456" s="9"/>
      <c r="AR456" s="9"/>
      <c r="AV456" s="5"/>
      <c r="AW456" s="5"/>
      <c r="AX456" s="26"/>
      <c r="AY456" s="26"/>
      <c r="AZ456" s="32"/>
      <c r="BA456" s="32"/>
    </row>
    <row r="457" spans="10:53">
      <c r="J457" s="9"/>
      <c r="K457" s="9"/>
      <c r="T457" s="5"/>
      <c r="U457" s="5"/>
      <c r="V457" s="26"/>
      <c r="W457" s="26"/>
      <c r="X457" s="26"/>
      <c r="Y457" s="26"/>
      <c r="Z457" s="26"/>
      <c r="AA457" s="9"/>
      <c r="AC457" s="9"/>
      <c r="AD457" s="9"/>
      <c r="AE457" s="9"/>
      <c r="AI457" s="26"/>
      <c r="AJ457" s="26"/>
      <c r="AK457" s="32"/>
      <c r="AL457" s="32"/>
      <c r="AM457" s="26"/>
      <c r="AN457" s="26"/>
      <c r="AO457" s="26"/>
      <c r="AP457" s="9"/>
      <c r="AQ457" s="9"/>
      <c r="AR457" s="9"/>
      <c r="AV457" s="5"/>
      <c r="AW457" s="5"/>
      <c r="AX457" s="26"/>
      <c r="AY457" s="26"/>
      <c r="AZ457" s="32"/>
      <c r="BA457" s="32"/>
    </row>
    <row r="458" spans="10:53">
      <c r="J458" s="9"/>
      <c r="K458" s="9"/>
      <c r="T458" s="5"/>
      <c r="U458" s="5"/>
      <c r="V458" s="26"/>
      <c r="W458" s="26"/>
      <c r="X458" s="26"/>
      <c r="Y458" s="26"/>
      <c r="Z458" s="26"/>
      <c r="AA458" s="9"/>
      <c r="AC458" s="9"/>
      <c r="AD458" s="9"/>
      <c r="AE458" s="9"/>
      <c r="AI458" s="26"/>
      <c r="AJ458" s="26"/>
      <c r="AK458" s="32"/>
      <c r="AL458" s="32"/>
      <c r="AM458" s="26"/>
      <c r="AN458" s="26"/>
      <c r="AO458" s="26"/>
      <c r="AP458" s="9"/>
      <c r="AQ458" s="9"/>
      <c r="AR458" s="9"/>
      <c r="AV458" s="5"/>
      <c r="AW458" s="5"/>
      <c r="AX458" s="26"/>
      <c r="AY458" s="26"/>
      <c r="AZ458" s="32"/>
      <c r="BA458" s="32"/>
    </row>
    <row r="459" spans="10:53">
      <c r="J459" s="9"/>
      <c r="K459" s="9"/>
      <c r="T459" s="5"/>
      <c r="U459" s="5"/>
      <c r="V459" s="26"/>
      <c r="W459" s="26"/>
      <c r="X459" s="26"/>
      <c r="Y459" s="26"/>
      <c r="Z459" s="26"/>
      <c r="AA459" s="9"/>
      <c r="AC459" s="9"/>
      <c r="AD459" s="9"/>
      <c r="AE459" s="9"/>
      <c r="AI459" s="26"/>
      <c r="AJ459" s="26"/>
      <c r="AK459" s="32"/>
      <c r="AL459" s="32"/>
      <c r="AM459" s="26"/>
      <c r="AN459" s="26"/>
      <c r="AO459" s="26"/>
      <c r="AP459" s="9"/>
      <c r="AQ459" s="9"/>
      <c r="AR459" s="9"/>
      <c r="AV459" s="5"/>
      <c r="AW459" s="5"/>
      <c r="AX459" s="26"/>
      <c r="AY459" s="26"/>
      <c r="AZ459" s="32"/>
      <c r="BA459" s="32"/>
    </row>
    <row r="460" spans="10:53">
      <c r="J460" s="9"/>
      <c r="K460" s="9"/>
      <c r="T460" s="5"/>
      <c r="U460" s="5"/>
      <c r="V460" s="26"/>
      <c r="W460" s="26"/>
      <c r="X460" s="26"/>
      <c r="Y460" s="26"/>
      <c r="Z460" s="26"/>
      <c r="AA460" s="9"/>
      <c r="AC460" s="9"/>
      <c r="AD460" s="9"/>
      <c r="AE460" s="9"/>
      <c r="AI460" s="26"/>
      <c r="AJ460" s="26"/>
      <c r="AK460" s="32"/>
      <c r="AL460" s="32"/>
      <c r="AM460" s="26"/>
      <c r="AN460" s="26"/>
      <c r="AO460" s="26"/>
      <c r="AP460" s="9"/>
      <c r="AQ460" s="9"/>
      <c r="AR460" s="9"/>
      <c r="AV460" s="5"/>
      <c r="AW460" s="5"/>
      <c r="AX460" s="26"/>
      <c r="AY460" s="26"/>
      <c r="AZ460" s="32"/>
      <c r="BA460" s="32"/>
    </row>
    <row r="461" spans="10:53">
      <c r="J461" s="9"/>
      <c r="K461" s="9"/>
      <c r="T461" s="5"/>
      <c r="U461" s="5"/>
      <c r="V461" s="26"/>
      <c r="W461" s="26"/>
      <c r="X461" s="26"/>
      <c r="Y461" s="26"/>
      <c r="Z461" s="26"/>
      <c r="AA461" s="9"/>
      <c r="AC461" s="9"/>
      <c r="AD461" s="9"/>
      <c r="AE461" s="9"/>
      <c r="AI461" s="26"/>
      <c r="AJ461" s="26"/>
      <c r="AK461" s="32"/>
      <c r="AL461" s="32"/>
      <c r="AM461" s="26"/>
      <c r="AN461" s="26"/>
      <c r="AO461" s="26"/>
      <c r="AP461" s="9"/>
      <c r="AQ461" s="9"/>
      <c r="AR461" s="9"/>
      <c r="AV461" s="5"/>
      <c r="AW461" s="5"/>
      <c r="AX461" s="26"/>
      <c r="AY461" s="26"/>
      <c r="AZ461" s="32"/>
      <c r="BA461" s="32"/>
    </row>
    <row r="462" spans="10:53">
      <c r="J462" s="9"/>
      <c r="K462" s="9"/>
      <c r="T462" s="5"/>
      <c r="U462" s="5"/>
      <c r="V462" s="26"/>
      <c r="W462" s="26"/>
      <c r="X462" s="26"/>
      <c r="Y462" s="26"/>
      <c r="Z462" s="26"/>
      <c r="AA462" s="9"/>
      <c r="AC462" s="9"/>
      <c r="AD462" s="9"/>
      <c r="AE462" s="9"/>
      <c r="AI462" s="26"/>
      <c r="AJ462" s="26"/>
      <c r="AK462" s="32"/>
      <c r="AL462" s="32"/>
      <c r="AM462" s="26"/>
      <c r="AN462" s="26"/>
      <c r="AO462" s="26"/>
      <c r="AP462" s="9"/>
      <c r="AQ462" s="9"/>
      <c r="AR462" s="9"/>
      <c r="AV462" s="5"/>
      <c r="AW462" s="5"/>
      <c r="AX462" s="26"/>
      <c r="AY462" s="26"/>
      <c r="AZ462" s="32"/>
      <c r="BA462" s="32"/>
    </row>
    <row r="463" spans="10:53">
      <c r="J463" s="9"/>
      <c r="K463" s="9"/>
      <c r="T463" s="5"/>
      <c r="U463" s="5"/>
      <c r="V463" s="26"/>
      <c r="W463" s="26"/>
      <c r="X463" s="26"/>
      <c r="Y463" s="26"/>
      <c r="Z463" s="26"/>
      <c r="AA463" s="9"/>
      <c r="AC463" s="9"/>
      <c r="AD463" s="9"/>
      <c r="AE463" s="9"/>
      <c r="AI463" s="26"/>
      <c r="AJ463" s="26"/>
      <c r="AK463" s="32"/>
      <c r="AL463" s="32"/>
      <c r="AM463" s="26"/>
      <c r="AN463" s="26"/>
      <c r="AO463" s="26"/>
      <c r="AP463" s="9"/>
      <c r="AQ463" s="9"/>
      <c r="AR463" s="9"/>
      <c r="AV463" s="5"/>
      <c r="AW463" s="5"/>
      <c r="AX463" s="26"/>
      <c r="AY463" s="26"/>
      <c r="AZ463" s="32"/>
      <c r="BA463" s="32"/>
    </row>
    <row r="464" spans="10:53">
      <c r="J464" s="9"/>
      <c r="K464" s="9"/>
      <c r="T464" s="5"/>
      <c r="U464" s="5"/>
      <c r="V464" s="26"/>
      <c r="W464" s="26"/>
      <c r="X464" s="26"/>
      <c r="Y464" s="26"/>
      <c r="Z464" s="26"/>
      <c r="AA464" s="9"/>
      <c r="AC464" s="9"/>
      <c r="AD464" s="9"/>
      <c r="AE464" s="9"/>
      <c r="AI464" s="26"/>
      <c r="AJ464" s="26"/>
      <c r="AK464" s="32"/>
      <c r="AL464" s="32"/>
      <c r="AM464" s="26"/>
      <c r="AN464" s="26"/>
      <c r="AO464" s="26"/>
      <c r="AP464" s="9"/>
      <c r="AQ464" s="9"/>
      <c r="AR464" s="9"/>
      <c r="AV464" s="5"/>
      <c r="AW464" s="5"/>
      <c r="AX464" s="26"/>
      <c r="AY464" s="26"/>
      <c r="AZ464" s="32"/>
      <c r="BA464" s="32"/>
    </row>
    <row r="465" spans="10:53">
      <c r="J465" s="9"/>
      <c r="K465" s="9"/>
      <c r="T465" s="5"/>
      <c r="U465" s="5"/>
      <c r="V465" s="26"/>
      <c r="W465" s="26"/>
      <c r="X465" s="26"/>
      <c r="Y465" s="26"/>
      <c r="Z465" s="26"/>
      <c r="AA465" s="9"/>
      <c r="AC465" s="9"/>
      <c r="AD465" s="9"/>
      <c r="AE465" s="9"/>
      <c r="AI465" s="26"/>
      <c r="AJ465" s="26"/>
      <c r="AK465" s="32"/>
      <c r="AL465" s="32"/>
      <c r="AM465" s="26"/>
      <c r="AN465" s="26"/>
      <c r="AO465" s="26"/>
      <c r="AP465" s="9"/>
      <c r="AQ465" s="9"/>
      <c r="AR465" s="9"/>
      <c r="AV465" s="5"/>
      <c r="AW465" s="5"/>
      <c r="AX465" s="26"/>
      <c r="AY465" s="26"/>
      <c r="AZ465" s="32"/>
      <c r="BA465" s="32"/>
    </row>
    <row r="466" spans="10:53">
      <c r="J466" s="9"/>
      <c r="K466" s="9"/>
      <c r="T466" s="5"/>
      <c r="U466" s="5"/>
      <c r="V466" s="26"/>
      <c r="W466" s="26"/>
      <c r="X466" s="26"/>
      <c r="Y466" s="26"/>
      <c r="Z466" s="26"/>
      <c r="AA466" s="9"/>
      <c r="AC466" s="9"/>
      <c r="AD466" s="9"/>
      <c r="AE466" s="9"/>
      <c r="AI466" s="26"/>
      <c r="AJ466" s="26"/>
      <c r="AK466" s="32"/>
      <c r="AL466" s="32"/>
      <c r="AM466" s="26"/>
      <c r="AN466" s="26"/>
      <c r="AO466" s="26"/>
      <c r="AP466" s="9"/>
      <c r="AQ466" s="9"/>
      <c r="AR466" s="9"/>
      <c r="AV466" s="5"/>
      <c r="AW466" s="5"/>
      <c r="AX466" s="26"/>
      <c r="AY466" s="26"/>
      <c r="AZ466" s="32"/>
      <c r="BA466" s="32"/>
    </row>
    <row r="467" spans="10:53">
      <c r="J467" s="9"/>
      <c r="K467" s="9"/>
      <c r="T467" s="5"/>
      <c r="U467" s="5"/>
      <c r="V467" s="26"/>
      <c r="W467" s="26"/>
      <c r="X467" s="26"/>
      <c r="Y467" s="26"/>
      <c r="Z467" s="26"/>
      <c r="AA467" s="9"/>
      <c r="AC467" s="9"/>
      <c r="AD467" s="9"/>
      <c r="AE467" s="9"/>
      <c r="AI467" s="26"/>
      <c r="AJ467" s="26"/>
      <c r="AK467" s="32"/>
      <c r="AL467" s="32"/>
      <c r="AM467" s="26"/>
      <c r="AN467" s="26"/>
      <c r="AO467" s="26"/>
      <c r="AP467" s="9"/>
      <c r="AQ467" s="9"/>
      <c r="AR467" s="9"/>
      <c r="AV467" s="5"/>
      <c r="AW467" s="5"/>
      <c r="AX467" s="26"/>
      <c r="AY467" s="26"/>
      <c r="AZ467" s="32"/>
      <c r="BA467" s="32"/>
    </row>
    <row r="468" spans="10:53">
      <c r="J468" s="9"/>
      <c r="K468" s="9"/>
      <c r="T468" s="5"/>
      <c r="U468" s="5"/>
      <c r="V468" s="26"/>
      <c r="W468" s="26"/>
      <c r="X468" s="26"/>
      <c r="Y468" s="26"/>
      <c r="Z468" s="26"/>
      <c r="AA468" s="9"/>
      <c r="AC468" s="9"/>
      <c r="AD468" s="9"/>
      <c r="AE468" s="9"/>
      <c r="AI468" s="26"/>
      <c r="AJ468" s="26"/>
      <c r="AK468" s="32"/>
      <c r="AL468" s="32"/>
      <c r="AM468" s="26"/>
      <c r="AN468" s="26"/>
      <c r="AO468" s="26"/>
      <c r="AP468" s="9"/>
      <c r="AQ468" s="9"/>
      <c r="AR468" s="9"/>
      <c r="AV468" s="5"/>
      <c r="AW468" s="5"/>
      <c r="AX468" s="26"/>
      <c r="AY468" s="26"/>
      <c r="AZ468" s="32"/>
      <c r="BA468" s="32"/>
    </row>
    <row r="469" spans="10:53">
      <c r="J469" s="9"/>
      <c r="K469" s="9"/>
      <c r="T469" s="5"/>
      <c r="U469" s="5"/>
      <c r="V469" s="26"/>
      <c r="W469" s="26"/>
      <c r="X469" s="26"/>
      <c r="Y469" s="26"/>
      <c r="Z469" s="26"/>
      <c r="AA469" s="9"/>
      <c r="AC469" s="9"/>
      <c r="AD469" s="9"/>
      <c r="AE469" s="9"/>
      <c r="AI469" s="26"/>
      <c r="AJ469" s="26"/>
      <c r="AK469" s="32"/>
      <c r="AL469" s="32"/>
      <c r="AM469" s="26"/>
      <c r="AN469" s="26"/>
      <c r="AO469" s="26"/>
      <c r="AP469" s="9"/>
      <c r="AQ469" s="9"/>
      <c r="AR469" s="9"/>
      <c r="AV469" s="5"/>
      <c r="AW469" s="5"/>
      <c r="AX469" s="26"/>
      <c r="AY469" s="26"/>
      <c r="AZ469" s="32"/>
      <c r="BA469" s="32"/>
    </row>
    <row r="470" spans="10:53">
      <c r="J470" s="9"/>
      <c r="K470" s="9"/>
      <c r="T470" s="5"/>
      <c r="U470" s="5"/>
      <c r="V470" s="26"/>
      <c r="W470" s="26"/>
      <c r="X470" s="26"/>
      <c r="Y470" s="26"/>
      <c r="Z470" s="26"/>
      <c r="AA470" s="9"/>
      <c r="AC470" s="9"/>
      <c r="AD470" s="9"/>
      <c r="AE470" s="9"/>
      <c r="AI470" s="26"/>
      <c r="AJ470" s="26"/>
      <c r="AK470" s="32"/>
      <c r="AL470" s="32"/>
      <c r="AM470" s="26"/>
      <c r="AN470" s="26"/>
      <c r="AO470" s="26"/>
      <c r="AP470" s="9"/>
      <c r="AQ470" s="9"/>
      <c r="AR470" s="9"/>
      <c r="AV470" s="5"/>
      <c r="AW470" s="5"/>
      <c r="AX470" s="26"/>
      <c r="AY470" s="26"/>
      <c r="AZ470" s="32"/>
      <c r="BA470" s="32"/>
    </row>
    <row r="471" spans="10:53">
      <c r="J471" s="9"/>
      <c r="K471" s="9"/>
      <c r="T471" s="5"/>
      <c r="U471" s="5"/>
      <c r="V471" s="26"/>
      <c r="W471" s="26"/>
      <c r="X471" s="26"/>
      <c r="Y471" s="26"/>
      <c r="Z471" s="26"/>
      <c r="AA471" s="9"/>
      <c r="AC471" s="9"/>
      <c r="AD471" s="9"/>
      <c r="AE471" s="9"/>
      <c r="AI471" s="26"/>
      <c r="AJ471" s="26"/>
      <c r="AK471" s="32"/>
      <c r="AL471" s="32"/>
      <c r="AM471" s="26"/>
      <c r="AN471" s="26"/>
      <c r="AO471" s="26"/>
      <c r="AP471" s="9"/>
      <c r="AQ471" s="9"/>
      <c r="AR471" s="9"/>
      <c r="AV471" s="5"/>
      <c r="AW471" s="5"/>
      <c r="AX471" s="26"/>
      <c r="AY471" s="26"/>
      <c r="AZ471" s="32"/>
      <c r="BA471" s="32"/>
    </row>
    <row r="472" spans="10:53">
      <c r="J472" s="9"/>
      <c r="K472" s="9"/>
      <c r="T472" s="5"/>
      <c r="U472" s="5"/>
      <c r="V472" s="26"/>
      <c r="W472" s="26"/>
      <c r="X472" s="26"/>
      <c r="Y472" s="26"/>
      <c r="Z472" s="26"/>
      <c r="AA472" s="9"/>
      <c r="AC472" s="9"/>
      <c r="AD472" s="9"/>
      <c r="AE472" s="9"/>
      <c r="AI472" s="26"/>
      <c r="AJ472" s="26"/>
      <c r="AK472" s="32"/>
      <c r="AL472" s="32"/>
      <c r="AM472" s="26"/>
      <c r="AN472" s="26"/>
      <c r="AO472" s="26"/>
      <c r="AP472" s="9"/>
      <c r="AQ472" s="9"/>
      <c r="AR472" s="9"/>
      <c r="AV472" s="5"/>
      <c r="AW472" s="5"/>
      <c r="AX472" s="26"/>
      <c r="AY472" s="26"/>
      <c r="AZ472" s="32"/>
      <c r="BA472" s="32"/>
    </row>
    <row r="473" spans="10:53">
      <c r="J473" s="9"/>
      <c r="K473" s="9"/>
      <c r="T473" s="5"/>
      <c r="U473" s="5"/>
      <c r="V473" s="26"/>
      <c r="W473" s="26"/>
      <c r="X473" s="26"/>
      <c r="Y473" s="26"/>
      <c r="Z473" s="26"/>
      <c r="AA473" s="9"/>
      <c r="AC473" s="9"/>
      <c r="AD473" s="9"/>
      <c r="AE473" s="9"/>
      <c r="AI473" s="26"/>
      <c r="AJ473" s="26"/>
      <c r="AK473" s="32"/>
      <c r="AL473" s="32"/>
      <c r="AM473" s="26"/>
      <c r="AN473" s="26"/>
      <c r="AO473" s="26"/>
      <c r="AP473" s="9"/>
      <c r="AQ473" s="9"/>
      <c r="AR473" s="9"/>
      <c r="AV473" s="5"/>
      <c r="AW473" s="5"/>
      <c r="AX473" s="26"/>
      <c r="AY473" s="26"/>
      <c r="AZ473" s="32"/>
      <c r="BA473" s="32"/>
    </row>
    <row r="474" spans="10:53">
      <c r="J474" s="9"/>
      <c r="K474" s="9"/>
      <c r="T474" s="5"/>
      <c r="U474" s="5"/>
      <c r="V474" s="26"/>
      <c r="W474" s="26"/>
      <c r="X474" s="26"/>
      <c r="Y474" s="26"/>
      <c r="Z474" s="26"/>
      <c r="AA474" s="9"/>
      <c r="AC474" s="9"/>
      <c r="AD474" s="9"/>
      <c r="AE474" s="9"/>
      <c r="AI474" s="26"/>
      <c r="AJ474" s="26"/>
      <c r="AK474" s="32"/>
      <c r="AL474" s="32"/>
      <c r="AM474" s="26"/>
      <c r="AN474" s="26"/>
      <c r="AO474" s="26"/>
      <c r="AP474" s="9"/>
      <c r="AQ474" s="9"/>
      <c r="AR474" s="9"/>
      <c r="AV474" s="5"/>
      <c r="AW474" s="5"/>
      <c r="AX474" s="26"/>
      <c r="AY474" s="26"/>
      <c r="AZ474" s="32"/>
      <c r="BA474" s="32"/>
    </row>
    <row r="475" spans="10:53">
      <c r="J475" s="9"/>
      <c r="K475" s="9"/>
      <c r="T475" s="5"/>
      <c r="U475" s="5"/>
      <c r="V475" s="26"/>
      <c r="W475" s="26"/>
      <c r="X475" s="26"/>
      <c r="Y475" s="26"/>
      <c r="Z475" s="26"/>
      <c r="AA475" s="9"/>
      <c r="AC475" s="9"/>
      <c r="AD475" s="9"/>
      <c r="AE475" s="9"/>
      <c r="AI475" s="26"/>
      <c r="AJ475" s="26"/>
      <c r="AK475" s="32"/>
      <c r="AL475" s="32"/>
      <c r="AM475" s="26"/>
      <c r="AN475" s="26"/>
      <c r="AO475" s="26"/>
      <c r="AP475" s="9"/>
      <c r="AQ475" s="9"/>
      <c r="AR475" s="9"/>
      <c r="AV475" s="5"/>
      <c r="AW475" s="5"/>
      <c r="AX475" s="26"/>
      <c r="AY475" s="26"/>
      <c r="AZ475" s="32"/>
      <c r="BA475" s="32"/>
    </row>
    <row r="476" spans="10:53">
      <c r="J476" s="9"/>
      <c r="K476" s="9"/>
      <c r="T476" s="5"/>
      <c r="U476" s="5"/>
      <c r="V476" s="26"/>
      <c r="W476" s="26"/>
      <c r="X476" s="26"/>
      <c r="Y476" s="26"/>
      <c r="Z476" s="26"/>
      <c r="AA476" s="9"/>
      <c r="AC476" s="9"/>
      <c r="AD476" s="9"/>
      <c r="AE476" s="9"/>
      <c r="AI476" s="26"/>
      <c r="AJ476" s="26"/>
      <c r="AK476" s="32"/>
      <c r="AL476" s="32"/>
      <c r="AM476" s="26"/>
      <c r="AN476" s="26"/>
      <c r="AO476" s="26"/>
      <c r="AP476" s="9"/>
      <c r="AQ476" s="9"/>
      <c r="AR476" s="9"/>
      <c r="AV476" s="5"/>
      <c r="AW476" s="5"/>
      <c r="AX476" s="26"/>
      <c r="AY476" s="26"/>
      <c r="AZ476" s="32"/>
      <c r="BA476" s="32"/>
    </row>
    <row r="477" spans="10:53">
      <c r="J477" s="9"/>
      <c r="K477" s="9"/>
      <c r="T477" s="5"/>
      <c r="U477" s="5"/>
      <c r="V477" s="26"/>
      <c r="W477" s="26"/>
      <c r="X477" s="26"/>
      <c r="Y477" s="26"/>
      <c r="Z477" s="26"/>
      <c r="AA477" s="9"/>
      <c r="AC477" s="9"/>
      <c r="AD477" s="9"/>
      <c r="AE477" s="9"/>
      <c r="AI477" s="26"/>
      <c r="AJ477" s="26"/>
      <c r="AK477" s="32"/>
      <c r="AL477" s="32"/>
      <c r="AM477" s="26"/>
      <c r="AN477" s="26"/>
      <c r="AO477" s="26"/>
      <c r="AP477" s="9"/>
      <c r="AQ477" s="9"/>
      <c r="AR477" s="9"/>
      <c r="AV477" s="5"/>
      <c r="AW477" s="5"/>
      <c r="AX477" s="26"/>
      <c r="AY477" s="26"/>
      <c r="AZ477" s="32"/>
      <c r="BA477" s="32"/>
    </row>
    <row r="478" spans="10:53">
      <c r="J478" s="9"/>
      <c r="K478" s="9"/>
      <c r="T478" s="5"/>
      <c r="U478" s="5"/>
      <c r="V478" s="26"/>
      <c r="W478" s="26"/>
      <c r="X478" s="26"/>
      <c r="Y478" s="26"/>
      <c r="Z478" s="26"/>
      <c r="AA478" s="9"/>
      <c r="AC478" s="9"/>
      <c r="AD478" s="9"/>
      <c r="AE478" s="9"/>
      <c r="AI478" s="26"/>
      <c r="AJ478" s="26"/>
      <c r="AK478" s="32"/>
      <c r="AL478" s="32"/>
      <c r="AM478" s="26"/>
      <c r="AN478" s="26"/>
      <c r="AO478" s="26"/>
      <c r="AP478" s="9"/>
      <c r="AQ478" s="9"/>
      <c r="AR478" s="9"/>
      <c r="AV478" s="5"/>
      <c r="AW478" s="5"/>
      <c r="AX478" s="26"/>
      <c r="AY478" s="26"/>
      <c r="AZ478" s="32"/>
      <c r="BA478" s="32"/>
    </row>
    <row r="479" spans="10:53">
      <c r="J479" s="9"/>
      <c r="K479" s="9"/>
      <c r="T479" s="5"/>
      <c r="U479" s="5"/>
      <c r="V479" s="26"/>
      <c r="W479" s="26"/>
      <c r="X479" s="26"/>
      <c r="Y479" s="26"/>
      <c r="Z479" s="26"/>
      <c r="AA479" s="9"/>
      <c r="AC479" s="9"/>
      <c r="AD479" s="9"/>
      <c r="AE479" s="9"/>
      <c r="AI479" s="26"/>
      <c r="AJ479" s="26"/>
      <c r="AK479" s="32"/>
      <c r="AL479" s="32"/>
      <c r="AM479" s="26"/>
      <c r="AN479" s="26"/>
      <c r="AO479" s="26"/>
      <c r="AP479" s="9"/>
      <c r="AQ479" s="9"/>
      <c r="AR479" s="9"/>
      <c r="AV479" s="5"/>
      <c r="AW479" s="5"/>
      <c r="AX479" s="26"/>
      <c r="AY479" s="26"/>
      <c r="AZ479" s="32"/>
      <c r="BA479" s="32"/>
    </row>
    <row r="480" spans="10:53">
      <c r="J480" s="9"/>
      <c r="K480" s="9"/>
      <c r="T480" s="5"/>
      <c r="U480" s="5"/>
      <c r="V480" s="26"/>
      <c r="W480" s="26"/>
      <c r="X480" s="26"/>
      <c r="Y480" s="26"/>
      <c r="Z480" s="26"/>
      <c r="AA480" s="9"/>
      <c r="AC480" s="9"/>
      <c r="AD480" s="9"/>
      <c r="AE480" s="9"/>
      <c r="AI480" s="26"/>
      <c r="AJ480" s="26"/>
      <c r="AK480" s="32"/>
      <c r="AL480" s="32"/>
      <c r="AM480" s="26"/>
      <c r="AN480" s="26"/>
      <c r="AO480" s="26"/>
      <c r="AP480" s="9"/>
      <c r="AQ480" s="9"/>
      <c r="AR480" s="9"/>
      <c r="AV480" s="5"/>
      <c r="AW480" s="5"/>
      <c r="AX480" s="26"/>
      <c r="AY480" s="26"/>
      <c r="AZ480" s="32"/>
      <c r="BA480" s="32"/>
    </row>
    <row r="481" spans="10:53">
      <c r="J481" s="9"/>
      <c r="K481" s="9"/>
      <c r="T481" s="5"/>
      <c r="U481" s="5"/>
      <c r="V481" s="26"/>
      <c r="W481" s="26"/>
      <c r="X481" s="26"/>
      <c r="Y481" s="26"/>
      <c r="Z481" s="26"/>
      <c r="AA481" s="9"/>
      <c r="AC481" s="9"/>
      <c r="AD481" s="9"/>
      <c r="AE481" s="9"/>
      <c r="AI481" s="26"/>
      <c r="AJ481" s="26"/>
      <c r="AK481" s="32"/>
      <c r="AL481" s="32"/>
      <c r="AM481" s="26"/>
      <c r="AN481" s="26"/>
      <c r="AO481" s="26"/>
      <c r="AP481" s="9"/>
      <c r="AQ481" s="9"/>
      <c r="AR481" s="9"/>
      <c r="AV481" s="5"/>
      <c r="AW481" s="5"/>
      <c r="AX481" s="26"/>
      <c r="AY481" s="26"/>
      <c r="AZ481" s="32"/>
      <c r="BA481" s="32"/>
    </row>
    <row r="482" spans="10:53">
      <c r="J482" s="9"/>
      <c r="K482" s="9"/>
      <c r="T482" s="5"/>
      <c r="U482" s="5"/>
      <c r="V482" s="26"/>
      <c r="W482" s="26"/>
      <c r="X482" s="26"/>
      <c r="Y482" s="26"/>
      <c r="Z482" s="26"/>
      <c r="AA482" s="9"/>
      <c r="AC482" s="9"/>
      <c r="AD482" s="9"/>
      <c r="AE482" s="9"/>
      <c r="AI482" s="26"/>
      <c r="AJ482" s="26"/>
      <c r="AK482" s="32"/>
      <c r="AL482" s="32"/>
      <c r="AM482" s="26"/>
      <c r="AN482" s="26"/>
      <c r="AO482" s="26"/>
      <c r="AP482" s="9"/>
      <c r="AQ482" s="9"/>
      <c r="AR482" s="9"/>
      <c r="AV482" s="5"/>
      <c r="AW482" s="5"/>
      <c r="AX482" s="26"/>
      <c r="AY482" s="26"/>
      <c r="AZ482" s="32"/>
      <c r="BA482" s="32"/>
    </row>
    <row r="483" spans="10:53">
      <c r="J483" s="9"/>
      <c r="K483" s="9"/>
      <c r="T483" s="5"/>
      <c r="U483" s="5"/>
      <c r="V483" s="26"/>
      <c r="W483" s="26"/>
      <c r="X483" s="26"/>
      <c r="Y483" s="26"/>
      <c r="Z483" s="26"/>
      <c r="AA483" s="9"/>
      <c r="AC483" s="9"/>
      <c r="AD483" s="9"/>
      <c r="AE483" s="9"/>
      <c r="AI483" s="26"/>
      <c r="AJ483" s="26"/>
      <c r="AK483" s="32"/>
      <c r="AL483" s="32"/>
      <c r="AM483" s="26"/>
      <c r="AN483" s="26"/>
      <c r="AO483" s="26"/>
      <c r="AP483" s="9"/>
      <c r="AQ483" s="9"/>
      <c r="AR483" s="9"/>
      <c r="AV483" s="5"/>
      <c r="AW483" s="5"/>
      <c r="AX483" s="26"/>
      <c r="AY483" s="26"/>
      <c r="AZ483" s="32"/>
      <c r="BA483" s="32"/>
    </row>
    <row r="484" spans="10:53">
      <c r="J484" s="9"/>
      <c r="K484" s="9"/>
      <c r="T484" s="5"/>
      <c r="U484" s="5"/>
      <c r="V484" s="26"/>
      <c r="W484" s="26"/>
      <c r="X484" s="26"/>
      <c r="Y484" s="26"/>
      <c r="Z484" s="26"/>
      <c r="AA484" s="9"/>
      <c r="AC484" s="9"/>
      <c r="AD484" s="9"/>
      <c r="AE484" s="9"/>
      <c r="AI484" s="26"/>
      <c r="AJ484" s="26"/>
      <c r="AK484" s="32"/>
      <c r="AL484" s="32"/>
      <c r="AM484" s="26"/>
      <c r="AN484" s="26"/>
      <c r="AO484" s="26"/>
      <c r="AP484" s="9"/>
      <c r="AQ484" s="9"/>
      <c r="AR484" s="9"/>
      <c r="AV484" s="5"/>
      <c r="AW484" s="5"/>
      <c r="AX484" s="26"/>
      <c r="AY484" s="26"/>
      <c r="AZ484" s="32"/>
      <c r="BA484" s="32"/>
    </row>
    <row r="485" spans="10:53">
      <c r="J485" s="9"/>
      <c r="K485" s="9"/>
      <c r="T485" s="5"/>
      <c r="U485" s="5"/>
      <c r="V485" s="26"/>
      <c r="W485" s="26"/>
      <c r="X485" s="26"/>
      <c r="Y485" s="26"/>
      <c r="Z485" s="26"/>
      <c r="AA485" s="9"/>
      <c r="AC485" s="9"/>
      <c r="AD485" s="9"/>
      <c r="AE485" s="9"/>
      <c r="AI485" s="26"/>
      <c r="AJ485" s="26"/>
      <c r="AK485" s="32"/>
      <c r="AL485" s="32"/>
      <c r="AM485" s="26"/>
      <c r="AN485" s="26"/>
      <c r="AO485" s="26"/>
      <c r="AP485" s="9"/>
      <c r="AQ485" s="9"/>
      <c r="AR485" s="9"/>
      <c r="AV485" s="5"/>
      <c r="AW485" s="5"/>
      <c r="AX485" s="26"/>
      <c r="AY485" s="26"/>
      <c r="AZ485" s="32"/>
      <c r="BA485" s="32"/>
    </row>
    <row r="486" spans="10:53">
      <c r="J486" s="9"/>
      <c r="K486" s="9"/>
      <c r="T486" s="5"/>
      <c r="U486" s="5"/>
      <c r="V486" s="26"/>
      <c r="W486" s="26"/>
      <c r="X486" s="26"/>
      <c r="Y486" s="26"/>
      <c r="Z486" s="26"/>
      <c r="AA486" s="9"/>
      <c r="AC486" s="9"/>
      <c r="AD486" s="9"/>
      <c r="AE486" s="9"/>
      <c r="AI486" s="26"/>
      <c r="AJ486" s="26"/>
      <c r="AK486" s="32"/>
      <c r="AL486" s="32"/>
      <c r="AM486" s="26"/>
      <c r="AN486" s="26"/>
      <c r="AO486" s="26"/>
      <c r="AP486" s="9"/>
      <c r="AQ486" s="9"/>
      <c r="AR486" s="9"/>
      <c r="AV486" s="5"/>
      <c r="AW486" s="5"/>
      <c r="AX486" s="26"/>
      <c r="AY486" s="26"/>
      <c r="AZ486" s="32"/>
      <c r="BA486" s="32"/>
    </row>
    <row r="487" spans="10:53">
      <c r="J487" s="9"/>
      <c r="K487" s="9"/>
      <c r="T487" s="5"/>
      <c r="U487" s="5"/>
      <c r="V487" s="26"/>
      <c r="W487" s="26"/>
      <c r="X487" s="26"/>
      <c r="Y487" s="26"/>
      <c r="Z487" s="26"/>
      <c r="AA487" s="9"/>
      <c r="AC487" s="9"/>
      <c r="AD487" s="9"/>
      <c r="AE487" s="9"/>
      <c r="AI487" s="26"/>
      <c r="AJ487" s="26"/>
      <c r="AK487" s="32"/>
      <c r="AL487" s="32"/>
      <c r="AM487" s="26"/>
      <c r="AN487" s="26"/>
      <c r="AO487" s="26"/>
      <c r="AP487" s="9"/>
      <c r="AQ487" s="9"/>
      <c r="AR487" s="9"/>
      <c r="AV487" s="5"/>
      <c r="AW487" s="5"/>
      <c r="AX487" s="26"/>
      <c r="AY487" s="26"/>
      <c r="AZ487" s="32"/>
      <c r="BA487" s="32"/>
    </row>
    <row r="488" spans="10:53">
      <c r="J488" s="9"/>
      <c r="K488" s="9"/>
      <c r="T488" s="5"/>
      <c r="U488" s="5"/>
      <c r="V488" s="26"/>
      <c r="W488" s="26"/>
      <c r="X488" s="26"/>
      <c r="Y488" s="26"/>
      <c r="Z488" s="26"/>
      <c r="AA488" s="9"/>
      <c r="AC488" s="9"/>
      <c r="AD488" s="9"/>
      <c r="AE488" s="9"/>
      <c r="AI488" s="26"/>
      <c r="AJ488" s="26"/>
      <c r="AK488" s="32"/>
      <c r="AL488" s="32"/>
      <c r="AM488" s="26"/>
      <c r="AN488" s="26"/>
      <c r="AO488" s="26"/>
      <c r="AP488" s="9"/>
      <c r="AQ488" s="9"/>
      <c r="AR488" s="9"/>
      <c r="AV488" s="5"/>
      <c r="AW488" s="5"/>
      <c r="AX488" s="26"/>
      <c r="AY488" s="26"/>
      <c r="AZ488" s="32"/>
      <c r="BA488" s="32"/>
    </row>
    <row r="489" spans="10:53">
      <c r="J489" s="9"/>
      <c r="K489" s="9"/>
      <c r="T489" s="5"/>
      <c r="U489" s="5"/>
      <c r="V489" s="26"/>
      <c r="W489" s="26"/>
      <c r="X489" s="26"/>
      <c r="Y489" s="26"/>
      <c r="Z489" s="26"/>
      <c r="AA489" s="9"/>
      <c r="AC489" s="9"/>
      <c r="AD489" s="9"/>
      <c r="AE489" s="9"/>
      <c r="AI489" s="26"/>
      <c r="AJ489" s="26"/>
      <c r="AK489" s="32"/>
      <c r="AL489" s="32"/>
      <c r="AM489" s="26"/>
      <c r="AN489" s="26"/>
      <c r="AO489" s="26"/>
      <c r="AP489" s="9"/>
      <c r="AQ489" s="9"/>
      <c r="AR489" s="9"/>
      <c r="AV489" s="5"/>
      <c r="AW489" s="5"/>
      <c r="AX489" s="26"/>
      <c r="AY489" s="26"/>
      <c r="AZ489" s="32"/>
      <c r="BA489" s="32"/>
    </row>
    <row r="490" spans="10:53">
      <c r="J490" s="9"/>
      <c r="K490" s="9"/>
      <c r="T490" s="5"/>
      <c r="U490" s="5"/>
      <c r="V490" s="26"/>
      <c r="W490" s="26"/>
      <c r="X490" s="26"/>
      <c r="Y490" s="26"/>
      <c r="Z490" s="26"/>
      <c r="AA490" s="9"/>
      <c r="AC490" s="9"/>
      <c r="AD490" s="9"/>
      <c r="AE490" s="9"/>
      <c r="AI490" s="26"/>
      <c r="AJ490" s="26"/>
      <c r="AK490" s="32"/>
      <c r="AL490" s="32"/>
      <c r="AM490" s="26"/>
      <c r="AN490" s="26"/>
      <c r="AO490" s="26"/>
      <c r="AP490" s="9"/>
      <c r="AQ490" s="9"/>
      <c r="AR490" s="9"/>
      <c r="AV490" s="5"/>
      <c r="AW490" s="5"/>
      <c r="AX490" s="26"/>
      <c r="AY490" s="26"/>
      <c r="AZ490" s="32"/>
      <c r="BA490" s="32"/>
    </row>
    <row r="491" spans="10:53">
      <c r="J491" s="9"/>
      <c r="K491" s="9"/>
      <c r="T491" s="5"/>
      <c r="U491" s="5"/>
      <c r="V491" s="26"/>
      <c r="W491" s="26"/>
      <c r="X491" s="26"/>
      <c r="Y491" s="26"/>
      <c r="Z491" s="26"/>
      <c r="AA491" s="9"/>
      <c r="AC491" s="9"/>
      <c r="AD491" s="9"/>
      <c r="AE491" s="9"/>
      <c r="AI491" s="26"/>
      <c r="AJ491" s="26"/>
      <c r="AK491" s="32"/>
      <c r="AL491" s="32"/>
      <c r="AM491" s="26"/>
      <c r="AN491" s="26"/>
      <c r="AO491" s="26"/>
      <c r="AP491" s="9"/>
      <c r="AQ491" s="9"/>
      <c r="AR491" s="9"/>
      <c r="AV491" s="5"/>
      <c r="AW491" s="5"/>
      <c r="AX491" s="26"/>
      <c r="AY491" s="26"/>
      <c r="AZ491" s="32"/>
      <c r="BA491" s="32"/>
    </row>
    <row r="492" spans="10:53">
      <c r="J492" s="9"/>
      <c r="K492" s="9"/>
      <c r="T492" s="5"/>
      <c r="U492" s="5"/>
      <c r="V492" s="26"/>
      <c r="W492" s="26"/>
      <c r="X492" s="26"/>
      <c r="Y492" s="26"/>
      <c r="Z492" s="26"/>
      <c r="AA492" s="9"/>
      <c r="AC492" s="9"/>
      <c r="AD492" s="9"/>
      <c r="AE492" s="9"/>
      <c r="AI492" s="26"/>
      <c r="AJ492" s="26"/>
      <c r="AK492" s="32"/>
      <c r="AL492" s="32"/>
      <c r="AM492" s="26"/>
      <c r="AN492" s="26"/>
      <c r="AO492" s="26"/>
      <c r="AP492" s="9"/>
      <c r="AQ492" s="9"/>
      <c r="AR492" s="9"/>
      <c r="AV492" s="5"/>
      <c r="AW492" s="5"/>
      <c r="AX492" s="26"/>
      <c r="AY492" s="26"/>
      <c r="AZ492" s="32"/>
      <c r="BA492" s="32"/>
    </row>
    <row r="493" spans="10:53">
      <c r="J493" s="9"/>
      <c r="K493" s="9"/>
      <c r="T493" s="5"/>
      <c r="U493" s="5"/>
      <c r="V493" s="26"/>
      <c r="W493" s="26"/>
      <c r="X493" s="26"/>
      <c r="Y493" s="26"/>
      <c r="Z493" s="26"/>
      <c r="AA493" s="9"/>
      <c r="AC493" s="9"/>
      <c r="AD493" s="9"/>
      <c r="AE493" s="9"/>
      <c r="AI493" s="26"/>
      <c r="AJ493" s="26"/>
      <c r="AK493" s="32"/>
      <c r="AL493" s="32"/>
      <c r="AM493" s="26"/>
      <c r="AN493" s="26"/>
      <c r="AO493" s="26"/>
      <c r="AP493" s="9"/>
      <c r="AQ493" s="9"/>
      <c r="AR493" s="9"/>
      <c r="AV493" s="5"/>
      <c r="AW493" s="5"/>
      <c r="AX493" s="26"/>
      <c r="AY493" s="26"/>
      <c r="AZ493" s="32"/>
      <c r="BA493" s="32"/>
    </row>
    <row r="494" spans="10:53">
      <c r="J494" s="9"/>
      <c r="K494" s="9"/>
      <c r="T494" s="5"/>
      <c r="U494" s="5"/>
      <c r="V494" s="26"/>
      <c r="W494" s="26"/>
      <c r="X494" s="26"/>
      <c r="Y494" s="26"/>
      <c r="Z494" s="26"/>
      <c r="AA494" s="9"/>
      <c r="AC494" s="9"/>
      <c r="AD494" s="9"/>
      <c r="AE494" s="9"/>
      <c r="AI494" s="26"/>
      <c r="AJ494" s="26"/>
      <c r="AK494" s="32"/>
      <c r="AL494" s="32"/>
      <c r="AM494" s="26"/>
      <c r="AN494" s="26"/>
      <c r="AO494" s="26"/>
      <c r="AP494" s="9"/>
      <c r="AQ494" s="9"/>
      <c r="AR494" s="9"/>
      <c r="AV494" s="5"/>
      <c r="AW494" s="5"/>
      <c r="AX494" s="26"/>
      <c r="AY494" s="26"/>
      <c r="AZ494" s="32"/>
      <c r="BA494" s="32"/>
    </row>
    <row r="495" spans="10:53">
      <c r="J495" s="9"/>
      <c r="K495" s="9"/>
      <c r="T495" s="5"/>
      <c r="U495" s="5"/>
      <c r="V495" s="26"/>
      <c r="W495" s="26"/>
      <c r="X495" s="26"/>
      <c r="Y495" s="26"/>
      <c r="Z495" s="26"/>
      <c r="AA495" s="9"/>
      <c r="AC495" s="9"/>
      <c r="AD495" s="9"/>
      <c r="AE495" s="9"/>
      <c r="AI495" s="26"/>
      <c r="AJ495" s="26"/>
      <c r="AK495" s="32"/>
      <c r="AL495" s="32"/>
      <c r="AM495" s="26"/>
      <c r="AN495" s="26"/>
      <c r="AO495" s="26"/>
      <c r="AP495" s="9"/>
      <c r="AQ495" s="9"/>
      <c r="AR495" s="9"/>
      <c r="AV495" s="5"/>
      <c r="AW495" s="5"/>
      <c r="AX495" s="26"/>
      <c r="AY495" s="26"/>
      <c r="AZ495" s="32"/>
      <c r="BA495" s="32"/>
    </row>
    <row r="496" spans="10:53">
      <c r="J496" s="9"/>
      <c r="K496" s="9"/>
      <c r="T496" s="5"/>
      <c r="U496" s="5"/>
      <c r="V496" s="26"/>
      <c r="W496" s="26"/>
      <c r="X496" s="26"/>
      <c r="Y496" s="26"/>
      <c r="Z496" s="26"/>
      <c r="AA496" s="9"/>
      <c r="AC496" s="9"/>
      <c r="AD496" s="9"/>
      <c r="AE496" s="9"/>
      <c r="AI496" s="26"/>
      <c r="AJ496" s="26"/>
      <c r="AK496" s="32"/>
      <c r="AL496" s="32"/>
      <c r="AM496" s="26"/>
      <c r="AN496" s="26"/>
      <c r="AO496" s="26"/>
      <c r="AP496" s="9"/>
      <c r="AQ496" s="9"/>
      <c r="AR496" s="9"/>
      <c r="AV496" s="5"/>
      <c r="AW496" s="5"/>
      <c r="AX496" s="26"/>
      <c r="AY496" s="26"/>
      <c r="AZ496" s="32"/>
      <c r="BA496" s="32"/>
    </row>
    <row r="497" spans="10:53">
      <c r="J497" s="9"/>
      <c r="K497" s="9"/>
      <c r="T497" s="5"/>
      <c r="U497" s="5"/>
      <c r="V497" s="26"/>
      <c r="W497" s="26"/>
      <c r="X497" s="26"/>
      <c r="Y497" s="26"/>
      <c r="Z497" s="26"/>
      <c r="AA497" s="9"/>
      <c r="AC497" s="9"/>
      <c r="AD497" s="9"/>
      <c r="AE497" s="9"/>
      <c r="AI497" s="26"/>
      <c r="AJ497" s="26"/>
      <c r="AK497" s="32"/>
      <c r="AL497" s="32"/>
      <c r="AM497" s="26"/>
      <c r="AN497" s="26"/>
      <c r="AO497" s="26"/>
      <c r="AP497" s="9"/>
      <c r="AQ497" s="9"/>
      <c r="AR497" s="9"/>
      <c r="AV497" s="5"/>
      <c r="AW497" s="5"/>
      <c r="AX497" s="26"/>
      <c r="AY497" s="26"/>
      <c r="AZ497" s="32"/>
      <c r="BA497" s="32"/>
    </row>
    <row r="498" spans="10:53">
      <c r="J498" s="9"/>
      <c r="K498" s="9"/>
      <c r="T498" s="5"/>
      <c r="U498" s="5"/>
      <c r="V498" s="26"/>
      <c r="W498" s="26"/>
      <c r="X498" s="26"/>
      <c r="Y498" s="26"/>
      <c r="Z498" s="26"/>
      <c r="AA498" s="9"/>
      <c r="AC498" s="9"/>
      <c r="AD498" s="9"/>
      <c r="AE498" s="9"/>
      <c r="AI498" s="26"/>
      <c r="AJ498" s="26"/>
      <c r="AK498" s="32"/>
      <c r="AL498" s="32"/>
      <c r="AM498" s="26"/>
      <c r="AN498" s="26"/>
      <c r="AO498" s="26"/>
      <c r="AP498" s="9"/>
      <c r="AQ498" s="9"/>
      <c r="AR498" s="9"/>
      <c r="AV498" s="5"/>
      <c r="AW498" s="5"/>
      <c r="AX498" s="26"/>
      <c r="AY498" s="26"/>
      <c r="AZ498" s="32"/>
      <c r="BA498" s="32"/>
    </row>
    <row r="499" spans="10:53">
      <c r="J499" s="9"/>
      <c r="K499" s="9"/>
      <c r="T499" s="5"/>
      <c r="U499" s="5"/>
      <c r="V499" s="26"/>
      <c r="W499" s="26"/>
      <c r="X499" s="26"/>
      <c r="Y499" s="26"/>
      <c r="Z499" s="26"/>
      <c r="AA499" s="9"/>
      <c r="AC499" s="9"/>
      <c r="AD499" s="9"/>
      <c r="AE499" s="9"/>
      <c r="AI499" s="26"/>
      <c r="AJ499" s="26"/>
      <c r="AK499" s="32"/>
      <c r="AL499" s="32"/>
      <c r="AM499" s="26"/>
      <c r="AN499" s="26"/>
      <c r="AO499" s="26"/>
      <c r="AP499" s="9"/>
      <c r="AQ499" s="9"/>
      <c r="AR499" s="9"/>
      <c r="AV499" s="5"/>
      <c r="AW499" s="5"/>
      <c r="AX499" s="26"/>
      <c r="AY499" s="26"/>
      <c r="AZ499" s="32"/>
      <c r="BA499" s="32"/>
    </row>
    <row r="500" spans="10:53">
      <c r="J500" s="9"/>
      <c r="K500" s="9"/>
      <c r="T500" s="5"/>
      <c r="U500" s="5"/>
      <c r="V500" s="26"/>
      <c r="W500" s="26"/>
      <c r="X500" s="26"/>
      <c r="Y500" s="26"/>
      <c r="Z500" s="26"/>
      <c r="AA500" s="9"/>
      <c r="AC500" s="9"/>
      <c r="AD500" s="9"/>
      <c r="AE500" s="9"/>
      <c r="AI500" s="26"/>
      <c r="AJ500" s="26"/>
      <c r="AK500" s="32"/>
      <c r="AL500" s="32"/>
      <c r="AM500" s="26"/>
      <c r="AN500" s="26"/>
      <c r="AO500" s="26"/>
      <c r="AP500" s="9"/>
      <c r="AQ500" s="9"/>
      <c r="AR500" s="9"/>
      <c r="AV500" s="5"/>
      <c r="AW500" s="5"/>
      <c r="AX500" s="26"/>
      <c r="AY500" s="26"/>
      <c r="AZ500" s="32"/>
      <c r="BA500" s="32"/>
    </row>
    <row r="501" spans="10:53">
      <c r="J501" s="9"/>
      <c r="K501" s="9"/>
      <c r="T501" s="5"/>
      <c r="U501" s="5"/>
      <c r="V501" s="26"/>
      <c r="W501" s="26"/>
      <c r="X501" s="26"/>
      <c r="Y501" s="26"/>
      <c r="Z501" s="26"/>
      <c r="AA501" s="9"/>
      <c r="AC501" s="9"/>
      <c r="AD501" s="9"/>
      <c r="AE501" s="9"/>
      <c r="AI501" s="26"/>
      <c r="AJ501" s="26"/>
      <c r="AK501" s="32"/>
      <c r="AL501" s="32"/>
      <c r="AM501" s="26"/>
      <c r="AN501" s="26"/>
      <c r="AO501" s="26"/>
      <c r="AP501" s="9"/>
      <c r="AQ501" s="9"/>
      <c r="AR501" s="9"/>
      <c r="AV501" s="5"/>
      <c r="AW501" s="5"/>
      <c r="AX501" s="26"/>
      <c r="AY501" s="26"/>
      <c r="AZ501" s="32"/>
      <c r="BA501" s="32"/>
    </row>
    <row r="502" spans="10:53">
      <c r="J502" s="9"/>
      <c r="K502" s="9"/>
      <c r="T502" s="5"/>
      <c r="U502" s="5"/>
      <c r="V502" s="26"/>
      <c r="W502" s="26"/>
      <c r="X502" s="26"/>
      <c r="Y502" s="26"/>
      <c r="Z502" s="26"/>
      <c r="AA502" s="9"/>
      <c r="AC502" s="9"/>
      <c r="AD502" s="9"/>
      <c r="AE502" s="9"/>
      <c r="AI502" s="26"/>
      <c r="AJ502" s="26"/>
      <c r="AK502" s="32"/>
      <c r="AL502" s="32"/>
      <c r="AM502" s="26"/>
      <c r="AN502" s="26"/>
      <c r="AO502" s="26"/>
      <c r="AP502" s="9"/>
      <c r="AQ502" s="9"/>
      <c r="AR502" s="9"/>
      <c r="AV502" s="5"/>
      <c r="AW502" s="5"/>
      <c r="AX502" s="26"/>
      <c r="AY502" s="26"/>
      <c r="AZ502" s="32"/>
      <c r="BA502" s="32"/>
    </row>
    <row r="503" spans="10:53">
      <c r="J503" s="9"/>
      <c r="K503" s="9"/>
      <c r="T503" s="5"/>
      <c r="U503" s="5"/>
      <c r="V503" s="26"/>
      <c r="W503" s="26"/>
      <c r="X503" s="26"/>
      <c r="Y503" s="26"/>
      <c r="Z503" s="26"/>
      <c r="AA503" s="9"/>
      <c r="AC503" s="9"/>
      <c r="AD503" s="9"/>
      <c r="AE503" s="9"/>
      <c r="AI503" s="26"/>
      <c r="AJ503" s="26"/>
      <c r="AK503" s="32"/>
      <c r="AL503" s="32"/>
      <c r="AM503" s="26"/>
      <c r="AN503" s="26"/>
      <c r="AO503" s="26"/>
      <c r="AP503" s="9"/>
      <c r="AQ503" s="9"/>
      <c r="AR503" s="9"/>
      <c r="AV503" s="5"/>
      <c r="AW503" s="5"/>
      <c r="AX503" s="26"/>
      <c r="AY503" s="26"/>
      <c r="AZ503" s="32"/>
      <c r="BA503" s="32"/>
    </row>
    <row r="504" spans="10:53">
      <c r="J504" s="9"/>
      <c r="K504" s="9"/>
      <c r="T504" s="5"/>
      <c r="U504" s="5"/>
      <c r="V504" s="26"/>
      <c r="W504" s="26"/>
      <c r="X504" s="26"/>
      <c r="Y504" s="26"/>
      <c r="Z504" s="26"/>
      <c r="AA504" s="9"/>
      <c r="AC504" s="9"/>
      <c r="AD504" s="9"/>
      <c r="AE504" s="9"/>
      <c r="AI504" s="26"/>
      <c r="AJ504" s="26"/>
      <c r="AK504" s="32"/>
      <c r="AL504" s="32"/>
      <c r="AM504" s="26"/>
      <c r="AN504" s="26"/>
      <c r="AO504" s="26"/>
      <c r="AP504" s="9"/>
      <c r="AQ504" s="9"/>
      <c r="AR504" s="9"/>
      <c r="AV504" s="5"/>
      <c r="AW504" s="5"/>
      <c r="AX504" s="26"/>
      <c r="AY504" s="26"/>
      <c r="AZ504" s="32"/>
      <c r="BA504" s="32"/>
    </row>
    <row r="505" spans="10:53">
      <c r="J505" s="9"/>
      <c r="K505" s="9"/>
      <c r="T505" s="5"/>
      <c r="U505" s="5"/>
      <c r="V505" s="26"/>
      <c r="W505" s="26"/>
      <c r="X505" s="26"/>
      <c r="Y505" s="26"/>
      <c r="Z505" s="26"/>
      <c r="AA505" s="9"/>
      <c r="AC505" s="9"/>
      <c r="AD505" s="9"/>
      <c r="AE505" s="9"/>
      <c r="AI505" s="26"/>
      <c r="AJ505" s="26"/>
      <c r="AK505" s="32"/>
      <c r="AL505" s="32"/>
      <c r="AM505" s="26"/>
      <c r="AN505" s="26"/>
      <c r="AO505" s="26"/>
      <c r="AP505" s="9"/>
      <c r="AQ505" s="9"/>
      <c r="AR505" s="9"/>
      <c r="AV505" s="5"/>
      <c r="AW505" s="5"/>
      <c r="AX505" s="26"/>
      <c r="AY505" s="26"/>
      <c r="AZ505" s="32"/>
      <c r="BA505" s="32"/>
    </row>
    <row r="506" spans="10:53">
      <c r="J506" s="9"/>
      <c r="K506" s="9"/>
      <c r="T506" s="5"/>
      <c r="U506" s="5"/>
      <c r="V506" s="26"/>
      <c r="W506" s="26"/>
      <c r="X506" s="26"/>
      <c r="Y506" s="26"/>
      <c r="Z506" s="26"/>
      <c r="AA506" s="9"/>
      <c r="AC506" s="9"/>
      <c r="AD506" s="9"/>
      <c r="AE506" s="9"/>
      <c r="AI506" s="26"/>
      <c r="AJ506" s="26"/>
      <c r="AK506" s="32"/>
      <c r="AL506" s="32"/>
      <c r="AM506" s="26"/>
      <c r="AN506" s="26"/>
      <c r="AO506" s="26"/>
      <c r="AP506" s="9"/>
      <c r="AQ506" s="9"/>
      <c r="AR506" s="9"/>
      <c r="AV506" s="5"/>
      <c r="AW506" s="5"/>
      <c r="AX506" s="26"/>
      <c r="AY506" s="26"/>
      <c r="AZ506" s="32"/>
      <c r="BA506" s="32"/>
    </row>
    <row r="507" spans="10:53">
      <c r="J507" s="9"/>
      <c r="K507" s="9"/>
      <c r="T507" s="5"/>
      <c r="U507" s="5"/>
      <c r="V507" s="26"/>
      <c r="W507" s="26"/>
      <c r="X507" s="26"/>
      <c r="Y507" s="26"/>
      <c r="Z507" s="26"/>
      <c r="AA507" s="9"/>
      <c r="AC507" s="9"/>
      <c r="AD507" s="9"/>
      <c r="AE507" s="9"/>
      <c r="AI507" s="26"/>
      <c r="AJ507" s="26"/>
      <c r="AK507" s="32"/>
      <c r="AL507" s="32"/>
      <c r="AM507" s="26"/>
      <c r="AN507" s="26"/>
      <c r="AO507" s="26"/>
      <c r="AP507" s="9"/>
      <c r="AQ507" s="9"/>
      <c r="AR507" s="9"/>
      <c r="AV507" s="5"/>
      <c r="AW507" s="5"/>
      <c r="AX507" s="26"/>
      <c r="AY507" s="26"/>
      <c r="AZ507" s="32"/>
      <c r="BA507" s="32"/>
    </row>
    <row r="508" spans="10:53">
      <c r="J508" s="9"/>
      <c r="K508" s="9"/>
      <c r="T508" s="5"/>
      <c r="U508" s="5"/>
      <c r="V508" s="26"/>
      <c r="W508" s="26"/>
      <c r="X508" s="26"/>
      <c r="Y508" s="26"/>
      <c r="Z508" s="26"/>
      <c r="AA508" s="9"/>
      <c r="AC508" s="9"/>
      <c r="AD508" s="9"/>
      <c r="AE508" s="9"/>
      <c r="AI508" s="26"/>
      <c r="AJ508" s="26"/>
      <c r="AK508" s="32"/>
      <c r="AL508" s="32"/>
      <c r="AM508" s="26"/>
      <c r="AN508" s="26"/>
      <c r="AO508" s="26"/>
      <c r="AP508" s="9"/>
      <c r="AQ508" s="9"/>
      <c r="AR508" s="9"/>
      <c r="AV508" s="5"/>
      <c r="AW508" s="5"/>
      <c r="AX508" s="26"/>
      <c r="AY508" s="26"/>
      <c r="AZ508" s="32"/>
      <c r="BA508" s="32"/>
    </row>
    <row r="509" spans="10:53">
      <c r="J509" s="9"/>
      <c r="K509" s="9"/>
      <c r="T509" s="5"/>
      <c r="U509" s="5"/>
      <c r="V509" s="26"/>
      <c r="W509" s="26"/>
      <c r="X509" s="26"/>
      <c r="Y509" s="26"/>
      <c r="Z509" s="26"/>
      <c r="AA509" s="9"/>
      <c r="AC509" s="9"/>
      <c r="AD509" s="9"/>
      <c r="AE509" s="9"/>
      <c r="AI509" s="26"/>
      <c r="AJ509" s="26"/>
      <c r="AK509" s="32"/>
      <c r="AL509" s="32"/>
      <c r="AM509" s="26"/>
      <c r="AN509" s="26"/>
      <c r="AO509" s="26"/>
      <c r="AP509" s="9"/>
      <c r="AQ509" s="9"/>
      <c r="AR509" s="9"/>
      <c r="AV509" s="5"/>
      <c r="AW509" s="5"/>
      <c r="AX509" s="26"/>
      <c r="AY509" s="26"/>
      <c r="AZ509" s="32"/>
      <c r="BA509" s="32"/>
    </row>
    <row r="510" spans="10:53">
      <c r="J510" s="9"/>
      <c r="K510" s="9"/>
      <c r="T510" s="5"/>
      <c r="U510" s="5"/>
      <c r="V510" s="26"/>
      <c r="W510" s="26"/>
      <c r="X510" s="26"/>
      <c r="Y510" s="26"/>
      <c r="Z510" s="26"/>
      <c r="AA510" s="9"/>
      <c r="AC510" s="9"/>
      <c r="AD510" s="9"/>
      <c r="AE510" s="9"/>
      <c r="AI510" s="26"/>
      <c r="AJ510" s="26"/>
      <c r="AK510" s="32"/>
      <c r="AL510" s="32"/>
      <c r="AM510" s="26"/>
      <c r="AN510" s="26"/>
      <c r="AO510" s="26"/>
      <c r="AP510" s="9"/>
      <c r="AQ510" s="9"/>
      <c r="AR510" s="9"/>
      <c r="AV510" s="5"/>
      <c r="AW510" s="5"/>
      <c r="AX510" s="26"/>
      <c r="AY510" s="26"/>
      <c r="AZ510" s="32"/>
      <c r="BA510" s="32"/>
    </row>
    <row r="511" spans="10:53">
      <c r="J511" s="9"/>
      <c r="K511" s="9"/>
      <c r="T511" s="5"/>
      <c r="U511" s="5"/>
      <c r="V511" s="26"/>
      <c r="W511" s="26"/>
      <c r="X511" s="26"/>
      <c r="Y511" s="26"/>
      <c r="Z511" s="26"/>
      <c r="AA511" s="9"/>
      <c r="AC511" s="9"/>
      <c r="AD511" s="9"/>
      <c r="AE511" s="9"/>
      <c r="AI511" s="26"/>
      <c r="AJ511" s="26"/>
      <c r="AK511" s="32"/>
      <c r="AL511" s="32"/>
      <c r="AM511" s="26"/>
      <c r="AN511" s="26"/>
      <c r="AO511" s="26"/>
      <c r="AP511" s="9"/>
      <c r="AQ511" s="9"/>
      <c r="AR511" s="9"/>
      <c r="AV511" s="5"/>
      <c r="AW511" s="5"/>
      <c r="AX511" s="26"/>
      <c r="AY511" s="26"/>
      <c r="AZ511" s="32"/>
      <c r="BA511" s="32"/>
    </row>
    <row r="512" spans="10:53">
      <c r="J512" s="9"/>
      <c r="K512" s="9"/>
      <c r="T512" s="5"/>
      <c r="U512" s="5"/>
      <c r="V512" s="26"/>
      <c r="W512" s="26"/>
      <c r="X512" s="26"/>
      <c r="Y512" s="26"/>
      <c r="Z512" s="26"/>
      <c r="AA512" s="9"/>
      <c r="AC512" s="9"/>
      <c r="AD512" s="9"/>
      <c r="AE512" s="9"/>
      <c r="AI512" s="26"/>
      <c r="AJ512" s="26"/>
      <c r="AK512" s="32"/>
      <c r="AL512" s="32"/>
      <c r="AM512" s="26"/>
      <c r="AN512" s="26"/>
      <c r="AO512" s="26"/>
      <c r="AP512" s="9"/>
      <c r="AQ512" s="9"/>
      <c r="AR512" s="9"/>
      <c r="AV512" s="5"/>
      <c r="AW512" s="5"/>
      <c r="AX512" s="26"/>
      <c r="AY512" s="26"/>
      <c r="AZ512" s="32"/>
      <c r="BA512" s="32"/>
    </row>
    <row r="513" spans="10:53">
      <c r="J513" s="9"/>
      <c r="K513" s="9"/>
      <c r="T513" s="5"/>
      <c r="U513" s="5"/>
      <c r="V513" s="26"/>
      <c r="W513" s="26"/>
      <c r="X513" s="26"/>
      <c r="Y513" s="26"/>
      <c r="Z513" s="26"/>
      <c r="AA513" s="9"/>
      <c r="AC513" s="9"/>
      <c r="AD513" s="9"/>
      <c r="AE513" s="9"/>
      <c r="AI513" s="26"/>
      <c r="AJ513" s="26"/>
      <c r="AK513" s="32"/>
      <c r="AL513" s="32"/>
      <c r="AM513" s="26"/>
      <c r="AN513" s="26"/>
      <c r="AO513" s="26"/>
      <c r="AP513" s="9"/>
      <c r="AQ513" s="9"/>
      <c r="AR513" s="9"/>
      <c r="AV513" s="5"/>
      <c r="AW513" s="5"/>
      <c r="AX513" s="26"/>
      <c r="AY513" s="26"/>
      <c r="AZ513" s="32"/>
      <c r="BA513" s="32"/>
    </row>
    <row r="514" spans="10:53">
      <c r="J514" s="9"/>
      <c r="K514" s="9"/>
      <c r="T514" s="5"/>
      <c r="U514" s="5"/>
      <c r="V514" s="26"/>
      <c r="W514" s="26"/>
      <c r="X514" s="26"/>
      <c r="Y514" s="26"/>
      <c r="Z514" s="26"/>
      <c r="AA514" s="9"/>
      <c r="AC514" s="9"/>
      <c r="AD514" s="9"/>
      <c r="AE514" s="9"/>
      <c r="AI514" s="26"/>
      <c r="AJ514" s="26"/>
      <c r="AK514" s="32"/>
      <c r="AL514" s="32"/>
      <c r="AM514" s="26"/>
      <c r="AN514" s="26"/>
      <c r="AO514" s="26"/>
      <c r="AP514" s="9"/>
      <c r="AQ514" s="9"/>
      <c r="AR514" s="9"/>
      <c r="AV514" s="5"/>
      <c r="AW514" s="5"/>
      <c r="AX514" s="26"/>
      <c r="AY514" s="26"/>
      <c r="AZ514" s="32"/>
      <c r="BA514" s="32"/>
    </row>
    <row r="515" spans="10:53">
      <c r="J515" s="9"/>
      <c r="K515" s="9"/>
      <c r="T515" s="5"/>
      <c r="U515" s="5"/>
      <c r="V515" s="26"/>
      <c r="W515" s="26"/>
      <c r="X515" s="26"/>
      <c r="Y515" s="26"/>
      <c r="Z515" s="26"/>
      <c r="AA515" s="9"/>
      <c r="AC515" s="9"/>
      <c r="AD515" s="9"/>
      <c r="AE515" s="9"/>
      <c r="AI515" s="26"/>
      <c r="AJ515" s="26"/>
      <c r="AK515" s="32"/>
      <c r="AL515" s="32"/>
      <c r="AM515" s="26"/>
      <c r="AN515" s="26"/>
      <c r="AO515" s="26"/>
      <c r="AP515" s="9"/>
      <c r="AQ515" s="9"/>
      <c r="AR515" s="9"/>
      <c r="AV515" s="5"/>
      <c r="AW515" s="5"/>
      <c r="AX515" s="26"/>
      <c r="AY515" s="26"/>
      <c r="AZ515" s="32"/>
      <c r="BA515" s="32"/>
    </row>
    <row r="516" spans="10:53">
      <c r="J516" s="9"/>
      <c r="K516" s="9"/>
      <c r="T516" s="5"/>
      <c r="U516" s="5"/>
      <c r="V516" s="26"/>
      <c r="W516" s="26"/>
      <c r="X516" s="26"/>
      <c r="Y516" s="26"/>
      <c r="Z516" s="26"/>
      <c r="AA516" s="9"/>
      <c r="AC516" s="9"/>
      <c r="AD516" s="9"/>
      <c r="AE516" s="9"/>
      <c r="AI516" s="26"/>
      <c r="AJ516" s="26"/>
      <c r="AK516" s="32"/>
      <c r="AL516" s="32"/>
      <c r="AM516" s="26"/>
      <c r="AN516" s="26"/>
      <c r="AO516" s="26"/>
      <c r="AP516" s="9"/>
      <c r="AQ516" s="9"/>
      <c r="AR516" s="9"/>
      <c r="AV516" s="5"/>
      <c r="AW516" s="5"/>
      <c r="AX516" s="26"/>
      <c r="AY516" s="26"/>
      <c r="AZ516" s="32"/>
      <c r="BA516" s="32"/>
    </row>
    <row r="517" spans="10:53">
      <c r="J517" s="9"/>
      <c r="K517" s="9"/>
      <c r="T517" s="5"/>
      <c r="U517" s="5"/>
      <c r="V517" s="26"/>
      <c r="W517" s="26"/>
      <c r="X517" s="26"/>
      <c r="Y517" s="26"/>
      <c r="Z517" s="26"/>
      <c r="AA517" s="9"/>
      <c r="AC517" s="9"/>
      <c r="AD517" s="9"/>
      <c r="AE517" s="9"/>
      <c r="AI517" s="26"/>
      <c r="AJ517" s="26"/>
      <c r="AK517" s="32"/>
      <c r="AL517" s="32"/>
      <c r="AM517" s="26"/>
      <c r="AN517" s="26"/>
      <c r="AO517" s="26"/>
      <c r="AP517" s="9"/>
      <c r="AQ517" s="9"/>
      <c r="AR517" s="9"/>
      <c r="AV517" s="5"/>
      <c r="AW517" s="5"/>
      <c r="AX517" s="26"/>
      <c r="AY517" s="26"/>
      <c r="AZ517" s="32"/>
      <c r="BA517" s="32"/>
    </row>
    <row r="518" spans="10:53">
      <c r="J518" s="9"/>
      <c r="K518" s="9"/>
      <c r="T518" s="5"/>
      <c r="U518" s="5"/>
      <c r="V518" s="26"/>
      <c r="W518" s="26"/>
      <c r="X518" s="26"/>
      <c r="Y518" s="26"/>
      <c r="Z518" s="26"/>
      <c r="AA518" s="9"/>
      <c r="AC518" s="9"/>
      <c r="AD518" s="9"/>
      <c r="AE518" s="9"/>
      <c r="AI518" s="26"/>
      <c r="AJ518" s="26"/>
      <c r="AK518" s="32"/>
      <c r="AL518" s="32"/>
      <c r="AM518" s="26"/>
      <c r="AN518" s="26"/>
      <c r="AO518" s="26"/>
      <c r="AP518" s="9"/>
      <c r="AQ518" s="9"/>
      <c r="AR518" s="9"/>
      <c r="AV518" s="5"/>
      <c r="AW518" s="5"/>
      <c r="AX518" s="26"/>
      <c r="AY518" s="26"/>
      <c r="AZ518" s="32"/>
      <c r="BA518" s="32"/>
    </row>
    <row r="519" spans="10:53">
      <c r="J519" s="9"/>
      <c r="K519" s="9"/>
      <c r="T519" s="5"/>
      <c r="U519" s="5"/>
      <c r="V519" s="26"/>
      <c r="W519" s="26"/>
      <c r="X519" s="26"/>
      <c r="Y519" s="26"/>
      <c r="Z519" s="26"/>
      <c r="AA519" s="9"/>
      <c r="AC519" s="9"/>
      <c r="AD519" s="9"/>
      <c r="AE519" s="9"/>
      <c r="AI519" s="26"/>
      <c r="AJ519" s="26"/>
      <c r="AK519" s="32"/>
      <c r="AL519" s="32"/>
      <c r="AM519" s="26"/>
      <c r="AN519" s="26"/>
      <c r="AO519" s="26"/>
      <c r="AP519" s="9"/>
      <c r="AQ519" s="9"/>
      <c r="AR519" s="9"/>
      <c r="AV519" s="5"/>
      <c r="AW519" s="5"/>
      <c r="AX519" s="26"/>
      <c r="AY519" s="26"/>
      <c r="AZ519" s="32"/>
      <c r="BA519" s="32"/>
    </row>
    <row r="520" spans="10:53">
      <c r="J520" s="9"/>
      <c r="K520" s="9"/>
      <c r="T520" s="5"/>
      <c r="U520" s="5"/>
      <c r="V520" s="26"/>
      <c r="W520" s="26"/>
      <c r="X520" s="26"/>
      <c r="Y520" s="26"/>
      <c r="Z520" s="26"/>
      <c r="AA520" s="9"/>
      <c r="AC520" s="9"/>
      <c r="AD520" s="9"/>
      <c r="AE520" s="9"/>
      <c r="AI520" s="26"/>
      <c r="AJ520" s="26"/>
      <c r="AK520" s="32"/>
      <c r="AL520" s="32"/>
      <c r="AM520" s="26"/>
      <c r="AN520" s="26"/>
      <c r="AO520" s="26"/>
      <c r="AP520" s="9"/>
      <c r="AQ520" s="9"/>
      <c r="AR520" s="9"/>
      <c r="AV520" s="5"/>
      <c r="AW520" s="5"/>
      <c r="AX520" s="26"/>
      <c r="AY520" s="26"/>
      <c r="AZ520" s="32"/>
      <c r="BA520" s="32"/>
    </row>
    <row r="521" spans="10:53">
      <c r="J521" s="9"/>
      <c r="K521" s="9"/>
      <c r="T521" s="5"/>
      <c r="U521" s="5"/>
      <c r="V521" s="26"/>
      <c r="W521" s="26"/>
      <c r="X521" s="26"/>
      <c r="Y521" s="26"/>
      <c r="Z521" s="26"/>
      <c r="AA521" s="9"/>
      <c r="AC521" s="9"/>
      <c r="AD521" s="9"/>
      <c r="AE521" s="9"/>
      <c r="AI521" s="26"/>
      <c r="AJ521" s="26"/>
      <c r="AK521" s="32"/>
      <c r="AL521" s="32"/>
      <c r="AM521" s="26"/>
      <c r="AN521" s="26"/>
      <c r="AO521" s="26"/>
      <c r="AP521" s="9"/>
      <c r="AQ521" s="9"/>
      <c r="AR521" s="9"/>
      <c r="AV521" s="5"/>
      <c r="AW521" s="5"/>
      <c r="AX521" s="26"/>
      <c r="AY521" s="26"/>
      <c r="AZ521" s="32"/>
      <c r="BA521" s="32"/>
    </row>
    <row r="522" spans="10:53">
      <c r="J522" s="9"/>
      <c r="K522" s="9"/>
      <c r="T522" s="5"/>
      <c r="U522" s="5"/>
      <c r="V522" s="26"/>
      <c r="W522" s="26"/>
      <c r="X522" s="26"/>
      <c r="Y522" s="26"/>
      <c r="Z522" s="26"/>
      <c r="AA522" s="9"/>
      <c r="AC522" s="9"/>
      <c r="AD522" s="9"/>
      <c r="AE522" s="9"/>
      <c r="AI522" s="26"/>
      <c r="AJ522" s="26"/>
      <c r="AK522" s="32"/>
      <c r="AL522" s="32"/>
      <c r="AM522" s="26"/>
      <c r="AN522" s="26"/>
      <c r="AO522" s="26"/>
      <c r="AP522" s="9"/>
      <c r="AQ522" s="9"/>
      <c r="AR522" s="9"/>
      <c r="AV522" s="5"/>
      <c r="AW522" s="5"/>
      <c r="AX522" s="26"/>
      <c r="AY522" s="26"/>
      <c r="AZ522" s="32"/>
      <c r="BA522" s="32"/>
    </row>
    <row r="523" spans="10:53">
      <c r="J523" s="9"/>
      <c r="K523" s="9"/>
      <c r="T523" s="5"/>
      <c r="U523" s="5"/>
      <c r="V523" s="26"/>
      <c r="W523" s="26"/>
      <c r="X523" s="26"/>
      <c r="Y523" s="26"/>
      <c r="Z523" s="26"/>
      <c r="AA523" s="9"/>
      <c r="AC523" s="9"/>
      <c r="AD523" s="9"/>
      <c r="AE523" s="9"/>
      <c r="AI523" s="26"/>
      <c r="AJ523" s="26"/>
      <c r="AK523" s="32"/>
      <c r="AL523" s="32"/>
      <c r="AM523" s="26"/>
      <c r="AN523" s="26"/>
      <c r="AO523" s="26"/>
      <c r="AP523" s="9"/>
      <c r="AQ523" s="9"/>
      <c r="AR523" s="9"/>
      <c r="AV523" s="5"/>
      <c r="AW523" s="5"/>
      <c r="AX523" s="26"/>
      <c r="AY523" s="26"/>
      <c r="AZ523" s="32"/>
      <c r="BA523" s="32"/>
    </row>
    <row r="524" spans="10:53">
      <c r="J524" s="9"/>
      <c r="K524" s="9"/>
      <c r="T524" s="5"/>
      <c r="U524" s="5"/>
      <c r="V524" s="26"/>
      <c r="W524" s="26"/>
      <c r="X524" s="26"/>
      <c r="Y524" s="26"/>
      <c r="Z524" s="26"/>
      <c r="AA524" s="9"/>
      <c r="AC524" s="9"/>
      <c r="AD524" s="9"/>
      <c r="AE524" s="9"/>
      <c r="AI524" s="26"/>
      <c r="AJ524" s="26"/>
      <c r="AK524" s="32"/>
      <c r="AL524" s="32"/>
      <c r="AM524" s="26"/>
      <c r="AN524" s="26"/>
      <c r="AO524" s="26"/>
      <c r="AP524" s="9"/>
      <c r="AQ524" s="9"/>
      <c r="AR524" s="9"/>
      <c r="AV524" s="5"/>
      <c r="AW524" s="5"/>
      <c r="AX524" s="26"/>
      <c r="AY524" s="26"/>
      <c r="AZ524" s="32"/>
      <c r="BA524" s="32"/>
    </row>
    <row r="525" spans="10:53">
      <c r="J525" s="9"/>
      <c r="K525" s="9"/>
      <c r="T525" s="5"/>
      <c r="U525" s="5"/>
      <c r="V525" s="26"/>
      <c r="W525" s="26"/>
      <c r="X525" s="26"/>
      <c r="Y525" s="26"/>
      <c r="Z525" s="26"/>
      <c r="AA525" s="9"/>
      <c r="AC525" s="9"/>
      <c r="AD525" s="9"/>
      <c r="AE525" s="9"/>
      <c r="AI525" s="26"/>
      <c r="AJ525" s="26"/>
      <c r="AK525" s="32"/>
      <c r="AL525" s="32"/>
      <c r="AM525" s="26"/>
      <c r="AN525" s="26"/>
      <c r="AO525" s="26"/>
      <c r="AP525" s="9"/>
      <c r="AQ525" s="9"/>
      <c r="AR525" s="9"/>
      <c r="AV525" s="5"/>
      <c r="AW525" s="5"/>
      <c r="AX525" s="26"/>
      <c r="AY525" s="26"/>
      <c r="AZ525" s="32"/>
      <c r="BA525" s="32"/>
    </row>
    <row r="526" spans="10:53">
      <c r="J526" s="9"/>
      <c r="K526" s="9"/>
      <c r="T526" s="5"/>
      <c r="U526" s="5"/>
      <c r="V526" s="26"/>
      <c r="W526" s="26"/>
      <c r="X526" s="26"/>
      <c r="Y526" s="26"/>
      <c r="Z526" s="26"/>
      <c r="AA526" s="9"/>
      <c r="AC526" s="9"/>
      <c r="AD526" s="9"/>
      <c r="AE526" s="9"/>
      <c r="AI526" s="26"/>
      <c r="AJ526" s="26"/>
      <c r="AK526" s="32"/>
      <c r="AL526" s="32"/>
      <c r="AM526" s="26"/>
      <c r="AN526" s="26"/>
      <c r="AO526" s="26"/>
      <c r="AP526" s="9"/>
      <c r="AQ526" s="9"/>
      <c r="AR526" s="9"/>
      <c r="AV526" s="5"/>
      <c r="AW526" s="5"/>
      <c r="AX526" s="26"/>
      <c r="AY526" s="26"/>
      <c r="AZ526" s="32"/>
      <c r="BA526" s="32"/>
    </row>
    <row r="527" spans="10:53">
      <c r="J527" s="9"/>
      <c r="K527" s="9"/>
      <c r="T527" s="5"/>
      <c r="U527" s="5"/>
      <c r="V527" s="26"/>
      <c r="W527" s="26"/>
      <c r="X527" s="26"/>
      <c r="Y527" s="26"/>
      <c r="Z527" s="26"/>
      <c r="AA527" s="9"/>
      <c r="AC527" s="9"/>
      <c r="AD527" s="9"/>
      <c r="AE527" s="9"/>
      <c r="AI527" s="26"/>
      <c r="AJ527" s="26"/>
      <c r="AK527" s="32"/>
      <c r="AL527" s="32"/>
      <c r="AM527" s="26"/>
      <c r="AN527" s="26"/>
      <c r="AO527" s="26"/>
      <c r="AP527" s="9"/>
      <c r="AQ527" s="9"/>
      <c r="AR527" s="9"/>
      <c r="AV527" s="5"/>
      <c r="AW527" s="5"/>
      <c r="AX527" s="26"/>
      <c r="AY527" s="26"/>
      <c r="AZ527" s="32"/>
      <c r="BA527" s="32"/>
    </row>
    <row r="528" spans="10:53">
      <c r="J528" s="9"/>
      <c r="K528" s="9"/>
      <c r="T528" s="5"/>
      <c r="U528" s="5"/>
      <c r="V528" s="26"/>
      <c r="W528" s="26"/>
      <c r="X528" s="26"/>
      <c r="Y528" s="26"/>
      <c r="Z528" s="26"/>
      <c r="AA528" s="9"/>
      <c r="AC528" s="9"/>
      <c r="AD528" s="9"/>
      <c r="AE528" s="9"/>
      <c r="AI528" s="26"/>
      <c r="AJ528" s="26"/>
      <c r="AK528" s="32"/>
      <c r="AL528" s="32"/>
      <c r="AM528" s="26"/>
      <c r="AN528" s="26"/>
      <c r="AO528" s="26"/>
      <c r="AP528" s="9"/>
      <c r="AQ528" s="9"/>
      <c r="AR528" s="9"/>
      <c r="AV528" s="5"/>
      <c r="AW528" s="5"/>
      <c r="AX528" s="26"/>
      <c r="AY528" s="26"/>
      <c r="AZ528" s="32"/>
      <c r="BA528" s="32"/>
    </row>
    <row r="529" spans="10:53">
      <c r="J529" s="9"/>
      <c r="K529" s="9"/>
      <c r="T529" s="5"/>
      <c r="U529" s="5"/>
      <c r="V529" s="26"/>
      <c r="W529" s="26"/>
      <c r="X529" s="26"/>
      <c r="Y529" s="26"/>
      <c r="Z529" s="26"/>
      <c r="AA529" s="9"/>
      <c r="AC529" s="9"/>
      <c r="AD529" s="9"/>
      <c r="AE529" s="9"/>
      <c r="AI529" s="26"/>
      <c r="AJ529" s="26"/>
      <c r="AK529" s="32"/>
      <c r="AL529" s="32"/>
      <c r="AM529" s="26"/>
      <c r="AN529" s="26"/>
      <c r="AO529" s="26"/>
      <c r="AP529" s="9"/>
      <c r="AQ529" s="9"/>
      <c r="AR529" s="9"/>
      <c r="AV529" s="5"/>
      <c r="AW529" s="5"/>
      <c r="AX529" s="26"/>
      <c r="AY529" s="26"/>
      <c r="AZ529" s="32"/>
      <c r="BA529" s="32"/>
    </row>
    <row r="530" spans="10:53">
      <c r="J530" s="9"/>
      <c r="K530" s="9"/>
      <c r="T530" s="5"/>
      <c r="U530" s="5"/>
      <c r="V530" s="26"/>
      <c r="W530" s="26"/>
      <c r="X530" s="26"/>
      <c r="Y530" s="26"/>
      <c r="Z530" s="26"/>
      <c r="AA530" s="9"/>
      <c r="AC530" s="9"/>
      <c r="AD530" s="9"/>
      <c r="AE530" s="9"/>
      <c r="AI530" s="26"/>
      <c r="AJ530" s="26"/>
      <c r="AK530" s="32"/>
      <c r="AL530" s="32"/>
      <c r="AM530" s="26"/>
      <c r="AN530" s="26"/>
      <c r="AO530" s="26"/>
      <c r="AP530" s="9"/>
      <c r="AQ530" s="9"/>
      <c r="AR530" s="9"/>
      <c r="AV530" s="5"/>
      <c r="AW530" s="5"/>
      <c r="AX530" s="26"/>
      <c r="AY530" s="26"/>
      <c r="AZ530" s="32"/>
      <c r="BA530" s="32"/>
    </row>
    <row r="531" spans="10:53">
      <c r="J531" s="9"/>
      <c r="K531" s="9"/>
      <c r="T531" s="5"/>
      <c r="U531" s="5"/>
      <c r="V531" s="26"/>
      <c r="W531" s="26"/>
      <c r="X531" s="26"/>
      <c r="Y531" s="26"/>
      <c r="Z531" s="26"/>
      <c r="AA531" s="9"/>
      <c r="AC531" s="9"/>
      <c r="AD531" s="9"/>
      <c r="AE531" s="9"/>
      <c r="AI531" s="26"/>
      <c r="AJ531" s="26"/>
      <c r="AK531" s="32"/>
      <c r="AL531" s="32"/>
      <c r="AM531" s="26"/>
      <c r="AN531" s="26"/>
      <c r="AO531" s="26"/>
      <c r="AP531" s="9"/>
      <c r="AQ531" s="9"/>
      <c r="AR531" s="9"/>
      <c r="AV531" s="5"/>
      <c r="AW531" s="5"/>
      <c r="AX531" s="26"/>
      <c r="AY531" s="26"/>
      <c r="AZ531" s="32"/>
      <c r="BA531" s="32"/>
    </row>
    <row r="532" spans="10:53">
      <c r="J532" s="9"/>
      <c r="K532" s="9"/>
      <c r="T532" s="5"/>
      <c r="U532" s="5"/>
      <c r="V532" s="26"/>
      <c r="W532" s="26"/>
      <c r="X532" s="26"/>
      <c r="Y532" s="26"/>
      <c r="Z532" s="26"/>
      <c r="AA532" s="9"/>
      <c r="AC532" s="9"/>
      <c r="AD532" s="9"/>
      <c r="AE532" s="9"/>
      <c r="AI532" s="26"/>
      <c r="AJ532" s="26"/>
      <c r="AK532" s="32"/>
      <c r="AL532" s="32"/>
      <c r="AM532" s="26"/>
      <c r="AN532" s="26"/>
      <c r="AO532" s="26"/>
      <c r="AP532" s="9"/>
      <c r="AQ532" s="9"/>
      <c r="AR532" s="9"/>
      <c r="AV532" s="5"/>
      <c r="AW532" s="5"/>
      <c r="AX532" s="26"/>
      <c r="AY532" s="26"/>
      <c r="AZ532" s="32"/>
      <c r="BA532" s="32"/>
    </row>
    <row r="533" spans="10:53">
      <c r="J533" s="9"/>
      <c r="K533" s="9"/>
      <c r="T533" s="5"/>
      <c r="U533" s="5"/>
      <c r="V533" s="26"/>
      <c r="W533" s="26"/>
      <c r="X533" s="26"/>
      <c r="Y533" s="26"/>
      <c r="Z533" s="26"/>
      <c r="AA533" s="9"/>
      <c r="AC533" s="9"/>
      <c r="AD533" s="9"/>
      <c r="AE533" s="9"/>
      <c r="AI533" s="26"/>
      <c r="AJ533" s="26"/>
      <c r="AK533" s="32"/>
      <c r="AL533" s="32"/>
      <c r="AM533" s="26"/>
      <c r="AN533" s="26"/>
      <c r="AO533" s="26"/>
      <c r="AP533" s="9"/>
      <c r="AQ533" s="9"/>
      <c r="AR533" s="9"/>
      <c r="AV533" s="5"/>
      <c r="AW533" s="5"/>
      <c r="AX533" s="26"/>
      <c r="AY533" s="26"/>
      <c r="AZ533" s="32"/>
      <c r="BA533" s="32"/>
    </row>
    <row r="534" spans="10:53">
      <c r="J534" s="9"/>
      <c r="K534" s="9"/>
      <c r="T534" s="5"/>
      <c r="U534" s="5"/>
      <c r="V534" s="26"/>
      <c r="W534" s="26"/>
      <c r="X534" s="26"/>
      <c r="Y534" s="26"/>
      <c r="Z534" s="26"/>
      <c r="AA534" s="9"/>
      <c r="AC534" s="9"/>
      <c r="AD534" s="9"/>
      <c r="AE534" s="9"/>
      <c r="AI534" s="26"/>
      <c r="AJ534" s="26"/>
      <c r="AK534" s="32"/>
      <c r="AL534" s="32"/>
      <c r="AM534" s="26"/>
      <c r="AN534" s="26"/>
      <c r="AO534" s="26"/>
      <c r="AP534" s="9"/>
      <c r="AQ534" s="9"/>
      <c r="AR534" s="9"/>
      <c r="AV534" s="5"/>
      <c r="AW534" s="5"/>
      <c r="AX534" s="26"/>
      <c r="AY534" s="26"/>
      <c r="AZ534" s="32"/>
      <c r="BA534" s="32"/>
    </row>
    <row r="535" spans="10:53">
      <c r="J535" s="9"/>
      <c r="K535" s="9"/>
      <c r="T535" s="5"/>
      <c r="U535" s="5"/>
      <c r="V535" s="26"/>
      <c r="W535" s="26"/>
      <c r="X535" s="26"/>
      <c r="Y535" s="26"/>
      <c r="Z535" s="26"/>
      <c r="AA535" s="9"/>
      <c r="AC535" s="9"/>
      <c r="AD535" s="9"/>
      <c r="AE535" s="9"/>
      <c r="AI535" s="26"/>
      <c r="AJ535" s="26"/>
      <c r="AK535" s="32"/>
      <c r="AL535" s="32"/>
      <c r="AM535" s="26"/>
      <c r="AN535" s="26"/>
      <c r="AO535" s="26"/>
      <c r="AP535" s="9"/>
      <c r="AQ535" s="9"/>
      <c r="AR535" s="9"/>
      <c r="AV535" s="5"/>
      <c r="AW535" s="5"/>
      <c r="AX535" s="26"/>
      <c r="AY535" s="26"/>
      <c r="AZ535" s="32"/>
      <c r="BA535" s="32"/>
    </row>
    <row r="536" spans="10:53">
      <c r="J536" s="9"/>
      <c r="K536" s="9"/>
      <c r="T536" s="5"/>
      <c r="U536" s="5"/>
      <c r="V536" s="26"/>
      <c r="W536" s="26"/>
      <c r="X536" s="26"/>
      <c r="Y536" s="26"/>
      <c r="Z536" s="26"/>
      <c r="AA536" s="9"/>
      <c r="AC536" s="9"/>
      <c r="AD536" s="9"/>
      <c r="AE536" s="9"/>
      <c r="AI536" s="26"/>
      <c r="AJ536" s="26"/>
      <c r="AK536" s="32"/>
      <c r="AL536" s="32"/>
      <c r="AM536" s="26"/>
      <c r="AN536" s="26"/>
      <c r="AO536" s="26"/>
      <c r="AP536" s="9"/>
      <c r="AQ536" s="9"/>
      <c r="AR536" s="9"/>
      <c r="AV536" s="5"/>
      <c r="AW536" s="5"/>
      <c r="AX536" s="26"/>
      <c r="AY536" s="26"/>
      <c r="AZ536" s="32"/>
      <c r="BA536" s="32"/>
    </row>
    <row r="537" spans="10:53">
      <c r="J537" s="9"/>
      <c r="K537" s="9"/>
      <c r="T537" s="5"/>
      <c r="U537" s="5"/>
      <c r="V537" s="26"/>
      <c r="W537" s="26"/>
      <c r="X537" s="26"/>
      <c r="Y537" s="26"/>
      <c r="Z537" s="26"/>
      <c r="AA537" s="9"/>
      <c r="AC537" s="9"/>
      <c r="AD537" s="9"/>
      <c r="AE537" s="9"/>
      <c r="AI537" s="26"/>
      <c r="AJ537" s="26"/>
      <c r="AK537" s="32"/>
      <c r="AL537" s="32"/>
      <c r="AM537" s="26"/>
      <c r="AN537" s="26"/>
      <c r="AO537" s="26"/>
      <c r="AP537" s="9"/>
      <c r="AQ537" s="9"/>
      <c r="AR537" s="9"/>
      <c r="AV537" s="5"/>
      <c r="AW537" s="5"/>
      <c r="AX537" s="26"/>
      <c r="AY537" s="26"/>
      <c r="AZ537" s="32"/>
      <c r="BA537" s="32"/>
    </row>
    <row r="538" spans="10:53">
      <c r="J538" s="9"/>
      <c r="K538" s="9"/>
      <c r="T538" s="5"/>
      <c r="U538" s="5"/>
      <c r="V538" s="26"/>
      <c r="W538" s="26"/>
      <c r="X538" s="26"/>
      <c r="Y538" s="26"/>
      <c r="Z538" s="26"/>
      <c r="AA538" s="9"/>
      <c r="AC538" s="9"/>
      <c r="AD538" s="9"/>
      <c r="AE538" s="9"/>
      <c r="AI538" s="26"/>
      <c r="AJ538" s="26"/>
      <c r="AK538" s="32"/>
      <c r="AL538" s="32"/>
      <c r="AM538" s="26"/>
      <c r="AN538" s="26"/>
      <c r="AO538" s="26"/>
      <c r="AP538" s="9"/>
      <c r="AQ538" s="9"/>
      <c r="AR538" s="9"/>
      <c r="AV538" s="5"/>
      <c r="AW538" s="5"/>
      <c r="AX538" s="26"/>
      <c r="AY538" s="26"/>
      <c r="AZ538" s="32"/>
      <c r="BA538" s="32"/>
    </row>
    <row r="539" spans="10:53">
      <c r="J539" s="9"/>
      <c r="K539" s="9"/>
      <c r="T539" s="5"/>
      <c r="U539" s="5"/>
      <c r="V539" s="26"/>
      <c r="W539" s="26"/>
      <c r="X539" s="26"/>
      <c r="Y539" s="26"/>
      <c r="Z539" s="26"/>
      <c r="AA539" s="9"/>
      <c r="AC539" s="9"/>
      <c r="AD539" s="9"/>
      <c r="AE539" s="9"/>
      <c r="AI539" s="26"/>
      <c r="AJ539" s="26"/>
      <c r="AK539" s="32"/>
      <c r="AL539" s="32"/>
      <c r="AM539" s="26"/>
      <c r="AN539" s="26"/>
      <c r="AO539" s="26"/>
      <c r="AP539" s="9"/>
      <c r="AQ539" s="9"/>
      <c r="AR539" s="9"/>
      <c r="AV539" s="5"/>
      <c r="AW539" s="5"/>
      <c r="AX539" s="26"/>
      <c r="AY539" s="26"/>
      <c r="AZ539" s="32"/>
      <c r="BA539" s="32"/>
    </row>
    <row r="540" spans="10:53">
      <c r="J540" s="9"/>
      <c r="K540" s="9"/>
      <c r="T540" s="5"/>
      <c r="U540" s="5"/>
      <c r="V540" s="26"/>
      <c r="W540" s="26"/>
      <c r="X540" s="26"/>
      <c r="Y540" s="26"/>
      <c r="Z540" s="26"/>
      <c r="AA540" s="9"/>
      <c r="AC540" s="9"/>
      <c r="AD540" s="9"/>
      <c r="AE540" s="9"/>
      <c r="AI540" s="26"/>
      <c r="AJ540" s="26"/>
      <c r="AK540" s="32"/>
      <c r="AL540" s="32"/>
      <c r="AM540" s="26"/>
      <c r="AN540" s="26"/>
      <c r="AO540" s="26"/>
      <c r="AP540" s="9"/>
      <c r="AQ540" s="9"/>
      <c r="AR540" s="9"/>
      <c r="AV540" s="5"/>
      <c r="AW540" s="5"/>
      <c r="AX540" s="26"/>
      <c r="AY540" s="26"/>
      <c r="AZ540" s="32"/>
      <c r="BA540" s="32"/>
    </row>
    <row r="541" spans="10:53">
      <c r="J541" s="9"/>
      <c r="K541" s="9"/>
      <c r="T541" s="5"/>
      <c r="U541" s="5"/>
      <c r="V541" s="26"/>
      <c r="W541" s="26"/>
      <c r="X541" s="26"/>
      <c r="Y541" s="26"/>
      <c r="Z541" s="26"/>
      <c r="AA541" s="9"/>
      <c r="AC541" s="9"/>
      <c r="AD541" s="9"/>
      <c r="AE541" s="9"/>
      <c r="AI541" s="26"/>
      <c r="AJ541" s="26"/>
      <c r="AK541" s="32"/>
      <c r="AL541" s="32"/>
      <c r="AM541" s="26"/>
      <c r="AN541" s="26"/>
      <c r="AO541" s="26"/>
      <c r="AP541" s="9"/>
      <c r="AQ541" s="9"/>
      <c r="AR541" s="9"/>
      <c r="AV541" s="5"/>
      <c r="AW541" s="5"/>
      <c r="AX541" s="26"/>
      <c r="AY541" s="26"/>
      <c r="AZ541" s="32"/>
      <c r="BA541" s="32"/>
    </row>
    <row r="542" spans="10:53">
      <c r="J542" s="9"/>
      <c r="K542" s="9"/>
      <c r="T542" s="5"/>
      <c r="U542" s="5"/>
      <c r="V542" s="26"/>
      <c r="W542" s="26"/>
      <c r="X542" s="26"/>
      <c r="Y542" s="26"/>
      <c r="Z542" s="26"/>
      <c r="AA542" s="9"/>
      <c r="AC542" s="9"/>
      <c r="AD542" s="9"/>
      <c r="AE542" s="9"/>
      <c r="AI542" s="26"/>
      <c r="AJ542" s="26"/>
      <c r="AK542" s="32"/>
      <c r="AL542" s="32"/>
      <c r="AM542" s="26"/>
      <c r="AN542" s="26"/>
      <c r="AO542" s="26"/>
      <c r="AP542" s="9"/>
      <c r="AQ542" s="9"/>
      <c r="AR542" s="9"/>
      <c r="AV542" s="5"/>
      <c r="AW542" s="5"/>
      <c r="AX542" s="26"/>
      <c r="AY542" s="26"/>
      <c r="AZ542" s="32"/>
      <c r="BA542" s="32"/>
    </row>
    <row r="543" spans="10:53">
      <c r="J543" s="9"/>
      <c r="K543" s="9"/>
      <c r="T543" s="5"/>
      <c r="U543" s="5"/>
      <c r="V543" s="26"/>
      <c r="W543" s="26"/>
      <c r="X543" s="26"/>
      <c r="Y543" s="26"/>
      <c r="Z543" s="26"/>
      <c r="AA543" s="9"/>
      <c r="AC543" s="9"/>
      <c r="AD543" s="9"/>
      <c r="AE543" s="9"/>
      <c r="AI543" s="26"/>
      <c r="AJ543" s="26"/>
      <c r="AK543" s="32"/>
      <c r="AL543" s="32"/>
      <c r="AM543" s="26"/>
      <c r="AN543" s="26"/>
      <c r="AO543" s="26"/>
      <c r="AP543" s="9"/>
      <c r="AQ543" s="9"/>
      <c r="AR543" s="9"/>
      <c r="AV543" s="5"/>
      <c r="AW543" s="5"/>
      <c r="AX543" s="26"/>
      <c r="AY543" s="26"/>
      <c r="AZ543" s="32"/>
      <c r="BA543" s="32"/>
    </row>
    <row r="544" spans="10:53">
      <c r="J544" s="9"/>
      <c r="K544" s="9"/>
      <c r="T544" s="5"/>
      <c r="U544" s="5"/>
      <c r="V544" s="26"/>
      <c r="W544" s="26"/>
      <c r="X544" s="26"/>
      <c r="Y544" s="26"/>
      <c r="Z544" s="26"/>
      <c r="AA544" s="9"/>
      <c r="AC544" s="9"/>
      <c r="AD544" s="9"/>
      <c r="AE544" s="9"/>
      <c r="AI544" s="26"/>
      <c r="AJ544" s="26"/>
      <c r="AK544" s="32"/>
      <c r="AL544" s="32"/>
      <c r="AM544" s="26"/>
      <c r="AN544" s="26"/>
      <c r="AO544" s="26"/>
      <c r="AP544" s="9"/>
      <c r="AQ544" s="9"/>
      <c r="AR544" s="9"/>
      <c r="AV544" s="5"/>
      <c r="AW544" s="5"/>
      <c r="AX544" s="26"/>
      <c r="AY544" s="26"/>
      <c r="AZ544" s="32"/>
      <c r="BA544" s="32"/>
    </row>
    <row r="545" spans="10:53">
      <c r="J545" s="9"/>
      <c r="K545" s="9"/>
      <c r="T545" s="5"/>
      <c r="U545" s="5"/>
      <c r="V545" s="26"/>
      <c r="W545" s="26"/>
      <c r="X545" s="26"/>
      <c r="Y545" s="26"/>
      <c r="Z545" s="26"/>
      <c r="AA545" s="9"/>
      <c r="AC545" s="9"/>
      <c r="AD545" s="9"/>
      <c r="AE545" s="9"/>
      <c r="AI545" s="26"/>
      <c r="AJ545" s="26"/>
      <c r="AK545" s="32"/>
      <c r="AL545" s="32"/>
      <c r="AM545" s="26"/>
      <c r="AN545" s="26"/>
      <c r="AO545" s="26"/>
      <c r="AP545" s="9"/>
      <c r="AQ545" s="9"/>
      <c r="AR545" s="9"/>
      <c r="AV545" s="5"/>
      <c r="AW545" s="5"/>
      <c r="AX545" s="26"/>
      <c r="AY545" s="26"/>
      <c r="AZ545" s="32"/>
      <c r="BA545" s="32"/>
    </row>
    <row r="546" spans="10:53">
      <c r="J546" s="9"/>
      <c r="K546" s="9"/>
      <c r="T546" s="5"/>
      <c r="U546" s="5"/>
      <c r="V546" s="26"/>
      <c r="W546" s="26"/>
      <c r="X546" s="26"/>
      <c r="Y546" s="26"/>
      <c r="Z546" s="26"/>
      <c r="AA546" s="9"/>
      <c r="AC546" s="9"/>
      <c r="AD546" s="9"/>
      <c r="AE546" s="9"/>
      <c r="AI546" s="26"/>
      <c r="AJ546" s="26"/>
      <c r="AK546" s="32"/>
      <c r="AL546" s="32"/>
      <c r="AM546" s="26"/>
      <c r="AN546" s="26"/>
      <c r="AO546" s="26"/>
      <c r="AP546" s="9"/>
      <c r="AQ546" s="9"/>
      <c r="AR546" s="9"/>
      <c r="AV546" s="5"/>
      <c r="AW546" s="5"/>
      <c r="AX546" s="26"/>
      <c r="AY546" s="26"/>
      <c r="AZ546" s="32"/>
      <c r="BA546" s="32"/>
    </row>
    <row r="547" spans="10:53">
      <c r="J547" s="9"/>
      <c r="K547" s="9"/>
      <c r="T547" s="5"/>
      <c r="U547" s="5"/>
      <c r="V547" s="26"/>
      <c r="W547" s="26"/>
      <c r="X547" s="26"/>
      <c r="Y547" s="26"/>
      <c r="Z547" s="26"/>
      <c r="AA547" s="9"/>
      <c r="AC547" s="9"/>
      <c r="AD547" s="9"/>
      <c r="AE547" s="9"/>
      <c r="AI547" s="26"/>
      <c r="AJ547" s="26"/>
      <c r="AK547" s="32"/>
      <c r="AL547" s="32"/>
      <c r="AM547" s="26"/>
      <c r="AN547" s="26"/>
      <c r="AO547" s="26"/>
      <c r="AP547" s="9"/>
      <c r="AQ547" s="9"/>
      <c r="AR547" s="9"/>
      <c r="AV547" s="5"/>
      <c r="AW547" s="5"/>
      <c r="AX547" s="26"/>
      <c r="AY547" s="26"/>
      <c r="AZ547" s="32"/>
      <c r="BA547" s="32"/>
    </row>
    <row r="548" spans="10:53">
      <c r="J548" s="9"/>
      <c r="K548" s="9"/>
      <c r="T548" s="5"/>
      <c r="U548" s="5"/>
      <c r="V548" s="26"/>
      <c r="W548" s="26"/>
      <c r="X548" s="26"/>
      <c r="Y548" s="26"/>
      <c r="Z548" s="26"/>
      <c r="AA548" s="9"/>
      <c r="AC548" s="9"/>
      <c r="AD548" s="9"/>
      <c r="AE548" s="9"/>
      <c r="AI548" s="26"/>
      <c r="AJ548" s="26"/>
      <c r="AK548" s="32"/>
      <c r="AL548" s="32"/>
      <c r="AM548" s="26"/>
      <c r="AN548" s="26"/>
      <c r="AO548" s="26"/>
      <c r="AP548" s="9"/>
      <c r="AQ548" s="9"/>
      <c r="AR548" s="9"/>
      <c r="AV548" s="5"/>
      <c r="AW548" s="5"/>
      <c r="AX548" s="26"/>
      <c r="AY548" s="26"/>
      <c r="AZ548" s="32"/>
      <c r="BA548" s="32"/>
    </row>
    <row r="549" spans="10:53">
      <c r="J549" s="9"/>
      <c r="K549" s="9"/>
      <c r="T549" s="5"/>
      <c r="U549" s="5"/>
      <c r="V549" s="26"/>
      <c r="W549" s="26"/>
      <c r="X549" s="26"/>
      <c r="Y549" s="26"/>
      <c r="Z549" s="26"/>
      <c r="AA549" s="9"/>
      <c r="AC549" s="9"/>
      <c r="AD549" s="9"/>
      <c r="AE549" s="9"/>
      <c r="AI549" s="26"/>
      <c r="AJ549" s="26"/>
      <c r="AK549" s="32"/>
      <c r="AL549" s="32"/>
      <c r="AM549" s="26"/>
      <c r="AN549" s="26"/>
      <c r="AO549" s="26"/>
      <c r="AP549" s="9"/>
      <c r="AQ549" s="9"/>
      <c r="AR549" s="9"/>
      <c r="AV549" s="5"/>
      <c r="AW549" s="5"/>
      <c r="AX549" s="26"/>
      <c r="AY549" s="26"/>
      <c r="AZ549" s="32"/>
      <c r="BA549" s="32"/>
    </row>
    <row r="550" spans="10:53">
      <c r="J550" s="9"/>
      <c r="K550" s="9"/>
      <c r="T550" s="5"/>
      <c r="U550" s="5"/>
      <c r="V550" s="26"/>
      <c r="W550" s="26"/>
      <c r="X550" s="26"/>
      <c r="Y550" s="26"/>
      <c r="Z550" s="26"/>
      <c r="AA550" s="9"/>
      <c r="AC550" s="9"/>
      <c r="AD550" s="9"/>
      <c r="AE550" s="9"/>
      <c r="AI550" s="26"/>
      <c r="AJ550" s="26"/>
      <c r="AK550" s="32"/>
      <c r="AL550" s="32"/>
      <c r="AM550" s="26"/>
      <c r="AN550" s="26"/>
      <c r="AO550" s="26"/>
      <c r="AP550" s="9"/>
      <c r="AQ550" s="9"/>
      <c r="AR550" s="9"/>
      <c r="AV550" s="5"/>
      <c r="AW550" s="5"/>
      <c r="AX550" s="26"/>
      <c r="AY550" s="26"/>
      <c r="AZ550" s="32"/>
      <c r="BA550" s="32"/>
    </row>
    <row r="551" spans="10:53">
      <c r="J551" s="9"/>
      <c r="K551" s="9"/>
      <c r="T551" s="5"/>
      <c r="U551" s="5"/>
      <c r="V551" s="26"/>
      <c r="W551" s="26"/>
      <c r="X551" s="26"/>
      <c r="Y551" s="26"/>
      <c r="Z551" s="26"/>
      <c r="AA551" s="9"/>
      <c r="AC551" s="9"/>
      <c r="AD551" s="9"/>
      <c r="AE551" s="9"/>
      <c r="AI551" s="26"/>
      <c r="AJ551" s="26"/>
      <c r="AK551" s="32"/>
      <c r="AL551" s="32"/>
      <c r="AM551" s="26"/>
      <c r="AN551" s="26"/>
      <c r="AO551" s="26"/>
      <c r="AP551" s="9"/>
      <c r="AQ551" s="9"/>
      <c r="AR551" s="9"/>
      <c r="AV551" s="5"/>
      <c r="AW551" s="5"/>
      <c r="AX551" s="26"/>
      <c r="AY551" s="26"/>
      <c r="AZ551" s="32"/>
      <c r="BA551" s="32"/>
    </row>
    <row r="552" spans="10:53">
      <c r="J552" s="9"/>
      <c r="K552" s="9"/>
      <c r="T552" s="5"/>
      <c r="U552" s="5"/>
      <c r="V552" s="26"/>
      <c r="W552" s="26"/>
      <c r="X552" s="26"/>
      <c r="Y552" s="26"/>
      <c r="Z552" s="26"/>
      <c r="AA552" s="9"/>
      <c r="AC552" s="9"/>
      <c r="AD552" s="9"/>
      <c r="AE552" s="9"/>
      <c r="AI552" s="26"/>
      <c r="AJ552" s="26"/>
      <c r="AK552" s="32"/>
      <c r="AL552" s="32"/>
      <c r="AM552" s="26"/>
      <c r="AN552" s="26"/>
      <c r="AO552" s="26"/>
      <c r="AP552" s="9"/>
      <c r="AQ552" s="9"/>
      <c r="AR552" s="9"/>
      <c r="AV552" s="5"/>
      <c r="AW552" s="5"/>
      <c r="AX552" s="26"/>
      <c r="AY552" s="26"/>
      <c r="AZ552" s="32"/>
      <c r="BA552" s="32"/>
    </row>
    <row r="553" spans="10:53">
      <c r="J553" s="9"/>
      <c r="K553" s="9"/>
      <c r="T553" s="5"/>
      <c r="U553" s="5"/>
      <c r="V553" s="26"/>
      <c r="W553" s="26"/>
      <c r="X553" s="26"/>
      <c r="Y553" s="26"/>
      <c r="Z553" s="26"/>
      <c r="AA553" s="9"/>
      <c r="AC553" s="9"/>
      <c r="AD553" s="9"/>
      <c r="AE553" s="9"/>
      <c r="AI553" s="26"/>
      <c r="AJ553" s="26"/>
      <c r="AK553" s="32"/>
      <c r="AL553" s="32"/>
      <c r="AM553" s="26"/>
      <c r="AN553" s="26"/>
      <c r="AO553" s="26"/>
      <c r="AP553" s="9"/>
      <c r="AQ553" s="9"/>
      <c r="AR553" s="9"/>
      <c r="AV553" s="5"/>
      <c r="AW553" s="5"/>
      <c r="AX553" s="26"/>
      <c r="AY553" s="26"/>
      <c r="AZ553" s="32"/>
      <c r="BA553" s="32"/>
    </row>
    <row r="554" spans="10:53">
      <c r="J554" s="9"/>
      <c r="K554" s="9"/>
      <c r="T554" s="5"/>
      <c r="U554" s="5"/>
      <c r="V554" s="26"/>
      <c r="W554" s="26"/>
      <c r="X554" s="26"/>
      <c r="Y554" s="26"/>
      <c r="Z554" s="26"/>
      <c r="AA554" s="9"/>
      <c r="AC554" s="9"/>
      <c r="AD554" s="9"/>
      <c r="AE554" s="9"/>
      <c r="AI554" s="26"/>
      <c r="AJ554" s="26"/>
      <c r="AK554" s="32"/>
      <c r="AL554" s="32"/>
      <c r="AM554" s="26"/>
      <c r="AN554" s="26"/>
      <c r="AO554" s="26"/>
      <c r="AP554" s="9"/>
      <c r="AQ554" s="9"/>
      <c r="AR554" s="9"/>
      <c r="AV554" s="5"/>
      <c r="AW554" s="5"/>
      <c r="AX554" s="26"/>
      <c r="AY554" s="26"/>
      <c r="AZ554" s="32"/>
      <c r="BA554" s="32"/>
    </row>
    <row r="555" spans="10:53">
      <c r="J555" s="9"/>
      <c r="K555" s="9"/>
      <c r="T555" s="5"/>
      <c r="U555" s="5"/>
      <c r="V555" s="26"/>
      <c r="W555" s="26"/>
      <c r="X555" s="26"/>
      <c r="Y555" s="26"/>
      <c r="Z555" s="26"/>
      <c r="AA555" s="9"/>
      <c r="AC555" s="9"/>
      <c r="AD555" s="9"/>
      <c r="AE555" s="9"/>
      <c r="AI555" s="26"/>
      <c r="AJ555" s="26"/>
      <c r="AK555" s="32"/>
      <c r="AL555" s="32"/>
      <c r="AM555" s="26"/>
      <c r="AN555" s="26"/>
      <c r="AO555" s="26"/>
      <c r="AP555" s="9"/>
      <c r="AQ555" s="9"/>
      <c r="AR555" s="9"/>
      <c r="AV555" s="5"/>
      <c r="AW555" s="5"/>
      <c r="AX555" s="26"/>
      <c r="AY555" s="26"/>
      <c r="AZ555" s="32"/>
      <c r="BA555" s="32"/>
    </row>
    <row r="556" spans="10:53">
      <c r="J556" s="9"/>
      <c r="K556" s="9"/>
      <c r="T556" s="5"/>
      <c r="U556" s="5"/>
      <c r="V556" s="26"/>
      <c r="W556" s="26"/>
      <c r="X556" s="26"/>
      <c r="Y556" s="26"/>
      <c r="Z556" s="26"/>
      <c r="AA556" s="9"/>
      <c r="AC556" s="9"/>
      <c r="AD556" s="9"/>
      <c r="AE556" s="9"/>
      <c r="AI556" s="26"/>
      <c r="AJ556" s="26"/>
      <c r="AK556" s="32"/>
      <c r="AL556" s="32"/>
      <c r="AM556" s="26"/>
      <c r="AN556" s="26"/>
      <c r="AO556" s="26"/>
      <c r="AP556" s="9"/>
      <c r="AQ556" s="9"/>
      <c r="AR556" s="9"/>
      <c r="AV556" s="5"/>
      <c r="AW556" s="5"/>
      <c r="AX556" s="26"/>
      <c r="AY556" s="26"/>
      <c r="AZ556" s="32"/>
      <c r="BA556" s="32"/>
    </row>
    <row r="557" spans="10:53">
      <c r="J557" s="9"/>
      <c r="K557" s="9"/>
      <c r="T557" s="5"/>
      <c r="U557" s="5"/>
      <c r="V557" s="26"/>
      <c r="W557" s="26"/>
      <c r="X557" s="26"/>
      <c r="Y557" s="26"/>
      <c r="Z557" s="26"/>
      <c r="AA557" s="9"/>
      <c r="AC557" s="9"/>
      <c r="AD557" s="9"/>
      <c r="AE557" s="9"/>
      <c r="AI557" s="26"/>
      <c r="AJ557" s="26"/>
      <c r="AK557" s="32"/>
      <c r="AL557" s="32"/>
      <c r="AM557" s="26"/>
      <c r="AN557" s="26"/>
      <c r="AO557" s="26"/>
      <c r="AP557" s="9"/>
      <c r="AQ557" s="9"/>
      <c r="AR557" s="9"/>
      <c r="AV557" s="5"/>
      <c r="AW557" s="5"/>
      <c r="AX557" s="26"/>
      <c r="AY557" s="26"/>
      <c r="AZ557" s="32"/>
      <c r="BA557" s="32"/>
    </row>
    <row r="558" spans="10:53">
      <c r="J558" s="9"/>
      <c r="K558" s="9"/>
      <c r="T558" s="5"/>
      <c r="U558" s="5"/>
      <c r="V558" s="26"/>
      <c r="W558" s="26"/>
      <c r="X558" s="26"/>
      <c r="Y558" s="26"/>
      <c r="Z558" s="26"/>
      <c r="AA558" s="9"/>
      <c r="AC558" s="9"/>
      <c r="AD558" s="9"/>
      <c r="AE558" s="9"/>
      <c r="AI558" s="26"/>
      <c r="AJ558" s="26"/>
      <c r="AK558" s="32"/>
      <c r="AL558" s="32"/>
      <c r="AM558" s="26"/>
      <c r="AN558" s="26"/>
      <c r="AO558" s="26"/>
      <c r="AP558" s="9"/>
      <c r="AQ558" s="9"/>
      <c r="AR558" s="9"/>
      <c r="AV558" s="5"/>
      <c r="AW558" s="5"/>
      <c r="AX558" s="26"/>
      <c r="AY558" s="26"/>
      <c r="AZ558" s="32"/>
      <c r="BA558" s="32"/>
    </row>
    <row r="559" spans="10:53">
      <c r="J559" s="9"/>
      <c r="K559" s="9"/>
      <c r="T559" s="5"/>
      <c r="U559" s="5"/>
      <c r="V559" s="26"/>
      <c r="W559" s="26"/>
      <c r="X559" s="26"/>
      <c r="Y559" s="26"/>
      <c r="Z559" s="26"/>
      <c r="AA559" s="9"/>
      <c r="AC559" s="9"/>
      <c r="AD559" s="9"/>
      <c r="AE559" s="9"/>
      <c r="AI559" s="26"/>
      <c r="AJ559" s="26"/>
      <c r="AK559" s="32"/>
      <c r="AL559" s="32"/>
      <c r="AM559" s="26"/>
      <c r="AN559" s="26"/>
      <c r="AO559" s="26"/>
      <c r="AP559" s="9"/>
      <c r="AQ559" s="9"/>
      <c r="AR559" s="9"/>
      <c r="AV559" s="5"/>
      <c r="AW559" s="5"/>
      <c r="AX559" s="26"/>
      <c r="AY559" s="26"/>
      <c r="AZ559" s="32"/>
      <c r="BA559" s="32"/>
    </row>
    <row r="560" spans="10:53">
      <c r="J560" s="9"/>
      <c r="K560" s="9"/>
      <c r="T560" s="5"/>
      <c r="U560" s="5"/>
      <c r="V560" s="26"/>
      <c r="W560" s="26"/>
      <c r="X560" s="26"/>
      <c r="Y560" s="26"/>
      <c r="Z560" s="26"/>
      <c r="AA560" s="9"/>
      <c r="AC560" s="9"/>
      <c r="AD560" s="9"/>
      <c r="AE560" s="9"/>
      <c r="AI560" s="26"/>
      <c r="AJ560" s="26"/>
      <c r="AK560" s="32"/>
      <c r="AL560" s="32"/>
      <c r="AM560" s="26"/>
      <c r="AN560" s="26"/>
      <c r="AO560" s="26"/>
      <c r="AP560" s="9"/>
      <c r="AQ560" s="9"/>
      <c r="AR560" s="9"/>
      <c r="AV560" s="5"/>
      <c r="AW560" s="5"/>
      <c r="AX560" s="26"/>
      <c r="AY560" s="26"/>
      <c r="AZ560" s="32"/>
      <c r="BA560" s="32"/>
    </row>
    <row r="561" spans="10:53">
      <c r="J561" s="9"/>
      <c r="K561" s="9"/>
      <c r="T561" s="5"/>
      <c r="U561" s="5"/>
      <c r="V561" s="26"/>
      <c r="W561" s="26"/>
      <c r="X561" s="26"/>
      <c r="Y561" s="26"/>
      <c r="Z561" s="26"/>
      <c r="AA561" s="9"/>
      <c r="AC561" s="9"/>
      <c r="AD561" s="9"/>
      <c r="AE561" s="9"/>
      <c r="AI561" s="26"/>
      <c r="AJ561" s="26"/>
      <c r="AK561" s="32"/>
      <c r="AL561" s="32"/>
      <c r="AM561" s="26"/>
      <c r="AN561" s="26"/>
      <c r="AO561" s="26"/>
      <c r="AP561" s="9"/>
      <c r="AQ561" s="9"/>
      <c r="AR561" s="9"/>
      <c r="AV561" s="5"/>
      <c r="AW561" s="5"/>
      <c r="AX561" s="26"/>
      <c r="AY561" s="26"/>
      <c r="AZ561" s="32"/>
      <c r="BA561" s="32"/>
    </row>
    <row r="562" spans="10:53">
      <c r="J562" s="9"/>
      <c r="K562" s="9"/>
      <c r="T562" s="5"/>
      <c r="U562" s="5"/>
      <c r="V562" s="26"/>
      <c r="W562" s="26"/>
      <c r="X562" s="26"/>
      <c r="Y562" s="26"/>
      <c r="Z562" s="26"/>
      <c r="AA562" s="9"/>
      <c r="AC562" s="9"/>
      <c r="AD562" s="9"/>
      <c r="AE562" s="9"/>
      <c r="AI562" s="26"/>
      <c r="AJ562" s="26"/>
      <c r="AK562" s="32"/>
      <c r="AL562" s="32"/>
      <c r="AM562" s="26"/>
      <c r="AN562" s="26"/>
      <c r="AO562" s="26"/>
      <c r="AP562" s="9"/>
      <c r="AQ562" s="9"/>
      <c r="AR562" s="9"/>
      <c r="AV562" s="5"/>
      <c r="AW562" s="5"/>
      <c r="AX562" s="26"/>
      <c r="AY562" s="26"/>
      <c r="AZ562" s="32"/>
      <c r="BA562" s="32"/>
    </row>
    <row r="563" spans="10:53">
      <c r="J563" s="9"/>
      <c r="K563" s="9"/>
      <c r="T563" s="5"/>
      <c r="U563" s="5"/>
      <c r="V563" s="26"/>
      <c r="W563" s="26"/>
      <c r="X563" s="26"/>
      <c r="Y563" s="26"/>
      <c r="Z563" s="26"/>
      <c r="AA563" s="9"/>
      <c r="AC563" s="9"/>
      <c r="AD563" s="9"/>
      <c r="AE563" s="9"/>
      <c r="AI563" s="26"/>
      <c r="AJ563" s="26"/>
      <c r="AK563" s="32"/>
      <c r="AL563" s="32"/>
      <c r="AM563" s="26"/>
      <c r="AN563" s="26"/>
      <c r="AO563" s="26"/>
      <c r="AP563" s="9"/>
      <c r="AQ563" s="9"/>
      <c r="AR563" s="9"/>
      <c r="AV563" s="5"/>
      <c r="AW563" s="5"/>
      <c r="AX563" s="26"/>
      <c r="AY563" s="26"/>
      <c r="AZ563" s="32"/>
      <c r="BA563" s="32"/>
    </row>
    <row r="564" spans="10:53">
      <c r="J564" s="9"/>
      <c r="K564" s="9"/>
      <c r="T564" s="5"/>
      <c r="U564" s="5"/>
      <c r="V564" s="26"/>
      <c r="W564" s="26"/>
      <c r="X564" s="26"/>
      <c r="Y564" s="26"/>
      <c r="Z564" s="26"/>
      <c r="AA564" s="9"/>
      <c r="AC564" s="9"/>
      <c r="AD564" s="9"/>
      <c r="AE564" s="9"/>
      <c r="AI564" s="26"/>
      <c r="AJ564" s="26"/>
      <c r="AK564" s="32"/>
      <c r="AL564" s="32"/>
      <c r="AM564" s="26"/>
      <c r="AN564" s="26"/>
      <c r="AO564" s="26"/>
      <c r="AP564" s="9"/>
      <c r="AQ564" s="9"/>
      <c r="AR564" s="9"/>
      <c r="AV564" s="5"/>
      <c r="AW564" s="5"/>
      <c r="AX564" s="26"/>
      <c r="AY564" s="26"/>
      <c r="AZ564" s="32"/>
      <c r="BA564" s="32"/>
    </row>
    <row r="565" spans="10:53">
      <c r="J565" s="9"/>
      <c r="K565" s="9"/>
      <c r="T565" s="5"/>
      <c r="U565" s="5"/>
      <c r="V565" s="26"/>
      <c r="W565" s="26"/>
      <c r="X565" s="26"/>
      <c r="Y565" s="26"/>
      <c r="Z565" s="26"/>
      <c r="AA565" s="9"/>
      <c r="AC565" s="9"/>
      <c r="AD565" s="9"/>
      <c r="AE565" s="9"/>
      <c r="AI565" s="26"/>
      <c r="AJ565" s="26"/>
      <c r="AK565" s="32"/>
      <c r="AL565" s="32"/>
      <c r="AM565" s="26"/>
      <c r="AN565" s="26"/>
      <c r="AO565" s="26"/>
      <c r="AP565" s="9"/>
      <c r="AQ565" s="9"/>
      <c r="AR565" s="9"/>
      <c r="AV565" s="5"/>
      <c r="AW565" s="5"/>
      <c r="AX565" s="26"/>
      <c r="AY565" s="26"/>
      <c r="AZ565" s="32"/>
      <c r="BA565" s="32"/>
    </row>
    <row r="566" spans="10:53">
      <c r="J566" s="9"/>
      <c r="K566" s="9"/>
      <c r="T566" s="5"/>
      <c r="U566" s="5"/>
      <c r="V566" s="26"/>
      <c r="W566" s="26"/>
      <c r="X566" s="26"/>
      <c r="Y566" s="26"/>
      <c r="Z566" s="26"/>
      <c r="AA566" s="9"/>
      <c r="AC566" s="9"/>
      <c r="AD566" s="9"/>
      <c r="AE566" s="9"/>
      <c r="AI566" s="26"/>
      <c r="AJ566" s="26"/>
      <c r="AK566" s="32"/>
      <c r="AL566" s="32"/>
      <c r="AM566" s="26"/>
      <c r="AN566" s="26"/>
      <c r="AO566" s="26"/>
      <c r="AP566" s="9"/>
      <c r="AQ566" s="9"/>
      <c r="AR566" s="9"/>
      <c r="AV566" s="5"/>
      <c r="AW566" s="5"/>
      <c r="AX566" s="26"/>
      <c r="AY566" s="26"/>
      <c r="AZ566" s="32"/>
      <c r="BA566" s="32"/>
    </row>
    <row r="567" spans="10:53">
      <c r="J567" s="9"/>
      <c r="K567" s="9"/>
      <c r="T567" s="5"/>
      <c r="U567" s="5"/>
      <c r="V567" s="26"/>
      <c r="W567" s="26"/>
      <c r="X567" s="26"/>
      <c r="Y567" s="26"/>
      <c r="Z567" s="26"/>
      <c r="AA567" s="9"/>
      <c r="AC567" s="9"/>
      <c r="AD567" s="9"/>
      <c r="AE567" s="9"/>
      <c r="AI567" s="26"/>
      <c r="AJ567" s="26"/>
      <c r="AK567" s="32"/>
      <c r="AL567" s="32"/>
      <c r="AM567" s="26"/>
      <c r="AN567" s="26"/>
      <c r="AO567" s="26"/>
      <c r="AP567" s="9"/>
      <c r="AQ567" s="9"/>
      <c r="AR567" s="9"/>
      <c r="AV567" s="5"/>
      <c r="AW567" s="5"/>
      <c r="AX567" s="26"/>
      <c r="AY567" s="26"/>
      <c r="AZ567" s="32"/>
      <c r="BA567" s="32"/>
    </row>
    <row r="568" spans="10:53">
      <c r="J568" s="9"/>
      <c r="K568" s="9"/>
      <c r="T568" s="5"/>
      <c r="U568" s="5"/>
      <c r="V568" s="26"/>
      <c r="W568" s="26"/>
      <c r="X568" s="26"/>
      <c r="Y568" s="26"/>
      <c r="Z568" s="26"/>
      <c r="AA568" s="9"/>
      <c r="AC568" s="9"/>
      <c r="AD568" s="9"/>
      <c r="AE568" s="9"/>
      <c r="AI568" s="26"/>
      <c r="AJ568" s="26"/>
      <c r="AK568" s="32"/>
      <c r="AL568" s="32"/>
      <c r="AM568" s="26"/>
      <c r="AN568" s="26"/>
      <c r="AO568" s="26"/>
      <c r="AP568" s="9"/>
      <c r="AQ568" s="9"/>
      <c r="AR568" s="9"/>
      <c r="AV568" s="5"/>
      <c r="AW568" s="5"/>
      <c r="AX568" s="26"/>
      <c r="AY568" s="26"/>
      <c r="AZ568" s="32"/>
      <c r="BA568" s="32"/>
    </row>
    <row r="569" spans="10:53">
      <c r="J569" s="9"/>
      <c r="K569" s="9"/>
      <c r="T569" s="5"/>
      <c r="U569" s="5"/>
      <c r="V569" s="26"/>
      <c r="W569" s="26"/>
      <c r="X569" s="26"/>
      <c r="Y569" s="26"/>
      <c r="Z569" s="26"/>
      <c r="AA569" s="9"/>
      <c r="AC569" s="9"/>
      <c r="AD569" s="9"/>
      <c r="AE569" s="9"/>
      <c r="AI569" s="26"/>
      <c r="AJ569" s="26"/>
      <c r="AK569" s="32"/>
      <c r="AL569" s="32"/>
      <c r="AM569" s="26"/>
      <c r="AN569" s="26"/>
      <c r="AO569" s="26"/>
      <c r="AP569" s="9"/>
      <c r="AQ569" s="9"/>
      <c r="AR569" s="9"/>
      <c r="AV569" s="5"/>
      <c r="AW569" s="5"/>
      <c r="AX569" s="26"/>
      <c r="AY569" s="26"/>
      <c r="AZ569" s="32"/>
      <c r="BA569" s="32"/>
    </row>
    <row r="570" spans="10:53">
      <c r="J570" s="9"/>
      <c r="K570" s="9"/>
      <c r="T570" s="5"/>
      <c r="U570" s="5"/>
      <c r="V570" s="26"/>
      <c r="W570" s="26"/>
      <c r="X570" s="26"/>
      <c r="Y570" s="26"/>
      <c r="Z570" s="26"/>
      <c r="AA570" s="9"/>
      <c r="AC570" s="9"/>
      <c r="AD570" s="9"/>
      <c r="AE570" s="9"/>
      <c r="AI570" s="26"/>
      <c r="AJ570" s="26"/>
      <c r="AK570" s="32"/>
      <c r="AL570" s="32"/>
      <c r="AM570" s="26"/>
      <c r="AN570" s="26"/>
      <c r="AO570" s="26"/>
      <c r="AP570" s="9"/>
      <c r="AQ570" s="9"/>
      <c r="AR570" s="9"/>
      <c r="AV570" s="5"/>
      <c r="AW570" s="5"/>
      <c r="AX570" s="26"/>
      <c r="AY570" s="26"/>
      <c r="AZ570" s="32"/>
      <c r="BA570" s="32"/>
    </row>
    <row r="571" spans="10:53">
      <c r="J571" s="9"/>
      <c r="K571" s="9"/>
      <c r="T571" s="5"/>
      <c r="U571" s="5"/>
      <c r="V571" s="26"/>
      <c r="W571" s="26"/>
      <c r="X571" s="26"/>
      <c r="Y571" s="26"/>
      <c r="Z571" s="26"/>
      <c r="AA571" s="9"/>
      <c r="AC571" s="9"/>
      <c r="AD571" s="9"/>
      <c r="AE571" s="9"/>
      <c r="AI571" s="26"/>
      <c r="AJ571" s="26"/>
      <c r="AK571" s="32"/>
      <c r="AL571" s="32"/>
      <c r="AM571" s="26"/>
      <c r="AN571" s="26"/>
      <c r="AO571" s="26"/>
      <c r="AP571" s="9"/>
      <c r="AQ571" s="9"/>
      <c r="AR571" s="9"/>
      <c r="AV571" s="5"/>
      <c r="AW571" s="5"/>
      <c r="AX571" s="26"/>
      <c r="AY571" s="26"/>
      <c r="AZ571" s="32"/>
      <c r="BA571" s="32"/>
    </row>
    <row r="572" spans="10:53">
      <c r="J572" s="9"/>
      <c r="K572" s="9"/>
      <c r="T572" s="5"/>
      <c r="U572" s="5"/>
      <c r="V572" s="26"/>
      <c r="W572" s="26"/>
      <c r="X572" s="26"/>
      <c r="Y572" s="26"/>
      <c r="Z572" s="26"/>
      <c r="AA572" s="9"/>
      <c r="AC572" s="9"/>
      <c r="AD572" s="9"/>
      <c r="AE572" s="9"/>
      <c r="AI572" s="26"/>
      <c r="AJ572" s="26"/>
      <c r="AK572" s="32"/>
      <c r="AL572" s="32"/>
      <c r="AM572" s="26"/>
      <c r="AN572" s="26"/>
      <c r="AO572" s="26"/>
      <c r="AP572" s="9"/>
      <c r="AQ572" s="9"/>
      <c r="AR572" s="9"/>
      <c r="AV572" s="5"/>
      <c r="AW572" s="5"/>
      <c r="AX572" s="26"/>
      <c r="AY572" s="26"/>
      <c r="AZ572" s="32"/>
      <c r="BA572" s="32"/>
    </row>
    <row r="573" spans="10:53">
      <c r="J573" s="9"/>
      <c r="K573" s="9"/>
      <c r="T573" s="5"/>
      <c r="U573" s="5"/>
      <c r="V573" s="26"/>
      <c r="W573" s="26"/>
      <c r="X573" s="26"/>
      <c r="Y573" s="26"/>
      <c r="Z573" s="26"/>
      <c r="AA573" s="9"/>
      <c r="AC573" s="9"/>
      <c r="AD573" s="9"/>
      <c r="AE573" s="9"/>
      <c r="AI573" s="26"/>
      <c r="AJ573" s="26"/>
      <c r="AK573" s="32"/>
      <c r="AL573" s="32"/>
      <c r="AM573" s="26"/>
      <c r="AN573" s="26"/>
      <c r="AO573" s="26"/>
      <c r="AP573" s="9"/>
      <c r="AQ573" s="9"/>
      <c r="AR573" s="9"/>
      <c r="AV573" s="5"/>
      <c r="AW573" s="5"/>
      <c r="AX573" s="26"/>
      <c r="AY573" s="26"/>
      <c r="AZ573" s="32"/>
      <c r="BA573" s="32"/>
    </row>
    <row r="574" spans="10:53">
      <c r="J574" s="9"/>
      <c r="K574" s="9"/>
      <c r="T574" s="5"/>
      <c r="U574" s="5"/>
      <c r="V574" s="26"/>
      <c r="W574" s="26"/>
      <c r="X574" s="26"/>
      <c r="Y574" s="26"/>
      <c r="Z574" s="26"/>
      <c r="AA574" s="9"/>
      <c r="AC574" s="9"/>
      <c r="AD574" s="9"/>
      <c r="AE574" s="9"/>
      <c r="AI574" s="26"/>
      <c r="AJ574" s="26"/>
      <c r="AK574" s="32"/>
      <c r="AL574" s="32"/>
      <c r="AM574" s="26"/>
      <c r="AN574" s="26"/>
      <c r="AO574" s="26"/>
      <c r="AP574" s="9"/>
      <c r="AQ574" s="9"/>
      <c r="AR574" s="9"/>
      <c r="AV574" s="5"/>
      <c r="AW574" s="5"/>
      <c r="AX574" s="26"/>
      <c r="AY574" s="26"/>
      <c r="AZ574" s="32"/>
      <c r="BA574" s="32"/>
    </row>
    <row r="575" spans="10:53">
      <c r="J575" s="9"/>
      <c r="K575" s="9"/>
      <c r="T575" s="5"/>
      <c r="U575" s="5"/>
      <c r="V575" s="26"/>
      <c r="W575" s="26"/>
      <c r="X575" s="26"/>
      <c r="Y575" s="26"/>
      <c r="Z575" s="26"/>
      <c r="AA575" s="9"/>
      <c r="AC575" s="9"/>
      <c r="AD575" s="9"/>
      <c r="AE575" s="9"/>
      <c r="AI575" s="26"/>
      <c r="AJ575" s="26"/>
      <c r="AK575" s="32"/>
      <c r="AL575" s="32"/>
      <c r="AM575" s="26"/>
      <c r="AN575" s="26"/>
      <c r="AO575" s="26"/>
      <c r="AP575" s="9"/>
      <c r="AQ575" s="9"/>
      <c r="AR575" s="9"/>
      <c r="AV575" s="5"/>
      <c r="AW575" s="5"/>
      <c r="AX575" s="26"/>
      <c r="AY575" s="26"/>
      <c r="AZ575" s="32"/>
      <c r="BA575" s="32"/>
    </row>
    <row r="576" spans="10:53">
      <c r="J576" s="9"/>
      <c r="K576" s="9"/>
      <c r="T576" s="5"/>
      <c r="U576" s="5"/>
      <c r="V576" s="26"/>
      <c r="W576" s="26"/>
      <c r="X576" s="26"/>
      <c r="Y576" s="26"/>
      <c r="Z576" s="26"/>
      <c r="AA576" s="9"/>
      <c r="AC576" s="9"/>
      <c r="AD576" s="9"/>
      <c r="AE576" s="9"/>
      <c r="AI576" s="26"/>
      <c r="AJ576" s="26"/>
      <c r="AK576" s="32"/>
      <c r="AL576" s="32"/>
      <c r="AM576" s="26"/>
      <c r="AN576" s="26"/>
      <c r="AO576" s="26"/>
      <c r="AP576" s="9"/>
      <c r="AQ576" s="9"/>
      <c r="AR576" s="9"/>
      <c r="AV576" s="5"/>
      <c r="AW576" s="5"/>
      <c r="AX576" s="26"/>
      <c r="AY576" s="26"/>
      <c r="AZ576" s="32"/>
      <c r="BA576" s="32"/>
    </row>
    <row r="577" spans="10:53">
      <c r="J577" s="9"/>
      <c r="K577" s="9"/>
      <c r="T577" s="5"/>
      <c r="U577" s="5"/>
      <c r="V577" s="26"/>
      <c r="W577" s="26"/>
      <c r="X577" s="26"/>
      <c r="Y577" s="26"/>
      <c r="Z577" s="26"/>
      <c r="AA577" s="9"/>
      <c r="AC577" s="9"/>
      <c r="AD577" s="9"/>
      <c r="AE577" s="9"/>
      <c r="AI577" s="26"/>
      <c r="AJ577" s="26"/>
      <c r="AK577" s="32"/>
      <c r="AL577" s="32"/>
      <c r="AM577" s="26"/>
      <c r="AN577" s="26"/>
      <c r="AO577" s="26"/>
      <c r="AP577" s="9"/>
      <c r="AQ577" s="9"/>
      <c r="AR577" s="9"/>
      <c r="AV577" s="5"/>
      <c r="AW577" s="5"/>
      <c r="AX577" s="26"/>
      <c r="AY577" s="26"/>
      <c r="AZ577" s="32"/>
      <c r="BA577" s="32"/>
    </row>
    <row r="578" spans="10:53">
      <c r="J578" s="9"/>
      <c r="K578" s="9"/>
      <c r="T578" s="5"/>
      <c r="U578" s="5"/>
      <c r="V578" s="26"/>
      <c r="W578" s="26"/>
      <c r="X578" s="26"/>
      <c r="Y578" s="26"/>
      <c r="Z578" s="26"/>
      <c r="AA578" s="9"/>
      <c r="AC578" s="9"/>
      <c r="AD578" s="9"/>
      <c r="AE578" s="9"/>
      <c r="AI578" s="26"/>
      <c r="AJ578" s="26"/>
      <c r="AK578" s="32"/>
      <c r="AL578" s="32"/>
      <c r="AM578" s="26"/>
      <c r="AN578" s="26"/>
      <c r="AO578" s="26"/>
      <c r="AP578" s="9"/>
      <c r="AQ578" s="9"/>
      <c r="AR578" s="9"/>
      <c r="AV578" s="5"/>
      <c r="AW578" s="5"/>
      <c r="AX578" s="26"/>
      <c r="AY578" s="26"/>
      <c r="AZ578" s="32"/>
      <c r="BA578" s="32"/>
    </row>
    <row r="579" spans="10:53">
      <c r="J579" s="9"/>
      <c r="K579" s="9"/>
      <c r="T579" s="5"/>
      <c r="U579" s="5"/>
      <c r="V579" s="26"/>
      <c r="W579" s="26"/>
      <c r="X579" s="26"/>
      <c r="Y579" s="26"/>
      <c r="Z579" s="26"/>
      <c r="AA579" s="9"/>
      <c r="AC579" s="9"/>
      <c r="AD579" s="9"/>
      <c r="AE579" s="9"/>
      <c r="AI579" s="26"/>
      <c r="AJ579" s="26"/>
      <c r="AK579" s="32"/>
      <c r="AL579" s="32"/>
      <c r="AM579" s="26"/>
      <c r="AN579" s="26"/>
      <c r="AO579" s="26"/>
      <c r="AP579" s="9"/>
      <c r="AQ579" s="9"/>
      <c r="AR579" s="9"/>
      <c r="AV579" s="5"/>
      <c r="AW579" s="5"/>
      <c r="AX579" s="26"/>
      <c r="AY579" s="26"/>
      <c r="AZ579" s="32"/>
      <c r="BA579" s="32"/>
    </row>
    <row r="580" spans="10:53">
      <c r="J580" s="9"/>
      <c r="K580" s="9"/>
      <c r="T580" s="5"/>
      <c r="U580" s="5"/>
      <c r="V580" s="26"/>
      <c r="W580" s="26"/>
      <c r="X580" s="26"/>
      <c r="Y580" s="26"/>
      <c r="Z580" s="26"/>
      <c r="AA580" s="9"/>
      <c r="AC580" s="9"/>
      <c r="AD580" s="9"/>
      <c r="AE580" s="9"/>
      <c r="AI580" s="26"/>
      <c r="AJ580" s="26"/>
      <c r="AK580" s="32"/>
      <c r="AL580" s="32"/>
      <c r="AM580" s="26"/>
      <c r="AN580" s="26"/>
      <c r="AO580" s="26"/>
      <c r="AP580" s="9"/>
      <c r="AQ580" s="9"/>
      <c r="AR580" s="9"/>
      <c r="AV580" s="5"/>
      <c r="AW580" s="5"/>
      <c r="AX580" s="26"/>
      <c r="AY580" s="26"/>
      <c r="AZ580" s="32"/>
      <c r="BA580" s="32"/>
    </row>
    <row r="581" spans="10:53">
      <c r="J581" s="9"/>
      <c r="K581" s="9"/>
      <c r="T581" s="5"/>
      <c r="U581" s="5"/>
      <c r="V581" s="26"/>
      <c r="W581" s="26"/>
      <c r="X581" s="26"/>
      <c r="Y581" s="26"/>
      <c r="Z581" s="26"/>
      <c r="AA581" s="9"/>
      <c r="AC581" s="9"/>
      <c r="AD581" s="9"/>
      <c r="AE581" s="9"/>
      <c r="AI581" s="26"/>
      <c r="AJ581" s="26"/>
      <c r="AK581" s="32"/>
      <c r="AL581" s="32"/>
      <c r="AM581" s="26"/>
      <c r="AN581" s="26"/>
      <c r="AO581" s="26"/>
      <c r="AP581" s="9"/>
      <c r="AQ581" s="9"/>
      <c r="AR581" s="9"/>
      <c r="AV581" s="5"/>
      <c r="AW581" s="5"/>
      <c r="AX581" s="26"/>
      <c r="AY581" s="26"/>
      <c r="AZ581" s="32"/>
      <c r="BA581" s="32"/>
    </row>
    <row r="582" spans="10:53">
      <c r="J582" s="9"/>
      <c r="K582" s="9"/>
      <c r="T582" s="5"/>
      <c r="U582" s="5"/>
      <c r="V582" s="26"/>
      <c r="W582" s="26"/>
      <c r="X582" s="26"/>
      <c r="Y582" s="26"/>
      <c r="Z582" s="26"/>
      <c r="AA582" s="9"/>
      <c r="AC582" s="9"/>
      <c r="AD582" s="9"/>
      <c r="AE582" s="9"/>
      <c r="AI582" s="26"/>
      <c r="AJ582" s="26"/>
      <c r="AK582" s="32"/>
      <c r="AL582" s="32"/>
      <c r="AM582" s="26"/>
      <c r="AN582" s="26"/>
      <c r="AO582" s="26"/>
      <c r="AP582" s="9"/>
      <c r="AQ582" s="9"/>
      <c r="AR582" s="9"/>
      <c r="AV582" s="5"/>
      <c r="AW582" s="5"/>
      <c r="AX582" s="26"/>
      <c r="AY582" s="26"/>
      <c r="AZ582" s="32"/>
      <c r="BA582" s="32"/>
    </row>
    <row r="583" spans="10:53">
      <c r="J583" s="9"/>
      <c r="K583" s="9"/>
      <c r="T583" s="5"/>
      <c r="U583" s="5"/>
      <c r="V583" s="26"/>
      <c r="W583" s="26"/>
      <c r="X583" s="26"/>
      <c r="Y583" s="26"/>
      <c r="Z583" s="26"/>
      <c r="AA583" s="9"/>
      <c r="AC583" s="9"/>
      <c r="AD583" s="9"/>
      <c r="AE583" s="9"/>
      <c r="AI583" s="26"/>
      <c r="AJ583" s="26"/>
      <c r="AK583" s="32"/>
      <c r="AL583" s="32"/>
      <c r="AM583" s="26"/>
      <c r="AN583" s="26"/>
      <c r="AO583" s="26"/>
      <c r="AP583" s="9"/>
      <c r="AQ583" s="9"/>
      <c r="AR583" s="9"/>
      <c r="AV583" s="5"/>
      <c r="AW583" s="5"/>
      <c r="AX583" s="26"/>
      <c r="AY583" s="26"/>
      <c r="AZ583" s="32"/>
      <c r="BA583" s="32"/>
    </row>
    <row r="584" spans="10:53">
      <c r="J584" s="9"/>
      <c r="K584" s="9"/>
      <c r="T584" s="5"/>
      <c r="U584" s="5"/>
      <c r="V584" s="26"/>
      <c r="W584" s="26"/>
      <c r="X584" s="26"/>
      <c r="Y584" s="26"/>
      <c r="Z584" s="26"/>
      <c r="AA584" s="9"/>
      <c r="AC584" s="9"/>
      <c r="AD584" s="9"/>
      <c r="AE584" s="9"/>
      <c r="AI584" s="26"/>
      <c r="AJ584" s="26"/>
      <c r="AK584" s="32"/>
      <c r="AL584" s="32"/>
      <c r="AM584" s="26"/>
      <c r="AN584" s="26"/>
      <c r="AO584" s="26"/>
      <c r="AP584" s="9"/>
      <c r="AQ584" s="9"/>
      <c r="AR584" s="9"/>
      <c r="AV584" s="5"/>
      <c r="AW584" s="5"/>
      <c r="AX584" s="26"/>
      <c r="AY584" s="26"/>
      <c r="AZ584" s="32"/>
      <c r="BA584" s="32"/>
    </row>
    <row r="585" spans="10:53">
      <c r="J585" s="9"/>
      <c r="K585" s="9"/>
      <c r="T585" s="5"/>
      <c r="U585" s="5"/>
      <c r="V585" s="26"/>
      <c r="W585" s="26"/>
      <c r="X585" s="26"/>
      <c r="Y585" s="26"/>
      <c r="Z585" s="26"/>
      <c r="AA585" s="9"/>
      <c r="AC585" s="9"/>
      <c r="AD585" s="9"/>
      <c r="AE585" s="9"/>
      <c r="AI585" s="26"/>
      <c r="AJ585" s="26"/>
      <c r="AK585" s="32"/>
      <c r="AL585" s="32"/>
      <c r="AM585" s="26"/>
      <c r="AN585" s="26"/>
      <c r="AO585" s="26"/>
      <c r="AP585" s="9"/>
      <c r="AQ585" s="9"/>
      <c r="AR585" s="9"/>
      <c r="AV585" s="5"/>
      <c r="AW585" s="5"/>
      <c r="AX585" s="26"/>
      <c r="AY585" s="26"/>
      <c r="AZ585" s="32"/>
      <c r="BA585" s="32"/>
    </row>
    <row r="586" spans="10:53">
      <c r="J586" s="9"/>
      <c r="K586" s="9"/>
      <c r="T586" s="5"/>
      <c r="U586" s="5"/>
      <c r="V586" s="26"/>
      <c r="W586" s="26"/>
      <c r="X586" s="26"/>
      <c r="Y586" s="26"/>
      <c r="Z586" s="26"/>
      <c r="AA586" s="9"/>
      <c r="AC586" s="9"/>
      <c r="AD586" s="9"/>
      <c r="AE586" s="9"/>
      <c r="AI586" s="26"/>
      <c r="AJ586" s="26"/>
      <c r="AK586" s="32"/>
      <c r="AL586" s="32"/>
      <c r="AM586" s="26"/>
      <c r="AN586" s="26"/>
      <c r="AO586" s="26"/>
      <c r="AP586" s="9"/>
      <c r="AQ586" s="9"/>
      <c r="AR586" s="9"/>
      <c r="AV586" s="5"/>
      <c r="AW586" s="5"/>
      <c r="AX586" s="26"/>
      <c r="AY586" s="26"/>
      <c r="AZ586" s="32"/>
      <c r="BA586" s="32"/>
    </row>
    <row r="587" spans="10:53">
      <c r="J587" s="9"/>
      <c r="K587" s="9"/>
      <c r="T587" s="5"/>
      <c r="U587" s="5"/>
      <c r="V587" s="26"/>
      <c r="W587" s="26"/>
      <c r="X587" s="26"/>
      <c r="Y587" s="26"/>
      <c r="Z587" s="26"/>
      <c r="AA587" s="9"/>
      <c r="AC587" s="9"/>
      <c r="AD587" s="9"/>
      <c r="AE587" s="9"/>
      <c r="AI587" s="26"/>
      <c r="AJ587" s="26"/>
      <c r="AK587" s="32"/>
      <c r="AL587" s="32"/>
      <c r="AM587" s="26"/>
      <c r="AN587" s="26"/>
      <c r="AO587" s="26"/>
      <c r="AP587" s="9"/>
      <c r="AQ587" s="9"/>
      <c r="AR587" s="9"/>
      <c r="AV587" s="5"/>
      <c r="AW587" s="5"/>
      <c r="AX587" s="26"/>
      <c r="AY587" s="26"/>
      <c r="AZ587" s="32"/>
      <c r="BA587" s="32"/>
    </row>
    <row r="588" spans="10:53">
      <c r="J588" s="9"/>
      <c r="K588" s="9"/>
      <c r="T588" s="5"/>
      <c r="U588" s="5"/>
      <c r="V588" s="26"/>
      <c r="W588" s="26"/>
      <c r="X588" s="26"/>
      <c r="Y588" s="26"/>
      <c r="Z588" s="26"/>
      <c r="AA588" s="9"/>
      <c r="AC588" s="9"/>
      <c r="AD588" s="9"/>
      <c r="AE588" s="9"/>
      <c r="AI588" s="26"/>
      <c r="AJ588" s="26"/>
      <c r="AK588" s="32"/>
      <c r="AL588" s="32"/>
      <c r="AM588" s="26"/>
      <c r="AN588" s="26"/>
      <c r="AO588" s="26"/>
      <c r="AP588" s="9"/>
      <c r="AQ588" s="9"/>
      <c r="AR588" s="9"/>
      <c r="AV588" s="5"/>
      <c r="AW588" s="5"/>
      <c r="AX588" s="26"/>
      <c r="AY588" s="26"/>
      <c r="AZ588" s="32"/>
      <c r="BA588" s="32"/>
    </row>
    <row r="589" spans="10:53">
      <c r="J589" s="9"/>
      <c r="K589" s="9"/>
      <c r="T589" s="5"/>
      <c r="U589" s="5"/>
      <c r="V589" s="26"/>
      <c r="W589" s="26"/>
      <c r="X589" s="26"/>
      <c r="Y589" s="26"/>
      <c r="Z589" s="26"/>
      <c r="AA589" s="9"/>
      <c r="AC589" s="9"/>
      <c r="AD589" s="9"/>
      <c r="AE589" s="9"/>
      <c r="AI589" s="26"/>
      <c r="AJ589" s="26"/>
      <c r="AK589" s="32"/>
      <c r="AL589" s="32"/>
      <c r="AM589" s="26"/>
      <c r="AN589" s="26"/>
      <c r="AO589" s="26"/>
      <c r="AP589" s="9"/>
      <c r="AQ589" s="9"/>
      <c r="AR589" s="9"/>
      <c r="AV589" s="5"/>
      <c r="AW589" s="5"/>
      <c r="AX589" s="26"/>
      <c r="AY589" s="26"/>
      <c r="AZ589" s="32"/>
      <c r="BA589" s="32"/>
    </row>
    <row r="590" spans="10:53">
      <c r="J590" s="9"/>
      <c r="K590" s="9"/>
      <c r="T590" s="5"/>
      <c r="U590" s="5"/>
      <c r="V590" s="26"/>
      <c r="W590" s="26"/>
      <c r="X590" s="26"/>
      <c r="Y590" s="26"/>
      <c r="Z590" s="26"/>
      <c r="AA590" s="9"/>
      <c r="AC590" s="9"/>
      <c r="AD590" s="9"/>
      <c r="AE590" s="9"/>
      <c r="AI590" s="26"/>
      <c r="AJ590" s="26"/>
      <c r="AK590" s="32"/>
      <c r="AL590" s="32"/>
      <c r="AM590" s="26"/>
      <c r="AN590" s="26"/>
      <c r="AO590" s="26"/>
      <c r="AP590" s="9"/>
      <c r="AQ590" s="9"/>
      <c r="AR590" s="9"/>
      <c r="AV590" s="5"/>
      <c r="AW590" s="5"/>
      <c r="AX590" s="26"/>
      <c r="AY590" s="26"/>
      <c r="AZ590" s="32"/>
      <c r="BA590" s="32"/>
    </row>
    <row r="591" spans="10:53">
      <c r="J591" s="9"/>
      <c r="K591" s="9"/>
      <c r="T591" s="5"/>
      <c r="U591" s="5"/>
      <c r="V591" s="26"/>
      <c r="W591" s="26"/>
      <c r="X591" s="26"/>
      <c r="Y591" s="26"/>
      <c r="Z591" s="26"/>
      <c r="AA591" s="9"/>
      <c r="AC591" s="9"/>
      <c r="AD591" s="9"/>
      <c r="AE591" s="9"/>
      <c r="AI591" s="26"/>
      <c r="AJ591" s="26"/>
      <c r="AK591" s="32"/>
      <c r="AL591" s="32"/>
      <c r="AM591" s="26"/>
      <c r="AN591" s="26"/>
      <c r="AO591" s="26"/>
      <c r="AP591" s="9"/>
      <c r="AQ591" s="9"/>
      <c r="AR591" s="9"/>
      <c r="AV591" s="5"/>
      <c r="AW591" s="5"/>
      <c r="AX591" s="26"/>
      <c r="AY591" s="26"/>
      <c r="AZ591" s="32"/>
      <c r="BA591" s="32"/>
    </row>
    <row r="592" spans="10:53">
      <c r="J592" s="9"/>
      <c r="K592" s="9"/>
      <c r="T592" s="5"/>
      <c r="U592" s="5"/>
      <c r="V592" s="26"/>
      <c r="W592" s="26"/>
      <c r="X592" s="26"/>
      <c r="Y592" s="26"/>
      <c r="Z592" s="26"/>
      <c r="AA592" s="9"/>
      <c r="AC592" s="9"/>
      <c r="AD592" s="9"/>
      <c r="AE592" s="9"/>
      <c r="AI592" s="26"/>
      <c r="AJ592" s="26"/>
      <c r="AK592" s="32"/>
      <c r="AL592" s="32"/>
      <c r="AM592" s="26"/>
      <c r="AN592" s="26"/>
      <c r="AO592" s="26"/>
      <c r="AP592" s="9"/>
      <c r="AQ592" s="9"/>
      <c r="AR592" s="9"/>
      <c r="AV592" s="5"/>
      <c r="AW592" s="5"/>
      <c r="AX592" s="26"/>
      <c r="AY592" s="26"/>
      <c r="AZ592" s="32"/>
      <c r="BA592" s="32"/>
    </row>
    <row r="593" spans="10:53">
      <c r="J593" s="9"/>
      <c r="K593" s="9"/>
      <c r="T593" s="5"/>
      <c r="U593" s="5"/>
      <c r="V593" s="26"/>
      <c r="W593" s="26"/>
      <c r="X593" s="26"/>
      <c r="Y593" s="26"/>
      <c r="Z593" s="26"/>
      <c r="AA593" s="9"/>
      <c r="AC593" s="9"/>
      <c r="AD593" s="9"/>
      <c r="AE593" s="9"/>
      <c r="AI593" s="26"/>
      <c r="AJ593" s="26"/>
      <c r="AK593" s="32"/>
      <c r="AL593" s="32"/>
      <c r="AM593" s="26"/>
      <c r="AN593" s="26"/>
      <c r="AO593" s="26"/>
      <c r="AP593" s="9"/>
      <c r="AQ593" s="9"/>
      <c r="AR593" s="9"/>
      <c r="AV593" s="5"/>
      <c r="AW593" s="5"/>
      <c r="AX593" s="26"/>
      <c r="AY593" s="26"/>
      <c r="AZ593" s="32"/>
      <c r="BA593" s="32"/>
    </row>
    <row r="594" spans="10:53">
      <c r="J594" s="9"/>
      <c r="K594" s="9"/>
      <c r="T594" s="5"/>
      <c r="U594" s="5"/>
      <c r="V594" s="26"/>
      <c r="W594" s="26"/>
      <c r="X594" s="26"/>
      <c r="Y594" s="26"/>
      <c r="Z594" s="26"/>
      <c r="AA594" s="9"/>
      <c r="AC594" s="9"/>
      <c r="AD594" s="9"/>
      <c r="AE594" s="9"/>
      <c r="AI594" s="26"/>
      <c r="AJ594" s="26"/>
      <c r="AK594" s="32"/>
      <c r="AL594" s="32"/>
      <c r="AM594" s="26"/>
      <c r="AN594" s="26"/>
      <c r="AO594" s="26"/>
      <c r="AP594" s="9"/>
      <c r="AQ594" s="9"/>
      <c r="AR594" s="9"/>
      <c r="AV594" s="5"/>
      <c r="AW594" s="5"/>
      <c r="AX594" s="26"/>
      <c r="AY594" s="26"/>
      <c r="AZ594" s="32"/>
      <c r="BA594" s="32"/>
    </row>
    <row r="595" spans="10:53">
      <c r="J595" s="9"/>
      <c r="K595" s="9"/>
      <c r="T595" s="5"/>
      <c r="U595" s="5"/>
      <c r="V595" s="26"/>
      <c r="W595" s="26"/>
      <c r="X595" s="26"/>
      <c r="Y595" s="26"/>
      <c r="Z595" s="26"/>
      <c r="AA595" s="9"/>
      <c r="AC595" s="9"/>
      <c r="AD595" s="9"/>
      <c r="AE595" s="9"/>
      <c r="AI595" s="26"/>
      <c r="AJ595" s="26"/>
      <c r="AK595" s="32"/>
      <c r="AL595" s="32"/>
      <c r="AM595" s="26"/>
      <c r="AN595" s="26"/>
      <c r="AO595" s="26"/>
      <c r="AP595" s="9"/>
      <c r="AQ595" s="9"/>
      <c r="AR595" s="9"/>
      <c r="AV595" s="5"/>
      <c r="AW595" s="5"/>
      <c r="AX595" s="26"/>
      <c r="AY595" s="26"/>
      <c r="AZ595" s="32"/>
      <c r="BA595" s="32"/>
    </row>
    <row r="596" spans="10:53">
      <c r="J596" s="9"/>
      <c r="K596" s="9"/>
      <c r="T596" s="5"/>
      <c r="U596" s="5"/>
      <c r="V596" s="26"/>
      <c r="W596" s="26"/>
      <c r="X596" s="26"/>
      <c r="Y596" s="26"/>
      <c r="Z596" s="26"/>
      <c r="AA596" s="9"/>
      <c r="AC596" s="9"/>
      <c r="AD596" s="9"/>
      <c r="AE596" s="9"/>
      <c r="AI596" s="26"/>
      <c r="AJ596" s="26"/>
      <c r="AK596" s="32"/>
      <c r="AL596" s="32"/>
      <c r="AM596" s="26"/>
      <c r="AN596" s="26"/>
      <c r="AO596" s="26"/>
      <c r="AP596" s="9"/>
      <c r="AQ596" s="9"/>
      <c r="AR596" s="9"/>
      <c r="AV596" s="5"/>
      <c r="AW596" s="5"/>
      <c r="AX596" s="26"/>
      <c r="AY596" s="26"/>
      <c r="AZ596" s="32"/>
      <c r="BA596" s="32"/>
    </row>
    <row r="597" spans="10:53">
      <c r="J597" s="9"/>
      <c r="K597" s="9"/>
      <c r="T597" s="5"/>
      <c r="U597" s="5"/>
      <c r="V597" s="26"/>
      <c r="W597" s="26"/>
      <c r="X597" s="26"/>
      <c r="Y597" s="26"/>
      <c r="Z597" s="26"/>
      <c r="AA597" s="9"/>
      <c r="AC597" s="9"/>
      <c r="AD597" s="9"/>
      <c r="AE597" s="9"/>
      <c r="AI597" s="26"/>
      <c r="AJ597" s="26"/>
      <c r="AK597" s="32"/>
      <c r="AL597" s="32"/>
      <c r="AM597" s="26"/>
      <c r="AN597" s="26"/>
      <c r="AO597" s="26"/>
      <c r="AP597" s="9"/>
      <c r="AQ597" s="9"/>
      <c r="AR597" s="9"/>
      <c r="AV597" s="5"/>
      <c r="AW597" s="5"/>
      <c r="AX597" s="26"/>
      <c r="AY597" s="26"/>
      <c r="AZ597" s="32"/>
      <c r="BA597" s="32"/>
    </row>
    <row r="598" spans="10:53">
      <c r="J598" s="9"/>
      <c r="K598" s="9"/>
      <c r="T598" s="5"/>
      <c r="U598" s="5"/>
      <c r="V598" s="26"/>
      <c r="W598" s="26"/>
      <c r="X598" s="26"/>
      <c r="Y598" s="26"/>
      <c r="Z598" s="26"/>
      <c r="AA598" s="9"/>
      <c r="AC598" s="9"/>
      <c r="AD598" s="9"/>
      <c r="AE598" s="9"/>
      <c r="AI598" s="26"/>
      <c r="AJ598" s="26"/>
      <c r="AK598" s="32"/>
      <c r="AL598" s="32"/>
      <c r="AM598" s="26"/>
      <c r="AN598" s="26"/>
      <c r="AO598" s="26"/>
      <c r="AP598" s="9"/>
      <c r="AQ598" s="9"/>
      <c r="AR598" s="9"/>
      <c r="AV598" s="5"/>
      <c r="AW598" s="5"/>
      <c r="AX598" s="26"/>
      <c r="AY598" s="26"/>
      <c r="AZ598" s="32"/>
      <c r="BA598" s="32"/>
    </row>
    <row r="599" spans="10:53">
      <c r="J599" s="9"/>
      <c r="K599" s="9"/>
      <c r="T599" s="5"/>
      <c r="U599" s="5"/>
      <c r="V599" s="26"/>
      <c r="W599" s="26"/>
      <c r="X599" s="26"/>
      <c r="Y599" s="26"/>
      <c r="Z599" s="26"/>
      <c r="AA599" s="9"/>
      <c r="AC599" s="9"/>
      <c r="AD599" s="9"/>
      <c r="AE599" s="9"/>
      <c r="AI599" s="26"/>
      <c r="AJ599" s="26"/>
      <c r="AK599" s="32"/>
      <c r="AL599" s="32"/>
      <c r="AM599" s="26"/>
      <c r="AN599" s="26"/>
      <c r="AO599" s="26"/>
      <c r="AP599" s="9"/>
      <c r="AQ599" s="9"/>
      <c r="AR599" s="9"/>
      <c r="AV599" s="5"/>
      <c r="AW599" s="5"/>
      <c r="AX599" s="26"/>
      <c r="AY599" s="26"/>
      <c r="AZ599" s="32"/>
      <c r="BA599" s="32"/>
    </row>
    <row r="600" spans="10:53">
      <c r="J600" s="9"/>
      <c r="K600" s="9"/>
      <c r="T600" s="5"/>
      <c r="U600" s="5"/>
      <c r="V600" s="26"/>
      <c r="W600" s="26"/>
      <c r="X600" s="26"/>
      <c r="Y600" s="26"/>
      <c r="Z600" s="26"/>
      <c r="AA600" s="9"/>
      <c r="AC600" s="9"/>
      <c r="AD600" s="9"/>
      <c r="AE600" s="9"/>
      <c r="AI600" s="26"/>
      <c r="AJ600" s="26"/>
      <c r="AK600" s="32"/>
      <c r="AL600" s="32"/>
      <c r="AM600" s="26"/>
      <c r="AN600" s="26"/>
      <c r="AO600" s="26"/>
      <c r="AP600" s="9"/>
      <c r="AQ600" s="9"/>
      <c r="AR600" s="9"/>
      <c r="AV600" s="5"/>
      <c r="AW600" s="5"/>
      <c r="AX600" s="26"/>
      <c r="AY600" s="26"/>
      <c r="AZ600" s="32"/>
      <c r="BA600" s="32"/>
    </row>
    <row r="601" spans="10:53">
      <c r="J601" s="9"/>
      <c r="K601" s="9"/>
      <c r="T601" s="5"/>
      <c r="U601" s="5"/>
      <c r="V601" s="26"/>
      <c r="W601" s="26"/>
      <c r="X601" s="26"/>
      <c r="Y601" s="26"/>
      <c r="Z601" s="26"/>
      <c r="AA601" s="9"/>
      <c r="AC601" s="9"/>
      <c r="AD601" s="9"/>
      <c r="AE601" s="9"/>
      <c r="AI601" s="26"/>
      <c r="AJ601" s="26"/>
      <c r="AK601" s="32"/>
      <c r="AL601" s="32"/>
      <c r="AM601" s="26"/>
      <c r="AN601" s="26"/>
      <c r="AO601" s="26"/>
      <c r="AP601" s="9"/>
      <c r="AQ601" s="9"/>
      <c r="AR601" s="9"/>
      <c r="AV601" s="5"/>
      <c r="AW601" s="5"/>
      <c r="AX601" s="26"/>
      <c r="AY601" s="26"/>
      <c r="AZ601" s="32"/>
      <c r="BA601" s="32"/>
    </row>
    <row r="602" spans="10:53">
      <c r="J602" s="9"/>
      <c r="K602" s="9"/>
      <c r="T602" s="5"/>
      <c r="U602" s="5"/>
      <c r="V602" s="26"/>
      <c r="W602" s="26"/>
      <c r="X602" s="26"/>
      <c r="Y602" s="26"/>
      <c r="Z602" s="26"/>
      <c r="AA602" s="9"/>
      <c r="AC602" s="9"/>
      <c r="AD602" s="9"/>
      <c r="AE602" s="9"/>
      <c r="AI602" s="26"/>
      <c r="AJ602" s="26"/>
      <c r="AK602" s="32"/>
      <c r="AL602" s="32"/>
      <c r="AM602" s="26"/>
      <c r="AN602" s="26"/>
      <c r="AO602" s="26"/>
      <c r="AP602" s="9"/>
      <c r="AQ602" s="9"/>
      <c r="AR602" s="9"/>
      <c r="AV602" s="5"/>
      <c r="AW602" s="5"/>
      <c r="AX602" s="26"/>
      <c r="AY602" s="26"/>
      <c r="AZ602" s="32"/>
      <c r="BA602" s="32"/>
    </row>
    <row r="603" spans="10:53">
      <c r="J603" s="9"/>
      <c r="K603" s="9"/>
      <c r="T603" s="5"/>
      <c r="U603" s="5"/>
      <c r="V603" s="26"/>
      <c r="W603" s="26"/>
      <c r="X603" s="26"/>
      <c r="Y603" s="26"/>
      <c r="Z603" s="26"/>
      <c r="AA603" s="9"/>
      <c r="AC603" s="9"/>
      <c r="AD603" s="9"/>
      <c r="AE603" s="9"/>
      <c r="AI603" s="26"/>
      <c r="AJ603" s="26"/>
      <c r="AK603" s="32"/>
      <c r="AL603" s="32"/>
      <c r="AM603" s="26"/>
      <c r="AN603" s="26"/>
      <c r="AO603" s="26"/>
      <c r="AP603" s="9"/>
      <c r="AQ603" s="9"/>
      <c r="AR603" s="9"/>
      <c r="AV603" s="5"/>
      <c r="AW603" s="5"/>
      <c r="AX603" s="26"/>
      <c r="AY603" s="26"/>
      <c r="AZ603" s="32"/>
      <c r="BA603" s="32"/>
    </row>
    <row r="604" spans="10:53">
      <c r="J604" s="9"/>
      <c r="K604" s="9"/>
      <c r="T604" s="5"/>
      <c r="U604" s="5"/>
      <c r="V604" s="26"/>
      <c r="W604" s="26"/>
      <c r="X604" s="26"/>
      <c r="Y604" s="26"/>
      <c r="Z604" s="26"/>
      <c r="AA604" s="9"/>
      <c r="AC604" s="9"/>
      <c r="AD604" s="9"/>
      <c r="AE604" s="9"/>
      <c r="AI604" s="26"/>
      <c r="AJ604" s="26"/>
      <c r="AK604" s="32"/>
      <c r="AL604" s="32"/>
      <c r="AM604" s="26"/>
      <c r="AN604" s="26"/>
      <c r="AO604" s="26"/>
      <c r="AP604" s="9"/>
      <c r="AQ604" s="9"/>
      <c r="AR604" s="9"/>
      <c r="AV604" s="5"/>
      <c r="AW604" s="5"/>
      <c r="AX604" s="26"/>
      <c r="AY604" s="26"/>
      <c r="AZ604" s="32"/>
      <c r="BA604" s="32"/>
    </row>
    <row r="605" spans="10:53">
      <c r="J605" s="9"/>
      <c r="K605" s="9"/>
      <c r="T605" s="5"/>
      <c r="U605" s="5"/>
      <c r="V605" s="26"/>
      <c r="W605" s="26"/>
      <c r="X605" s="26"/>
      <c r="Y605" s="26"/>
      <c r="Z605" s="26"/>
      <c r="AA605" s="9"/>
      <c r="AC605" s="9"/>
      <c r="AD605" s="9"/>
      <c r="AE605" s="9"/>
      <c r="AI605" s="26"/>
      <c r="AJ605" s="26"/>
      <c r="AK605" s="32"/>
      <c r="AL605" s="32"/>
      <c r="AM605" s="26"/>
      <c r="AN605" s="26"/>
      <c r="AO605" s="26"/>
      <c r="AP605" s="9"/>
      <c r="AQ605" s="9"/>
      <c r="AR605" s="9"/>
      <c r="AV605" s="5"/>
      <c r="AW605" s="5"/>
      <c r="AX605" s="26"/>
      <c r="AY605" s="26"/>
      <c r="AZ605" s="32"/>
      <c r="BA605" s="32"/>
    </row>
    <row r="606" spans="10:53">
      <c r="J606" s="9"/>
      <c r="K606" s="9"/>
      <c r="T606" s="5"/>
      <c r="U606" s="5"/>
      <c r="V606" s="26"/>
      <c r="W606" s="26"/>
      <c r="X606" s="26"/>
      <c r="Y606" s="26"/>
      <c r="Z606" s="26"/>
      <c r="AA606" s="9"/>
      <c r="AC606" s="9"/>
      <c r="AD606" s="9"/>
      <c r="AE606" s="9"/>
      <c r="AI606" s="26"/>
      <c r="AJ606" s="26"/>
      <c r="AK606" s="32"/>
      <c r="AL606" s="32"/>
      <c r="AM606" s="26"/>
      <c r="AN606" s="26"/>
      <c r="AO606" s="26"/>
      <c r="AP606" s="9"/>
      <c r="AQ606" s="9"/>
      <c r="AR606" s="9"/>
      <c r="AV606" s="5"/>
      <c r="AW606" s="5"/>
      <c r="AX606" s="26"/>
      <c r="AY606" s="26"/>
      <c r="AZ606" s="32"/>
      <c r="BA606" s="32"/>
    </row>
    <row r="607" spans="10:53">
      <c r="J607" s="9"/>
      <c r="K607" s="9"/>
      <c r="T607" s="5"/>
      <c r="U607" s="5"/>
      <c r="V607" s="26"/>
      <c r="W607" s="26"/>
      <c r="X607" s="26"/>
      <c r="Y607" s="26"/>
      <c r="Z607" s="26"/>
      <c r="AA607" s="9"/>
      <c r="AC607" s="9"/>
      <c r="AD607" s="9"/>
      <c r="AE607" s="9"/>
      <c r="AI607" s="26"/>
      <c r="AJ607" s="26"/>
      <c r="AK607" s="32"/>
      <c r="AL607" s="32"/>
      <c r="AM607" s="26"/>
      <c r="AN607" s="26"/>
      <c r="AO607" s="26"/>
      <c r="AP607" s="9"/>
      <c r="AQ607" s="9"/>
      <c r="AR607" s="9"/>
      <c r="AV607" s="5"/>
      <c r="AW607" s="5"/>
      <c r="AX607" s="26"/>
      <c r="AY607" s="26"/>
      <c r="AZ607" s="32"/>
      <c r="BA607" s="32"/>
    </row>
    <row r="608" spans="10:53">
      <c r="J608" s="9"/>
      <c r="K608" s="9"/>
      <c r="T608" s="5"/>
      <c r="U608" s="5"/>
      <c r="V608" s="26"/>
      <c r="W608" s="26"/>
      <c r="X608" s="26"/>
      <c r="Y608" s="26"/>
      <c r="Z608" s="26"/>
      <c r="AA608" s="9"/>
      <c r="AC608" s="9"/>
      <c r="AD608" s="9"/>
      <c r="AE608" s="9"/>
      <c r="AI608" s="26"/>
      <c r="AJ608" s="26"/>
      <c r="AK608" s="32"/>
      <c r="AL608" s="32"/>
      <c r="AM608" s="26"/>
      <c r="AN608" s="26"/>
      <c r="AO608" s="26"/>
      <c r="AP608" s="9"/>
      <c r="AQ608" s="9"/>
      <c r="AR608" s="9"/>
      <c r="AV608" s="5"/>
      <c r="AW608" s="5"/>
      <c r="AX608" s="26"/>
      <c r="AY608" s="26"/>
      <c r="AZ608" s="32"/>
      <c r="BA608" s="32"/>
    </row>
    <row r="609" spans="10:53">
      <c r="J609" s="9"/>
      <c r="K609" s="9"/>
      <c r="T609" s="5"/>
      <c r="U609" s="5"/>
      <c r="V609" s="26"/>
      <c r="W609" s="26"/>
      <c r="X609" s="26"/>
      <c r="Y609" s="26"/>
      <c r="Z609" s="26"/>
      <c r="AA609" s="9"/>
      <c r="AC609" s="9"/>
      <c r="AD609" s="9"/>
      <c r="AE609" s="9"/>
      <c r="AI609" s="26"/>
      <c r="AJ609" s="26"/>
      <c r="AK609" s="32"/>
      <c r="AL609" s="32"/>
      <c r="AM609" s="26"/>
      <c r="AN609" s="26"/>
      <c r="AO609" s="26"/>
      <c r="AP609" s="9"/>
      <c r="AQ609" s="9"/>
      <c r="AR609" s="9"/>
      <c r="AV609" s="5"/>
      <c r="AW609" s="5"/>
      <c r="AX609" s="26"/>
      <c r="AY609" s="26"/>
      <c r="AZ609" s="32"/>
      <c r="BA609" s="32"/>
    </row>
    <row r="610" spans="10:53">
      <c r="J610" s="9"/>
      <c r="K610" s="9"/>
      <c r="T610" s="5"/>
      <c r="U610" s="5"/>
      <c r="V610" s="26"/>
      <c r="W610" s="26"/>
      <c r="X610" s="26"/>
      <c r="Y610" s="26"/>
      <c r="Z610" s="26"/>
      <c r="AA610" s="9"/>
      <c r="AC610" s="9"/>
      <c r="AD610" s="9"/>
      <c r="AE610" s="9"/>
      <c r="AI610" s="26"/>
      <c r="AJ610" s="26"/>
      <c r="AK610" s="32"/>
      <c r="AL610" s="32"/>
      <c r="AM610" s="26"/>
      <c r="AN610" s="26"/>
      <c r="AO610" s="26"/>
      <c r="AP610" s="9"/>
      <c r="AQ610" s="9"/>
      <c r="AR610" s="9"/>
      <c r="AV610" s="5"/>
      <c r="AW610" s="5"/>
      <c r="AX610" s="26"/>
      <c r="AY610" s="26"/>
      <c r="AZ610" s="32"/>
      <c r="BA610" s="32"/>
    </row>
    <row r="611" spans="10:53">
      <c r="J611" s="9"/>
      <c r="K611" s="9"/>
      <c r="T611" s="5"/>
      <c r="U611" s="5"/>
      <c r="V611" s="26"/>
      <c r="W611" s="26"/>
      <c r="X611" s="26"/>
      <c r="Y611" s="26"/>
      <c r="Z611" s="26"/>
      <c r="AA611" s="9"/>
      <c r="AC611" s="9"/>
      <c r="AD611" s="9"/>
      <c r="AE611" s="9"/>
      <c r="AI611" s="26"/>
      <c r="AJ611" s="26"/>
      <c r="AK611" s="32"/>
      <c r="AL611" s="32"/>
      <c r="AM611" s="26"/>
      <c r="AN611" s="26"/>
      <c r="AO611" s="26"/>
      <c r="AP611" s="9"/>
      <c r="AQ611" s="9"/>
      <c r="AR611" s="9"/>
      <c r="AV611" s="5"/>
      <c r="AW611" s="5"/>
      <c r="AX611" s="26"/>
      <c r="AY611" s="26"/>
      <c r="AZ611" s="32"/>
      <c r="BA611" s="32"/>
    </row>
    <row r="612" spans="10:53">
      <c r="J612" s="9"/>
      <c r="K612" s="9"/>
      <c r="T612" s="5"/>
      <c r="U612" s="5"/>
      <c r="V612" s="26"/>
      <c r="W612" s="26"/>
      <c r="X612" s="26"/>
      <c r="Y612" s="26"/>
      <c r="Z612" s="26"/>
      <c r="AA612" s="9"/>
      <c r="AC612" s="9"/>
      <c r="AD612" s="9"/>
      <c r="AE612" s="9"/>
      <c r="AI612" s="26"/>
      <c r="AJ612" s="26"/>
      <c r="AK612" s="32"/>
      <c r="AL612" s="32"/>
      <c r="AM612" s="26"/>
      <c r="AN612" s="26"/>
      <c r="AO612" s="26"/>
      <c r="AP612" s="9"/>
      <c r="AQ612" s="9"/>
      <c r="AR612" s="9"/>
      <c r="AV612" s="5"/>
      <c r="AW612" s="5"/>
      <c r="AX612" s="26"/>
      <c r="AY612" s="26"/>
      <c r="AZ612" s="32"/>
      <c r="BA612" s="32"/>
    </row>
    <row r="613" spans="10:53">
      <c r="J613" s="9"/>
      <c r="K613" s="9"/>
      <c r="T613" s="5"/>
      <c r="U613" s="5"/>
      <c r="V613" s="26"/>
      <c r="W613" s="26"/>
      <c r="X613" s="26"/>
      <c r="Y613" s="26"/>
      <c r="Z613" s="26"/>
      <c r="AA613" s="9"/>
      <c r="AC613" s="9"/>
      <c r="AD613" s="9"/>
      <c r="AE613" s="9"/>
      <c r="AI613" s="26"/>
      <c r="AJ613" s="26"/>
      <c r="AK613" s="32"/>
      <c r="AL613" s="32"/>
      <c r="AM613" s="26"/>
      <c r="AN613" s="26"/>
      <c r="AO613" s="26"/>
      <c r="AP613" s="9"/>
      <c r="AQ613" s="9"/>
      <c r="AR613" s="9"/>
      <c r="AV613" s="5"/>
      <c r="AW613" s="5"/>
      <c r="AX613" s="26"/>
      <c r="AY613" s="26"/>
      <c r="AZ613" s="32"/>
      <c r="BA613" s="32"/>
    </row>
    <row r="614" spans="10:53">
      <c r="J614" s="9"/>
      <c r="K614" s="9"/>
      <c r="T614" s="5"/>
      <c r="U614" s="5"/>
      <c r="V614" s="26"/>
      <c r="W614" s="26"/>
      <c r="X614" s="26"/>
      <c r="Y614" s="26"/>
      <c r="Z614" s="26"/>
      <c r="AA614" s="9"/>
      <c r="AC614" s="9"/>
      <c r="AD614" s="9"/>
      <c r="AE614" s="9"/>
      <c r="AI614" s="26"/>
      <c r="AJ614" s="26"/>
      <c r="AK614" s="32"/>
      <c r="AL614" s="32"/>
      <c r="AM614" s="26"/>
      <c r="AN614" s="26"/>
      <c r="AO614" s="26"/>
      <c r="AP614" s="9"/>
      <c r="AQ614" s="9"/>
      <c r="AR614" s="9"/>
      <c r="AV614" s="5"/>
      <c r="AW614" s="5"/>
      <c r="AX614" s="26"/>
      <c r="AY614" s="26"/>
      <c r="AZ614" s="32"/>
      <c r="BA614" s="32"/>
    </row>
    <row r="615" spans="10:53">
      <c r="J615" s="9"/>
      <c r="K615" s="9"/>
      <c r="T615" s="5"/>
      <c r="U615" s="5"/>
      <c r="V615" s="26"/>
      <c r="W615" s="26"/>
      <c r="X615" s="26"/>
      <c r="Y615" s="26"/>
      <c r="Z615" s="26"/>
      <c r="AA615" s="9"/>
      <c r="AC615" s="9"/>
      <c r="AD615" s="9"/>
      <c r="AE615" s="9"/>
      <c r="AI615" s="26"/>
      <c r="AJ615" s="26"/>
      <c r="AK615" s="32"/>
      <c r="AL615" s="32"/>
      <c r="AM615" s="26"/>
      <c r="AN615" s="26"/>
      <c r="AO615" s="26"/>
      <c r="AP615" s="9"/>
      <c r="AQ615" s="9"/>
      <c r="AR615" s="9"/>
      <c r="AV615" s="5"/>
      <c r="AW615" s="5"/>
      <c r="AX615" s="26"/>
      <c r="AY615" s="26"/>
      <c r="AZ615" s="32"/>
      <c r="BA615" s="32"/>
    </row>
    <row r="616" spans="10:53">
      <c r="J616" s="9"/>
      <c r="K616" s="9"/>
      <c r="T616" s="5"/>
      <c r="U616" s="5"/>
      <c r="V616" s="26"/>
      <c r="W616" s="26"/>
      <c r="X616" s="26"/>
      <c r="Y616" s="26"/>
      <c r="Z616" s="26"/>
      <c r="AA616" s="9"/>
      <c r="AC616" s="9"/>
      <c r="AD616" s="9"/>
      <c r="AE616" s="9"/>
      <c r="AI616" s="26"/>
      <c r="AJ616" s="26"/>
      <c r="AK616" s="32"/>
      <c r="AL616" s="32"/>
      <c r="AM616" s="26"/>
      <c r="AN616" s="26"/>
      <c r="AO616" s="26"/>
      <c r="AP616" s="9"/>
      <c r="AQ616" s="9"/>
      <c r="AR616" s="9"/>
      <c r="AV616" s="5"/>
      <c r="AW616" s="5"/>
      <c r="AX616" s="26"/>
      <c r="AY616" s="26"/>
      <c r="AZ616" s="32"/>
      <c r="BA616" s="32"/>
    </row>
    <row r="617" spans="10:53">
      <c r="J617" s="9"/>
      <c r="K617" s="9"/>
      <c r="T617" s="5"/>
      <c r="U617" s="5"/>
      <c r="V617" s="26"/>
      <c r="W617" s="26"/>
      <c r="X617" s="26"/>
      <c r="Y617" s="26"/>
      <c r="Z617" s="26"/>
      <c r="AA617" s="9"/>
      <c r="AC617" s="9"/>
      <c r="AD617" s="9"/>
      <c r="AE617" s="9"/>
      <c r="AI617" s="26"/>
      <c r="AJ617" s="26"/>
      <c r="AK617" s="32"/>
      <c r="AL617" s="32"/>
      <c r="AM617" s="26"/>
      <c r="AN617" s="26"/>
      <c r="AO617" s="26"/>
      <c r="AP617" s="9"/>
      <c r="AQ617" s="9"/>
      <c r="AR617" s="9"/>
      <c r="AV617" s="5"/>
      <c r="AW617" s="5"/>
      <c r="AX617" s="26"/>
      <c r="AY617" s="26"/>
      <c r="AZ617" s="32"/>
      <c r="BA617" s="32"/>
    </row>
    <row r="618" spans="10:53">
      <c r="J618" s="9"/>
      <c r="K618" s="9"/>
      <c r="T618" s="5"/>
      <c r="U618" s="5"/>
      <c r="V618" s="26"/>
      <c r="W618" s="26"/>
      <c r="X618" s="26"/>
      <c r="Y618" s="26"/>
      <c r="Z618" s="26"/>
      <c r="AA618" s="9"/>
      <c r="AC618" s="9"/>
      <c r="AD618" s="9"/>
      <c r="AE618" s="9"/>
      <c r="AI618" s="26"/>
      <c r="AJ618" s="26"/>
      <c r="AK618" s="32"/>
      <c r="AL618" s="32"/>
      <c r="AM618" s="26"/>
      <c r="AN618" s="26"/>
      <c r="AO618" s="26"/>
      <c r="AP618" s="9"/>
      <c r="AQ618" s="9"/>
      <c r="AR618" s="9"/>
      <c r="AV618" s="5"/>
      <c r="AW618" s="5"/>
      <c r="AX618" s="26"/>
      <c r="AY618" s="26"/>
      <c r="AZ618" s="32"/>
      <c r="BA618" s="32"/>
    </row>
    <row r="619" spans="10:53">
      <c r="J619" s="9"/>
      <c r="K619" s="9"/>
      <c r="T619" s="5"/>
      <c r="U619" s="5"/>
      <c r="V619" s="26"/>
      <c r="W619" s="26"/>
      <c r="X619" s="26"/>
      <c r="Y619" s="26"/>
      <c r="Z619" s="26"/>
      <c r="AA619" s="9"/>
      <c r="AC619" s="9"/>
      <c r="AD619" s="9"/>
      <c r="AE619" s="9"/>
      <c r="AI619" s="26"/>
      <c r="AJ619" s="26"/>
      <c r="AK619" s="32"/>
      <c r="AL619" s="32"/>
      <c r="AM619" s="26"/>
      <c r="AN619" s="26"/>
      <c r="AO619" s="26"/>
      <c r="AP619" s="9"/>
      <c r="AQ619" s="9"/>
      <c r="AR619" s="9"/>
      <c r="AV619" s="5"/>
      <c r="AW619" s="5"/>
      <c r="AX619" s="26"/>
      <c r="AY619" s="26"/>
      <c r="AZ619" s="32"/>
      <c r="BA619" s="32"/>
    </row>
    <row r="620" spans="10:53">
      <c r="J620" s="9"/>
      <c r="K620" s="9"/>
      <c r="T620" s="5"/>
      <c r="U620" s="5"/>
      <c r="V620" s="26"/>
      <c r="W620" s="26"/>
      <c r="X620" s="26"/>
      <c r="Y620" s="26"/>
      <c r="Z620" s="26"/>
      <c r="AA620" s="9"/>
      <c r="AC620" s="9"/>
      <c r="AD620" s="9"/>
      <c r="AE620" s="9"/>
      <c r="AI620" s="26"/>
      <c r="AJ620" s="26"/>
      <c r="AK620" s="32"/>
      <c r="AL620" s="32"/>
      <c r="AM620" s="26"/>
      <c r="AN620" s="26"/>
      <c r="AO620" s="26"/>
      <c r="AP620" s="9"/>
      <c r="AQ620" s="9"/>
      <c r="AR620" s="9"/>
      <c r="AV620" s="5"/>
      <c r="AW620" s="5"/>
      <c r="AX620" s="26"/>
      <c r="AY620" s="26"/>
      <c r="AZ620" s="32"/>
      <c r="BA620" s="32"/>
    </row>
    <row r="621" spans="10:53">
      <c r="J621" s="9"/>
      <c r="K621" s="9"/>
      <c r="T621" s="5"/>
      <c r="U621" s="5"/>
      <c r="V621" s="26"/>
      <c r="W621" s="26"/>
      <c r="X621" s="26"/>
      <c r="Y621" s="26"/>
      <c r="Z621" s="26"/>
      <c r="AA621" s="9"/>
      <c r="AC621" s="9"/>
      <c r="AD621" s="9"/>
      <c r="AE621" s="9"/>
      <c r="AI621" s="26"/>
      <c r="AJ621" s="26"/>
      <c r="AK621" s="32"/>
      <c r="AL621" s="32"/>
      <c r="AM621" s="26"/>
      <c r="AN621" s="26"/>
      <c r="AO621" s="26"/>
      <c r="AP621" s="9"/>
      <c r="AQ621" s="9"/>
      <c r="AR621" s="9"/>
      <c r="AV621" s="5"/>
      <c r="AW621" s="5"/>
      <c r="AX621" s="26"/>
      <c r="AY621" s="26"/>
      <c r="AZ621" s="32"/>
      <c r="BA621" s="32"/>
    </row>
    <row r="622" spans="10:53">
      <c r="J622" s="9"/>
      <c r="K622" s="9"/>
      <c r="T622" s="5"/>
      <c r="U622" s="5"/>
      <c r="V622" s="26"/>
      <c r="W622" s="26"/>
      <c r="X622" s="26"/>
      <c r="Y622" s="26"/>
      <c r="Z622" s="26"/>
      <c r="AA622" s="9"/>
      <c r="AC622" s="9"/>
      <c r="AD622" s="9"/>
      <c r="AE622" s="9"/>
      <c r="AI622" s="26"/>
      <c r="AJ622" s="26"/>
      <c r="AK622" s="32"/>
      <c r="AL622" s="32"/>
      <c r="AM622" s="26"/>
      <c r="AN622" s="26"/>
      <c r="AO622" s="26"/>
      <c r="AP622" s="9"/>
      <c r="AQ622" s="9"/>
      <c r="AR622" s="9"/>
      <c r="AV622" s="5"/>
      <c r="AW622" s="5"/>
      <c r="AX622" s="26"/>
      <c r="AY622" s="26"/>
      <c r="AZ622" s="32"/>
      <c r="BA622" s="32"/>
    </row>
    <row r="623" spans="10:53">
      <c r="J623" s="9"/>
      <c r="K623" s="9"/>
      <c r="T623" s="5"/>
      <c r="U623" s="5"/>
      <c r="V623" s="26"/>
      <c r="W623" s="26"/>
      <c r="X623" s="26"/>
      <c r="Y623" s="26"/>
      <c r="Z623" s="26"/>
      <c r="AA623" s="9"/>
      <c r="AC623" s="9"/>
      <c r="AD623" s="9"/>
      <c r="AE623" s="9"/>
      <c r="AI623" s="26"/>
      <c r="AJ623" s="26"/>
      <c r="AK623" s="32"/>
      <c r="AL623" s="32"/>
      <c r="AM623" s="26"/>
      <c r="AN623" s="26"/>
      <c r="AO623" s="26"/>
      <c r="AP623" s="9"/>
      <c r="AQ623" s="9"/>
      <c r="AR623" s="9"/>
      <c r="AV623" s="5"/>
      <c r="AW623" s="5"/>
      <c r="AX623" s="26"/>
      <c r="AY623" s="26"/>
      <c r="AZ623" s="32"/>
      <c r="BA623" s="32"/>
    </row>
    <row r="624" spans="10:53">
      <c r="J624" s="9"/>
      <c r="K624" s="9"/>
      <c r="T624" s="5"/>
      <c r="U624" s="5"/>
      <c r="V624" s="26"/>
      <c r="W624" s="26"/>
      <c r="X624" s="26"/>
      <c r="Y624" s="26"/>
      <c r="Z624" s="26"/>
      <c r="AA624" s="9"/>
      <c r="AC624" s="9"/>
      <c r="AD624" s="9"/>
      <c r="AE624" s="9"/>
      <c r="AI624" s="26"/>
      <c r="AJ624" s="26"/>
      <c r="AK624" s="32"/>
      <c r="AL624" s="32"/>
      <c r="AM624" s="26"/>
      <c r="AN624" s="26"/>
      <c r="AO624" s="26"/>
      <c r="AP624" s="9"/>
      <c r="AQ624" s="9"/>
      <c r="AR624" s="9"/>
      <c r="AV624" s="5"/>
      <c r="AW624" s="5"/>
      <c r="AX624" s="26"/>
      <c r="AY624" s="26"/>
      <c r="AZ624" s="32"/>
      <c r="BA624" s="32"/>
    </row>
    <row r="625" spans="10:53">
      <c r="J625" s="9"/>
      <c r="K625" s="9"/>
      <c r="T625" s="5"/>
      <c r="U625" s="5"/>
      <c r="V625" s="26"/>
      <c r="W625" s="26"/>
      <c r="X625" s="26"/>
      <c r="Y625" s="26"/>
      <c r="Z625" s="26"/>
      <c r="AA625" s="9"/>
      <c r="AC625" s="9"/>
      <c r="AD625" s="9"/>
      <c r="AE625" s="9"/>
      <c r="AI625" s="26"/>
      <c r="AJ625" s="26"/>
      <c r="AK625" s="32"/>
      <c r="AL625" s="32"/>
      <c r="AM625" s="26"/>
      <c r="AN625" s="26"/>
      <c r="AO625" s="26"/>
      <c r="AP625" s="9"/>
      <c r="AQ625" s="9"/>
      <c r="AR625" s="9"/>
      <c r="AV625" s="5"/>
      <c r="AW625" s="5"/>
      <c r="AX625" s="26"/>
      <c r="AY625" s="26"/>
      <c r="AZ625" s="32"/>
      <c r="BA625" s="32"/>
    </row>
    <row r="626" spans="10:53">
      <c r="J626" s="9"/>
      <c r="K626" s="9"/>
      <c r="T626" s="5"/>
      <c r="U626" s="5"/>
      <c r="V626" s="26"/>
      <c r="W626" s="26"/>
      <c r="X626" s="26"/>
      <c r="Y626" s="26"/>
      <c r="Z626" s="26"/>
      <c r="AA626" s="9"/>
      <c r="AC626" s="9"/>
      <c r="AD626" s="9"/>
      <c r="AE626" s="9"/>
      <c r="AI626" s="26"/>
      <c r="AJ626" s="26"/>
      <c r="AK626" s="32"/>
      <c r="AL626" s="32"/>
      <c r="AM626" s="26"/>
      <c r="AN626" s="26"/>
      <c r="AO626" s="26"/>
      <c r="AP626" s="9"/>
      <c r="AQ626" s="9"/>
      <c r="AR626" s="9"/>
      <c r="AV626" s="5"/>
      <c r="AW626" s="5"/>
      <c r="AX626" s="26"/>
      <c r="AY626" s="26"/>
      <c r="AZ626" s="32"/>
      <c r="BA626" s="32"/>
    </row>
    <row r="627" spans="10:53">
      <c r="J627" s="9"/>
      <c r="K627" s="9"/>
      <c r="T627" s="5"/>
      <c r="U627" s="5"/>
      <c r="V627" s="26"/>
      <c r="W627" s="26"/>
      <c r="X627" s="26"/>
      <c r="Y627" s="26"/>
      <c r="Z627" s="26"/>
      <c r="AA627" s="9"/>
      <c r="AC627" s="9"/>
      <c r="AD627" s="9"/>
      <c r="AE627" s="9"/>
      <c r="AI627" s="26"/>
      <c r="AJ627" s="26"/>
      <c r="AK627" s="32"/>
      <c r="AL627" s="32"/>
      <c r="AM627" s="26"/>
      <c r="AN627" s="26"/>
      <c r="AO627" s="26"/>
      <c r="AP627" s="9"/>
      <c r="AQ627" s="9"/>
      <c r="AR627" s="9"/>
      <c r="AV627" s="5"/>
      <c r="AW627" s="5"/>
      <c r="AX627" s="26"/>
      <c r="AY627" s="26"/>
      <c r="AZ627" s="32"/>
      <c r="BA627" s="32"/>
    </row>
    <row r="628" spans="10:53">
      <c r="J628" s="9"/>
      <c r="K628" s="9"/>
      <c r="T628" s="5"/>
      <c r="U628" s="5"/>
      <c r="V628" s="26"/>
      <c r="W628" s="26"/>
      <c r="X628" s="26"/>
      <c r="Y628" s="26"/>
      <c r="Z628" s="26"/>
      <c r="AA628" s="9"/>
      <c r="AC628" s="9"/>
      <c r="AD628" s="9"/>
      <c r="AE628" s="9"/>
      <c r="AI628" s="26"/>
      <c r="AJ628" s="26"/>
      <c r="AK628" s="32"/>
      <c r="AL628" s="32"/>
      <c r="AM628" s="26"/>
      <c r="AN628" s="26"/>
      <c r="AO628" s="26"/>
      <c r="AP628" s="9"/>
      <c r="AQ628" s="9"/>
      <c r="AR628" s="9"/>
      <c r="AV628" s="5"/>
      <c r="AW628" s="5"/>
      <c r="AX628" s="26"/>
      <c r="AY628" s="26"/>
      <c r="AZ628" s="32"/>
      <c r="BA628" s="32"/>
    </row>
    <row r="629" spans="10:53">
      <c r="J629" s="9"/>
      <c r="K629" s="9"/>
      <c r="T629" s="5"/>
      <c r="U629" s="5"/>
      <c r="V629" s="26"/>
      <c r="W629" s="26"/>
      <c r="X629" s="26"/>
      <c r="Y629" s="26"/>
      <c r="Z629" s="26"/>
      <c r="AA629" s="9"/>
      <c r="AC629" s="9"/>
      <c r="AD629" s="9"/>
      <c r="AE629" s="9"/>
      <c r="AI629" s="26"/>
      <c r="AJ629" s="26"/>
      <c r="AK629" s="32"/>
      <c r="AL629" s="32"/>
      <c r="AM629" s="26"/>
      <c r="AN629" s="26"/>
      <c r="AO629" s="26"/>
      <c r="AP629" s="9"/>
      <c r="AQ629" s="9"/>
      <c r="AR629" s="9"/>
      <c r="AV629" s="5"/>
      <c r="AW629" s="5"/>
      <c r="AX629" s="26"/>
      <c r="AY629" s="26"/>
      <c r="AZ629" s="32"/>
      <c r="BA629" s="32"/>
    </row>
    <row r="630" spans="10:53">
      <c r="J630" s="9"/>
      <c r="K630" s="9"/>
      <c r="T630" s="5"/>
      <c r="U630" s="5"/>
      <c r="V630" s="26"/>
      <c r="W630" s="26"/>
      <c r="X630" s="26"/>
      <c r="Y630" s="26"/>
      <c r="Z630" s="26"/>
      <c r="AA630" s="9"/>
      <c r="AC630" s="9"/>
      <c r="AD630" s="9"/>
      <c r="AE630" s="9"/>
      <c r="AI630" s="26"/>
      <c r="AJ630" s="26"/>
      <c r="AK630" s="32"/>
      <c r="AL630" s="32"/>
      <c r="AM630" s="26"/>
      <c r="AN630" s="26"/>
      <c r="AO630" s="26"/>
      <c r="AP630" s="9"/>
      <c r="AQ630" s="9"/>
      <c r="AR630" s="9"/>
      <c r="AV630" s="5"/>
      <c r="AW630" s="5"/>
      <c r="AX630" s="26"/>
      <c r="AY630" s="26"/>
      <c r="AZ630" s="32"/>
      <c r="BA630" s="32"/>
    </row>
    <row r="631" spans="10:53">
      <c r="J631" s="9"/>
      <c r="K631" s="9"/>
      <c r="T631" s="5"/>
      <c r="U631" s="5"/>
      <c r="V631" s="26"/>
      <c r="W631" s="26"/>
      <c r="X631" s="26"/>
      <c r="Y631" s="26"/>
      <c r="Z631" s="26"/>
      <c r="AA631" s="9"/>
      <c r="AC631" s="9"/>
      <c r="AD631" s="9"/>
      <c r="AE631" s="9"/>
      <c r="AI631" s="26"/>
      <c r="AJ631" s="26"/>
      <c r="AK631" s="32"/>
      <c r="AL631" s="32"/>
      <c r="AM631" s="26"/>
      <c r="AN631" s="26"/>
      <c r="AO631" s="26"/>
      <c r="AP631" s="9"/>
      <c r="AQ631" s="9"/>
      <c r="AR631" s="9"/>
      <c r="AV631" s="5"/>
      <c r="AW631" s="5"/>
      <c r="AX631" s="26"/>
      <c r="AY631" s="26"/>
      <c r="AZ631" s="32"/>
      <c r="BA631" s="32"/>
    </row>
    <row r="632" spans="10:53">
      <c r="J632" s="9"/>
      <c r="K632" s="9"/>
      <c r="T632" s="5"/>
      <c r="U632" s="5"/>
      <c r="V632" s="26"/>
      <c r="W632" s="26"/>
      <c r="X632" s="26"/>
      <c r="Y632" s="26"/>
      <c r="Z632" s="26"/>
      <c r="AA632" s="9"/>
      <c r="AC632" s="9"/>
      <c r="AD632" s="9"/>
      <c r="AE632" s="9"/>
      <c r="AI632" s="26"/>
      <c r="AJ632" s="26"/>
      <c r="AK632" s="32"/>
      <c r="AL632" s="32"/>
      <c r="AM632" s="26"/>
      <c r="AN632" s="26"/>
      <c r="AO632" s="26"/>
      <c r="AP632" s="9"/>
      <c r="AQ632" s="9"/>
      <c r="AR632" s="9"/>
      <c r="AV632" s="5"/>
      <c r="AW632" s="5"/>
      <c r="AX632" s="26"/>
      <c r="AY632" s="26"/>
      <c r="AZ632" s="32"/>
      <c r="BA632" s="32"/>
    </row>
    <row r="633" spans="10:53">
      <c r="J633" s="9"/>
      <c r="K633" s="9"/>
      <c r="T633" s="5"/>
      <c r="U633" s="5"/>
      <c r="V633" s="26"/>
      <c r="W633" s="26"/>
      <c r="X633" s="26"/>
      <c r="Y633" s="26"/>
      <c r="Z633" s="26"/>
      <c r="AA633" s="9"/>
      <c r="AC633" s="9"/>
      <c r="AD633" s="9"/>
      <c r="AE633" s="9"/>
      <c r="AI633" s="26"/>
      <c r="AJ633" s="26"/>
      <c r="AK633" s="32"/>
      <c r="AL633" s="32"/>
      <c r="AM633" s="26"/>
      <c r="AN633" s="26"/>
      <c r="AO633" s="26"/>
      <c r="AP633" s="9"/>
      <c r="AQ633" s="9"/>
      <c r="AR633" s="9"/>
      <c r="AV633" s="5"/>
      <c r="AW633" s="5"/>
      <c r="AX633" s="26"/>
      <c r="AY633" s="26"/>
      <c r="AZ633" s="32"/>
      <c r="BA633" s="32"/>
    </row>
    <row r="634" spans="10:53">
      <c r="J634" s="9"/>
      <c r="K634" s="9"/>
      <c r="T634" s="5"/>
      <c r="U634" s="5"/>
      <c r="V634" s="26"/>
      <c r="W634" s="26"/>
      <c r="X634" s="26"/>
      <c r="Y634" s="26"/>
      <c r="Z634" s="26"/>
      <c r="AA634" s="9"/>
      <c r="AC634" s="9"/>
      <c r="AD634" s="9"/>
      <c r="AE634" s="9"/>
      <c r="AI634" s="26"/>
      <c r="AJ634" s="26"/>
      <c r="AK634" s="32"/>
      <c r="AL634" s="32"/>
      <c r="AM634" s="26"/>
      <c r="AN634" s="26"/>
      <c r="AO634" s="26"/>
      <c r="AP634" s="9"/>
      <c r="AQ634" s="9"/>
      <c r="AR634" s="9"/>
      <c r="AV634" s="5"/>
      <c r="AW634" s="5"/>
      <c r="AX634" s="26"/>
      <c r="AY634" s="26"/>
      <c r="AZ634" s="32"/>
      <c r="BA634" s="32"/>
    </row>
    <row r="635" spans="10:53">
      <c r="J635" s="9"/>
      <c r="K635" s="9"/>
      <c r="T635" s="5"/>
      <c r="U635" s="5"/>
      <c r="V635" s="26"/>
      <c r="W635" s="26"/>
      <c r="X635" s="26"/>
      <c r="Y635" s="26"/>
      <c r="Z635" s="26"/>
      <c r="AA635" s="9"/>
      <c r="AC635" s="9"/>
      <c r="AD635" s="9"/>
      <c r="AE635" s="9"/>
      <c r="AI635" s="26"/>
      <c r="AJ635" s="26"/>
      <c r="AK635" s="32"/>
      <c r="AL635" s="32"/>
      <c r="AM635" s="26"/>
      <c r="AN635" s="26"/>
      <c r="AO635" s="26"/>
      <c r="AP635" s="9"/>
      <c r="AQ635" s="9"/>
      <c r="AR635" s="9"/>
      <c r="AV635" s="5"/>
      <c r="AW635" s="5"/>
      <c r="AX635" s="26"/>
      <c r="AY635" s="26"/>
      <c r="AZ635" s="32"/>
      <c r="BA635" s="32"/>
    </row>
    <row r="636" spans="10:53">
      <c r="J636" s="9"/>
      <c r="K636" s="9"/>
      <c r="T636" s="5"/>
      <c r="U636" s="5"/>
      <c r="V636" s="26"/>
      <c r="W636" s="26"/>
      <c r="X636" s="26"/>
      <c r="Y636" s="26"/>
      <c r="Z636" s="26"/>
      <c r="AA636" s="9"/>
      <c r="AC636" s="9"/>
      <c r="AD636" s="9"/>
      <c r="AE636" s="9"/>
      <c r="AI636" s="26"/>
      <c r="AJ636" s="26"/>
      <c r="AK636" s="32"/>
      <c r="AL636" s="32"/>
      <c r="AM636" s="26"/>
      <c r="AN636" s="26"/>
      <c r="AO636" s="26"/>
      <c r="AP636" s="9"/>
      <c r="AQ636" s="9"/>
      <c r="AR636" s="9"/>
      <c r="AV636" s="5"/>
      <c r="AW636" s="5"/>
      <c r="AX636" s="26"/>
      <c r="AY636" s="26"/>
      <c r="AZ636" s="32"/>
      <c r="BA636" s="32"/>
    </row>
    <row r="637" spans="10:53">
      <c r="J637" s="9"/>
      <c r="K637" s="9"/>
      <c r="T637" s="5"/>
      <c r="U637" s="5"/>
      <c r="V637" s="26"/>
      <c r="W637" s="26"/>
      <c r="X637" s="26"/>
      <c r="Y637" s="26"/>
      <c r="Z637" s="26"/>
      <c r="AA637" s="9"/>
      <c r="AC637" s="9"/>
      <c r="AD637" s="9"/>
      <c r="AE637" s="9"/>
      <c r="AI637" s="26"/>
      <c r="AJ637" s="26"/>
      <c r="AK637" s="32"/>
      <c r="AL637" s="32"/>
      <c r="AM637" s="26"/>
      <c r="AN637" s="26"/>
      <c r="AO637" s="26"/>
      <c r="AP637" s="9"/>
      <c r="AQ637" s="9"/>
      <c r="AR637" s="9"/>
      <c r="AV637" s="5"/>
      <c r="AW637" s="5"/>
      <c r="AX637" s="26"/>
      <c r="AY637" s="26"/>
      <c r="AZ637" s="32"/>
      <c r="BA637" s="32"/>
    </row>
    <row r="638" spans="10:53">
      <c r="J638" s="9"/>
      <c r="K638" s="9"/>
      <c r="T638" s="5"/>
      <c r="U638" s="5"/>
      <c r="V638" s="26"/>
      <c r="W638" s="26"/>
      <c r="X638" s="26"/>
      <c r="Y638" s="26"/>
      <c r="Z638" s="26"/>
      <c r="AA638" s="9"/>
      <c r="AC638" s="9"/>
      <c r="AD638" s="9"/>
      <c r="AE638" s="9"/>
      <c r="AI638" s="26"/>
      <c r="AJ638" s="26"/>
      <c r="AK638" s="32"/>
      <c r="AL638" s="32"/>
      <c r="AM638" s="26"/>
      <c r="AN638" s="26"/>
      <c r="AO638" s="26"/>
      <c r="AP638" s="9"/>
      <c r="AQ638" s="9"/>
      <c r="AR638" s="9"/>
      <c r="AV638" s="5"/>
      <c r="AW638" s="5"/>
      <c r="AX638" s="26"/>
      <c r="AY638" s="26"/>
      <c r="AZ638" s="32"/>
      <c r="BA638" s="32"/>
    </row>
    <row r="639" spans="10:53">
      <c r="J639" s="9"/>
      <c r="K639" s="9"/>
      <c r="T639" s="5"/>
      <c r="U639" s="5"/>
      <c r="V639" s="26"/>
      <c r="W639" s="26"/>
      <c r="X639" s="26"/>
      <c r="Y639" s="26"/>
      <c r="Z639" s="26"/>
      <c r="AA639" s="9"/>
      <c r="AC639" s="9"/>
      <c r="AD639" s="9"/>
      <c r="AE639" s="9"/>
      <c r="AI639" s="26"/>
      <c r="AJ639" s="26"/>
      <c r="AK639" s="32"/>
      <c r="AL639" s="32"/>
      <c r="AM639" s="26"/>
      <c r="AN639" s="26"/>
      <c r="AO639" s="26"/>
      <c r="AP639" s="9"/>
      <c r="AQ639" s="9"/>
      <c r="AR639" s="9"/>
      <c r="AV639" s="5"/>
      <c r="AW639" s="5"/>
      <c r="AX639" s="26"/>
      <c r="AY639" s="26"/>
      <c r="AZ639" s="32"/>
      <c r="BA639" s="32"/>
    </row>
    <row r="640" spans="10:53">
      <c r="J640" s="9"/>
      <c r="K640" s="9"/>
      <c r="T640" s="5"/>
      <c r="U640" s="5"/>
      <c r="V640" s="26"/>
      <c r="W640" s="26"/>
      <c r="X640" s="26"/>
      <c r="Y640" s="26"/>
      <c r="Z640" s="26"/>
      <c r="AA640" s="9"/>
      <c r="AC640" s="9"/>
      <c r="AD640" s="9"/>
      <c r="AE640" s="9"/>
      <c r="AI640" s="26"/>
      <c r="AJ640" s="26"/>
      <c r="AK640" s="32"/>
      <c r="AL640" s="32"/>
      <c r="AM640" s="26"/>
      <c r="AN640" s="26"/>
      <c r="AO640" s="26"/>
      <c r="AP640" s="9"/>
      <c r="AQ640" s="9"/>
      <c r="AR640" s="9"/>
      <c r="AV640" s="5"/>
      <c r="AW640" s="5"/>
      <c r="AX640" s="26"/>
      <c r="AY640" s="26"/>
      <c r="AZ640" s="32"/>
      <c r="BA640" s="32"/>
    </row>
    <row r="641" spans="10:53">
      <c r="J641" s="9"/>
      <c r="K641" s="9"/>
      <c r="T641" s="5"/>
      <c r="U641" s="5"/>
      <c r="V641" s="26"/>
      <c r="W641" s="26"/>
      <c r="X641" s="26"/>
      <c r="Y641" s="26"/>
      <c r="Z641" s="26"/>
      <c r="AA641" s="9"/>
      <c r="AC641" s="9"/>
      <c r="AD641" s="9"/>
      <c r="AE641" s="9"/>
      <c r="AI641" s="26"/>
      <c r="AJ641" s="26"/>
      <c r="AK641" s="32"/>
      <c r="AL641" s="32"/>
      <c r="AM641" s="26"/>
      <c r="AN641" s="26"/>
      <c r="AO641" s="26"/>
      <c r="AP641" s="9"/>
      <c r="AQ641" s="9"/>
      <c r="AR641" s="9"/>
      <c r="AV641" s="5"/>
      <c r="AW641" s="5"/>
      <c r="AX641" s="26"/>
      <c r="AY641" s="26"/>
      <c r="AZ641" s="32"/>
      <c r="BA641" s="32"/>
    </row>
    <row r="642" spans="10:53">
      <c r="J642" s="9"/>
      <c r="K642" s="9"/>
      <c r="T642" s="5"/>
      <c r="U642" s="5"/>
      <c r="V642" s="26"/>
      <c r="W642" s="26"/>
      <c r="X642" s="26"/>
      <c r="Y642" s="26"/>
      <c r="Z642" s="26"/>
      <c r="AA642" s="9"/>
      <c r="AC642" s="9"/>
      <c r="AD642" s="9"/>
      <c r="AE642" s="9"/>
      <c r="AI642" s="26"/>
      <c r="AJ642" s="26"/>
      <c r="AK642" s="32"/>
      <c r="AL642" s="32"/>
      <c r="AM642" s="26"/>
      <c r="AN642" s="26"/>
      <c r="AO642" s="26"/>
      <c r="AP642" s="9"/>
      <c r="AQ642" s="9"/>
      <c r="AR642" s="9"/>
      <c r="AV642" s="5"/>
      <c r="AW642" s="5"/>
      <c r="AX642" s="26"/>
      <c r="AY642" s="26"/>
      <c r="AZ642" s="32"/>
      <c r="BA642" s="32"/>
    </row>
    <row r="643" spans="10:53">
      <c r="J643" s="9"/>
      <c r="K643" s="9"/>
      <c r="T643" s="5"/>
      <c r="U643" s="5"/>
      <c r="V643" s="26"/>
      <c r="W643" s="26"/>
      <c r="X643" s="26"/>
      <c r="Y643" s="26"/>
      <c r="Z643" s="26"/>
      <c r="AA643" s="9"/>
      <c r="AC643" s="9"/>
      <c r="AD643" s="9"/>
      <c r="AE643" s="9"/>
      <c r="AI643" s="26"/>
      <c r="AJ643" s="26"/>
      <c r="AK643" s="32"/>
      <c r="AL643" s="32"/>
      <c r="AM643" s="26"/>
      <c r="AN643" s="26"/>
      <c r="AO643" s="26"/>
      <c r="AP643" s="9"/>
      <c r="AQ643" s="9"/>
      <c r="AR643" s="9"/>
      <c r="AV643" s="5"/>
      <c r="AW643" s="5"/>
      <c r="AX643" s="26"/>
      <c r="AY643" s="26"/>
      <c r="AZ643" s="32"/>
      <c r="BA643" s="32"/>
    </row>
    <row r="644" spans="10:53">
      <c r="J644" s="9"/>
      <c r="K644" s="9"/>
      <c r="T644" s="5"/>
      <c r="U644" s="5"/>
      <c r="V644" s="26"/>
      <c r="W644" s="26"/>
      <c r="X644" s="26"/>
      <c r="Y644" s="26"/>
      <c r="Z644" s="26"/>
      <c r="AA644" s="9"/>
      <c r="AC644" s="9"/>
      <c r="AD644" s="9"/>
      <c r="AE644" s="9"/>
      <c r="AI644" s="26"/>
      <c r="AJ644" s="26"/>
      <c r="AK644" s="32"/>
      <c r="AL644" s="32"/>
      <c r="AM644" s="26"/>
      <c r="AN644" s="26"/>
      <c r="AO644" s="26"/>
      <c r="AP644" s="9"/>
      <c r="AQ644" s="9"/>
      <c r="AR644" s="9"/>
      <c r="AV644" s="5"/>
      <c r="AW644" s="5"/>
      <c r="AX644" s="26"/>
      <c r="AY644" s="26"/>
      <c r="AZ644" s="32"/>
      <c r="BA644" s="32"/>
    </row>
    <row r="645" spans="10:53">
      <c r="J645" s="9"/>
      <c r="K645" s="9"/>
      <c r="T645" s="5"/>
      <c r="U645" s="5"/>
      <c r="V645" s="26"/>
      <c r="W645" s="26"/>
      <c r="X645" s="26"/>
      <c r="Y645" s="26"/>
      <c r="Z645" s="26"/>
      <c r="AA645" s="9"/>
      <c r="AC645" s="9"/>
      <c r="AD645" s="9"/>
      <c r="AE645" s="9"/>
      <c r="AI645" s="26"/>
      <c r="AJ645" s="26"/>
      <c r="AK645" s="32"/>
      <c r="AL645" s="32"/>
      <c r="AM645" s="26"/>
      <c r="AN645" s="26"/>
      <c r="AO645" s="26"/>
      <c r="AP645" s="9"/>
      <c r="AQ645" s="9"/>
      <c r="AR645" s="9"/>
      <c r="AV645" s="5"/>
      <c r="AW645" s="5"/>
      <c r="AX645" s="26"/>
      <c r="AY645" s="26"/>
      <c r="AZ645" s="32"/>
      <c r="BA645" s="32"/>
    </row>
    <row r="646" spans="10:53">
      <c r="J646" s="9"/>
      <c r="K646" s="9"/>
      <c r="T646" s="5"/>
      <c r="U646" s="5"/>
      <c r="V646" s="26"/>
      <c r="W646" s="26"/>
      <c r="X646" s="26"/>
      <c r="Y646" s="26"/>
      <c r="Z646" s="26"/>
      <c r="AA646" s="9"/>
      <c r="AC646" s="9"/>
      <c r="AD646" s="9"/>
      <c r="AE646" s="9"/>
      <c r="AI646" s="26"/>
      <c r="AJ646" s="26"/>
      <c r="AK646" s="32"/>
      <c r="AL646" s="32"/>
      <c r="AM646" s="26"/>
      <c r="AN646" s="26"/>
      <c r="AO646" s="26"/>
      <c r="AP646" s="9"/>
      <c r="AQ646" s="9"/>
      <c r="AR646" s="9"/>
      <c r="AV646" s="5"/>
      <c r="AW646" s="5"/>
      <c r="AX646" s="26"/>
      <c r="AY646" s="26"/>
      <c r="AZ646" s="32"/>
      <c r="BA646" s="32"/>
    </row>
    <row r="647" spans="10:53">
      <c r="J647" s="9"/>
      <c r="K647" s="9"/>
      <c r="T647" s="5"/>
      <c r="U647" s="5"/>
      <c r="V647" s="26"/>
      <c r="W647" s="26"/>
      <c r="X647" s="26"/>
      <c r="Y647" s="26"/>
      <c r="Z647" s="26"/>
      <c r="AA647" s="9"/>
      <c r="AC647" s="9"/>
      <c r="AD647" s="9"/>
      <c r="AE647" s="9"/>
      <c r="AI647" s="26"/>
      <c r="AJ647" s="26"/>
      <c r="AK647" s="32"/>
      <c r="AL647" s="32"/>
      <c r="AM647" s="26"/>
      <c r="AN647" s="26"/>
      <c r="AO647" s="26"/>
      <c r="AP647" s="9"/>
      <c r="AQ647" s="9"/>
      <c r="AR647" s="9"/>
      <c r="AV647" s="5"/>
      <c r="AW647" s="5"/>
      <c r="AX647" s="26"/>
      <c r="AY647" s="26"/>
      <c r="AZ647" s="32"/>
      <c r="BA647" s="32"/>
    </row>
    <row r="648" spans="10:53">
      <c r="J648" s="9"/>
      <c r="K648" s="9"/>
      <c r="T648" s="5"/>
      <c r="U648" s="5"/>
      <c r="V648" s="26"/>
      <c r="W648" s="26"/>
      <c r="X648" s="26"/>
      <c r="Y648" s="26"/>
      <c r="Z648" s="26"/>
      <c r="AA648" s="9"/>
      <c r="AC648" s="9"/>
      <c r="AD648" s="9"/>
      <c r="AE648" s="9"/>
      <c r="AI648" s="26"/>
      <c r="AJ648" s="26"/>
      <c r="AK648" s="32"/>
      <c r="AL648" s="32"/>
      <c r="AM648" s="26"/>
      <c r="AN648" s="26"/>
      <c r="AO648" s="26"/>
      <c r="AP648" s="9"/>
      <c r="AQ648" s="9"/>
      <c r="AR648" s="9"/>
      <c r="AV648" s="5"/>
      <c r="AW648" s="5"/>
      <c r="AX648" s="26"/>
      <c r="AY648" s="26"/>
      <c r="AZ648" s="32"/>
      <c r="BA648" s="32"/>
    </row>
    <row r="649" spans="10:53">
      <c r="J649" s="9"/>
      <c r="K649" s="9"/>
      <c r="T649" s="5"/>
      <c r="U649" s="5"/>
      <c r="V649" s="26"/>
      <c r="W649" s="26"/>
      <c r="X649" s="26"/>
      <c r="Y649" s="26"/>
      <c r="Z649" s="26"/>
      <c r="AA649" s="9"/>
      <c r="AC649" s="9"/>
      <c r="AD649" s="9"/>
      <c r="AE649" s="9"/>
      <c r="AI649" s="26"/>
      <c r="AJ649" s="26"/>
      <c r="AK649" s="32"/>
      <c r="AL649" s="32"/>
      <c r="AM649" s="26"/>
      <c r="AN649" s="26"/>
      <c r="AO649" s="26"/>
      <c r="AP649" s="9"/>
      <c r="AQ649" s="9"/>
      <c r="AR649" s="9"/>
      <c r="AV649" s="5"/>
      <c r="AW649" s="5"/>
      <c r="AX649" s="26"/>
      <c r="AY649" s="26"/>
      <c r="AZ649" s="32"/>
      <c r="BA649" s="32"/>
    </row>
    <row r="650" spans="10:53">
      <c r="J650" s="9"/>
      <c r="K650" s="9"/>
      <c r="T650" s="5"/>
      <c r="U650" s="5"/>
      <c r="V650" s="26"/>
      <c r="W650" s="26"/>
      <c r="X650" s="26"/>
      <c r="Y650" s="26"/>
      <c r="Z650" s="26"/>
      <c r="AA650" s="9"/>
      <c r="AC650" s="9"/>
      <c r="AD650" s="9"/>
      <c r="AE650" s="9"/>
      <c r="AI650" s="26"/>
      <c r="AJ650" s="26"/>
      <c r="AK650" s="32"/>
      <c r="AL650" s="32"/>
      <c r="AM650" s="26"/>
      <c r="AN650" s="26"/>
      <c r="AO650" s="26"/>
      <c r="AP650" s="9"/>
      <c r="AQ650" s="9"/>
      <c r="AR650" s="9"/>
      <c r="AV650" s="5"/>
      <c r="AW650" s="5"/>
      <c r="AX650" s="26"/>
      <c r="AY650" s="26"/>
      <c r="AZ650" s="32"/>
      <c r="BA650" s="32"/>
    </row>
    <row r="651" spans="10:53">
      <c r="J651" s="9"/>
      <c r="K651" s="9"/>
      <c r="T651" s="5"/>
      <c r="U651" s="5"/>
      <c r="V651" s="26"/>
      <c r="W651" s="26"/>
      <c r="X651" s="26"/>
      <c r="Y651" s="26"/>
      <c r="Z651" s="26"/>
      <c r="AA651" s="9"/>
      <c r="AC651" s="9"/>
      <c r="AD651" s="9"/>
      <c r="AE651" s="9"/>
      <c r="AI651" s="26"/>
      <c r="AJ651" s="26"/>
      <c r="AK651" s="32"/>
      <c r="AL651" s="32"/>
      <c r="AM651" s="26"/>
      <c r="AN651" s="26"/>
      <c r="AO651" s="26"/>
      <c r="AP651" s="9"/>
      <c r="AQ651" s="9"/>
      <c r="AR651" s="9"/>
      <c r="AV651" s="5"/>
      <c r="AW651" s="5"/>
      <c r="AX651" s="26"/>
      <c r="AY651" s="26"/>
      <c r="AZ651" s="32"/>
      <c r="BA651" s="32"/>
    </row>
    <row r="652" spans="10:53">
      <c r="J652" s="9"/>
      <c r="K652" s="9"/>
      <c r="T652" s="5"/>
      <c r="U652" s="5"/>
      <c r="V652" s="26"/>
      <c r="W652" s="26"/>
      <c r="X652" s="26"/>
      <c r="Y652" s="26"/>
      <c r="Z652" s="26"/>
      <c r="AA652" s="9"/>
      <c r="AC652" s="9"/>
      <c r="AD652" s="9"/>
      <c r="AE652" s="9"/>
      <c r="AI652" s="26"/>
      <c r="AJ652" s="26"/>
      <c r="AK652" s="32"/>
      <c r="AL652" s="32"/>
      <c r="AM652" s="26"/>
      <c r="AN652" s="26"/>
      <c r="AO652" s="26"/>
      <c r="AP652" s="9"/>
      <c r="AQ652" s="9"/>
      <c r="AR652" s="9"/>
      <c r="AV652" s="5"/>
      <c r="AW652" s="5"/>
      <c r="AX652" s="26"/>
      <c r="AY652" s="26"/>
      <c r="AZ652" s="32"/>
      <c r="BA652" s="32"/>
    </row>
    <row r="653" spans="10:53">
      <c r="J653" s="9"/>
      <c r="K653" s="9"/>
      <c r="T653" s="5"/>
      <c r="U653" s="5"/>
      <c r="V653" s="26"/>
      <c r="W653" s="26"/>
      <c r="X653" s="26"/>
      <c r="Y653" s="26"/>
      <c r="Z653" s="26"/>
      <c r="AA653" s="9"/>
      <c r="AC653" s="9"/>
      <c r="AD653" s="9"/>
      <c r="AE653" s="9"/>
      <c r="AI653" s="26"/>
      <c r="AJ653" s="26"/>
      <c r="AK653" s="32"/>
      <c r="AL653" s="32"/>
      <c r="AM653" s="26"/>
      <c r="AN653" s="26"/>
      <c r="AO653" s="26"/>
      <c r="AP653" s="9"/>
      <c r="AQ653" s="9"/>
      <c r="AR653" s="9"/>
      <c r="AV653" s="5"/>
      <c r="AW653" s="5"/>
      <c r="AX653" s="26"/>
      <c r="AY653" s="26"/>
      <c r="AZ653" s="32"/>
      <c r="BA653" s="32"/>
    </row>
    <row r="654" spans="10:53">
      <c r="J654" s="9"/>
      <c r="K654" s="9"/>
      <c r="T654" s="5"/>
      <c r="U654" s="5"/>
      <c r="V654" s="26"/>
      <c r="W654" s="26"/>
      <c r="X654" s="26"/>
      <c r="Y654" s="26"/>
      <c r="Z654" s="26"/>
      <c r="AA654" s="9"/>
      <c r="AC654" s="9"/>
      <c r="AD654" s="9"/>
      <c r="AE654" s="9"/>
      <c r="AI654" s="26"/>
      <c r="AJ654" s="26"/>
      <c r="AK654" s="32"/>
      <c r="AL654" s="32"/>
      <c r="AM654" s="26"/>
      <c r="AN654" s="26"/>
      <c r="AO654" s="26"/>
      <c r="AP654" s="9"/>
      <c r="AQ654" s="9"/>
      <c r="AR654" s="9"/>
      <c r="AV654" s="5"/>
      <c r="AW654" s="5"/>
      <c r="AX654" s="26"/>
      <c r="AY654" s="26"/>
      <c r="AZ654" s="32"/>
      <c r="BA654" s="32"/>
    </row>
    <row r="655" spans="10:53">
      <c r="J655" s="9"/>
      <c r="K655" s="9"/>
      <c r="T655" s="5"/>
      <c r="U655" s="5"/>
      <c r="V655" s="26"/>
      <c r="W655" s="26"/>
      <c r="X655" s="26"/>
      <c r="Y655" s="26"/>
      <c r="Z655" s="26"/>
      <c r="AA655" s="9"/>
      <c r="AC655" s="9"/>
      <c r="AD655" s="9"/>
      <c r="AE655" s="9"/>
      <c r="AI655" s="26"/>
      <c r="AJ655" s="26"/>
      <c r="AK655" s="32"/>
      <c r="AL655" s="32"/>
      <c r="AM655" s="26"/>
      <c r="AN655" s="26"/>
      <c r="AO655" s="26"/>
      <c r="AP655" s="9"/>
      <c r="AQ655" s="9"/>
      <c r="AR655" s="9"/>
      <c r="AV655" s="5"/>
      <c r="AW655" s="5"/>
      <c r="AX655" s="26"/>
      <c r="AY655" s="26"/>
      <c r="AZ655" s="32"/>
      <c r="BA655" s="32"/>
    </row>
    <row r="656" spans="10:53">
      <c r="J656" s="9"/>
      <c r="K656" s="9"/>
      <c r="T656" s="5"/>
      <c r="U656" s="5"/>
      <c r="V656" s="26"/>
      <c r="W656" s="26"/>
      <c r="X656" s="26"/>
      <c r="Y656" s="26"/>
      <c r="Z656" s="26"/>
      <c r="AA656" s="9"/>
      <c r="AC656" s="9"/>
      <c r="AD656" s="9"/>
      <c r="AE656" s="9"/>
      <c r="AI656" s="26"/>
      <c r="AJ656" s="26"/>
      <c r="AK656" s="32"/>
      <c r="AL656" s="32"/>
      <c r="AM656" s="26"/>
      <c r="AN656" s="26"/>
      <c r="AO656" s="26"/>
      <c r="AP656" s="9"/>
      <c r="AQ656" s="9"/>
      <c r="AR656" s="9"/>
      <c r="AV656" s="5"/>
      <c r="AW656" s="5"/>
      <c r="AX656" s="26"/>
      <c r="AY656" s="26"/>
      <c r="AZ656" s="32"/>
      <c r="BA656" s="32"/>
    </row>
    <row r="657" spans="10:53">
      <c r="J657" s="9"/>
      <c r="K657" s="9"/>
      <c r="T657" s="5"/>
      <c r="U657" s="5"/>
      <c r="V657" s="26"/>
      <c r="W657" s="26"/>
      <c r="X657" s="26"/>
      <c r="Y657" s="26"/>
      <c r="Z657" s="26"/>
      <c r="AA657" s="9"/>
      <c r="AC657" s="9"/>
      <c r="AD657" s="9"/>
      <c r="AE657" s="9"/>
      <c r="AI657" s="26"/>
      <c r="AJ657" s="26"/>
      <c r="AK657" s="32"/>
      <c r="AL657" s="32"/>
      <c r="AM657" s="26"/>
      <c r="AN657" s="26"/>
      <c r="AO657" s="26"/>
      <c r="AP657" s="9"/>
      <c r="AQ657" s="9"/>
      <c r="AR657" s="9"/>
      <c r="AV657" s="5"/>
      <c r="AW657" s="5"/>
      <c r="AX657" s="26"/>
      <c r="AY657" s="26"/>
      <c r="AZ657" s="32"/>
      <c r="BA657" s="32"/>
    </row>
    <row r="658" spans="10:53">
      <c r="J658" s="9"/>
      <c r="K658" s="9"/>
      <c r="T658" s="5"/>
      <c r="U658" s="5"/>
      <c r="V658" s="26"/>
      <c r="W658" s="26"/>
      <c r="X658" s="26"/>
      <c r="Y658" s="26"/>
      <c r="Z658" s="26"/>
      <c r="AA658" s="9"/>
      <c r="AC658" s="9"/>
      <c r="AD658" s="9"/>
      <c r="AE658" s="9"/>
      <c r="AI658" s="26"/>
      <c r="AJ658" s="26"/>
      <c r="AK658" s="32"/>
      <c r="AL658" s="32"/>
      <c r="AM658" s="26"/>
      <c r="AN658" s="26"/>
      <c r="AO658" s="26"/>
      <c r="AP658" s="9"/>
      <c r="AQ658" s="9"/>
      <c r="AR658" s="9"/>
      <c r="AV658" s="5"/>
      <c r="AW658" s="5"/>
      <c r="AX658" s="26"/>
      <c r="AY658" s="26"/>
      <c r="AZ658" s="32"/>
      <c r="BA658" s="32"/>
    </row>
    <row r="659" spans="10:53">
      <c r="J659" s="9"/>
      <c r="K659" s="9"/>
      <c r="T659" s="5"/>
      <c r="U659" s="5"/>
      <c r="V659" s="26"/>
      <c r="W659" s="26"/>
      <c r="X659" s="26"/>
      <c r="Y659" s="26"/>
      <c r="Z659" s="26"/>
      <c r="AA659" s="9"/>
      <c r="AC659" s="9"/>
      <c r="AD659" s="9"/>
      <c r="AE659" s="9"/>
      <c r="AI659" s="26"/>
      <c r="AJ659" s="26"/>
      <c r="AK659" s="32"/>
      <c r="AL659" s="32"/>
      <c r="AM659" s="26"/>
      <c r="AN659" s="26"/>
      <c r="AO659" s="26"/>
      <c r="AP659" s="9"/>
      <c r="AQ659" s="9"/>
      <c r="AR659" s="9"/>
      <c r="AV659" s="5"/>
      <c r="AW659" s="5"/>
      <c r="AX659" s="26"/>
      <c r="AY659" s="26"/>
      <c r="AZ659" s="32"/>
      <c r="BA659" s="32"/>
    </row>
    <row r="660" spans="10:53">
      <c r="J660" s="9"/>
      <c r="K660" s="9"/>
      <c r="T660" s="5"/>
      <c r="U660" s="5"/>
      <c r="V660" s="26"/>
      <c r="W660" s="26"/>
      <c r="X660" s="26"/>
      <c r="Y660" s="26"/>
      <c r="Z660" s="26"/>
      <c r="AA660" s="9"/>
      <c r="AC660" s="9"/>
      <c r="AD660" s="9"/>
      <c r="AE660" s="9"/>
      <c r="AI660" s="26"/>
      <c r="AJ660" s="26"/>
      <c r="AK660" s="32"/>
      <c r="AL660" s="32"/>
      <c r="AM660" s="26"/>
      <c r="AN660" s="26"/>
      <c r="AO660" s="26"/>
      <c r="AP660" s="9"/>
      <c r="AQ660" s="9"/>
      <c r="AR660" s="9"/>
      <c r="AV660" s="5"/>
      <c r="AW660" s="5"/>
      <c r="AX660" s="26"/>
      <c r="AY660" s="26"/>
      <c r="AZ660" s="32"/>
      <c r="BA660" s="32"/>
    </row>
    <row r="661" spans="10:53">
      <c r="J661" s="9"/>
      <c r="K661" s="9"/>
      <c r="T661" s="5"/>
      <c r="U661" s="5"/>
      <c r="V661" s="26"/>
      <c r="W661" s="26"/>
      <c r="X661" s="26"/>
      <c r="Y661" s="26"/>
      <c r="Z661" s="26"/>
      <c r="AA661" s="9"/>
      <c r="AC661" s="9"/>
      <c r="AD661" s="9"/>
      <c r="AE661" s="9"/>
      <c r="AI661" s="26"/>
      <c r="AJ661" s="26"/>
      <c r="AK661" s="32"/>
      <c r="AL661" s="32"/>
      <c r="AM661" s="26"/>
      <c r="AN661" s="26"/>
      <c r="AO661" s="26"/>
      <c r="AP661" s="9"/>
      <c r="AQ661" s="9"/>
      <c r="AR661" s="9"/>
      <c r="AV661" s="5"/>
      <c r="AW661" s="5"/>
      <c r="AX661" s="26"/>
      <c r="AY661" s="26"/>
      <c r="AZ661" s="32"/>
      <c r="BA661" s="32"/>
    </row>
    <row r="662" spans="10:53">
      <c r="J662" s="9"/>
      <c r="K662" s="9"/>
      <c r="T662" s="5"/>
      <c r="U662" s="5"/>
      <c r="V662" s="26"/>
      <c r="W662" s="26"/>
      <c r="X662" s="26"/>
      <c r="Y662" s="26"/>
      <c r="Z662" s="26"/>
      <c r="AA662" s="9"/>
      <c r="AC662" s="9"/>
      <c r="AD662" s="9"/>
      <c r="AE662" s="9"/>
      <c r="AI662" s="26"/>
      <c r="AJ662" s="26"/>
      <c r="AK662" s="32"/>
      <c r="AL662" s="32"/>
      <c r="AM662" s="26"/>
      <c r="AN662" s="26"/>
      <c r="AO662" s="26"/>
      <c r="AP662" s="9"/>
      <c r="AQ662" s="9"/>
      <c r="AR662" s="9"/>
      <c r="AV662" s="5"/>
      <c r="AW662" s="5"/>
      <c r="AX662" s="26"/>
      <c r="AY662" s="26"/>
      <c r="AZ662" s="32"/>
      <c r="BA662" s="32"/>
    </row>
    <row r="663" spans="10:53">
      <c r="J663" s="9"/>
      <c r="K663" s="9"/>
      <c r="T663" s="5"/>
      <c r="U663" s="5"/>
      <c r="V663" s="26"/>
      <c r="W663" s="26"/>
      <c r="X663" s="26"/>
      <c r="Y663" s="26"/>
      <c r="Z663" s="26"/>
      <c r="AA663" s="9"/>
      <c r="AC663" s="9"/>
      <c r="AD663" s="9"/>
      <c r="AE663" s="9"/>
      <c r="AI663" s="26"/>
      <c r="AJ663" s="26"/>
      <c r="AK663" s="32"/>
      <c r="AL663" s="32"/>
      <c r="AM663" s="26"/>
      <c r="AN663" s="26"/>
      <c r="AO663" s="26"/>
      <c r="AP663" s="9"/>
      <c r="AQ663" s="9"/>
      <c r="AR663" s="9"/>
      <c r="AV663" s="5"/>
      <c r="AW663" s="5"/>
      <c r="AX663" s="26"/>
      <c r="AY663" s="26"/>
      <c r="AZ663" s="32"/>
      <c r="BA663" s="32"/>
    </row>
    <row r="664" spans="10:53">
      <c r="J664" s="9"/>
      <c r="K664" s="9"/>
      <c r="T664" s="5"/>
      <c r="U664" s="5"/>
      <c r="V664" s="26"/>
      <c r="W664" s="26"/>
      <c r="X664" s="26"/>
      <c r="Y664" s="26"/>
      <c r="Z664" s="26"/>
      <c r="AA664" s="9"/>
      <c r="AC664" s="9"/>
      <c r="AD664" s="9"/>
      <c r="AE664" s="9"/>
      <c r="AI664" s="26"/>
      <c r="AJ664" s="26"/>
      <c r="AK664" s="32"/>
      <c r="AL664" s="32"/>
      <c r="AM664" s="26"/>
      <c r="AN664" s="26"/>
      <c r="AO664" s="26"/>
      <c r="AP664" s="9"/>
      <c r="AQ664" s="9"/>
      <c r="AR664" s="9"/>
      <c r="AV664" s="5"/>
      <c r="AW664" s="5"/>
      <c r="AX664" s="26"/>
      <c r="AY664" s="26"/>
      <c r="AZ664" s="32"/>
      <c r="BA664" s="32"/>
    </row>
    <row r="665" spans="10:53">
      <c r="J665" s="9"/>
      <c r="K665" s="9"/>
      <c r="T665" s="5"/>
      <c r="U665" s="5"/>
      <c r="V665" s="26"/>
      <c r="W665" s="26"/>
      <c r="X665" s="26"/>
      <c r="Y665" s="26"/>
      <c r="Z665" s="26"/>
      <c r="AA665" s="9"/>
      <c r="AC665" s="9"/>
      <c r="AD665" s="9"/>
      <c r="AE665" s="9"/>
      <c r="AI665" s="26"/>
      <c r="AJ665" s="26"/>
      <c r="AK665" s="32"/>
      <c r="AL665" s="32"/>
      <c r="AM665" s="26"/>
      <c r="AN665" s="26"/>
      <c r="AO665" s="26"/>
      <c r="AP665" s="9"/>
      <c r="AQ665" s="9"/>
      <c r="AR665" s="9"/>
      <c r="AV665" s="5"/>
      <c r="AW665" s="5"/>
      <c r="AX665" s="26"/>
      <c r="AY665" s="26"/>
      <c r="AZ665" s="32"/>
      <c r="BA665" s="32"/>
    </row>
    <row r="666" spans="10:53">
      <c r="J666" s="9"/>
      <c r="K666" s="9"/>
      <c r="T666" s="5"/>
      <c r="U666" s="5"/>
      <c r="V666" s="26"/>
      <c r="W666" s="26"/>
      <c r="X666" s="26"/>
      <c r="Y666" s="26"/>
      <c r="Z666" s="26"/>
      <c r="AA666" s="9"/>
      <c r="AC666" s="9"/>
      <c r="AD666" s="9"/>
      <c r="AE666" s="9"/>
      <c r="AI666" s="26"/>
      <c r="AJ666" s="26"/>
      <c r="AK666" s="32"/>
      <c r="AL666" s="32"/>
      <c r="AM666" s="26"/>
      <c r="AN666" s="26"/>
      <c r="AO666" s="26"/>
      <c r="AP666" s="9"/>
      <c r="AQ666" s="9"/>
      <c r="AR666" s="9"/>
      <c r="AV666" s="5"/>
      <c r="AW666" s="5"/>
      <c r="AX666" s="26"/>
      <c r="AY666" s="26"/>
      <c r="AZ666" s="32"/>
      <c r="BA666" s="32"/>
    </row>
    <row r="667" spans="10:53">
      <c r="J667" s="9"/>
      <c r="K667" s="9"/>
      <c r="T667" s="5"/>
      <c r="U667" s="5"/>
      <c r="V667" s="26"/>
      <c r="W667" s="26"/>
      <c r="X667" s="26"/>
      <c r="Y667" s="26"/>
      <c r="Z667" s="26"/>
      <c r="AA667" s="9"/>
      <c r="AC667" s="9"/>
      <c r="AD667" s="9"/>
      <c r="AE667" s="9"/>
      <c r="AI667" s="26"/>
      <c r="AJ667" s="26"/>
      <c r="AK667" s="32"/>
      <c r="AL667" s="32"/>
      <c r="AM667" s="26"/>
      <c r="AN667" s="26"/>
      <c r="AO667" s="26"/>
      <c r="AP667" s="9"/>
      <c r="AQ667" s="9"/>
      <c r="AR667" s="9"/>
      <c r="AV667" s="5"/>
      <c r="AW667" s="5"/>
      <c r="AX667" s="26"/>
      <c r="AY667" s="26"/>
      <c r="AZ667" s="32"/>
      <c r="BA667" s="32"/>
    </row>
    <row r="668" spans="10:53">
      <c r="J668" s="9"/>
      <c r="K668" s="9"/>
      <c r="T668" s="5"/>
      <c r="U668" s="5"/>
      <c r="V668" s="26"/>
      <c r="W668" s="26"/>
      <c r="X668" s="26"/>
      <c r="Y668" s="26"/>
      <c r="Z668" s="26"/>
      <c r="AA668" s="9"/>
      <c r="AC668" s="9"/>
      <c r="AD668" s="9"/>
      <c r="AE668" s="9"/>
      <c r="AI668" s="26"/>
      <c r="AJ668" s="26"/>
      <c r="AK668" s="32"/>
      <c r="AL668" s="32"/>
      <c r="AM668" s="26"/>
      <c r="AN668" s="26"/>
      <c r="AO668" s="26"/>
      <c r="AP668" s="9"/>
      <c r="AQ668" s="9"/>
      <c r="AR668" s="9"/>
      <c r="AV668" s="5"/>
      <c r="AW668" s="5"/>
      <c r="AX668" s="26"/>
      <c r="AY668" s="26"/>
      <c r="AZ668" s="32"/>
      <c r="BA668" s="32"/>
    </row>
    <row r="669" spans="10:53">
      <c r="J669" s="9"/>
      <c r="K669" s="9"/>
      <c r="T669" s="5"/>
      <c r="U669" s="5"/>
      <c r="V669" s="26"/>
      <c r="W669" s="26"/>
      <c r="X669" s="26"/>
      <c r="Y669" s="26"/>
      <c r="Z669" s="26"/>
      <c r="AA669" s="9"/>
      <c r="AC669" s="9"/>
      <c r="AD669" s="9"/>
      <c r="AE669" s="9"/>
      <c r="AI669" s="26"/>
      <c r="AJ669" s="26"/>
      <c r="AK669" s="32"/>
      <c r="AL669" s="32"/>
      <c r="AM669" s="26"/>
      <c r="AN669" s="26"/>
      <c r="AO669" s="26"/>
      <c r="AP669" s="9"/>
      <c r="AQ669" s="9"/>
      <c r="AR669" s="9"/>
      <c r="AV669" s="5"/>
      <c r="AW669" s="5"/>
      <c r="AX669" s="26"/>
      <c r="AY669" s="26"/>
      <c r="AZ669" s="32"/>
      <c r="BA669" s="32"/>
    </row>
    <row r="670" spans="10:53">
      <c r="J670" s="9"/>
      <c r="K670" s="9"/>
      <c r="T670" s="5"/>
      <c r="U670" s="5"/>
      <c r="V670" s="26"/>
      <c r="W670" s="26"/>
      <c r="X670" s="26"/>
      <c r="Y670" s="26"/>
      <c r="Z670" s="26"/>
      <c r="AA670" s="9"/>
      <c r="AC670" s="9"/>
      <c r="AD670" s="9"/>
      <c r="AE670" s="9"/>
      <c r="AI670" s="26"/>
      <c r="AJ670" s="26"/>
      <c r="AK670" s="32"/>
      <c r="AL670" s="32"/>
      <c r="AM670" s="26"/>
      <c r="AN670" s="26"/>
      <c r="AO670" s="26"/>
      <c r="AP670" s="9"/>
      <c r="AQ670" s="9"/>
      <c r="AR670" s="9"/>
      <c r="AV670" s="5"/>
      <c r="AW670" s="5"/>
      <c r="AX670" s="26"/>
      <c r="AY670" s="26"/>
      <c r="AZ670" s="32"/>
      <c r="BA670" s="32"/>
    </row>
    <row r="671" spans="10:53">
      <c r="J671" s="9"/>
      <c r="K671" s="9"/>
      <c r="T671" s="5"/>
      <c r="U671" s="5"/>
      <c r="V671" s="26"/>
      <c r="W671" s="26"/>
      <c r="X671" s="26"/>
      <c r="Y671" s="26"/>
      <c r="Z671" s="26"/>
      <c r="AA671" s="9"/>
      <c r="AC671" s="9"/>
      <c r="AD671" s="9"/>
      <c r="AE671" s="9"/>
      <c r="AI671" s="26"/>
      <c r="AJ671" s="26"/>
      <c r="AK671" s="32"/>
      <c r="AL671" s="32"/>
      <c r="AM671" s="26"/>
      <c r="AN671" s="26"/>
      <c r="AO671" s="26"/>
      <c r="AP671" s="9"/>
      <c r="AQ671" s="9"/>
      <c r="AR671" s="9"/>
      <c r="AV671" s="5"/>
      <c r="AW671" s="5"/>
      <c r="AX671" s="26"/>
      <c r="AY671" s="26"/>
      <c r="AZ671" s="32"/>
      <c r="BA671" s="32"/>
    </row>
    <row r="672" spans="10:53">
      <c r="J672" s="9"/>
      <c r="K672" s="9"/>
      <c r="T672" s="5"/>
      <c r="U672" s="5"/>
      <c r="V672" s="26"/>
      <c r="W672" s="26"/>
      <c r="X672" s="26"/>
      <c r="Y672" s="26"/>
      <c r="Z672" s="26"/>
      <c r="AA672" s="9"/>
      <c r="AC672" s="9"/>
      <c r="AD672" s="9"/>
      <c r="AE672" s="9"/>
      <c r="AI672" s="26"/>
      <c r="AJ672" s="26"/>
      <c r="AK672" s="32"/>
      <c r="AL672" s="32"/>
      <c r="AM672" s="26"/>
      <c r="AN672" s="26"/>
      <c r="AO672" s="26"/>
      <c r="AP672" s="9"/>
      <c r="AQ672" s="9"/>
      <c r="AR672" s="9"/>
      <c r="AV672" s="5"/>
      <c r="AW672" s="5"/>
      <c r="AX672" s="26"/>
      <c r="AY672" s="26"/>
      <c r="AZ672" s="32"/>
      <c r="BA672" s="32"/>
    </row>
    <row r="673" spans="10:53">
      <c r="J673" s="9"/>
      <c r="K673" s="9"/>
      <c r="T673" s="5"/>
      <c r="U673" s="5"/>
      <c r="V673" s="26"/>
      <c r="W673" s="26"/>
      <c r="X673" s="26"/>
      <c r="Y673" s="26"/>
      <c r="Z673" s="26"/>
      <c r="AA673" s="9"/>
      <c r="AC673" s="9"/>
      <c r="AD673" s="9"/>
      <c r="AE673" s="9"/>
      <c r="AI673" s="26"/>
      <c r="AJ673" s="26"/>
      <c r="AK673" s="32"/>
      <c r="AL673" s="32"/>
      <c r="AM673" s="26"/>
      <c r="AN673" s="26"/>
      <c r="AO673" s="26"/>
      <c r="AP673" s="9"/>
      <c r="AQ673" s="9"/>
      <c r="AR673" s="9"/>
      <c r="AV673" s="5"/>
      <c r="AW673" s="5"/>
      <c r="AX673" s="26"/>
      <c r="AY673" s="26"/>
      <c r="AZ673" s="32"/>
      <c r="BA673" s="32"/>
    </row>
    <row r="674" spans="10:53">
      <c r="J674" s="9"/>
      <c r="K674" s="9"/>
      <c r="T674" s="5"/>
      <c r="U674" s="5"/>
      <c r="V674" s="26"/>
      <c r="W674" s="26"/>
      <c r="X674" s="26"/>
      <c r="Y674" s="26"/>
      <c r="Z674" s="26"/>
      <c r="AA674" s="9"/>
      <c r="AC674" s="9"/>
      <c r="AD674" s="9"/>
      <c r="AE674" s="9"/>
      <c r="AI674" s="26"/>
      <c r="AJ674" s="26"/>
      <c r="AK674" s="32"/>
      <c r="AL674" s="32"/>
      <c r="AM674" s="26"/>
      <c r="AN674" s="26"/>
      <c r="AO674" s="26"/>
      <c r="AP674" s="9"/>
      <c r="AQ674" s="9"/>
      <c r="AR674" s="9"/>
      <c r="AV674" s="5"/>
      <c r="AW674" s="5"/>
      <c r="AX674" s="26"/>
      <c r="AY674" s="26"/>
      <c r="AZ674" s="32"/>
      <c r="BA674" s="32"/>
    </row>
    <row r="675" spans="10:53">
      <c r="J675" s="9"/>
      <c r="K675" s="9"/>
      <c r="T675" s="5"/>
      <c r="U675" s="5"/>
      <c r="V675" s="26"/>
      <c r="W675" s="26"/>
      <c r="X675" s="26"/>
      <c r="Y675" s="26"/>
      <c r="Z675" s="26"/>
      <c r="AA675" s="9"/>
      <c r="AC675" s="9"/>
      <c r="AD675" s="9"/>
      <c r="AE675" s="9"/>
      <c r="AI675" s="26"/>
      <c r="AJ675" s="26"/>
      <c r="AK675" s="32"/>
      <c r="AL675" s="32"/>
      <c r="AM675" s="26"/>
      <c r="AN675" s="26"/>
      <c r="AO675" s="26"/>
      <c r="AP675" s="9"/>
      <c r="AQ675" s="9"/>
      <c r="AR675" s="9"/>
      <c r="AV675" s="5"/>
      <c r="AW675" s="5"/>
      <c r="AX675" s="26"/>
      <c r="AY675" s="26"/>
      <c r="AZ675" s="32"/>
      <c r="BA675" s="32"/>
    </row>
    <row r="676" spans="10:53">
      <c r="J676" s="9"/>
      <c r="K676" s="9"/>
      <c r="T676" s="5"/>
      <c r="U676" s="5"/>
      <c r="V676" s="26"/>
      <c r="W676" s="26"/>
      <c r="X676" s="26"/>
      <c r="Y676" s="26"/>
      <c r="Z676" s="26"/>
      <c r="AA676" s="9"/>
      <c r="AC676" s="9"/>
      <c r="AD676" s="9"/>
      <c r="AE676" s="9"/>
      <c r="AI676" s="26"/>
      <c r="AJ676" s="26"/>
      <c r="AK676" s="32"/>
      <c r="AL676" s="32"/>
      <c r="AM676" s="26"/>
      <c r="AN676" s="26"/>
      <c r="AO676" s="26"/>
      <c r="AP676" s="9"/>
      <c r="AQ676" s="9"/>
      <c r="AR676" s="9"/>
      <c r="AV676" s="5"/>
      <c r="AW676" s="5"/>
      <c r="AX676" s="26"/>
      <c r="AY676" s="26"/>
      <c r="AZ676" s="32"/>
      <c r="BA676" s="32"/>
    </row>
    <row r="677" spans="10:53">
      <c r="J677" s="9"/>
      <c r="K677" s="9"/>
      <c r="T677" s="5"/>
      <c r="U677" s="5"/>
      <c r="V677" s="26"/>
      <c r="W677" s="26"/>
      <c r="X677" s="26"/>
      <c r="Y677" s="26"/>
      <c r="Z677" s="26"/>
      <c r="AA677" s="9"/>
      <c r="AC677" s="9"/>
      <c r="AD677" s="9"/>
      <c r="AE677" s="9"/>
      <c r="AI677" s="26"/>
      <c r="AJ677" s="26"/>
      <c r="AK677" s="32"/>
      <c r="AL677" s="32"/>
      <c r="AM677" s="26"/>
      <c r="AN677" s="26"/>
      <c r="AO677" s="26"/>
      <c r="AP677" s="9"/>
      <c r="AQ677" s="9"/>
      <c r="AR677" s="9"/>
      <c r="AV677" s="5"/>
      <c r="AW677" s="5"/>
      <c r="AX677" s="26"/>
      <c r="AY677" s="26"/>
      <c r="AZ677" s="32"/>
      <c r="BA677" s="32"/>
    </row>
    <row r="678" spans="10:53">
      <c r="J678" s="9"/>
      <c r="K678" s="9"/>
      <c r="T678" s="5"/>
      <c r="U678" s="5"/>
      <c r="V678" s="26"/>
      <c r="W678" s="26"/>
      <c r="X678" s="26"/>
      <c r="Y678" s="26"/>
      <c r="Z678" s="26"/>
      <c r="AA678" s="9"/>
      <c r="AC678" s="9"/>
      <c r="AD678" s="9"/>
      <c r="AE678" s="9"/>
      <c r="AI678" s="26"/>
      <c r="AJ678" s="26"/>
      <c r="AK678" s="32"/>
      <c r="AL678" s="32"/>
      <c r="AM678" s="26"/>
      <c r="AN678" s="26"/>
      <c r="AO678" s="26"/>
      <c r="AP678" s="9"/>
      <c r="AQ678" s="9"/>
      <c r="AR678" s="9"/>
      <c r="AV678" s="5"/>
      <c r="AW678" s="5"/>
      <c r="AX678" s="26"/>
      <c r="AY678" s="26"/>
      <c r="AZ678" s="32"/>
      <c r="BA678" s="32"/>
    </row>
    <row r="679" spans="10:53">
      <c r="J679" s="9"/>
      <c r="K679" s="9"/>
      <c r="T679" s="5"/>
      <c r="U679" s="5"/>
      <c r="V679" s="26"/>
      <c r="W679" s="26"/>
      <c r="X679" s="26"/>
      <c r="Y679" s="26"/>
      <c r="Z679" s="26"/>
      <c r="AA679" s="9"/>
      <c r="AC679" s="9"/>
      <c r="AD679" s="9"/>
      <c r="AE679" s="9"/>
      <c r="AI679" s="26"/>
      <c r="AJ679" s="26"/>
      <c r="AK679" s="32"/>
      <c r="AL679" s="32"/>
      <c r="AM679" s="26"/>
      <c r="AN679" s="26"/>
      <c r="AO679" s="26"/>
      <c r="AP679" s="9"/>
      <c r="AQ679" s="9"/>
      <c r="AR679" s="9"/>
      <c r="AV679" s="5"/>
      <c r="AW679" s="5"/>
      <c r="AX679" s="26"/>
      <c r="AY679" s="26"/>
      <c r="AZ679" s="32"/>
      <c r="BA679" s="32"/>
    </row>
    <row r="680" spans="10:53">
      <c r="J680" s="9"/>
      <c r="K680" s="9"/>
      <c r="T680" s="5"/>
      <c r="U680" s="5"/>
      <c r="V680" s="26"/>
      <c r="W680" s="26"/>
      <c r="X680" s="26"/>
      <c r="Y680" s="26"/>
      <c r="Z680" s="26"/>
      <c r="AA680" s="9"/>
      <c r="AC680" s="9"/>
      <c r="AD680" s="9"/>
      <c r="AE680" s="9"/>
      <c r="AI680" s="26"/>
      <c r="AJ680" s="26"/>
      <c r="AK680" s="32"/>
      <c r="AL680" s="32"/>
      <c r="AM680" s="26"/>
      <c r="AN680" s="26"/>
      <c r="AO680" s="26"/>
      <c r="AP680" s="9"/>
      <c r="AQ680" s="9"/>
      <c r="AR680" s="9"/>
      <c r="AV680" s="5"/>
      <c r="AW680" s="5"/>
      <c r="AX680" s="26"/>
      <c r="AY680" s="26"/>
      <c r="AZ680" s="32"/>
      <c r="BA680" s="32"/>
    </row>
    <row r="681" spans="10:53">
      <c r="J681" s="9"/>
      <c r="K681" s="9"/>
      <c r="T681" s="5"/>
      <c r="U681" s="5"/>
      <c r="V681" s="26"/>
      <c r="W681" s="26"/>
      <c r="X681" s="26"/>
      <c r="Y681" s="26"/>
      <c r="Z681" s="26"/>
      <c r="AA681" s="9"/>
      <c r="AC681" s="9"/>
      <c r="AD681" s="9"/>
      <c r="AE681" s="9"/>
      <c r="AI681" s="26"/>
      <c r="AJ681" s="26"/>
      <c r="AK681" s="32"/>
      <c r="AL681" s="32"/>
      <c r="AM681" s="26"/>
      <c r="AN681" s="26"/>
      <c r="AO681" s="26"/>
      <c r="AP681" s="9"/>
      <c r="AQ681" s="9"/>
      <c r="AR681" s="9"/>
      <c r="AV681" s="5"/>
      <c r="AW681" s="5"/>
      <c r="AX681" s="26"/>
      <c r="AY681" s="26"/>
      <c r="AZ681" s="32"/>
      <c r="BA681" s="32"/>
    </row>
    <row r="682" spans="10:53">
      <c r="J682" s="9"/>
      <c r="K682" s="9"/>
      <c r="T682" s="5"/>
      <c r="U682" s="5"/>
      <c r="V682" s="26"/>
      <c r="W682" s="26"/>
      <c r="X682" s="26"/>
      <c r="Y682" s="26"/>
      <c r="Z682" s="26"/>
      <c r="AA682" s="9"/>
      <c r="AC682" s="9"/>
      <c r="AD682" s="9"/>
      <c r="AE682" s="9"/>
      <c r="AI682" s="26"/>
      <c r="AJ682" s="26"/>
      <c r="AK682" s="32"/>
      <c r="AL682" s="32"/>
      <c r="AM682" s="26"/>
      <c r="AN682" s="26"/>
      <c r="AO682" s="26"/>
      <c r="AP682" s="9"/>
      <c r="AQ682" s="9"/>
      <c r="AR682" s="9"/>
      <c r="AV682" s="5"/>
      <c r="AW682" s="5"/>
      <c r="AX682" s="26"/>
      <c r="AY682" s="26"/>
      <c r="AZ682" s="32"/>
      <c r="BA682" s="32"/>
    </row>
    <row r="683" spans="10:53">
      <c r="J683" s="9"/>
      <c r="K683" s="9"/>
      <c r="T683" s="5"/>
      <c r="U683" s="5"/>
      <c r="V683" s="26"/>
      <c r="W683" s="26"/>
      <c r="X683" s="26"/>
      <c r="Y683" s="26"/>
      <c r="Z683" s="26"/>
      <c r="AA683" s="9"/>
      <c r="AC683" s="9"/>
      <c r="AD683" s="9"/>
      <c r="AE683" s="9"/>
      <c r="AI683" s="26"/>
      <c r="AJ683" s="26"/>
      <c r="AK683" s="32"/>
      <c r="AL683" s="32"/>
      <c r="AM683" s="26"/>
      <c r="AN683" s="26"/>
      <c r="AO683" s="26"/>
      <c r="AP683" s="9"/>
      <c r="AQ683" s="9"/>
      <c r="AR683" s="9"/>
      <c r="AV683" s="5"/>
      <c r="AW683" s="5"/>
      <c r="AX683" s="26"/>
      <c r="AY683" s="26"/>
      <c r="AZ683" s="32"/>
      <c r="BA683" s="32"/>
    </row>
    <row r="684" spans="10:53">
      <c r="J684" s="9"/>
      <c r="K684" s="9"/>
      <c r="T684" s="5"/>
      <c r="U684" s="5"/>
      <c r="V684" s="26"/>
      <c r="W684" s="26"/>
      <c r="X684" s="26"/>
      <c r="Y684" s="26"/>
      <c r="Z684" s="26"/>
      <c r="AA684" s="9"/>
      <c r="AC684" s="9"/>
      <c r="AD684" s="9"/>
      <c r="AE684" s="9"/>
      <c r="AI684" s="26"/>
      <c r="AJ684" s="26"/>
      <c r="AK684" s="32"/>
      <c r="AL684" s="32"/>
      <c r="AM684" s="26"/>
      <c r="AN684" s="26"/>
      <c r="AO684" s="26"/>
      <c r="AP684" s="9"/>
      <c r="AQ684" s="9"/>
      <c r="AR684" s="9"/>
      <c r="AV684" s="5"/>
      <c r="AW684" s="5"/>
      <c r="AX684" s="26"/>
      <c r="AY684" s="26"/>
      <c r="AZ684" s="32"/>
      <c r="BA684" s="32"/>
    </row>
    <row r="685" spans="10:53">
      <c r="J685" s="9"/>
      <c r="K685" s="9"/>
      <c r="T685" s="5"/>
      <c r="U685" s="5"/>
      <c r="V685" s="26"/>
      <c r="W685" s="26"/>
      <c r="X685" s="26"/>
      <c r="Y685" s="26"/>
      <c r="Z685" s="26"/>
      <c r="AA685" s="9"/>
      <c r="AC685" s="9"/>
      <c r="AD685" s="9"/>
      <c r="AE685" s="9"/>
      <c r="AI685" s="26"/>
      <c r="AJ685" s="26"/>
      <c r="AK685" s="32"/>
      <c r="AL685" s="32"/>
      <c r="AM685" s="26"/>
      <c r="AN685" s="26"/>
      <c r="AO685" s="26"/>
      <c r="AP685" s="9"/>
      <c r="AQ685" s="9"/>
      <c r="AR685" s="9"/>
      <c r="AV685" s="5"/>
      <c r="AW685" s="5"/>
      <c r="AX685" s="26"/>
      <c r="AY685" s="26"/>
      <c r="AZ685" s="32"/>
      <c r="BA685" s="32"/>
    </row>
    <row r="686" spans="10:53">
      <c r="J686" s="9"/>
      <c r="K686" s="9"/>
      <c r="T686" s="5"/>
      <c r="U686" s="5"/>
      <c r="V686" s="26"/>
      <c r="W686" s="26"/>
      <c r="X686" s="26"/>
      <c r="Y686" s="26"/>
      <c r="Z686" s="26"/>
      <c r="AA686" s="9"/>
      <c r="AC686" s="9"/>
      <c r="AD686" s="9"/>
      <c r="AE686" s="9"/>
      <c r="AI686" s="26"/>
      <c r="AJ686" s="26"/>
      <c r="AK686" s="32"/>
      <c r="AL686" s="32"/>
      <c r="AM686" s="26"/>
      <c r="AN686" s="26"/>
      <c r="AO686" s="26"/>
      <c r="AP686" s="9"/>
      <c r="AQ686" s="9"/>
      <c r="AR686" s="9"/>
      <c r="AV686" s="5"/>
      <c r="AW686" s="5"/>
      <c r="AX686" s="26"/>
      <c r="AY686" s="26"/>
      <c r="AZ686" s="32"/>
      <c r="BA686" s="32"/>
    </row>
    <row r="687" spans="10:53">
      <c r="J687" s="9"/>
      <c r="K687" s="9"/>
      <c r="T687" s="5"/>
      <c r="U687" s="5"/>
      <c r="V687" s="26"/>
      <c r="W687" s="26"/>
      <c r="X687" s="26"/>
      <c r="Y687" s="26"/>
      <c r="Z687" s="26"/>
      <c r="AA687" s="9"/>
      <c r="AC687" s="9"/>
      <c r="AD687" s="9"/>
      <c r="AE687" s="9"/>
      <c r="AI687" s="26"/>
      <c r="AJ687" s="26"/>
      <c r="AK687" s="32"/>
      <c r="AL687" s="32"/>
      <c r="AM687" s="26"/>
      <c r="AN687" s="26"/>
      <c r="AO687" s="26"/>
      <c r="AP687" s="9"/>
      <c r="AQ687" s="9"/>
      <c r="AR687" s="9"/>
      <c r="AV687" s="5"/>
      <c r="AW687" s="5"/>
      <c r="AX687" s="26"/>
      <c r="AY687" s="26"/>
      <c r="AZ687" s="32"/>
      <c r="BA687" s="32"/>
    </row>
    <row r="688" spans="10:53">
      <c r="J688" s="9"/>
      <c r="K688" s="9"/>
      <c r="T688" s="5"/>
      <c r="U688" s="5"/>
      <c r="V688" s="26"/>
      <c r="W688" s="26"/>
      <c r="X688" s="26"/>
      <c r="Y688" s="26"/>
      <c r="Z688" s="26"/>
      <c r="AA688" s="9"/>
      <c r="AC688" s="9"/>
      <c r="AD688" s="9"/>
      <c r="AE688" s="9"/>
      <c r="AI688" s="26"/>
      <c r="AJ688" s="26"/>
      <c r="AK688" s="32"/>
      <c r="AL688" s="32"/>
      <c r="AM688" s="26"/>
      <c r="AN688" s="26"/>
      <c r="AO688" s="26"/>
      <c r="AP688" s="9"/>
      <c r="AQ688" s="9"/>
      <c r="AR688" s="9"/>
      <c r="AV688" s="5"/>
      <c r="AW688" s="5"/>
      <c r="AX688" s="26"/>
      <c r="AY688" s="26"/>
      <c r="AZ688" s="32"/>
      <c r="BA688" s="32"/>
    </row>
    <row r="689" spans="10:53">
      <c r="J689" s="9"/>
      <c r="K689" s="9"/>
      <c r="T689" s="5"/>
      <c r="U689" s="5"/>
      <c r="V689" s="26"/>
      <c r="W689" s="26"/>
      <c r="X689" s="26"/>
      <c r="Y689" s="26"/>
      <c r="Z689" s="26"/>
      <c r="AA689" s="9"/>
      <c r="AC689" s="9"/>
      <c r="AD689" s="9"/>
      <c r="AE689" s="9"/>
      <c r="AI689" s="26"/>
      <c r="AJ689" s="26"/>
      <c r="AK689" s="32"/>
      <c r="AL689" s="32"/>
      <c r="AM689" s="26"/>
      <c r="AN689" s="26"/>
      <c r="AO689" s="26"/>
      <c r="AP689" s="9"/>
      <c r="AQ689" s="9"/>
      <c r="AR689" s="9"/>
      <c r="AV689" s="5"/>
      <c r="AW689" s="5"/>
      <c r="AX689" s="26"/>
      <c r="AY689" s="26"/>
      <c r="AZ689" s="32"/>
      <c r="BA689" s="32"/>
    </row>
    <row r="690" spans="10:53">
      <c r="J690" s="9"/>
      <c r="K690" s="9"/>
      <c r="T690" s="5"/>
      <c r="U690" s="5"/>
      <c r="V690" s="26"/>
      <c r="W690" s="26"/>
      <c r="X690" s="26"/>
      <c r="Y690" s="26"/>
      <c r="Z690" s="26"/>
      <c r="AA690" s="9"/>
      <c r="AC690" s="9"/>
      <c r="AD690" s="9"/>
      <c r="AE690" s="9"/>
      <c r="AI690" s="26"/>
      <c r="AJ690" s="26"/>
      <c r="AK690" s="32"/>
      <c r="AL690" s="32"/>
      <c r="AM690" s="26"/>
      <c r="AN690" s="26"/>
      <c r="AO690" s="26"/>
      <c r="AP690" s="9"/>
      <c r="AQ690" s="9"/>
      <c r="AR690" s="9"/>
      <c r="AV690" s="5"/>
      <c r="AW690" s="5"/>
      <c r="AX690" s="26"/>
      <c r="AY690" s="26"/>
      <c r="AZ690" s="32"/>
      <c r="BA690" s="32"/>
    </row>
    <row r="691" spans="10:53">
      <c r="J691" s="9"/>
      <c r="K691" s="9"/>
      <c r="T691" s="5"/>
      <c r="U691" s="5"/>
      <c r="V691" s="26"/>
      <c r="W691" s="26"/>
      <c r="X691" s="26"/>
      <c r="Y691" s="26"/>
      <c r="Z691" s="26"/>
      <c r="AA691" s="9"/>
      <c r="AC691" s="9"/>
      <c r="AD691" s="9"/>
      <c r="AE691" s="9"/>
      <c r="AI691" s="26"/>
      <c r="AJ691" s="26"/>
      <c r="AK691" s="32"/>
      <c r="AL691" s="32"/>
      <c r="AM691" s="26"/>
      <c r="AN691" s="26"/>
      <c r="AO691" s="26"/>
      <c r="AP691" s="9"/>
      <c r="AQ691" s="9"/>
      <c r="AR691" s="9"/>
      <c r="AV691" s="5"/>
      <c r="AW691" s="5"/>
      <c r="AX691" s="26"/>
      <c r="AY691" s="26"/>
      <c r="AZ691" s="32"/>
      <c r="BA691" s="32"/>
    </row>
    <row r="692" spans="10:53">
      <c r="J692" s="9"/>
      <c r="K692" s="9"/>
      <c r="T692" s="5"/>
      <c r="U692" s="5"/>
      <c r="V692" s="26"/>
      <c r="W692" s="26"/>
      <c r="X692" s="26"/>
      <c r="Y692" s="26"/>
      <c r="Z692" s="26"/>
      <c r="AA692" s="9"/>
      <c r="AC692" s="9"/>
      <c r="AD692" s="9"/>
      <c r="AE692" s="9"/>
      <c r="AI692" s="26"/>
      <c r="AJ692" s="26"/>
      <c r="AK692" s="32"/>
      <c r="AL692" s="32"/>
      <c r="AM692" s="26"/>
      <c r="AN692" s="26"/>
      <c r="AO692" s="26"/>
      <c r="AP692" s="9"/>
      <c r="AQ692" s="9"/>
      <c r="AR692" s="9"/>
      <c r="AV692" s="5"/>
      <c r="AW692" s="5"/>
      <c r="AX692" s="26"/>
      <c r="AY692" s="26"/>
      <c r="AZ692" s="32"/>
      <c r="BA692" s="32"/>
    </row>
    <row r="693" spans="10:53">
      <c r="J693" s="9"/>
      <c r="K693" s="9"/>
      <c r="T693" s="5"/>
      <c r="U693" s="5"/>
      <c r="V693" s="26"/>
      <c r="W693" s="26"/>
      <c r="X693" s="26"/>
      <c r="Y693" s="26"/>
      <c r="Z693" s="26"/>
      <c r="AA693" s="9"/>
      <c r="AC693" s="9"/>
      <c r="AD693" s="9"/>
      <c r="AE693" s="9"/>
      <c r="AI693" s="26"/>
      <c r="AJ693" s="26"/>
      <c r="AK693" s="32"/>
      <c r="AL693" s="32"/>
      <c r="AM693" s="26"/>
      <c r="AN693" s="26"/>
      <c r="AO693" s="26"/>
      <c r="AP693" s="9"/>
      <c r="AQ693" s="9"/>
      <c r="AR693" s="9"/>
      <c r="AV693" s="5"/>
      <c r="AW693" s="5"/>
      <c r="AX693" s="26"/>
      <c r="AY693" s="26"/>
      <c r="AZ693" s="32"/>
      <c r="BA693" s="32"/>
    </row>
    <row r="694" spans="10:53">
      <c r="J694" s="9"/>
      <c r="K694" s="9"/>
      <c r="T694" s="5"/>
      <c r="U694" s="5"/>
      <c r="V694" s="26"/>
      <c r="W694" s="26"/>
      <c r="X694" s="26"/>
      <c r="Y694" s="26"/>
      <c r="Z694" s="26"/>
      <c r="AA694" s="9"/>
      <c r="AC694" s="9"/>
      <c r="AD694" s="9"/>
      <c r="AE694" s="9"/>
      <c r="AI694" s="26"/>
      <c r="AJ694" s="26"/>
      <c r="AK694" s="32"/>
      <c r="AL694" s="32"/>
      <c r="AM694" s="26"/>
      <c r="AN694" s="26"/>
      <c r="AO694" s="26"/>
      <c r="AP694" s="9"/>
      <c r="AQ694" s="9"/>
      <c r="AR694" s="9"/>
      <c r="AV694" s="5"/>
      <c r="AW694" s="5"/>
      <c r="AX694" s="26"/>
      <c r="AY694" s="26"/>
      <c r="AZ694" s="32"/>
      <c r="BA694" s="32"/>
    </row>
    <row r="695" spans="10:53">
      <c r="J695" s="9"/>
      <c r="K695" s="9"/>
      <c r="T695" s="5"/>
      <c r="U695" s="5"/>
      <c r="V695" s="26"/>
      <c r="W695" s="26"/>
      <c r="X695" s="26"/>
      <c r="Y695" s="26"/>
      <c r="Z695" s="26"/>
      <c r="AA695" s="9"/>
      <c r="AC695" s="9"/>
      <c r="AD695" s="9"/>
      <c r="AE695" s="9"/>
      <c r="AI695" s="26"/>
      <c r="AJ695" s="26"/>
      <c r="AK695" s="32"/>
      <c r="AL695" s="32"/>
      <c r="AM695" s="26"/>
      <c r="AN695" s="26"/>
      <c r="AO695" s="26"/>
      <c r="AP695" s="9"/>
      <c r="AQ695" s="9"/>
      <c r="AR695" s="9"/>
      <c r="AV695" s="5"/>
      <c r="AW695" s="5"/>
      <c r="AX695" s="26"/>
      <c r="AY695" s="26"/>
      <c r="AZ695" s="32"/>
      <c r="BA695" s="32"/>
    </row>
    <row r="696" spans="10:53">
      <c r="J696" s="9"/>
      <c r="K696" s="9"/>
      <c r="T696" s="5"/>
      <c r="U696" s="5"/>
      <c r="V696" s="26"/>
      <c r="W696" s="26"/>
      <c r="X696" s="26"/>
      <c r="Y696" s="26"/>
      <c r="Z696" s="26"/>
      <c r="AA696" s="9"/>
      <c r="AC696" s="9"/>
      <c r="AD696" s="9"/>
      <c r="AE696" s="9"/>
      <c r="AI696" s="26"/>
      <c r="AJ696" s="26"/>
      <c r="AK696" s="32"/>
      <c r="AL696" s="32"/>
      <c r="AM696" s="26"/>
      <c r="AN696" s="26"/>
      <c r="AO696" s="26"/>
      <c r="AP696" s="9"/>
      <c r="AQ696" s="9"/>
      <c r="AR696" s="9"/>
      <c r="AV696" s="5"/>
      <c r="AW696" s="5"/>
      <c r="AX696" s="26"/>
      <c r="AY696" s="26"/>
      <c r="AZ696" s="32"/>
      <c r="BA696" s="32"/>
    </row>
    <row r="697" spans="10:53">
      <c r="J697" s="9"/>
      <c r="K697" s="9"/>
      <c r="T697" s="5"/>
      <c r="U697" s="5"/>
      <c r="V697" s="26"/>
      <c r="W697" s="26"/>
      <c r="X697" s="26"/>
      <c r="Y697" s="26"/>
      <c r="Z697" s="26"/>
      <c r="AA697" s="9"/>
      <c r="AC697" s="9"/>
      <c r="AD697" s="9"/>
      <c r="AE697" s="9"/>
      <c r="AI697" s="26"/>
      <c r="AJ697" s="26"/>
      <c r="AK697" s="32"/>
      <c r="AL697" s="32"/>
      <c r="AM697" s="26"/>
      <c r="AN697" s="26"/>
      <c r="AO697" s="26"/>
      <c r="AP697" s="9"/>
      <c r="AQ697" s="9"/>
      <c r="AR697" s="9"/>
      <c r="AV697" s="5"/>
      <c r="AW697" s="5"/>
      <c r="AX697" s="26"/>
      <c r="AY697" s="26"/>
      <c r="AZ697" s="32"/>
      <c r="BA697" s="32"/>
    </row>
    <row r="698" spans="10:53">
      <c r="J698" s="9"/>
      <c r="K698" s="9"/>
      <c r="T698" s="5"/>
      <c r="U698" s="5"/>
      <c r="V698" s="26"/>
      <c r="W698" s="26"/>
      <c r="X698" s="26"/>
      <c r="Y698" s="26"/>
      <c r="Z698" s="26"/>
      <c r="AA698" s="9"/>
      <c r="AC698" s="9"/>
      <c r="AD698" s="9"/>
      <c r="AE698" s="9"/>
      <c r="AI698" s="26"/>
      <c r="AJ698" s="26"/>
      <c r="AK698" s="32"/>
      <c r="AL698" s="32"/>
      <c r="AM698" s="26"/>
      <c r="AN698" s="26"/>
      <c r="AO698" s="26"/>
      <c r="AP698" s="9"/>
      <c r="AQ698" s="9"/>
      <c r="AR698" s="9"/>
      <c r="AV698" s="5"/>
      <c r="AW698" s="5"/>
      <c r="AX698" s="26"/>
      <c r="AY698" s="26"/>
      <c r="AZ698" s="32"/>
      <c r="BA698" s="32"/>
    </row>
    <row r="699" spans="10:53">
      <c r="J699" s="9"/>
      <c r="K699" s="9"/>
      <c r="T699" s="5"/>
      <c r="U699" s="5"/>
      <c r="V699" s="26"/>
      <c r="W699" s="26"/>
      <c r="X699" s="26"/>
      <c r="Y699" s="26"/>
      <c r="Z699" s="26"/>
      <c r="AA699" s="9"/>
      <c r="AC699" s="9"/>
      <c r="AD699" s="9"/>
      <c r="AE699" s="9"/>
      <c r="AI699" s="26"/>
      <c r="AJ699" s="26"/>
      <c r="AK699" s="32"/>
      <c r="AL699" s="32"/>
      <c r="AM699" s="26"/>
      <c r="AN699" s="26"/>
      <c r="AO699" s="26"/>
      <c r="AP699" s="9"/>
      <c r="AQ699" s="9"/>
      <c r="AR699" s="9"/>
      <c r="AV699" s="5"/>
      <c r="AW699" s="5"/>
      <c r="AX699" s="26"/>
      <c r="AY699" s="26"/>
      <c r="AZ699" s="32"/>
      <c r="BA699" s="32"/>
    </row>
    <row r="700" spans="10:53">
      <c r="J700" s="9"/>
      <c r="K700" s="9"/>
      <c r="T700" s="5"/>
      <c r="U700" s="5"/>
      <c r="V700" s="26"/>
      <c r="W700" s="26"/>
      <c r="X700" s="26"/>
      <c r="Y700" s="26"/>
      <c r="Z700" s="26"/>
      <c r="AA700" s="9"/>
      <c r="AC700" s="9"/>
      <c r="AD700" s="9"/>
      <c r="AE700" s="9"/>
      <c r="AI700" s="26"/>
      <c r="AJ700" s="26"/>
      <c r="AK700" s="32"/>
      <c r="AL700" s="32"/>
      <c r="AM700" s="26"/>
      <c r="AN700" s="26"/>
      <c r="AO700" s="26"/>
      <c r="AP700" s="9"/>
      <c r="AQ700" s="9"/>
      <c r="AR700" s="9"/>
      <c r="AV700" s="5"/>
      <c r="AW700" s="5"/>
      <c r="AX700" s="26"/>
      <c r="AY700" s="26"/>
      <c r="AZ700" s="32"/>
      <c r="BA700" s="32"/>
    </row>
    <row r="701" spans="10:53">
      <c r="J701" s="9"/>
      <c r="K701" s="9"/>
      <c r="T701" s="5"/>
      <c r="U701" s="5"/>
      <c r="V701" s="26"/>
      <c r="W701" s="26"/>
      <c r="X701" s="26"/>
      <c r="Y701" s="26"/>
      <c r="Z701" s="26"/>
      <c r="AA701" s="9"/>
      <c r="AC701" s="9"/>
      <c r="AD701" s="9"/>
      <c r="AE701" s="9"/>
      <c r="AI701" s="26"/>
      <c r="AJ701" s="26"/>
      <c r="AK701" s="32"/>
      <c r="AL701" s="32"/>
      <c r="AM701" s="26"/>
      <c r="AN701" s="26"/>
      <c r="AO701" s="26"/>
      <c r="AP701" s="9"/>
      <c r="AQ701" s="9"/>
      <c r="AR701" s="9"/>
      <c r="AV701" s="5"/>
      <c r="AW701" s="5"/>
      <c r="AX701" s="26"/>
      <c r="AY701" s="26"/>
      <c r="AZ701" s="32"/>
      <c r="BA701" s="32"/>
    </row>
    <row r="702" spans="10:53">
      <c r="J702" s="9"/>
      <c r="K702" s="9"/>
      <c r="T702" s="5"/>
      <c r="U702" s="5"/>
      <c r="V702" s="26"/>
      <c r="W702" s="26"/>
      <c r="X702" s="26"/>
      <c r="Y702" s="26"/>
      <c r="Z702" s="26"/>
      <c r="AA702" s="9"/>
      <c r="AC702" s="9"/>
      <c r="AD702" s="9"/>
      <c r="AE702" s="9"/>
      <c r="AI702" s="26"/>
      <c r="AJ702" s="26"/>
      <c r="AK702" s="32"/>
      <c r="AL702" s="32"/>
      <c r="AM702" s="26"/>
      <c r="AN702" s="26"/>
      <c r="AO702" s="26"/>
      <c r="AP702" s="9"/>
      <c r="AQ702" s="9"/>
      <c r="AR702" s="9"/>
      <c r="AV702" s="5"/>
      <c r="AW702" s="5"/>
      <c r="AX702" s="26"/>
      <c r="AY702" s="26"/>
      <c r="AZ702" s="32"/>
      <c r="BA702" s="32"/>
    </row>
    <row r="703" spans="10:53">
      <c r="J703" s="9"/>
      <c r="K703" s="9"/>
      <c r="T703" s="5"/>
      <c r="U703" s="5"/>
      <c r="V703" s="26"/>
      <c r="W703" s="26"/>
      <c r="X703" s="26"/>
      <c r="Y703" s="26"/>
      <c r="Z703" s="26"/>
      <c r="AA703" s="9"/>
      <c r="AC703" s="9"/>
      <c r="AD703" s="9"/>
      <c r="AE703" s="9"/>
      <c r="AI703" s="26"/>
      <c r="AJ703" s="26"/>
      <c r="AK703" s="32"/>
      <c r="AL703" s="32"/>
      <c r="AM703" s="26"/>
      <c r="AN703" s="26"/>
      <c r="AO703" s="26"/>
      <c r="AP703" s="9"/>
      <c r="AQ703" s="9"/>
      <c r="AR703" s="9"/>
      <c r="AV703" s="5"/>
      <c r="AW703" s="5"/>
      <c r="AX703" s="26"/>
      <c r="AY703" s="26"/>
      <c r="AZ703" s="32"/>
      <c r="BA703" s="32"/>
    </row>
    <row r="704" spans="10:53">
      <c r="J704" s="9"/>
      <c r="K704" s="9"/>
      <c r="T704" s="5"/>
      <c r="U704" s="5"/>
      <c r="V704" s="26"/>
      <c r="W704" s="26"/>
      <c r="X704" s="26"/>
      <c r="Y704" s="26"/>
      <c r="Z704" s="26"/>
      <c r="AA704" s="9"/>
      <c r="AC704" s="9"/>
      <c r="AD704" s="9"/>
      <c r="AE704" s="9"/>
      <c r="AI704" s="26"/>
      <c r="AJ704" s="26"/>
      <c r="AK704" s="32"/>
      <c r="AL704" s="32"/>
      <c r="AM704" s="26"/>
      <c r="AN704" s="26"/>
      <c r="AO704" s="26"/>
      <c r="AP704" s="9"/>
      <c r="AQ704" s="9"/>
      <c r="AR704" s="9"/>
      <c r="AV704" s="5"/>
      <c r="AW704" s="5"/>
      <c r="AX704" s="26"/>
      <c r="AY704" s="26"/>
      <c r="AZ704" s="32"/>
      <c r="BA704" s="32"/>
    </row>
    <row r="705" spans="10:53">
      <c r="J705" s="9"/>
      <c r="K705" s="9"/>
      <c r="T705" s="5"/>
      <c r="U705" s="5"/>
      <c r="V705" s="26"/>
      <c r="W705" s="26"/>
      <c r="X705" s="26"/>
      <c r="Y705" s="26"/>
      <c r="Z705" s="26"/>
      <c r="AA705" s="9"/>
      <c r="AC705" s="9"/>
      <c r="AD705" s="9"/>
      <c r="AE705" s="9"/>
      <c r="AI705" s="26"/>
      <c r="AJ705" s="26"/>
      <c r="AK705" s="32"/>
      <c r="AL705" s="32"/>
      <c r="AM705" s="26"/>
      <c r="AN705" s="26"/>
      <c r="AO705" s="26"/>
      <c r="AP705" s="9"/>
      <c r="AQ705" s="9"/>
      <c r="AR705" s="9"/>
      <c r="AV705" s="5"/>
      <c r="AW705" s="5"/>
      <c r="AX705" s="26"/>
      <c r="AY705" s="26"/>
      <c r="AZ705" s="32"/>
      <c r="BA705" s="32"/>
    </row>
    <row r="706" spans="10:53">
      <c r="J706" s="9"/>
      <c r="K706" s="9"/>
      <c r="T706" s="5"/>
      <c r="U706" s="5"/>
      <c r="V706" s="26"/>
      <c r="W706" s="26"/>
      <c r="X706" s="26"/>
      <c r="Y706" s="26"/>
      <c r="Z706" s="26"/>
      <c r="AA706" s="9"/>
      <c r="AC706" s="9"/>
      <c r="AD706" s="9"/>
      <c r="AE706" s="9"/>
      <c r="AI706" s="26"/>
      <c r="AJ706" s="26"/>
      <c r="AK706" s="32"/>
      <c r="AL706" s="32"/>
      <c r="AM706" s="26"/>
      <c r="AN706" s="26"/>
      <c r="AO706" s="26"/>
      <c r="AP706" s="9"/>
      <c r="AQ706" s="9"/>
      <c r="AR706" s="9"/>
      <c r="AV706" s="5"/>
      <c r="AW706" s="5"/>
      <c r="AX706" s="26"/>
      <c r="AY706" s="26"/>
      <c r="AZ706" s="32"/>
      <c r="BA706" s="32"/>
    </row>
    <row r="707" spans="10:53">
      <c r="J707" s="9"/>
      <c r="K707" s="9"/>
      <c r="T707" s="5"/>
      <c r="U707" s="5"/>
      <c r="V707" s="26"/>
      <c r="W707" s="26"/>
      <c r="X707" s="26"/>
      <c r="Y707" s="26"/>
      <c r="Z707" s="26"/>
      <c r="AA707" s="9"/>
      <c r="AC707" s="9"/>
      <c r="AD707" s="9"/>
      <c r="AE707" s="9"/>
      <c r="AI707" s="26"/>
      <c r="AJ707" s="26"/>
      <c r="AK707" s="32"/>
      <c r="AL707" s="32"/>
      <c r="AM707" s="26"/>
      <c r="AN707" s="26"/>
      <c r="AO707" s="26"/>
      <c r="AP707" s="9"/>
      <c r="AQ707" s="9"/>
      <c r="AR707" s="9"/>
      <c r="AV707" s="5"/>
      <c r="AW707" s="5"/>
      <c r="AX707" s="26"/>
      <c r="AY707" s="26"/>
      <c r="AZ707" s="32"/>
      <c r="BA707" s="32"/>
    </row>
    <row r="708" spans="10:53">
      <c r="J708" s="9"/>
      <c r="K708" s="9"/>
      <c r="T708" s="5"/>
      <c r="U708" s="5"/>
      <c r="V708" s="26"/>
      <c r="W708" s="26"/>
      <c r="X708" s="26"/>
      <c r="Y708" s="26"/>
      <c r="Z708" s="26"/>
      <c r="AA708" s="9"/>
      <c r="AC708" s="9"/>
      <c r="AD708" s="9"/>
      <c r="AE708" s="9"/>
      <c r="AI708" s="26"/>
      <c r="AJ708" s="26"/>
      <c r="AK708" s="32"/>
      <c r="AL708" s="32"/>
      <c r="AM708" s="26"/>
      <c r="AN708" s="26"/>
      <c r="AO708" s="26"/>
      <c r="AP708" s="9"/>
      <c r="AQ708" s="9"/>
      <c r="AR708" s="9"/>
      <c r="AV708" s="5"/>
      <c r="AW708" s="5"/>
      <c r="AX708" s="26"/>
      <c r="AY708" s="26"/>
      <c r="AZ708" s="32"/>
      <c r="BA708" s="32"/>
    </row>
    <row r="709" spans="10:53">
      <c r="J709" s="9"/>
      <c r="K709" s="9"/>
      <c r="T709" s="5"/>
      <c r="U709" s="5"/>
      <c r="V709" s="26"/>
      <c r="W709" s="26"/>
      <c r="X709" s="26"/>
      <c r="Y709" s="26"/>
      <c r="Z709" s="26"/>
      <c r="AA709" s="9"/>
      <c r="AC709" s="9"/>
      <c r="AD709" s="9"/>
      <c r="AE709" s="9"/>
      <c r="AI709" s="26"/>
      <c r="AJ709" s="26"/>
      <c r="AK709" s="32"/>
      <c r="AL709" s="32"/>
      <c r="AM709" s="26"/>
      <c r="AN709" s="26"/>
      <c r="AO709" s="26"/>
      <c r="AP709" s="9"/>
      <c r="AQ709" s="9"/>
      <c r="AR709" s="9"/>
      <c r="AV709" s="5"/>
      <c r="AW709" s="5"/>
      <c r="AX709" s="26"/>
      <c r="AY709" s="26"/>
      <c r="AZ709" s="32"/>
      <c r="BA709" s="32"/>
    </row>
    <row r="710" spans="10:53">
      <c r="J710" s="9"/>
      <c r="K710" s="9"/>
      <c r="T710" s="5"/>
      <c r="U710" s="5"/>
      <c r="V710" s="26"/>
      <c r="W710" s="26"/>
      <c r="X710" s="26"/>
      <c r="Y710" s="26"/>
      <c r="Z710" s="26"/>
      <c r="AA710" s="9"/>
      <c r="AC710" s="9"/>
      <c r="AD710" s="9"/>
      <c r="AE710" s="9"/>
      <c r="AI710" s="26"/>
      <c r="AJ710" s="26"/>
      <c r="AK710" s="32"/>
      <c r="AL710" s="32"/>
      <c r="AM710" s="26"/>
      <c r="AN710" s="26"/>
      <c r="AO710" s="26"/>
      <c r="AP710" s="9"/>
      <c r="AQ710" s="9"/>
      <c r="AR710" s="9"/>
      <c r="AV710" s="5"/>
      <c r="AW710" s="5"/>
      <c r="AX710" s="26"/>
      <c r="AY710" s="26"/>
      <c r="AZ710" s="32"/>
      <c r="BA710" s="32"/>
    </row>
    <row r="711" spans="10:53">
      <c r="J711" s="9"/>
      <c r="K711" s="9"/>
      <c r="T711" s="5"/>
      <c r="U711" s="5"/>
      <c r="V711" s="26"/>
      <c r="W711" s="26"/>
      <c r="X711" s="26"/>
      <c r="Y711" s="26"/>
      <c r="Z711" s="26"/>
      <c r="AA711" s="9"/>
      <c r="AC711" s="9"/>
      <c r="AD711" s="9"/>
      <c r="AE711" s="9"/>
      <c r="AI711" s="26"/>
      <c r="AJ711" s="26"/>
      <c r="AK711" s="32"/>
      <c r="AL711" s="32"/>
      <c r="AM711" s="26"/>
      <c r="AN711" s="26"/>
      <c r="AO711" s="26"/>
      <c r="AP711" s="9"/>
      <c r="AQ711" s="9"/>
      <c r="AR711" s="9"/>
      <c r="AV711" s="5"/>
      <c r="AW711" s="5"/>
      <c r="AX711" s="26"/>
      <c r="AY711" s="26"/>
      <c r="AZ711" s="32"/>
      <c r="BA711" s="32"/>
    </row>
    <row r="712" spans="10:53">
      <c r="J712" s="9"/>
      <c r="K712" s="9"/>
      <c r="T712" s="5"/>
      <c r="U712" s="5"/>
      <c r="V712" s="26"/>
      <c r="W712" s="26"/>
      <c r="X712" s="26"/>
      <c r="Y712" s="26"/>
      <c r="Z712" s="26"/>
      <c r="AA712" s="9"/>
      <c r="AC712" s="9"/>
      <c r="AD712" s="9"/>
      <c r="AE712" s="9"/>
      <c r="AI712" s="26"/>
      <c r="AJ712" s="26"/>
      <c r="AK712" s="32"/>
      <c r="AL712" s="32"/>
      <c r="AM712" s="26"/>
      <c r="AN712" s="26"/>
      <c r="AO712" s="26"/>
      <c r="AP712" s="9"/>
      <c r="AQ712" s="9"/>
      <c r="AR712" s="9"/>
      <c r="AV712" s="5"/>
      <c r="AW712" s="5"/>
      <c r="AX712" s="26"/>
      <c r="AY712" s="26"/>
      <c r="AZ712" s="32"/>
      <c r="BA712" s="32"/>
    </row>
    <row r="713" spans="10:53">
      <c r="J713" s="9"/>
      <c r="K713" s="9"/>
      <c r="T713" s="5"/>
      <c r="U713" s="5"/>
      <c r="V713" s="26"/>
      <c r="W713" s="26"/>
      <c r="X713" s="26"/>
      <c r="Y713" s="26"/>
      <c r="Z713" s="26"/>
      <c r="AA713" s="9"/>
      <c r="AC713" s="9"/>
      <c r="AD713" s="9"/>
      <c r="AE713" s="9"/>
      <c r="AI713" s="26"/>
      <c r="AJ713" s="26"/>
      <c r="AK713" s="32"/>
      <c r="AL713" s="32"/>
      <c r="AM713" s="26"/>
      <c r="AN713" s="26"/>
      <c r="AO713" s="26"/>
      <c r="AP713" s="9"/>
      <c r="AQ713" s="9"/>
      <c r="AR713" s="9"/>
      <c r="AV713" s="5"/>
      <c r="AW713" s="5"/>
      <c r="AX713" s="26"/>
      <c r="AY713" s="26"/>
      <c r="AZ713" s="32"/>
      <c r="BA713" s="32"/>
    </row>
    <row r="714" spans="10:53">
      <c r="J714" s="9"/>
      <c r="K714" s="9"/>
      <c r="T714" s="5"/>
      <c r="U714" s="5"/>
      <c r="V714" s="26"/>
      <c r="W714" s="26"/>
      <c r="X714" s="26"/>
      <c r="Y714" s="26"/>
      <c r="Z714" s="26"/>
      <c r="AA714" s="9"/>
      <c r="AC714" s="9"/>
      <c r="AD714" s="9"/>
      <c r="AE714" s="9"/>
      <c r="AI714" s="26"/>
      <c r="AJ714" s="26"/>
      <c r="AK714" s="32"/>
      <c r="AL714" s="32"/>
      <c r="AM714" s="26"/>
      <c r="AN714" s="26"/>
      <c r="AO714" s="26"/>
      <c r="AP714" s="9"/>
      <c r="AQ714" s="9"/>
      <c r="AR714" s="9"/>
      <c r="AV714" s="5"/>
      <c r="AW714" s="5"/>
      <c r="AX714" s="26"/>
      <c r="AY714" s="26"/>
      <c r="AZ714" s="32"/>
      <c r="BA714" s="32"/>
    </row>
    <row r="715" spans="10:53">
      <c r="J715" s="9"/>
      <c r="K715" s="9"/>
      <c r="T715" s="5"/>
      <c r="U715" s="5"/>
      <c r="V715" s="26"/>
      <c r="W715" s="26"/>
      <c r="X715" s="26"/>
      <c r="Y715" s="26"/>
      <c r="Z715" s="26"/>
      <c r="AA715" s="9"/>
      <c r="AC715" s="9"/>
      <c r="AD715" s="9"/>
      <c r="AE715" s="9"/>
      <c r="AI715" s="26"/>
      <c r="AJ715" s="26"/>
      <c r="AK715" s="32"/>
      <c r="AL715" s="32"/>
      <c r="AM715" s="26"/>
      <c r="AN715" s="26"/>
      <c r="AO715" s="26"/>
      <c r="AP715" s="9"/>
      <c r="AQ715" s="9"/>
      <c r="AR715" s="9"/>
      <c r="AV715" s="5"/>
      <c r="AW715" s="5"/>
      <c r="AX715" s="26"/>
      <c r="AY715" s="26"/>
      <c r="AZ715" s="32"/>
      <c r="BA715" s="32"/>
    </row>
    <row r="716" spans="10:53">
      <c r="J716" s="9"/>
      <c r="K716" s="9"/>
      <c r="T716" s="5"/>
      <c r="U716" s="5"/>
      <c r="V716" s="26"/>
      <c r="W716" s="26"/>
      <c r="X716" s="26"/>
      <c r="Y716" s="26"/>
      <c r="Z716" s="26"/>
      <c r="AA716" s="9"/>
      <c r="AC716" s="9"/>
      <c r="AD716" s="9"/>
      <c r="AE716" s="9"/>
      <c r="AI716" s="26"/>
      <c r="AJ716" s="26"/>
      <c r="AK716" s="32"/>
      <c r="AL716" s="32"/>
      <c r="AM716" s="26"/>
      <c r="AN716" s="26"/>
      <c r="AO716" s="26"/>
      <c r="AP716" s="9"/>
      <c r="AQ716" s="9"/>
      <c r="AR716" s="9"/>
      <c r="AV716" s="5"/>
      <c r="AW716" s="5"/>
      <c r="AX716" s="26"/>
      <c r="AY716" s="26"/>
      <c r="AZ716" s="32"/>
      <c r="BA716" s="32"/>
    </row>
    <row r="717" spans="10:53">
      <c r="J717" s="9"/>
      <c r="K717" s="9"/>
      <c r="T717" s="5"/>
      <c r="U717" s="5"/>
      <c r="V717" s="26"/>
      <c r="W717" s="26"/>
      <c r="X717" s="26"/>
      <c r="Y717" s="26"/>
      <c r="Z717" s="26"/>
      <c r="AA717" s="9"/>
      <c r="AC717" s="9"/>
      <c r="AD717" s="9"/>
      <c r="AE717" s="9"/>
      <c r="AI717" s="26"/>
      <c r="AJ717" s="26"/>
      <c r="AK717" s="32"/>
      <c r="AL717" s="32"/>
      <c r="AM717" s="26"/>
      <c r="AN717" s="26"/>
      <c r="AO717" s="26"/>
      <c r="AP717" s="9"/>
      <c r="AQ717" s="9"/>
      <c r="AR717" s="9"/>
      <c r="AV717" s="5"/>
      <c r="AW717" s="5"/>
      <c r="AX717" s="26"/>
      <c r="AY717" s="26"/>
      <c r="AZ717" s="32"/>
      <c r="BA717" s="32"/>
    </row>
    <row r="718" spans="10:53">
      <c r="J718" s="9"/>
      <c r="K718" s="9"/>
      <c r="T718" s="5"/>
      <c r="U718" s="5"/>
      <c r="V718" s="26"/>
      <c r="W718" s="26"/>
      <c r="X718" s="26"/>
      <c r="Y718" s="26"/>
      <c r="Z718" s="26"/>
      <c r="AA718" s="9"/>
      <c r="AC718" s="9"/>
      <c r="AD718" s="9"/>
      <c r="AE718" s="9"/>
      <c r="AI718" s="26"/>
      <c r="AJ718" s="26"/>
      <c r="AK718" s="32"/>
      <c r="AL718" s="32"/>
      <c r="AM718" s="26"/>
      <c r="AN718" s="26"/>
      <c r="AO718" s="26"/>
      <c r="AP718" s="9"/>
      <c r="AQ718" s="9"/>
      <c r="AR718" s="9"/>
      <c r="AV718" s="5"/>
      <c r="AW718" s="5"/>
      <c r="AX718" s="26"/>
      <c r="AY718" s="26"/>
      <c r="AZ718" s="32"/>
      <c r="BA718" s="32"/>
    </row>
    <row r="719" spans="10:53">
      <c r="J719" s="9"/>
      <c r="K719" s="9"/>
      <c r="T719" s="5"/>
      <c r="U719" s="5"/>
      <c r="V719" s="26"/>
      <c r="W719" s="26"/>
      <c r="X719" s="26"/>
      <c r="Y719" s="26"/>
      <c r="Z719" s="26"/>
      <c r="AA719" s="9"/>
      <c r="AC719" s="9"/>
      <c r="AD719" s="9"/>
      <c r="AE719" s="9"/>
      <c r="AI719" s="26"/>
      <c r="AJ719" s="26"/>
      <c r="AK719" s="32"/>
      <c r="AL719" s="32"/>
      <c r="AM719" s="26"/>
      <c r="AN719" s="26"/>
      <c r="AO719" s="26"/>
      <c r="AP719" s="9"/>
      <c r="AQ719" s="9"/>
      <c r="AR719" s="9"/>
      <c r="AV719" s="5"/>
      <c r="AW719" s="5"/>
      <c r="AX719" s="26"/>
      <c r="AY719" s="26"/>
      <c r="AZ719" s="32"/>
      <c r="BA719" s="32"/>
    </row>
    <row r="720" spans="10:53">
      <c r="J720" s="9"/>
      <c r="K720" s="9"/>
      <c r="T720" s="5"/>
      <c r="U720" s="5"/>
      <c r="V720" s="26"/>
      <c r="W720" s="26"/>
      <c r="X720" s="26"/>
      <c r="Y720" s="26"/>
      <c r="Z720" s="26"/>
      <c r="AA720" s="9"/>
      <c r="AC720" s="9"/>
      <c r="AD720" s="9"/>
      <c r="AE720" s="9"/>
      <c r="AI720" s="26"/>
      <c r="AJ720" s="26"/>
      <c r="AK720" s="32"/>
      <c r="AL720" s="32"/>
      <c r="AM720" s="26"/>
      <c r="AN720" s="26"/>
      <c r="AO720" s="26"/>
      <c r="AP720" s="9"/>
      <c r="AQ720" s="9"/>
      <c r="AR720" s="9"/>
      <c r="AV720" s="5"/>
      <c r="AW720" s="5"/>
      <c r="AX720" s="26"/>
      <c r="AY720" s="26"/>
      <c r="AZ720" s="32"/>
      <c r="BA720" s="32"/>
    </row>
    <row r="721" spans="10:53">
      <c r="J721" s="9"/>
      <c r="K721" s="9"/>
      <c r="T721" s="5"/>
      <c r="U721" s="5"/>
      <c r="V721" s="26"/>
      <c r="W721" s="26"/>
      <c r="X721" s="26"/>
      <c r="Y721" s="26"/>
      <c r="Z721" s="26"/>
      <c r="AA721" s="9"/>
      <c r="AC721" s="9"/>
      <c r="AD721" s="9"/>
      <c r="AE721" s="9"/>
      <c r="AI721" s="26"/>
      <c r="AJ721" s="26"/>
      <c r="AK721" s="32"/>
      <c r="AL721" s="32"/>
      <c r="AM721" s="26"/>
      <c r="AN721" s="26"/>
      <c r="AO721" s="26"/>
      <c r="AP721" s="9"/>
      <c r="AQ721" s="9"/>
      <c r="AR721" s="9"/>
      <c r="AV721" s="5"/>
      <c r="AW721" s="5"/>
      <c r="AX721" s="26"/>
      <c r="AY721" s="26"/>
      <c r="AZ721" s="32"/>
      <c r="BA721" s="32"/>
    </row>
    <row r="722" spans="10:53">
      <c r="J722" s="9"/>
      <c r="K722" s="9"/>
      <c r="T722" s="5"/>
      <c r="U722" s="5"/>
      <c r="V722" s="26"/>
      <c r="W722" s="26"/>
      <c r="X722" s="26"/>
      <c r="Y722" s="26"/>
      <c r="Z722" s="26"/>
      <c r="AA722" s="9"/>
      <c r="AC722" s="9"/>
      <c r="AD722" s="9"/>
      <c r="AE722" s="9"/>
      <c r="AI722" s="26"/>
      <c r="AJ722" s="26"/>
      <c r="AK722" s="32"/>
      <c r="AL722" s="32"/>
      <c r="AM722" s="26"/>
      <c r="AN722" s="26"/>
      <c r="AO722" s="26"/>
      <c r="AP722" s="9"/>
      <c r="AQ722" s="9"/>
      <c r="AR722" s="9"/>
      <c r="AV722" s="5"/>
      <c r="AW722" s="5"/>
      <c r="AX722" s="26"/>
      <c r="AY722" s="26"/>
      <c r="AZ722" s="32"/>
      <c r="BA722" s="32"/>
    </row>
    <row r="723" spans="10:53">
      <c r="J723" s="9"/>
      <c r="K723" s="9"/>
      <c r="T723" s="5"/>
      <c r="U723" s="5"/>
      <c r="V723" s="26"/>
      <c r="W723" s="26"/>
      <c r="X723" s="26"/>
      <c r="Y723" s="26"/>
      <c r="Z723" s="26"/>
      <c r="AA723" s="9"/>
      <c r="AC723" s="9"/>
      <c r="AD723" s="9"/>
      <c r="AE723" s="9"/>
      <c r="AI723" s="26"/>
      <c r="AJ723" s="26"/>
      <c r="AK723" s="32"/>
      <c r="AL723" s="32"/>
      <c r="AM723" s="26"/>
      <c r="AN723" s="26"/>
      <c r="AO723" s="26"/>
      <c r="AP723" s="9"/>
      <c r="AQ723" s="9"/>
      <c r="AR723" s="9"/>
      <c r="AV723" s="5"/>
      <c r="AW723" s="5"/>
      <c r="AX723" s="26"/>
      <c r="AY723" s="26"/>
      <c r="AZ723" s="32"/>
      <c r="BA723" s="32"/>
    </row>
    <row r="724" spans="10:53">
      <c r="J724" s="9"/>
      <c r="K724" s="9"/>
      <c r="T724" s="5"/>
      <c r="U724" s="5"/>
      <c r="V724" s="26"/>
      <c r="W724" s="26"/>
      <c r="X724" s="26"/>
      <c r="Y724" s="26"/>
      <c r="Z724" s="26"/>
      <c r="AA724" s="9"/>
      <c r="AC724" s="9"/>
      <c r="AD724" s="9"/>
      <c r="AE724" s="9"/>
      <c r="AI724" s="26"/>
      <c r="AJ724" s="26"/>
      <c r="AK724" s="32"/>
      <c r="AL724" s="32"/>
      <c r="AM724" s="26"/>
      <c r="AN724" s="26"/>
      <c r="AO724" s="26"/>
      <c r="AP724" s="9"/>
      <c r="AQ724" s="9"/>
      <c r="AR724" s="9"/>
      <c r="AV724" s="5"/>
      <c r="AW724" s="5"/>
      <c r="AX724" s="26"/>
      <c r="AY724" s="26"/>
      <c r="AZ724" s="32"/>
      <c r="BA724" s="32"/>
    </row>
    <row r="725" spans="10:53">
      <c r="J725" s="9"/>
      <c r="K725" s="9"/>
      <c r="T725" s="5"/>
      <c r="U725" s="5"/>
      <c r="V725" s="26"/>
      <c r="W725" s="26"/>
      <c r="X725" s="26"/>
      <c r="Y725" s="26"/>
      <c r="Z725" s="26"/>
      <c r="AA725" s="9"/>
      <c r="AC725" s="9"/>
      <c r="AD725" s="9"/>
      <c r="AE725" s="9"/>
      <c r="AI725" s="26"/>
      <c r="AJ725" s="26"/>
      <c r="AK725" s="32"/>
      <c r="AL725" s="32"/>
      <c r="AM725" s="26"/>
      <c r="AN725" s="26"/>
      <c r="AO725" s="26"/>
      <c r="AP725" s="9"/>
      <c r="AQ725" s="9"/>
      <c r="AR725" s="9"/>
      <c r="AV725" s="5"/>
      <c r="AW725" s="5"/>
      <c r="AX725" s="26"/>
      <c r="AY725" s="26"/>
      <c r="AZ725" s="32"/>
      <c r="BA725" s="32"/>
    </row>
    <row r="726" spans="10:53">
      <c r="J726" s="9"/>
      <c r="K726" s="9"/>
      <c r="T726" s="5"/>
      <c r="U726" s="5"/>
      <c r="V726" s="26"/>
      <c r="W726" s="26"/>
      <c r="X726" s="26"/>
      <c r="Y726" s="26"/>
      <c r="Z726" s="26"/>
      <c r="AA726" s="9"/>
      <c r="AC726" s="9"/>
      <c r="AD726" s="9"/>
      <c r="AE726" s="9"/>
      <c r="AI726" s="26"/>
      <c r="AJ726" s="26"/>
      <c r="AK726" s="32"/>
      <c r="AL726" s="32"/>
      <c r="AM726" s="26"/>
      <c r="AN726" s="26"/>
      <c r="AO726" s="26"/>
      <c r="AP726" s="9"/>
      <c r="AQ726" s="9"/>
      <c r="AR726" s="9"/>
      <c r="AV726" s="5"/>
      <c r="AW726" s="5"/>
      <c r="AX726" s="26"/>
      <c r="AY726" s="26"/>
      <c r="AZ726" s="32"/>
      <c r="BA726" s="32"/>
    </row>
    <row r="727" spans="10:53">
      <c r="J727" s="9"/>
      <c r="K727" s="9"/>
      <c r="T727" s="5"/>
      <c r="U727" s="5"/>
      <c r="V727" s="26"/>
      <c r="W727" s="26"/>
      <c r="X727" s="26"/>
      <c r="Y727" s="26"/>
      <c r="Z727" s="26"/>
      <c r="AA727" s="9"/>
      <c r="AC727" s="9"/>
      <c r="AD727" s="9"/>
      <c r="AE727" s="9"/>
      <c r="AI727" s="26"/>
      <c r="AJ727" s="26"/>
      <c r="AK727" s="32"/>
      <c r="AL727" s="32"/>
      <c r="AM727" s="26"/>
      <c r="AN727" s="26"/>
      <c r="AO727" s="26"/>
      <c r="AP727" s="9"/>
      <c r="AQ727" s="9"/>
      <c r="AR727" s="9"/>
      <c r="AV727" s="5"/>
      <c r="AW727" s="5"/>
      <c r="AX727" s="26"/>
      <c r="AY727" s="26"/>
      <c r="AZ727" s="32"/>
      <c r="BA727" s="32"/>
    </row>
    <row r="728" spans="10:53">
      <c r="J728" s="9"/>
      <c r="K728" s="9"/>
      <c r="T728" s="5"/>
      <c r="U728" s="5"/>
      <c r="V728" s="26"/>
      <c r="W728" s="26"/>
      <c r="X728" s="26"/>
      <c r="Y728" s="26"/>
      <c r="Z728" s="26"/>
      <c r="AA728" s="9"/>
      <c r="AC728" s="9"/>
      <c r="AD728" s="9"/>
      <c r="AE728" s="9"/>
      <c r="AI728" s="26"/>
      <c r="AJ728" s="26"/>
      <c r="AK728" s="32"/>
      <c r="AL728" s="32"/>
      <c r="AM728" s="26"/>
      <c r="AN728" s="26"/>
      <c r="AO728" s="26"/>
      <c r="AP728" s="9"/>
      <c r="AQ728" s="9"/>
      <c r="AR728" s="9"/>
      <c r="AV728" s="5"/>
      <c r="AW728" s="5"/>
      <c r="AX728" s="26"/>
      <c r="AY728" s="26"/>
      <c r="AZ728" s="32"/>
      <c r="BA728" s="32"/>
    </row>
    <row r="729" spans="10:53">
      <c r="J729" s="9"/>
      <c r="K729" s="9"/>
      <c r="T729" s="5"/>
      <c r="U729" s="5"/>
      <c r="V729" s="26"/>
      <c r="W729" s="26"/>
      <c r="X729" s="26"/>
      <c r="Y729" s="26"/>
      <c r="Z729" s="26"/>
      <c r="AA729" s="9"/>
      <c r="AC729" s="9"/>
      <c r="AD729" s="9"/>
      <c r="AE729" s="9"/>
      <c r="AI729" s="26"/>
      <c r="AJ729" s="26"/>
      <c r="AK729" s="32"/>
      <c r="AL729" s="32"/>
      <c r="AM729" s="26"/>
      <c r="AN729" s="26"/>
      <c r="AO729" s="26"/>
      <c r="AP729" s="9"/>
      <c r="AQ729" s="9"/>
      <c r="AR729" s="9"/>
      <c r="AV729" s="5"/>
      <c r="AW729" s="5"/>
      <c r="AX729" s="26"/>
      <c r="AY729" s="26"/>
      <c r="AZ729" s="32"/>
      <c r="BA729" s="32"/>
    </row>
    <row r="730" spans="10:53">
      <c r="J730" s="9"/>
      <c r="K730" s="9"/>
      <c r="T730" s="5"/>
      <c r="U730" s="5"/>
      <c r="V730" s="26"/>
      <c r="W730" s="26"/>
      <c r="X730" s="26"/>
      <c r="Y730" s="26"/>
      <c r="Z730" s="26"/>
      <c r="AA730" s="9"/>
      <c r="AC730" s="9"/>
      <c r="AD730" s="9"/>
      <c r="AE730" s="9"/>
      <c r="AI730" s="26"/>
      <c r="AJ730" s="26"/>
      <c r="AK730" s="32"/>
      <c r="AL730" s="32"/>
      <c r="AM730" s="26"/>
      <c r="AN730" s="26"/>
      <c r="AO730" s="26"/>
      <c r="AP730" s="9"/>
      <c r="AQ730" s="9"/>
      <c r="AR730" s="9"/>
      <c r="AV730" s="5"/>
      <c r="AW730" s="5"/>
      <c r="AX730" s="26"/>
      <c r="AY730" s="26"/>
      <c r="AZ730" s="32"/>
      <c r="BA730" s="32"/>
    </row>
    <row r="731" spans="10:53">
      <c r="J731" s="9"/>
      <c r="K731" s="9"/>
      <c r="T731" s="5"/>
      <c r="U731" s="5"/>
      <c r="V731" s="26"/>
      <c r="W731" s="26"/>
      <c r="X731" s="26"/>
      <c r="Y731" s="26"/>
      <c r="Z731" s="26"/>
      <c r="AA731" s="9"/>
      <c r="AC731" s="9"/>
      <c r="AD731" s="9"/>
      <c r="AE731" s="9"/>
      <c r="AI731" s="26"/>
      <c r="AJ731" s="26"/>
      <c r="AK731" s="32"/>
      <c r="AL731" s="32"/>
      <c r="AM731" s="26"/>
      <c r="AN731" s="26"/>
      <c r="AO731" s="26"/>
      <c r="AP731" s="9"/>
      <c r="AQ731" s="9"/>
      <c r="AR731" s="9"/>
      <c r="AV731" s="5"/>
      <c r="AW731" s="5"/>
      <c r="AX731" s="26"/>
      <c r="AY731" s="26"/>
      <c r="AZ731" s="32"/>
      <c r="BA731" s="32"/>
    </row>
    <row r="732" spans="10:53">
      <c r="J732" s="9"/>
      <c r="K732" s="9"/>
      <c r="T732" s="5"/>
      <c r="U732" s="5"/>
      <c r="V732" s="26"/>
      <c r="W732" s="26"/>
      <c r="X732" s="26"/>
      <c r="Y732" s="26"/>
      <c r="Z732" s="26"/>
      <c r="AA732" s="9"/>
      <c r="AC732" s="9"/>
      <c r="AD732" s="9"/>
      <c r="AE732" s="9"/>
      <c r="AI732" s="26"/>
      <c r="AJ732" s="26"/>
      <c r="AK732" s="32"/>
      <c r="AL732" s="32"/>
      <c r="AM732" s="26"/>
      <c r="AN732" s="26"/>
      <c r="AO732" s="26"/>
      <c r="AP732" s="9"/>
      <c r="AQ732" s="9"/>
      <c r="AR732" s="9"/>
      <c r="AV732" s="5"/>
      <c r="AW732" s="5"/>
      <c r="AX732" s="26"/>
      <c r="AY732" s="26"/>
      <c r="AZ732" s="32"/>
      <c r="BA732" s="32"/>
    </row>
    <row r="733" spans="10:53">
      <c r="J733" s="9"/>
      <c r="K733" s="9"/>
      <c r="T733" s="5"/>
      <c r="U733" s="5"/>
      <c r="V733" s="26"/>
      <c r="W733" s="26"/>
      <c r="X733" s="26"/>
      <c r="Y733" s="26"/>
      <c r="Z733" s="26"/>
      <c r="AA733" s="9"/>
      <c r="AC733" s="9"/>
      <c r="AD733" s="9"/>
      <c r="AE733" s="9"/>
      <c r="AI733" s="26"/>
      <c r="AJ733" s="26"/>
      <c r="AK733" s="32"/>
      <c r="AL733" s="32"/>
      <c r="AM733" s="26"/>
      <c r="AN733" s="26"/>
      <c r="AO733" s="26"/>
      <c r="AP733" s="9"/>
      <c r="AQ733" s="9"/>
      <c r="AR733" s="9"/>
      <c r="AV733" s="5"/>
      <c r="AW733" s="5"/>
      <c r="AX733" s="26"/>
      <c r="AY733" s="26"/>
      <c r="AZ733" s="32"/>
      <c r="BA733" s="32"/>
    </row>
    <row r="734" spans="10:53">
      <c r="J734" s="9"/>
      <c r="K734" s="9"/>
      <c r="T734" s="5"/>
      <c r="U734" s="5"/>
      <c r="V734" s="26"/>
      <c r="W734" s="26"/>
      <c r="X734" s="26"/>
      <c r="Y734" s="26"/>
      <c r="Z734" s="26"/>
      <c r="AA734" s="9"/>
      <c r="AC734" s="9"/>
      <c r="AD734" s="9"/>
      <c r="AE734" s="9"/>
      <c r="AI734" s="26"/>
      <c r="AJ734" s="26"/>
      <c r="AK734" s="32"/>
      <c r="AL734" s="32"/>
      <c r="AM734" s="26"/>
      <c r="AN734" s="26"/>
      <c r="AO734" s="26"/>
      <c r="AP734" s="9"/>
      <c r="AQ734" s="9"/>
      <c r="AR734" s="9"/>
      <c r="AV734" s="5"/>
      <c r="AW734" s="5"/>
      <c r="AX734" s="26"/>
      <c r="AY734" s="26"/>
      <c r="AZ734" s="32"/>
      <c r="BA734" s="32"/>
    </row>
    <row r="735" spans="10:53">
      <c r="J735" s="9"/>
      <c r="K735" s="9"/>
      <c r="T735" s="5"/>
      <c r="U735" s="5"/>
      <c r="V735" s="26"/>
      <c r="W735" s="26"/>
      <c r="X735" s="26"/>
      <c r="Y735" s="26"/>
      <c r="Z735" s="26"/>
      <c r="AA735" s="9"/>
      <c r="AC735" s="9"/>
      <c r="AD735" s="9"/>
      <c r="AE735" s="9"/>
      <c r="AI735" s="26"/>
      <c r="AJ735" s="26"/>
      <c r="AK735" s="32"/>
      <c r="AL735" s="32"/>
      <c r="AM735" s="26"/>
      <c r="AN735" s="26"/>
      <c r="AO735" s="26"/>
      <c r="AP735" s="9"/>
      <c r="AQ735" s="9"/>
      <c r="AR735" s="9"/>
      <c r="AV735" s="5"/>
      <c r="AW735" s="5"/>
      <c r="AX735" s="26"/>
      <c r="AY735" s="26"/>
      <c r="AZ735" s="32"/>
      <c r="BA735" s="32"/>
    </row>
    <row r="736" spans="10:53">
      <c r="J736" s="9"/>
      <c r="K736" s="9"/>
      <c r="T736" s="5"/>
      <c r="U736" s="5"/>
      <c r="V736" s="26"/>
      <c r="W736" s="26"/>
      <c r="X736" s="26"/>
      <c r="Y736" s="26"/>
      <c r="Z736" s="26"/>
      <c r="AA736" s="9"/>
      <c r="AC736" s="9"/>
      <c r="AD736" s="9"/>
      <c r="AE736" s="9"/>
      <c r="AI736" s="26"/>
      <c r="AJ736" s="26"/>
      <c r="AK736" s="32"/>
      <c r="AL736" s="32"/>
      <c r="AM736" s="26"/>
      <c r="AN736" s="26"/>
      <c r="AO736" s="26"/>
      <c r="AP736" s="9"/>
      <c r="AQ736" s="9"/>
      <c r="AR736" s="9"/>
      <c r="AV736" s="5"/>
      <c r="AW736" s="5"/>
      <c r="AX736" s="26"/>
      <c r="AY736" s="26"/>
      <c r="AZ736" s="32"/>
      <c r="BA736" s="32"/>
    </row>
    <row r="737" spans="10:53">
      <c r="J737" s="9"/>
      <c r="K737" s="9"/>
      <c r="T737" s="5"/>
      <c r="U737" s="5"/>
      <c r="V737" s="26"/>
      <c r="W737" s="26"/>
      <c r="X737" s="26"/>
      <c r="Y737" s="26"/>
      <c r="Z737" s="26"/>
      <c r="AA737" s="9"/>
      <c r="AC737" s="9"/>
      <c r="AD737" s="9"/>
      <c r="AE737" s="9"/>
      <c r="AI737" s="26"/>
      <c r="AJ737" s="26"/>
      <c r="AK737" s="32"/>
      <c r="AL737" s="32"/>
      <c r="AM737" s="26"/>
      <c r="AN737" s="26"/>
      <c r="AO737" s="26"/>
      <c r="AP737" s="9"/>
      <c r="AQ737" s="9"/>
      <c r="AR737" s="9"/>
      <c r="AV737" s="5"/>
      <c r="AW737" s="5"/>
      <c r="AX737" s="26"/>
      <c r="AY737" s="26"/>
      <c r="AZ737" s="32"/>
      <c r="BA737" s="32"/>
    </row>
    <row r="738" spans="10:53">
      <c r="J738" s="9"/>
      <c r="K738" s="9"/>
      <c r="T738" s="5"/>
      <c r="U738" s="5"/>
      <c r="V738" s="26"/>
      <c r="W738" s="26"/>
      <c r="X738" s="26"/>
      <c r="Y738" s="26"/>
      <c r="Z738" s="26"/>
      <c r="AA738" s="9"/>
      <c r="AC738" s="9"/>
      <c r="AD738" s="9"/>
      <c r="AE738" s="9"/>
      <c r="AI738" s="26"/>
      <c r="AJ738" s="26"/>
      <c r="AK738" s="32"/>
      <c r="AL738" s="32"/>
      <c r="AM738" s="26"/>
      <c r="AN738" s="26"/>
      <c r="AO738" s="26"/>
      <c r="AP738" s="9"/>
      <c r="AQ738" s="9"/>
      <c r="AR738" s="9"/>
      <c r="AV738" s="5"/>
      <c r="AW738" s="5"/>
      <c r="AX738" s="26"/>
      <c r="AY738" s="26"/>
      <c r="AZ738" s="32"/>
      <c r="BA738" s="32"/>
    </row>
    <row r="739" spans="10:53">
      <c r="J739" s="9"/>
      <c r="K739" s="9"/>
      <c r="T739" s="5"/>
      <c r="U739" s="5"/>
      <c r="V739" s="26"/>
      <c r="W739" s="26"/>
      <c r="X739" s="26"/>
      <c r="Y739" s="26"/>
      <c r="Z739" s="26"/>
      <c r="AA739" s="9"/>
      <c r="AC739" s="9"/>
      <c r="AD739" s="9"/>
      <c r="AE739" s="9"/>
      <c r="AI739" s="26"/>
      <c r="AJ739" s="26"/>
      <c r="AK739" s="32"/>
      <c r="AL739" s="32"/>
      <c r="AM739" s="26"/>
      <c r="AN739" s="26"/>
      <c r="AO739" s="26"/>
      <c r="AP739" s="9"/>
      <c r="AQ739" s="9"/>
      <c r="AR739" s="9"/>
      <c r="AV739" s="5"/>
      <c r="AW739" s="5"/>
      <c r="AX739" s="26"/>
      <c r="AY739" s="26"/>
      <c r="AZ739" s="32"/>
      <c r="BA739" s="32"/>
    </row>
    <row r="740" spans="10:53">
      <c r="J740" s="9"/>
      <c r="K740" s="9"/>
      <c r="T740" s="5"/>
      <c r="U740" s="5"/>
      <c r="V740" s="26"/>
      <c r="W740" s="26"/>
      <c r="X740" s="26"/>
      <c r="Y740" s="26"/>
      <c r="Z740" s="26"/>
      <c r="AA740" s="9"/>
      <c r="AC740" s="9"/>
      <c r="AD740" s="9"/>
      <c r="AE740" s="9"/>
      <c r="AI740" s="26"/>
      <c r="AJ740" s="26"/>
      <c r="AK740" s="32"/>
      <c r="AL740" s="32"/>
      <c r="AM740" s="26"/>
      <c r="AN740" s="26"/>
      <c r="AO740" s="26"/>
      <c r="AP740" s="9"/>
      <c r="AQ740" s="9"/>
      <c r="AR740" s="9"/>
      <c r="AV740" s="5"/>
      <c r="AW740" s="5"/>
      <c r="AX740" s="26"/>
      <c r="AY740" s="26"/>
      <c r="AZ740" s="32"/>
      <c r="BA740" s="32"/>
    </row>
    <row r="741" spans="10:53">
      <c r="J741" s="9"/>
      <c r="K741" s="9"/>
      <c r="T741" s="5"/>
      <c r="U741" s="5"/>
      <c r="V741" s="26"/>
      <c r="W741" s="26"/>
      <c r="X741" s="26"/>
      <c r="Y741" s="26"/>
      <c r="Z741" s="26"/>
      <c r="AA741" s="9"/>
      <c r="AC741" s="9"/>
      <c r="AD741" s="9"/>
      <c r="AE741" s="9"/>
      <c r="AI741" s="26"/>
      <c r="AJ741" s="26"/>
      <c r="AK741" s="32"/>
      <c r="AL741" s="32"/>
      <c r="AM741" s="26"/>
      <c r="AN741" s="26"/>
      <c r="AO741" s="26"/>
      <c r="AP741" s="9"/>
      <c r="AQ741" s="9"/>
      <c r="AR741" s="9"/>
      <c r="AV741" s="5"/>
      <c r="AW741" s="5"/>
      <c r="AX741" s="26"/>
      <c r="AY741" s="26"/>
      <c r="AZ741" s="32"/>
      <c r="BA741" s="32"/>
    </row>
    <row r="742" spans="10:53">
      <c r="J742" s="9"/>
      <c r="K742" s="9"/>
      <c r="T742" s="5"/>
      <c r="U742" s="5"/>
      <c r="V742" s="26"/>
      <c r="W742" s="26"/>
      <c r="X742" s="26"/>
      <c r="Y742" s="26"/>
      <c r="Z742" s="26"/>
      <c r="AA742" s="9"/>
      <c r="AC742" s="9"/>
      <c r="AD742" s="9"/>
      <c r="AE742" s="9"/>
      <c r="AI742" s="26"/>
      <c r="AJ742" s="26"/>
      <c r="AK742" s="32"/>
      <c r="AL742" s="32"/>
      <c r="AM742" s="26"/>
      <c r="AN742" s="26"/>
      <c r="AO742" s="26"/>
      <c r="AP742" s="9"/>
      <c r="AQ742" s="9"/>
      <c r="AR742" s="9"/>
      <c r="AV742" s="5"/>
      <c r="AW742" s="5"/>
      <c r="AX742" s="26"/>
      <c r="AY742" s="26"/>
      <c r="AZ742" s="32"/>
      <c r="BA742" s="32"/>
    </row>
    <row r="743" spans="10:53">
      <c r="J743" s="9"/>
      <c r="K743" s="9"/>
      <c r="T743" s="5"/>
      <c r="U743" s="5"/>
      <c r="V743" s="26"/>
      <c r="W743" s="26"/>
      <c r="X743" s="26"/>
      <c r="Y743" s="26"/>
      <c r="Z743" s="26"/>
      <c r="AA743" s="9"/>
      <c r="AC743" s="9"/>
      <c r="AD743" s="9"/>
      <c r="AE743" s="9"/>
      <c r="AI743" s="26"/>
      <c r="AJ743" s="26"/>
      <c r="AK743" s="32"/>
      <c r="AL743" s="32"/>
      <c r="AM743" s="26"/>
      <c r="AN743" s="26"/>
      <c r="AO743" s="26"/>
      <c r="AP743" s="9"/>
      <c r="AQ743" s="9"/>
      <c r="AR743" s="9"/>
      <c r="AV743" s="5"/>
      <c r="AW743" s="5"/>
      <c r="AX743" s="26"/>
      <c r="AY743" s="26"/>
      <c r="AZ743" s="32"/>
      <c r="BA743" s="32"/>
    </row>
    <row r="744" spans="10:53">
      <c r="J744" s="9"/>
      <c r="K744" s="9"/>
      <c r="T744" s="5"/>
      <c r="U744" s="5"/>
      <c r="V744" s="26"/>
      <c r="W744" s="26"/>
      <c r="X744" s="26"/>
      <c r="Y744" s="26"/>
      <c r="Z744" s="26"/>
      <c r="AA744" s="9"/>
      <c r="AC744" s="9"/>
      <c r="AD744" s="9"/>
      <c r="AE744" s="9"/>
      <c r="AI744" s="26"/>
      <c r="AJ744" s="26"/>
      <c r="AK744" s="32"/>
      <c r="AL744" s="32"/>
      <c r="AM744" s="26"/>
      <c r="AN744" s="26"/>
      <c r="AO744" s="26"/>
      <c r="AP744" s="9"/>
      <c r="AQ744" s="9"/>
      <c r="AR744" s="9"/>
      <c r="AV744" s="5"/>
      <c r="AW744" s="5"/>
      <c r="AX744" s="26"/>
      <c r="AY744" s="26"/>
      <c r="AZ744" s="32"/>
      <c r="BA744" s="32"/>
    </row>
    <row r="745" spans="10:53">
      <c r="J745" s="9"/>
      <c r="K745" s="9"/>
      <c r="T745" s="5"/>
      <c r="U745" s="5"/>
      <c r="V745" s="26"/>
      <c r="W745" s="26"/>
      <c r="X745" s="26"/>
      <c r="Y745" s="26"/>
      <c r="Z745" s="26"/>
      <c r="AA745" s="9"/>
      <c r="AC745" s="9"/>
      <c r="AD745" s="9"/>
      <c r="AE745" s="9"/>
      <c r="AI745" s="26"/>
      <c r="AJ745" s="26"/>
      <c r="AK745" s="32"/>
      <c r="AL745" s="32"/>
      <c r="AM745" s="26"/>
      <c r="AN745" s="26"/>
      <c r="AO745" s="26"/>
      <c r="AP745" s="9"/>
      <c r="AQ745" s="9"/>
      <c r="AR745" s="9"/>
      <c r="AV745" s="5"/>
      <c r="AW745" s="5"/>
      <c r="AX745" s="26"/>
      <c r="AY745" s="26"/>
      <c r="AZ745" s="32"/>
      <c r="BA745" s="32"/>
    </row>
    <row r="746" spans="10:53">
      <c r="J746" s="9"/>
      <c r="K746" s="9"/>
      <c r="T746" s="5"/>
      <c r="U746" s="5"/>
      <c r="V746" s="26"/>
      <c r="W746" s="26"/>
      <c r="X746" s="26"/>
      <c r="Y746" s="26"/>
      <c r="Z746" s="26"/>
      <c r="AA746" s="9"/>
      <c r="AC746" s="9"/>
      <c r="AD746" s="9"/>
      <c r="AE746" s="9"/>
      <c r="AI746" s="26"/>
      <c r="AJ746" s="26"/>
      <c r="AK746" s="32"/>
      <c r="AL746" s="32"/>
      <c r="AM746" s="26"/>
      <c r="AN746" s="26"/>
      <c r="AO746" s="26"/>
      <c r="AP746" s="9"/>
      <c r="AQ746" s="9"/>
      <c r="AR746" s="9"/>
      <c r="AV746" s="5"/>
      <c r="AW746" s="5"/>
      <c r="AX746" s="26"/>
      <c r="AY746" s="26"/>
      <c r="AZ746" s="32"/>
      <c r="BA746" s="32"/>
    </row>
    <row r="747" spans="10:53">
      <c r="J747" s="9"/>
      <c r="K747" s="9"/>
      <c r="T747" s="5"/>
      <c r="U747" s="5"/>
      <c r="V747" s="26"/>
      <c r="W747" s="26"/>
      <c r="X747" s="26"/>
      <c r="Y747" s="26"/>
      <c r="Z747" s="26"/>
      <c r="AA747" s="9"/>
      <c r="AC747" s="9"/>
      <c r="AD747" s="9"/>
      <c r="AE747" s="9"/>
      <c r="AI747" s="26"/>
      <c r="AJ747" s="26"/>
      <c r="AK747" s="32"/>
      <c r="AL747" s="32"/>
      <c r="AM747" s="26"/>
      <c r="AN747" s="26"/>
      <c r="AO747" s="26"/>
      <c r="AP747" s="9"/>
      <c r="AQ747" s="9"/>
      <c r="AR747" s="9"/>
      <c r="AV747" s="5"/>
      <c r="AW747" s="5"/>
      <c r="AX747" s="26"/>
      <c r="AY747" s="26"/>
      <c r="AZ747" s="32"/>
      <c r="BA747" s="32"/>
    </row>
    <row r="748" spans="10:53">
      <c r="J748" s="9"/>
      <c r="K748" s="9"/>
      <c r="T748" s="5"/>
      <c r="U748" s="5"/>
      <c r="V748" s="26"/>
      <c r="W748" s="26"/>
      <c r="X748" s="26"/>
      <c r="Y748" s="26"/>
      <c r="Z748" s="26"/>
      <c r="AA748" s="9"/>
      <c r="AC748" s="9"/>
      <c r="AD748" s="9"/>
      <c r="AE748" s="9"/>
      <c r="AI748" s="26"/>
      <c r="AJ748" s="26"/>
      <c r="AK748" s="32"/>
      <c r="AL748" s="32"/>
      <c r="AM748" s="26"/>
      <c r="AN748" s="26"/>
      <c r="AO748" s="26"/>
      <c r="AP748" s="9"/>
      <c r="AQ748" s="9"/>
      <c r="AR748" s="9"/>
      <c r="AV748" s="5"/>
      <c r="AW748" s="5"/>
      <c r="AX748" s="26"/>
      <c r="AY748" s="26"/>
      <c r="AZ748" s="32"/>
      <c r="BA748" s="32"/>
    </row>
    <row r="749" spans="10:53">
      <c r="J749" s="9"/>
      <c r="K749" s="9"/>
      <c r="T749" s="5"/>
      <c r="U749" s="5"/>
      <c r="V749" s="26"/>
      <c r="W749" s="26"/>
      <c r="X749" s="26"/>
      <c r="Y749" s="26"/>
      <c r="Z749" s="26"/>
      <c r="AA749" s="9"/>
      <c r="AC749" s="9"/>
      <c r="AD749" s="9"/>
      <c r="AE749" s="9"/>
      <c r="AI749" s="26"/>
      <c r="AJ749" s="26"/>
      <c r="AK749" s="32"/>
      <c r="AL749" s="32"/>
      <c r="AM749" s="26"/>
      <c r="AN749" s="26"/>
      <c r="AO749" s="26"/>
      <c r="AP749" s="9"/>
      <c r="AQ749" s="9"/>
      <c r="AR749" s="9"/>
      <c r="AV749" s="5"/>
      <c r="AW749" s="5"/>
      <c r="AX749" s="26"/>
      <c r="AY749" s="26"/>
      <c r="AZ749" s="32"/>
      <c r="BA749" s="32"/>
    </row>
    <row r="750" spans="10:53">
      <c r="J750" s="9"/>
      <c r="K750" s="9"/>
      <c r="T750" s="5"/>
      <c r="U750" s="5"/>
      <c r="V750" s="26"/>
      <c r="W750" s="26"/>
      <c r="X750" s="26"/>
      <c r="Y750" s="26"/>
      <c r="Z750" s="26"/>
      <c r="AA750" s="9"/>
      <c r="AC750" s="9"/>
      <c r="AD750" s="9"/>
      <c r="AE750" s="9"/>
      <c r="AI750" s="26"/>
      <c r="AJ750" s="26"/>
      <c r="AK750" s="32"/>
      <c r="AL750" s="32"/>
      <c r="AM750" s="26"/>
      <c r="AN750" s="26"/>
      <c r="AO750" s="26"/>
      <c r="AP750" s="9"/>
      <c r="AQ750" s="9"/>
      <c r="AR750" s="9"/>
      <c r="AV750" s="5"/>
      <c r="AW750" s="5"/>
      <c r="AX750" s="26"/>
      <c r="AY750" s="26"/>
      <c r="AZ750" s="32"/>
      <c r="BA750" s="32"/>
    </row>
    <row r="751" spans="10:53">
      <c r="J751" s="9"/>
      <c r="K751" s="9"/>
      <c r="T751" s="5"/>
      <c r="U751" s="5"/>
      <c r="V751" s="26"/>
      <c r="W751" s="26"/>
      <c r="X751" s="26"/>
      <c r="Y751" s="26"/>
      <c r="Z751" s="26"/>
      <c r="AA751" s="9"/>
      <c r="AC751" s="9"/>
      <c r="AD751" s="9"/>
      <c r="AE751" s="9"/>
      <c r="AI751" s="26"/>
      <c r="AJ751" s="26"/>
      <c r="AK751" s="32"/>
      <c r="AL751" s="32"/>
      <c r="AM751" s="26"/>
      <c r="AN751" s="26"/>
      <c r="AO751" s="26"/>
      <c r="AP751" s="9"/>
      <c r="AQ751" s="9"/>
      <c r="AR751" s="9"/>
      <c r="AV751" s="5"/>
      <c r="AW751" s="5"/>
      <c r="AX751" s="26"/>
      <c r="AY751" s="26"/>
      <c r="AZ751" s="32"/>
      <c r="BA751" s="32"/>
    </row>
    <row r="752" spans="10:53">
      <c r="J752" s="9"/>
      <c r="K752" s="9"/>
      <c r="T752" s="5"/>
      <c r="U752" s="5"/>
      <c r="V752" s="26"/>
      <c r="W752" s="26"/>
      <c r="X752" s="26"/>
      <c r="Y752" s="26"/>
      <c r="Z752" s="26"/>
      <c r="AA752" s="9"/>
      <c r="AC752" s="9"/>
      <c r="AD752" s="9"/>
      <c r="AE752" s="9"/>
      <c r="AI752" s="26"/>
      <c r="AJ752" s="26"/>
      <c r="AK752" s="32"/>
      <c r="AL752" s="32"/>
      <c r="AM752" s="26"/>
      <c r="AN752" s="26"/>
      <c r="AO752" s="26"/>
      <c r="AP752" s="9"/>
      <c r="AQ752" s="9"/>
      <c r="AR752" s="9"/>
      <c r="AV752" s="5"/>
      <c r="AW752" s="5"/>
      <c r="AX752" s="26"/>
      <c r="AY752" s="26"/>
      <c r="AZ752" s="32"/>
      <c r="BA752" s="32"/>
    </row>
    <row r="753" spans="10:53">
      <c r="J753" s="9"/>
      <c r="K753" s="9"/>
      <c r="T753" s="5"/>
      <c r="U753" s="5"/>
      <c r="V753" s="26"/>
      <c r="W753" s="26"/>
      <c r="X753" s="26"/>
      <c r="Y753" s="26"/>
      <c r="Z753" s="26"/>
      <c r="AA753" s="9"/>
      <c r="AC753" s="9"/>
      <c r="AD753" s="9"/>
      <c r="AE753" s="9"/>
      <c r="AI753" s="26"/>
      <c r="AJ753" s="26"/>
      <c r="AK753" s="32"/>
      <c r="AL753" s="32"/>
      <c r="AM753" s="26"/>
      <c r="AN753" s="26"/>
      <c r="AO753" s="26"/>
      <c r="AP753" s="9"/>
      <c r="AQ753" s="9"/>
      <c r="AR753" s="9"/>
      <c r="AV753" s="5"/>
      <c r="AW753" s="5"/>
      <c r="AX753" s="26"/>
      <c r="AY753" s="26"/>
      <c r="AZ753" s="32"/>
      <c r="BA753" s="32"/>
    </row>
    <row r="754" spans="10:53">
      <c r="J754" s="9"/>
      <c r="K754" s="9"/>
      <c r="T754" s="5"/>
      <c r="U754" s="5"/>
      <c r="V754" s="26"/>
      <c r="W754" s="26"/>
      <c r="X754" s="26"/>
      <c r="Y754" s="26"/>
      <c r="Z754" s="26"/>
      <c r="AA754" s="9"/>
      <c r="AC754" s="9"/>
      <c r="AD754" s="9"/>
      <c r="AE754" s="9"/>
      <c r="AI754" s="26"/>
      <c r="AJ754" s="26"/>
      <c r="AK754" s="32"/>
      <c r="AL754" s="32"/>
      <c r="AM754" s="26"/>
      <c r="AN754" s="26"/>
      <c r="AO754" s="26"/>
      <c r="AP754" s="9"/>
      <c r="AQ754" s="9"/>
      <c r="AR754" s="9"/>
      <c r="AV754" s="5"/>
      <c r="AW754" s="5"/>
      <c r="AX754" s="26"/>
      <c r="AY754" s="26"/>
      <c r="AZ754" s="32"/>
      <c r="BA754" s="32"/>
    </row>
    <row r="755" spans="10:53">
      <c r="J755" s="9"/>
      <c r="K755" s="9"/>
      <c r="T755" s="5"/>
      <c r="U755" s="5"/>
      <c r="V755" s="26"/>
      <c r="W755" s="26"/>
      <c r="X755" s="26"/>
      <c r="Y755" s="26"/>
      <c r="Z755" s="26"/>
      <c r="AA755" s="9"/>
      <c r="AC755" s="9"/>
      <c r="AD755" s="9"/>
      <c r="AE755" s="9"/>
      <c r="AI755" s="26"/>
      <c r="AJ755" s="26"/>
      <c r="AK755" s="32"/>
      <c r="AL755" s="32"/>
      <c r="AM755" s="26"/>
      <c r="AN755" s="26"/>
      <c r="AO755" s="26"/>
      <c r="AP755" s="9"/>
      <c r="AQ755" s="9"/>
      <c r="AR755" s="9"/>
      <c r="AV755" s="5"/>
      <c r="AW755" s="5"/>
      <c r="AX755" s="26"/>
      <c r="AY755" s="26"/>
      <c r="AZ755" s="32"/>
      <c r="BA755" s="32"/>
    </row>
    <row r="756" spans="10:53">
      <c r="J756" s="9"/>
      <c r="K756" s="9"/>
      <c r="T756" s="5"/>
      <c r="U756" s="5"/>
      <c r="V756" s="26"/>
      <c r="W756" s="26"/>
      <c r="X756" s="26"/>
      <c r="Y756" s="26"/>
      <c r="Z756" s="26"/>
      <c r="AA756" s="9"/>
      <c r="AC756" s="9"/>
      <c r="AD756" s="9"/>
      <c r="AE756" s="9"/>
      <c r="AI756" s="26"/>
      <c r="AJ756" s="26"/>
      <c r="AK756" s="32"/>
      <c r="AL756" s="32"/>
      <c r="AM756" s="26"/>
      <c r="AN756" s="26"/>
      <c r="AO756" s="26"/>
      <c r="AP756" s="9"/>
      <c r="AQ756" s="9"/>
      <c r="AR756" s="9"/>
      <c r="AV756" s="5"/>
      <c r="AW756" s="5"/>
      <c r="AX756" s="26"/>
      <c r="AY756" s="26"/>
      <c r="AZ756" s="32"/>
      <c r="BA756" s="32"/>
    </row>
    <row r="757" spans="10:53">
      <c r="J757" s="9"/>
      <c r="K757" s="9"/>
      <c r="T757" s="5"/>
      <c r="U757" s="5"/>
      <c r="V757" s="26"/>
      <c r="W757" s="26"/>
      <c r="X757" s="26"/>
      <c r="Y757" s="26"/>
      <c r="Z757" s="26"/>
      <c r="AA757" s="9"/>
      <c r="AC757" s="9"/>
      <c r="AD757" s="9"/>
      <c r="AE757" s="9"/>
      <c r="AI757" s="26"/>
      <c r="AJ757" s="26"/>
      <c r="AK757" s="32"/>
      <c r="AL757" s="32"/>
      <c r="AM757" s="26"/>
      <c r="AN757" s="26"/>
      <c r="AO757" s="26"/>
      <c r="AP757" s="9"/>
      <c r="AQ757" s="9"/>
      <c r="AR757" s="9"/>
      <c r="AV757" s="5"/>
      <c r="AW757" s="5"/>
      <c r="AX757" s="26"/>
      <c r="AY757" s="26"/>
      <c r="AZ757" s="32"/>
      <c r="BA757" s="32"/>
    </row>
    <row r="758" spans="10:53">
      <c r="J758" s="9"/>
      <c r="K758" s="9"/>
      <c r="T758" s="5"/>
      <c r="U758" s="5"/>
      <c r="V758" s="26"/>
      <c r="W758" s="26"/>
      <c r="X758" s="26"/>
      <c r="Y758" s="26"/>
      <c r="Z758" s="26"/>
      <c r="AA758" s="9"/>
      <c r="AC758" s="9"/>
      <c r="AD758" s="9"/>
      <c r="AE758" s="9"/>
      <c r="AI758" s="26"/>
      <c r="AJ758" s="26"/>
      <c r="AK758" s="32"/>
      <c r="AL758" s="32"/>
      <c r="AM758" s="26"/>
      <c r="AN758" s="26"/>
      <c r="AO758" s="26"/>
      <c r="AP758" s="9"/>
      <c r="AQ758" s="9"/>
      <c r="AR758" s="9"/>
      <c r="AV758" s="5"/>
      <c r="AW758" s="5"/>
      <c r="AX758" s="26"/>
      <c r="AY758" s="26"/>
      <c r="AZ758" s="32"/>
      <c r="BA758" s="32"/>
    </row>
    <row r="759" spans="10:53">
      <c r="J759" s="9"/>
      <c r="K759" s="9"/>
      <c r="T759" s="5"/>
      <c r="U759" s="5"/>
      <c r="V759" s="26"/>
      <c r="W759" s="26"/>
      <c r="X759" s="26"/>
      <c r="Y759" s="26"/>
      <c r="Z759" s="26"/>
      <c r="AA759" s="9"/>
      <c r="AC759" s="9"/>
      <c r="AD759" s="9"/>
      <c r="AE759" s="9"/>
      <c r="AI759" s="26"/>
      <c r="AJ759" s="26"/>
      <c r="AK759" s="32"/>
      <c r="AL759" s="32"/>
      <c r="AM759" s="26"/>
      <c r="AN759" s="26"/>
      <c r="AO759" s="26"/>
      <c r="AP759" s="9"/>
      <c r="AQ759" s="9"/>
      <c r="AR759" s="9"/>
      <c r="AV759" s="5"/>
      <c r="AW759" s="5"/>
      <c r="AX759" s="26"/>
      <c r="AY759" s="26"/>
      <c r="AZ759" s="32"/>
      <c r="BA759" s="32"/>
    </row>
    <row r="760" spans="10:53">
      <c r="J760" s="9"/>
      <c r="K760" s="9"/>
      <c r="T760" s="5"/>
      <c r="U760" s="5"/>
      <c r="V760" s="26"/>
      <c r="W760" s="26"/>
      <c r="X760" s="26"/>
      <c r="Y760" s="26"/>
      <c r="Z760" s="26"/>
      <c r="AA760" s="9"/>
      <c r="AC760" s="9"/>
      <c r="AD760" s="9"/>
      <c r="AE760" s="9"/>
      <c r="AI760" s="26"/>
      <c r="AJ760" s="26"/>
      <c r="AK760" s="32"/>
      <c r="AL760" s="32"/>
      <c r="AM760" s="26"/>
      <c r="AN760" s="26"/>
      <c r="AO760" s="26"/>
      <c r="AP760" s="9"/>
      <c r="AQ760" s="9"/>
      <c r="AR760" s="9"/>
      <c r="AV760" s="5"/>
      <c r="AW760" s="5"/>
      <c r="AX760" s="26"/>
      <c r="AY760" s="26"/>
      <c r="AZ760" s="32"/>
      <c r="BA760" s="32"/>
    </row>
    <row r="761" spans="10:53">
      <c r="J761" s="9"/>
      <c r="K761" s="9"/>
      <c r="T761" s="5"/>
      <c r="U761" s="5"/>
      <c r="V761" s="26"/>
      <c r="W761" s="26"/>
      <c r="X761" s="26"/>
      <c r="Y761" s="26"/>
      <c r="Z761" s="26"/>
      <c r="AA761" s="9"/>
      <c r="AC761" s="9"/>
      <c r="AD761" s="9"/>
      <c r="AE761" s="9"/>
      <c r="AI761" s="26"/>
      <c r="AJ761" s="26"/>
      <c r="AK761" s="32"/>
      <c r="AL761" s="32"/>
      <c r="AM761" s="26"/>
      <c r="AN761" s="26"/>
      <c r="AO761" s="26"/>
      <c r="AP761" s="9"/>
      <c r="AQ761" s="9"/>
      <c r="AR761" s="9"/>
      <c r="AV761" s="5"/>
      <c r="AW761" s="5"/>
      <c r="AX761" s="26"/>
      <c r="AY761" s="26"/>
      <c r="AZ761" s="32"/>
      <c r="BA761" s="32"/>
    </row>
    <row r="762" spans="10:53">
      <c r="J762" s="9"/>
      <c r="K762" s="9"/>
      <c r="T762" s="5"/>
      <c r="U762" s="5"/>
      <c r="V762" s="26"/>
      <c r="W762" s="26"/>
      <c r="X762" s="26"/>
      <c r="Y762" s="26"/>
      <c r="Z762" s="26"/>
      <c r="AA762" s="9"/>
      <c r="AC762" s="9"/>
      <c r="AD762" s="9"/>
      <c r="AE762" s="9"/>
      <c r="AI762" s="26"/>
      <c r="AJ762" s="26"/>
      <c r="AK762" s="32"/>
      <c r="AL762" s="32"/>
      <c r="AM762" s="26"/>
      <c r="AN762" s="26"/>
      <c r="AO762" s="26"/>
      <c r="AP762" s="9"/>
      <c r="AQ762" s="9"/>
      <c r="AR762" s="9"/>
      <c r="AV762" s="5"/>
      <c r="AW762" s="5"/>
      <c r="AX762" s="26"/>
      <c r="AY762" s="26"/>
      <c r="AZ762" s="32"/>
      <c r="BA762" s="32"/>
    </row>
    <row r="763" spans="10:53">
      <c r="J763" s="9"/>
      <c r="K763" s="9"/>
      <c r="T763" s="5"/>
      <c r="U763" s="5"/>
      <c r="V763" s="26"/>
      <c r="W763" s="26"/>
      <c r="X763" s="26"/>
      <c r="Y763" s="26"/>
      <c r="Z763" s="26"/>
      <c r="AA763" s="9"/>
      <c r="AC763" s="9"/>
      <c r="AD763" s="9"/>
      <c r="AE763" s="9"/>
      <c r="AI763" s="26"/>
      <c r="AJ763" s="26"/>
      <c r="AK763" s="32"/>
      <c r="AL763" s="32"/>
      <c r="AM763" s="26"/>
      <c r="AN763" s="26"/>
      <c r="AO763" s="26"/>
      <c r="AP763" s="9"/>
      <c r="AQ763" s="9"/>
      <c r="AR763" s="9"/>
      <c r="AV763" s="5"/>
      <c r="AW763" s="5"/>
      <c r="AX763" s="26"/>
      <c r="AY763" s="26"/>
      <c r="AZ763" s="32"/>
      <c r="BA763" s="32"/>
    </row>
    <row r="764" spans="10:53">
      <c r="J764" s="9"/>
      <c r="K764" s="9"/>
      <c r="T764" s="5"/>
      <c r="U764" s="5"/>
      <c r="V764" s="26"/>
      <c r="W764" s="26"/>
      <c r="X764" s="26"/>
      <c r="Y764" s="26"/>
      <c r="Z764" s="26"/>
      <c r="AA764" s="9"/>
      <c r="AC764" s="9"/>
      <c r="AD764" s="9"/>
      <c r="AE764" s="9"/>
      <c r="AI764" s="26"/>
      <c r="AJ764" s="26"/>
      <c r="AK764" s="32"/>
      <c r="AL764" s="32"/>
      <c r="AM764" s="26"/>
      <c r="AN764" s="26"/>
      <c r="AO764" s="26"/>
      <c r="AP764" s="9"/>
      <c r="AQ764" s="9"/>
      <c r="AR764" s="9"/>
      <c r="AV764" s="5"/>
      <c r="AW764" s="5"/>
      <c r="AX764" s="26"/>
      <c r="AY764" s="26"/>
      <c r="AZ764" s="32"/>
      <c r="BA764" s="32"/>
    </row>
    <row r="765" spans="10:53">
      <c r="J765" s="9"/>
      <c r="K765" s="9"/>
      <c r="T765" s="5"/>
      <c r="U765" s="5"/>
      <c r="V765" s="26"/>
      <c r="W765" s="26"/>
      <c r="X765" s="26"/>
      <c r="Y765" s="26"/>
      <c r="Z765" s="26"/>
      <c r="AA765" s="9"/>
      <c r="AC765" s="9"/>
      <c r="AD765" s="9"/>
      <c r="AE765" s="9"/>
      <c r="AI765" s="26"/>
      <c r="AJ765" s="26"/>
      <c r="AK765" s="32"/>
      <c r="AL765" s="32"/>
      <c r="AM765" s="26"/>
      <c r="AN765" s="26"/>
      <c r="AO765" s="26"/>
      <c r="AP765" s="9"/>
      <c r="AQ765" s="9"/>
      <c r="AR765" s="9"/>
      <c r="AV765" s="5"/>
      <c r="AW765" s="5"/>
      <c r="AX765" s="26"/>
      <c r="AY765" s="26"/>
      <c r="AZ765" s="32"/>
      <c r="BA765" s="32"/>
    </row>
    <row r="766" spans="10:53">
      <c r="J766" s="9"/>
      <c r="K766" s="9"/>
      <c r="T766" s="5"/>
      <c r="U766" s="5"/>
      <c r="V766" s="26"/>
      <c r="W766" s="26"/>
      <c r="X766" s="26"/>
      <c r="Y766" s="26"/>
      <c r="Z766" s="26"/>
      <c r="AA766" s="9"/>
      <c r="AC766" s="9"/>
      <c r="AD766" s="9"/>
      <c r="AE766" s="9"/>
      <c r="AI766" s="26"/>
      <c r="AJ766" s="26"/>
      <c r="AK766" s="32"/>
      <c r="AL766" s="32"/>
      <c r="AM766" s="26"/>
      <c r="AN766" s="26"/>
      <c r="AO766" s="26"/>
      <c r="AP766" s="9"/>
      <c r="AQ766" s="9"/>
      <c r="AR766" s="9"/>
      <c r="AV766" s="5"/>
      <c r="AW766" s="5"/>
      <c r="AX766" s="26"/>
      <c r="AY766" s="26"/>
      <c r="AZ766" s="32"/>
      <c r="BA766" s="32"/>
    </row>
    <row r="767" spans="10:53">
      <c r="J767" s="9"/>
      <c r="K767" s="9"/>
      <c r="T767" s="5"/>
      <c r="U767" s="5"/>
      <c r="V767" s="26"/>
      <c r="W767" s="26"/>
      <c r="X767" s="26"/>
      <c r="Y767" s="26"/>
      <c r="Z767" s="26"/>
      <c r="AA767" s="9"/>
      <c r="AC767" s="9"/>
      <c r="AD767" s="9"/>
      <c r="AE767" s="9"/>
      <c r="AI767" s="26"/>
      <c r="AJ767" s="26"/>
      <c r="AK767" s="32"/>
      <c r="AL767" s="32"/>
      <c r="AM767" s="26"/>
      <c r="AN767" s="26"/>
      <c r="AO767" s="26"/>
      <c r="AP767" s="9"/>
      <c r="AQ767" s="9"/>
      <c r="AR767" s="9"/>
      <c r="AV767" s="5"/>
      <c r="AW767" s="5"/>
      <c r="AX767" s="26"/>
      <c r="AY767" s="26"/>
      <c r="AZ767" s="32"/>
      <c r="BA767" s="32"/>
    </row>
    <row r="768" spans="10:53">
      <c r="J768" s="9"/>
      <c r="K768" s="9"/>
      <c r="T768" s="5"/>
      <c r="U768" s="5"/>
      <c r="V768" s="26"/>
      <c r="W768" s="26"/>
      <c r="X768" s="26"/>
      <c r="Y768" s="26"/>
      <c r="Z768" s="26"/>
      <c r="AA768" s="9"/>
      <c r="AC768" s="9"/>
      <c r="AD768" s="9"/>
      <c r="AE768" s="9"/>
      <c r="AI768" s="26"/>
      <c r="AJ768" s="26"/>
      <c r="AK768" s="32"/>
      <c r="AL768" s="32"/>
      <c r="AM768" s="26"/>
      <c r="AN768" s="26"/>
      <c r="AO768" s="26"/>
      <c r="AP768" s="9"/>
      <c r="AQ768" s="9"/>
      <c r="AR768" s="9"/>
      <c r="AV768" s="5"/>
      <c r="AW768" s="5"/>
      <c r="AX768" s="26"/>
      <c r="AY768" s="26"/>
      <c r="AZ768" s="32"/>
      <c r="BA768" s="32"/>
    </row>
    <row r="769" spans="10:53">
      <c r="J769" s="9"/>
      <c r="K769" s="9"/>
      <c r="T769" s="5"/>
      <c r="U769" s="5"/>
      <c r="V769" s="26"/>
      <c r="W769" s="26"/>
      <c r="X769" s="26"/>
      <c r="Y769" s="26"/>
      <c r="Z769" s="26"/>
      <c r="AA769" s="9"/>
      <c r="AC769" s="9"/>
      <c r="AD769" s="9"/>
      <c r="AE769" s="9"/>
      <c r="AI769" s="26"/>
      <c r="AJ769" s="26"/>
      <c r="AK769" s="32"/>
      <c r="AL769" s="32"/>
      <c r="AM769" s="26"/>
      <c r="AN769" s="26"/>
      <c r="AO769" s="26"/>
      <c r="AP769" s="9"/>
      <c r="AQ769" s="9"/>
      <c r="AR769" s="9"/>
      <c r="AV769" s="5"/>
      <c r="AW769" s="5"/>
      <c r="AX769" s="26"/>
      <c r="AY769" s="26"/>
      <c r="AZ769" s="32"/>
      <c r="BA769" s="32"/>
    </row>
    <row r="770" spans="10:53">
      <c r="J770" s="9"/>
      <c r="K770" s="9"/>
      <c r="T770" s="5"/>
      <c r="U770" s="5"/>
      <c r="V770" s="26"/>
      <c r="W770" s="26"/>
      <c r="X770" s="26"/>
      <c r="Y770" s="26"/>
      <c r="Z770" s="26"/>
      <c r="AA770" s="9"/>
      <c r="AC770" s="9"/>
      <c r="AD770" s="9"/>
      <c r="AE770" s="9"/>
      <c r="AI770" s="26"/>
      <c r="AJ770" s="26"/>
      <c r="AK770" s="32"/>
      <c r="AL770" s="32"/>
      <c r="AM770" s="26"/>
      <c r="AN770" s="26"/>
      <c r="AO770" s="26"/>
      <c r="AP770" s="9"/>
      <c r="AQ770" s="9"/>
      <c r="AR770" s="9"/>
      <c r="AV770" s="5"/>
      <c r="AW770" s="5"/>
      <c r="AX770" s="26"/>
      <c r="AY770" s="26"/>
      <c r="AZ770" s="32"/>
      <c r="BA770" s="32"/>
    </row>
    <row r="771" spans="10:53">
      <c r="J771" s="9"/>
      <c r="K771" s="9"/>
      <c r="T771" s="5"/>
      <c r="U771" s="5"/>
      <c r="V771" s="26"/>
      <c r="W771" s="26"/>
      <c r="X771" s="26"/>
      <c r="Y771" s="26"/>
      <c r="Z771" s="26"/>
      <c r="AA771" s="9"/>
      <c r="AC771" s="9"/>
      <c r="AD771" s="9"/>
      <c r="AE771" s="9"/>
      <c r="AI771" s="26"/>
      <c r="AJ771" s="26"/>
      <c r="AK771" s="32"/>
      <c r="AL771" s="32"/>
      <c r="AM771" s="26"/>
      <c r="AN771" s="26"/>
      <c r="AO771" s="26"/>
      <c r="AP771" s="9"/>
      <c r="AQ771" s="9"/>
      <c r="AR771" s="9"/>
      <c r="AV771" s="5"/>
      <c r="AW771" s="5"/>
      <c r="AX771" s="26"/>
      <c r="AY771" s="26"/>
      <c r="AZ771" s="32"/>
      <c r="BA771" s="32"/>
    </row>
    <row r="772" spans="10:53">
      <c r="J772" s="9"/>
      <c r="K772" s="9"/>
      <c r="T772" s="5"/>
      <c r="U772" s="5"/>
      <c r="V772" s="26"/>
      <c r="W772" s="26"/>
      <c r="X772" s="26"/>
      <c r="Y772" s="26"/>
      <c r="Z772" s="26"/>
      <c r="AA772" s="9"/>
      <c r="AC772" s="9"/>
      <c r="AD772" s="9"/>
      <c r="AE772" s="9"/>
      <c r="AI772" s="26"/>
      <c r="AJ772" s="26"/>
      <c r="AK772" s="32"/>
      <c r="AL772" s="32"/>
      <c r="AM772" s="26"/>
      <c r="AN772" s="26"/>
      <c r="AO772" s="26"/>
      <c r="AP772" s="9"/>
      <c r="AQ772" s="9"/>
      <c r="AR772" s="9"/>
      <c r="AV772" s="5"/>
      <c r="AW772" s="5"/>
      <c r="AX772" s="26"/>
      <c r="AY772" s="26"/>
      <c r="AZ772" s="32"/>
      <c r="BA772" s="32"/>
    </row>
    <row r="773" spans="10:53">
      <c r="J773" s="9"/>
      <c r="K773" s="9"/>
      <c r="T773" s="5"/>
      <c r="U773" s="5"/>
      <c r="V773" s="26"/>
      <c r="W773" s="26"/>
      <c r="X773" s="26"/>
      <c r="Y773" s="26"/>
      <c r="Z773" s="26"/>
      <c r="AA773" s="9"/>
      <c r="AC773" s="9"/>
      <c r="AD773" s="9"/>
      <c r="AE773" s="9"/>
      <c r="AI773" s="26"/>
      <c r="AJ773" s="26"/>
      <c r="AK773" s="32"/>
      <c r="AL773" s="32"/>
      <c r="AM773" s="26"/>
      <c r="AN773" s="26"/>
      <c r="AO773" s="26"/>
      <c r="AP773" s="9"/>
      <c r="AQ773" s="9"/>
      <c r="AR773" s="9"/>
      <c r="AV773" s="5"/>
      <c r="AW773" s="5"/>
      <c r="AX773" s="26"/>
      <c r="AY773" s="26"/>
      <c r="AZ773" s="32"/>
      <c r="BA773" s="32"/>
    </row>
    <row r="774" spans="10:53">
      <c r="J774" s="9"/>
      <c r="K774" s="9"/>
      <c r="T774" s="5"/>
      <c r="U774" s="5"/>
      <c r="V774" s="26"/>
      <c r="W774" s="26"/>
      <c r="X774" s="26"/>
      <c r="Y774" s="26"/>
      <c r="Z774" s="26"/>
      <c r="AA774" s="9"/>
      <c r="AC774" s="9"/>
      <c r="AD774" s="9"/>
      <c r="AE774" s="9"/>
      <c r="AI774" s="26"/>
      <c r="AJ774" s="26"/>
      <c r="AK774" s="32"/>
      <c r="AL774" s="32"/>
      <c r="AM774" s="26"/>
      <c r="AN774" s="26"/>
      <c r="AO774" s="26"/>
      <c r="AP774" s="9"/>
      <c r="AQ774" s="9"/>
      <c r="AR774" s="9"/>
      <c r="AV774" s="5"/>
      <c r="AW774" s="5"/>
      <c r="AX774" s="26"/>
      <c r="AY774" s="26"/>
      <c r="AZ774" s="32"/>
      <c r="BA774" s="32"/>
    </row>
    <row r="775" spans="10:53">
      <c r="J775" s="9"/>
      <c r="K775" s="9"/>
      <c r="T775" s="5"/>
      <c r="U775" s="5"/>
      <c r="V775" s="26"/>
      <c r="W775" s="26"/>
      <c r="X775" s="26"/>
      <c r="Y775" s="26"/>
      <c r="Z775" s="26"/>
      <c r="AA775" s="9"/>
      <c r="AC775" s="9"/>
      <c r="AD775" s="9"/>
      <c r="AE775" s="9"/>
      <c r="AI775" s="26"/>
      <c r="AJ775" s="26"/>
      <c r="AK775" s="32"/>
      <c r="AL775" s="32"/>
      <c r="AM775" s="26"/>
      <c r="AN775" s="26"/>
      <c r="AO775" s="26"/>
      <c r="AP775" s="9"/>
      <c r="AQ775" s="9"/>
      <c r="AR775" s="9"/>
      <c r="AV775" s="5"/>
      <c r="AW775" s="5"/>
      <c r="AX775" s="26"/>
      <c r="AY775" s="26"/>
      <c r="AZ775" s="32"/>
      <c r="BA775" s="32"/>
    </row>
    <row r="776" spans="10:53">
      <c r="J776" s="9"/>
      <c r="K776" s="9"/>
      <c r="T776" s="5"/>
      <c r="U776" s="5"/>
      <c r="V776" s="26"/>
      <c r="W776" s="26"/>
      <c r="X776" s="26"/>
      <c r="Y776" s="26"/>
      <c r="Z776" s="26"/>
      <c r="AA776" s="9"/>
      <c r="AC776" s="9"/>
      <c r="AD776" s="9"/>
      <c r="AE776" s="9"/>
      <c r="AI776" s="26"/>
      <c r="AJ776" s="26"/>
      <c r="AK776" s="32"/>
      <c r="AL776" s="32"/>
      <c r="AM776" s="26"/>
      <c r="AN776" s="26"/>
      <c r="AO776" s="26"/>
      <c r="AP776" s="9"/>
      <c r="AQ776" s="9"/>
      <c r="AR776" s="9"/>
      <c r="AV776" s="5"/>
      <c r="AW776" s="5"/>
      <c r="AX776" s="26"/>
      <c r="AY776" s="26"/>
      <c r="AZ776" s="32"/>
      <c r="BA776" s="32"/>
    </row>
    <row r="777" spans="10:53">
      <c r="J777" s="9"/>
      <c r="K777" s="9"/>
      <c r="T777" s="5"/>
      <c r="U777" s="5"/>
      <c r="V777" s="26"/>
      <c r="W777" s="26"/>
      <c r="X777" s="26"/>
      <c r="Y777" s="26"/>
      <c r="Z777" s="26"/>
      <c r="AA777" s="9"/>
      <c r="AC777" s="9"/>
      <c r="AD777" s="9"/>
      <c r="AE777" s="9"/>
      <c r="AI777" s="26"/>
      <c r="AJ777" s="26"/>
      <c r="AK777" s="32"/>
      <c r="AL777" s="32"/>
      <c r="AM777" s="26"/>
      <c r="AN777" s="26"/>
      <c r="AO777" s="26"/>
      <c r="AP777" s="9"/>
      <c r="AQ777" s="9"/>
      <c r="AR777" s="9"/>
      <c r="AV777" s="5"/>
      <c r="AW777" s="5"/>
      <c r="AX777" s="26"/>
      <c r="AY777" s="26"/>
      <c r="AZ777" s="32"/>
      <c r="BA777" s="32"/>
    </row>
    <row r="778" spans="10:53">
      <c r="J778" s="9"/>
      <c r="K778" s="9"/>
      <c r="T778" s="5"/>
      <c r="U778" s="5"/>
      <c r="V778" s="26"/>
      <c r="W778" s="26"/>
      <c r="X778" s="26"/>
      <c r="Y778" s="26"/>
      <c r="Z778" s="26"/>
      <c r="AA778" s="9"/>
      <c r="AC778" s="9"/>
      <c r="AD778" s="9"/>
      <c r="AE778" s="9"/>
      <c r="AI778" s="26"/>
      <c r="AJ778" s="26"/>
      <c r="AK778" s="32"/>
      <c r="AL778" s="32"/>
      <c r="AM778" s="26"/>
      <c r="AN778" s="26"/>
      <c r="AO778" s="26"/>
      <c r="AP778" s="9"/>
      <c r="AQ778" s="9"/>
      <c r="AR778" s="9"/>
      <c r="AV778" s="5"/>
      <c r="AW778" s="5"/>
      <c r="AX778" s="26"/>
      <c r="AY778" s="26"/>
      <c r="AZ778" s="32"/>
      <c r="BA778" s="32"/>
    </row>
    <row r="779" spans="10:53">
      <c r="J779" s="9"/>
      <c r="K779" s="9"/>
      <c r="T779" s="5"/>
      <c r="U779" s="5"/>
      <c r="V779" s="26"/>
      <c r="W779" s="26"/>
      <c r="X779" s="26"/>
      <c r="Y779" s="26"/>
      <c r="Z779" s="26"/>
      <c r="AA779" s="9"/>
      <c r="AC779" s="9"/>
      <c r="AD779" s="9"/>
      <c r="AE779" s="9"/>
      <c r="AI779" s="26"/>
      <c r="AJ779" s="26"/>
      <c r="AK779" s="32"/>
      <c r="AL779" s="32"/>
      <c r="AM779" s="26"/>
      <c r="AN779" s="26"/>
      <c r="AO779" s="26"/>
      <c r="AP779" s="9"/>
      <c r="AQ779" s="9"/>
      <c r="AR779" s="9"/>
      <c r="AV779" s="5"/>
      <c r="AW779" s="5"/>
      <c r="AX779" s="26"/>
      <c r="AY779" s="26"/>
      <c r="AZ779" s="32"/>
      <c r="BA779" s="32"/>
    </row>
    <row r="780" spans="10:53">
      <c r="J780" s="9"/>
      <c r="K780" s="9"/>
      <c r="T780" s="5"/>
      <c r="U780" s="5"/>
      <c r="V780" s="26"/>
      <c r="W780" s="26"/>
      <c r="X780" s="26"/>
      <c r="Y780" s="26"/>
      <c r="Z780" s="26"/>
      <c r="AA780" s="9"/>
      <c r="AC780" s="9"/>
      <c r="AD780" s="9"/>
      <c r="AE780" s="9"/>
      <c r="AI780" s="26"/>
      <c r="AJ780" s="26"/>
      <c r="AK780" s="32"/>
      <c r="AL780" s="32"/>
      <c r="AM780" s="26"/>
      <c r="AN780" s="26"/>
      <c r="AO780" s="26"/>
      <c r="AP780" s="9"/>
      <c r="AQ780" s="9"/>
      <c r="AR780" s="9"/>
      <c r="AV780" s="5"/>
      <c r="AW780" s="5"/>
      <c r="AX780" s="26"/>
      <c r="AY780" s="26"/>
      <c r="AZ780" s="32"/>
      <c r="BA780" s="32"/>
    </row>
    <row r="781" spans="10:53">
      <c r="J781" s="9"/>
      <c r="K781" s="9"/>
      <c r="T781" s="5"/>
      <c r="U781" s="5"/>
      <c r="V781" s="26"/>
      <c r="W781" s="26"/>
      <c r="X781" s="26"/>
      <c r="Y781" s="26"/>
      <c r="Z781" s="26"/>
      <c r="AA781" s="9"/>
      <c r="AC781" s="9"/>
      <c r="AD781" s="9"/>
      <c r="AE781" s="9"/>
      <c r="AI781" s="26"/>
      <c r="AJ781" s="26"/>
      <c r="AK781" s="32"/>
      <c r="AL781" s="32"/>
      <c r="AM781" s="26"/>
      <c r="AN781" s="26"/>
      <c r="AO781" s="26"/>
      <c r="AP781" s="9"/>
      <c r="AQ781" s="9"/>
      <c r="AR781" s="9"/>
      <c r="AV781" s="5"/>
      <c r="AW781" s="5"/>
      <c r="AX781" s="26"/>
      <c r="AY781" s="26"/>
      <c r="AZ781" s="32"/>
      <c r="BA781" s="32"/>
    </row>
    <row r="782" spans="10:53">
      <c r="J782" s="9"/>
      <c r="K782" s="9"/>
      <c r="T782" s="5"/>
      <c r="U782" s="5"/>
      <c r="V782" s="26"/>
      <c r="W782" s="26"/>
      <c r="X782" s="26"/>
      <c r="Y782" s="26"/>
      <c r="Z782" s="26"/>
      <c r="AA782" s="9"/>
      <c r="AC782" s="9"/>
      <c r="AD782" s="9"/>
      <c r="AE782" s="9"/>
      <c r="AI782" s="26"/>
      <c r="AJ782" s="26"/>
      <c r="AK782" s="32"/>
      <c r="AL782" s="32"/>
      <c r="AM782" s="26"/>
      <c r="AN782" s="26"/>
      <c r="AO782" s="26"/>
      <c r="AP782" s="9"/>
      <c r="AQ782" s="9"/>
      <c r="AR782" s="9"/>
      <c r="AV782" s="5"/>
      <c r="AW782" s="5"/>
      <c r="AX782" s="26"/>
      <c r="AY782" s="26"/>
      <c r="AZ782" s="32"/>
      <c r="BA782" s="32"/>
    </row>
    <row r="783" spans="10:53">
      <c r="J783" s="9"/>
      <c r="K783" s="9"/>
      <c r="T783" s="5"/>
      <c r="U783" s="5"/>
      <c r="V783" s="26"/>
      <c r="W783" s="26"/>
      <c r="X783" s="26"/>
      <c r="Y783" s="26"/>
      <c r="Z783" s="26"/>
      <c r="AA783" s="9"/>
      <c r="AC783" s="9"/>
      <c r="AD783" s="9"/>
      <c r="AE783" s="9"/>
      <c r="AI783" s="26"/>
      <c r="AJ783" s="26"/>
      <c r="AK783" s="32"/>
      <c r="AL783" s="32"/>
      <c r="AM783" s="26"/>
      <c r="AN783" s="26"/>
      <c r="AO783" s="26"/>
      <c r="AP783" s="9"/>
      <c r="AQ783" s="9"/>
      <c r="AR783" s="9"/>
      <c r="AV783" s="5"/>
      <c r="AW783" s="5"/>
      <c r="AX783" s="26"/>
      <c r="AY783" s="26"/>
      <c r="AZ783" s="32"/>
      <c r="BA783" s="32"/>
    </row>
    <row r="784" spans="10:53">
      <c r="J784" s="9"/>
      <c r="K784" s="9"/>
      <c r="T784" s="5"/>
      <c r="U784" s="5"/>
      <c r="V784" s="26"/>
      <c r="W784" s="26"/>
      <c r="X784" s="26"/>
      <c r="Y784" s="26"/>
      <c r="Z784" s="26"/>
      <c r="AA784" s="9"/>
      <c r="AC784" s="9"/>
      <c r="AD784" s="9"/>
      <c r="AE784" s="9"/>
      <c r="AI784" s="26"/>
      <c r="AJ784" s="26"/>
      <c r="AK784" s="32"/>
      <c r="AL784" s="32"/>
      <c r="AM784" s="26"/>
      <c r="AN784" s="26"/>
      <c r="AO784" s="26"/>
      <c r="AP784" s="9"/>
      <c r="AQ784" s="9"/>
      <c r="AR784" s="9"/>
      <c r="AV784" s="5"/>
      <c r="AW784" s="5"/>
      <c r="AX784" s="26"/>
      <c r="AY784" s="26"/>
      <c r="AZ784" s="32"/>
      <c r="BA784" s="32"/>
    </row>
    <row r="785" spans="10:53">
      <c r="J785" s="9"/>
      <c r="K785" s="9"/>
      <c r="T785" s="5"/>
      <c r="U785" s="5"/>
      <c r="V785" s="26"/>
      <c r="W785" s="26"/>
      <c r="X785" s="26"/>
      <c r="Y785" s="26"/>
      <c r="Z785" s="26"/>
      <c r="AA785" s="9"/>
      <c r="AC785" s="9"/>
      <c r="AD785" s="9"/>
      <c r="AE785" s="9"/>
      <c r="AI785" s="26"/>
      <c r="AJ785" s="26"/>
      <c r="AK785" s="32"/>
      <c r="AL785" s="32"/>
      <c r="AM785" s="26"/>
      <c r="AN785" s="26"/>
      <c r="AO785" s="26"/>
      <c r="AP785" s="9"/>
      <c r="AQ785" s="9"/>
      <c r="AR785" s="9"/>
      <c r="AV785" s="5"/>
      <c r="AW785" s="5"/>
      <c r="AX785" s="26"/>
      <c r="AY785" s="26"/>
      <c r="AZ785" s="32"/>
      <c r="BA785" s="32"/>
    </row>
    <row r="786" spans="10:53">
      <c r="J786" s="9"/>
      <c r="K786" s="9"/>
      <c r="T786" s="5"/>
      <c r="U786" s="5"/>
      <c r="V786" s="26"/>
      <c r="W786" s="26"/>
      <c r="X786" s="26"/>
      <c r="Y786" s="26"/>
      <c r="Z786" s="26"/>
      <c r="AA786" s="9"/>
      <c r="AC786" s="9"/>
      <c r="AD786" s="9"/>
      <c r="AE786" s="9"/>
      <c r="AI786" s="26"/>
      <c r="AJ786" s="26"/>
      <c r="AK786" s="32"/>
      <c r="AL786" s="32"/>
      <c r="AM786" s="26"/>
      <c r="AN786" s="26"/>
      <c r="AO786" s="26"/>
      <c r="AP786" s="9"/>
      <c r="AQ786" s="9"/>
      <c r="AR786" s="9"/>
      <c r="AV786" s="5"/>
      <c r="AW786" s="5"/>
      <c r="AX786" s="26"/>
      <c r="AY786" s="26"/>
      <c r="AZ786" s="32"/>
      <c r="BA786" s="32"/>
    </row>
    <row r="787" spans="10:53">
      <c r="J787" s="9"/>
      <c r="K787" s="9"/>
      <c r="T787" s="5"/>
      <c r="U787" s="5"/>
      <c r="V787" s="26"/>
      <c r="W787" s="26"/>
      <c r="X787" s="26"/>
      <c r="Y787" s="26"/>
      <c r="Z787" s="26"/>
      <c r="AA787" s="9"/>
      <c r="AC787" s="9"/>
      <c r="AD787" s="9"/>
      <c r="AE787" s="9"/>
      <c r="AI787" s="26"/>
      <c r="AJ787" s="26"/>
      <c r="AK787" s="32"/>
      <c r="AL787" s="32"/>
      <c r="AM787" s="26"/>
      <c r="AN787" s="26"/>
      <c r="AO787" s="26"/>
      <c r="AP787" s="9"/>
      <c r="AQ787" s="9"/>
      <c r="AR787" s="9"/>
      <c r="AV787" s="5"/>
      <c r="AW787" s="5"/>
      <c r="AX787" s="26"/>
      <c r="AY787" s="26"/>
      <c r="AZ787" s="32"/>
      <c r="BA787" s="32"/>
    </row>
    <row r="788" spans="10:53">
      <c r="J788" s="9"/>
      <c r="K788" s="9"/>
      <c r="T788" s="5"/>
      <c r="U788" s="5"/>
      <c r="V788" s="26"/>
      <c r="W788" s="26"/>
      <c r="X788" s="26"/>
      <c r="Y788" s="26"/>
      <c r="Z788" s="26"/>
      <c r="AA788" s="9"/>
      <c r="AC788" s="9"/>
      <c r="AD788" s="9"/>
      <c r="AE788" s="9"/>
      <c r="AI788" s="26"/>
      <c r="AJ788" s="26"/>
      <c r="AK788" s="32"/>
      <c r="AL788" s="32"/>
      <c r="AM788" s="26"/>
      <c r="AN788" s="26"/>
      <c r="AO788" s="26"/>
      <c r="AP788" s="9"/>
      <c r="AQ788" s="9"/>
      <c r="AR788" s="9"/>
      <c r="AV788" s="5"/>
      <c r="AW788" s="5"/>
      <c r="AX788" s="26"/>
      <c r="AY788" s="26"/>
      <c r="AZ788" s="32"/>
      <c r="BA788" s="32"/>
    </row>
    <row r="789" spans="10:53">
      <c r="J789" s="9"/>
      <c r="K789" s="9"/>
      <c r="T789" s="5"/>
      <c r="U789" s="5"/>
      <c r="V789" s="26"/>
      <c r="W789" s="26"/>
      <c r="X789" s="26"/>
      <c r="Y789" s="26"/>
      <c r="Z789" s="26"/>
      <c r="AA789" s="9"/>
      <c r="AC789" s="9"/>
      <c r="AD789" s="9"/>
      <c r="AE789" s="9"/>
      <c r="AI789" s="26"/>
      <c r="AJ789" s="26"/>
      <c r="AK789" s="32"/>
      <c r="AL789" s="32"/>
      <c r="AM789" s="26"/>
      <c r="AN789" s="26"/>
      <c r="AO789" s="26"/>
      <c r="AP789" s="9"/>
      <c r="AQ789" s="9"/>
      <c r="AR789" s="9"/>
      <c r="AV789" s="5"/>
      <c r="AW789" s="5"/>
      <c r="AX789" s="26"/>
      <c r="AY789" s="26"/>
      <c r="AZ789" s="32"/>
      <c r="BA789" s="32"/>
    </row>
    <row r="790" spans="10:53">
      <c r="J790" s="9"/>
      <c r="K790" s="9"/>
      <c r="T790" s="5"/>
      <c r="U790" s="5"/>
      <c r="V790" s="26"/>
      <c r="W790" s="26"/>
      <c r="X790" s="26"/>
      <c r="Y790" s="26"/>
      <c r="Z790" s="26"/>
      <c r="AA790" s="9"/>
      <c r="AC790" s="9"/>
      <c r="AD790" s="9"/>
      <c r="AE790" s="9"/>
      <c r="AI790" s="26"/>
      <c r="AJ790" s="26"/>
      <c r="AK790" s="32"/>
      <c r="AL790" s="32"/>
      <c r="AM790" s="26"/>
      <c r="AN790" s="26"/>
      <c r="AO790" s="26"/>
      <c r="AP790" s="9"/>
      <c r="AQ790" s="9"/>
      <c r="AR790" s="9"/>
      <c r="AV790" s="5"/>
      <c r="AW790" s="5"/>
      <c r="AX790" s="26"/>
      <c r="AY790" s="26"/>
      <c r="AZ790" s="32"/>
      <c r="BA790" s="32"/>
    </row>
    <row r="791" spans="10:53">
      <c r="J791" s="9"/>
      <c r="K791" s="9"/>
      <c r="T791" s="5"/>
      <c r="U791" s="5"/>
      <c r="V791" s="26"/>
      <c r="W791" s="26"/>
      <c r="X791" s="26"/>
      <c r="Y791" s="26"/>
      <c r="Z791" s="26"/>
      <c r="AA791" s="9"/>
      <c r="AC791" s="9"/>
      <c r="AD791" s="9"/>
      <c r="AE791" s="9"/>
      <c r="AI791" s="26"/>
      <c r="AJ791" s="26"/>
      <c r="AK791" s="32"/>
      <c r="AL791" s="32"/>
      <c r="AM791" s="26"/>
      <c r="AN791" s="26"/>
      <c r="AO791" s="26"/>
      <c r="AP791" s="9"/>
      <c r="AQ791" s="9"/>
      <c r="AR791" s="9"/>
      <c r="AV791" s="5"/>
      <c r="AW791" s="5"/>
      <c r="AX791" s="26"/>
      <c r="AY791" s="26"/>
      <c r="AZ791" s="32"/>
      <c r="BA791" s="32"/>
    </row>
    <row r="792" spans="10:53">
      <c r="J792" s="9"/>
      <c r="K792" s="9"/>
      <c r="T792" s="5"/>
      <c r="U792" s="5"/>
      <c r="V792" s="26"/>
      <c r="W792" s="26"/>
      <c r="X792" s="26"/>
      <c r="Y792" s="26"/>
      <c r="Z792" s="26"/>
      <c r="AA792" s="9"/>
      <c r="AC792" s="9"/>
      <c r="AD792" s="9"/>
      <c r="AE792" s="9"/>
      <c r="AI792" s="26"/>
      <c r="AJ792" s="26"/>
      <c r="AK792" s="32"/>
      <c r="AL792" s="32"/>
      <c r="AM792" s="26"/>
      <c r="AN792" s="26"/>
      <c r="AO792" s="26"/>
      <c r="AP792" s="9"/>
      <c r="AQ792" s="9"/>
      <c r="AR792" s="9"/>
      <c r="AV792" s="5"/>
      <c r="AW792" s="5"/>
      <c r="AX792" s="26"/>
      <c r="AY792" s="26"/>
      <c r="AZ792" s="32"/>
      <c r="BA792" s="32"/>
    </row>
    <row r="793" spans="10:53">
      <c r="J793" s="9"/>
      <c r="K793" s="9"/>
      <c r="T793" s="5"/>
      <c r="U793" s="5"/>
      <c r="V793" s="26"/>
      <c r="W793" s="26"/>
      <c r="X793" s="26"/>
      <c r="Y793" s="26"/>
      <c r="Z793" s="26"/>
      <c r="AA793" s="9"/>
      <c r="AC793" s="9"/>
      <c r="AD793" s="9"/>
      <c r="AE793" s="9"/>
      <c r="AI793" s="26"/>
      <c r="AJ793" s="26"/>
      <c r="AK793" s="32"/>
      <c r="AL793" s="32"/>
      <c r="AM793" s="26"/>
      <c r="AN793" s="26"/>
      <c r="AO793" s="26"/>
      <c r="AP793" s="9"/>
      <c r="AQ793" s="9"/>
      <c r="AR793" s="9"/>
      <c r="AV793" s="5"/>
      <c r="AW793" s="5"/>
      <c r="AX793" s="26"/>
      <c r="AY793" s="26"/>
      <c r="AZ793" s="32"/>
      <c r="BA793" s="32"/>
    </row>
    <row r="794" spans="10:53">
      <c r="J794" s="9"/>
      <c r="K794" s="9"/>
      <c r="T794" s="5"/>
      <c r="U794" s="5"/>
      <c r="V794" s="26"/>
      <c r="W794" s="26"/>
      <c r="X794" s="26"/>
      <c r="Y794" s="26"/>
      <c r="Z794" s="26"/>
      <c r="AA794" s="9"/>
      <c r="AC794" s="9"/>
      <c r="AD794" s="9"/>
      <c r="AE794" s="9"/>
      <c r="AI794" s="26"/>
      <c r="AJ794" s="26"/>
      <c r="AK794" s="32"/>
      <c r="AL794" s="32"/>
      <c r="AM794" s="26"/>
      <c r="AN794" s="26"/>
      <c r="AO794" s="26"/>
      <c r="AP794" s="9"/>
      <c r="AQ794" s="9"/>
      <c r="AR794" s="9"/>
      <c r="AV794" s="5"/>
      <c r="AW794" s="5"/>
      <c r="AX794" s="26"/>
      <c r="AY794" s="26"/>
      <c r="AZ794" s="32"/>
      <c r="BA794" s="32"/>
    </row>
    <row r="795" spans="10:53">
      <c r="J795" s="9"/>
      <c r="K795" s="9"/>
      <c r="T795" s="5"/>
      <c r="U795" s="5"/>
      <c r="V795" s="26"/>
      <c r="W795" s="26"/>
      <c r="X795" s="26"/>
      <c r="Y795" s="26"/>
      <c r="Z795" s="26"/>
      <c r="AA795" s="9"/>
      <c r="AC795" s="9"/>
      <c r="AD795" s="9"/>
      <c r="AE795" s="9"/>
      <c r="AI795" s="26"/>
      <c r="AJ795" s="26"/>
      <c r="AK795" s="32"/>
      <c r="AL795" s="32"/>
      <c r="AM795" s="26"/>
      <c r="AN795" s="26"/>
      <c r="AO795" s="26"/>
      <c r="AP795" s="9"/>
      <c r="AQ795" s="9"/>
      <c r="AR795" s="9"/>
      <c r="AV795" s="5"/>
      <c r="AW795" s="5"/>
      <c r="AX795" s="26"/>
      <c r="AY795" s="26"/>
      <c r="AZ795" s="32"/>
      <c r="BA795" s="32"/>
    </row>
    <row r="796" spans="10:53">
      <c r="J796" s="9"/>
      <c r="K796" s="9"/>
      <c r="T796" s="5"/>
      <c r="U796" s="5"/>
      <c r="V796" s="26"/>
      <c r="W796" s="26"/>
      <c r="X796" s="26"/>
      <c r="Y796" s="26"/>
      <c r="Z796" s="26"/>
      <c r="AA796" s="9"/>
      <c r="AC796" s="9"/>
      <c r="AD796" s="9"/>
      <c r="AE796" s="9"/>
      <c r="AI796" s="26"/>
      <c r="AJ796" s="26"/>
      <c r="AK796" s="32"/>
      <c r="AL796" s="32"/>
      <c r="AM796" s="26"/>
      <c r="AN796" s="26"/>
      <c r="AO796" s="26"/>
      <c r="AP796" s="9"/>
      <c r="AQ796" s="9"/>
      <c r="AR796" s="9"/>
      <c r="AV796" s="5"/>
      <c r="AW796" s="5"/>
      <c r="AX796" s="26"/>
      <c r="AY796" s="26"/>
      <c r="AZ796" s="32"/>
      <c r="BA796" s="32"/>
    </row>
    <row r="797" spans="10:53">
      <c r="J797" s="9"/>
      <c r="K797" s="9"/>
      <c r="T797" s="5"/>
      <c r="U797" s="5"/>
      <c r="V797" s="26"/>
      <c r="W797" s="26"/>
      <c r="X797" s="26"/>
      <c r="Y797" s="26"/>
      <c r="Z797" s="26"/>
      <c r="AA797" s="9"/>
      <c r="AC797" s="9"/>
      <c r="AD797" s="9"/>
      <c r="AE797" s="9"/>
      <c r="AI797" s="26"/>
      <c r="AJ797" s="26"/>
      <c r="AK797" s="32"/>
      <c r="AL797" s="32"/>
      <c r="AM797" s="26"/>
      <c r="AN797" s="26"/>
      <c r="AO797" s="26"/>
      <c r="AP797" s="9"/>
      <c r="AQ797" s="9"/>
      <c r="AR797" s="9"/>
      <c r="AV797" s="5"/>
      <c r="AW797" s="5"/>
      <c r="AX797" s="26"/>
      <c r="AY797" s="26"/>
      <c r="AZ797" s="32"/>
      <c r="BA797" s="32"/>
    </row>
    <row r="798" spans="10:53">
      <c r="J798" s="9"/>
      <c r="K798" s="9"/>
      <c r="T798" s="5"/>
      <c r="U798" s="5"/>
      <c r="V798" s="26"/>
      <c r="W798" s="26"/>
      <c r="X798" s="26"/>
      <c r="Y798" s="26"/>
      <c r="Z798" s="26"/>
      <c r="AA798" s="9"/>
      <c r="AC798" s="9"/>
      <c r="AD798" s="9"/>
      <c r="AE798" s="9"/>
      <c r="AI798" s="26"/>
      <c r="AJ798" s="26"/>
      <c r="AK798" s="32"/>
      <c r="AL798" s="32"/>
      <c r="AM798" s="26"/>
      <c r="AN798" s="26"/>
      <c r="AO798" s="26"/>
      <c r="AP798" s="9"/>
      <c r="AQ798" s="9"/>
      <c r="AR798" s="9"/>
      <c r="AV798" s="5"/>
      <c r="AW798" s="5"/>
      <c r="AX798" s="26"/>
      <c r="AY798" s="26"/>
      <c r="AZ798" s="32"/>
      <c r="BA798" s="32"/>
    </row>
    <row r="799" spans="10:53">
      <c r="J799" s="9"/>
      <c r="K799" s="9"/>
      <c r="T799" s="5"/>
      <c r="U799" s="5"/>
      <c r="V799" s="26"/>
      <c r="W799" s="26"/>
      <c r="X799" s="26"/>
      <c r="Y799" s="26"/>
      <c r="Z799" s="26"/>
      <c r="AA799" s="9"/>
      <c r="AC799" s="9"/>
      <c r="AD799" s="9"/>
      <c r="AE799" s="9"/>
      <c r="AI799" s="26"/>
      <c r="AJ799" s="26"/>
      <c r="AK799" s="32"/>
      <c r="AL799" s="32"/>
      <c r="AM799" s="26"/>
      <c r="AN799" s="26"/>
      <c r="AO799" s="26"/>
      <c r="AP799" s="9"/>
      <c r="AQ799" s="9"/>
      <c r="AR799" s="9"/>
      <c r="AV799" s="5"/>
      <c r="AW799" s="5"/>
      <c r="AX799" s="26"/>
      <c r="AY799" s="26"/>
      <c r="AZ799" s="32"/>
      <c r="BA799" s="32"/>
    </row>
    <row r="800" spans="10:53">
      <c r="J800" s="9"/>
      <c r="K800" s="9"/>
      <c r="T800" s="5"/>
      <c r="U800" s="5"/>
      <c r="V800" s="26"/>
      <c r="W800" s="26"/>
      <c r="X800" s="26"/>
      <c r="Y800" s="26"/>
      <c r="Z800" s="26"/>
      <c r="AA800" s="9"/>
      <c r="AC800" s="9"/>
      <c r="AD800" s="9"/>
      <c r="AE800" s="9"/>
      <c r="AI800" s="26"/>
      <c r="AJ800" s="26"/>
      <c r="AK800" s="32"/>
      <c r="AL800" s="32"/>
      <c r="AM800" s="26"/>
      <c r="AN800" s="26"/>
      <c r="AO800" s="26"/>
      <c r="AP800" s="9"/>
      <c r="AQ800" s="9"/>
      <c r="AR800" s="9"/>
      <c r="AV800" s="5"/>
      <c r="AW800" s="5"/>
      <c r="AX800" s="26"/>
      <c r="AY800" s="26"/>
      <c r="AZ800" s="32"/>
      <c r="BA800" s="32"/>
    </row>
    <row r="801" spans="10:53">
      <c r="J801" s="9"/>
      <c r="K801" s="9"/>
      <c r="T801" s="5"/>
      <c r="U801" s="5"/>
      <c r="V801" s="26"/>
      <c r="W801" s="26"/>
      <c r="X801" s="26"/>
      <c r="Y801" s="26"/>
      <c r="Z801" s="26"/>
      <c r="AA801" s="9"/>
      <c r="AC801" s="9"/>
      <c r="AD801" s="9"/>
      <c r="AE801" s="9"/>
      <c r="AI801" s="26"/>
      <c r="AJ801" s="26"/>
      <c r="AK801" s="32"/>
      <c r="AL801" s="32"/>
      <c r="AM801" s="26"/>
      <c r="AN801" s="26"/>
      <c r="AO801" s="26"/>
      <c r="AP801" s="9"/>
      <c r="AQ801" s="9"/>
      <c r="AR801" s="9"/>
      <c r="AV801" s="5"/>
      <c r="AW801" s="5"/>
      <c r="AX801" s="26"/>
      <c r="AY801" s="26"/>
      <c r="AZ801" s="32"/>
      <c r="BA801" s="32"/>
    </row>
    <row r="802" spans="10:53">
      <c r="J802" s="9"/>
      <c r="K802" s="9"/>
      <c r="T802" s="5"/>
      <c r="U802" s="5"/>
      <c r="V802" s="26"/>
      <c r="W802" s="26"/>
      <c r="X802" s="26"/>
      <c r="Y802" s="26"/>
      <c r="Z802" s="26"/>
      <c r="AA802" s="9"/>
      <c r="AC802" s="9"/>
      <c r="AD802" s="9"/>
      <c r="AE802" s="9"/>
      <c r="AI802" s="26"/>
      <c r="AJ802" s="26"/>
      <c r="AK802" s="32"/>
      <c r="AL802" s="32"/>
      <c r="AM802" s="26"/>
      <c r="AN802" s="26"/>
      <c r="AO802" s="26"/>
      <c r="AP802" s="9"/>
      <c r="AQ802" s="9"/>
      <c r="AR802" s="9"/>
      <c r="AV802" s="5"/>
      <c r="AW802" s="5"/>
      <c r="AX802" s="26"/>
      <c r="AY802" s="26"/>
      <c r="AZ802" s="32"/>
      <c r="BA802" s="32"/>
    </row>
    <row r="803" spans="10:53">
      <c r="J803" s="9"/>
      <c r="K803" s="9"/>
      <c r="T803" s="5"/>
      <c r="U803" s="5"/>
      <c r="V803" s="26"/>
      <c r="W803" s="26"/>
      <c r="X803" s="26"/>
      <c r="Y803" s="26"/>
      <c r="Z803" s="26"/>
      <c r="AA803" s="9"/>
      <c r="AC803" s="9"/>
      <c r="AD803" s="9"/>
      <c r="AE803" s="9"/>
      <c r="AI803" s="26"/>
      <c r="AJ803" s="26"/>
      <c r="AK803" s="32"/>
      <c r="AL803" s="32"/>
      <c r="AM803" s="26"/>
      <c r="AN803" s="26"/>
      <c r="AO803" s="26"/>
      <c r="AP803" s="9"/>
      <c r="AQ803" s="9"/>
      <c r="AR803" s="9"/>
      <c r="AV803" s="5"/>
      <c r="AW803" s="5"/>
      <c r="AX803" s="26"/>
      <c r="AY803" s="26"/>
      <c r="AZ803" s="32"/>
      <c r="BA803" s="32"/>
    </row>
    <row r="804" spans="10:53">
      <c r="J804" s="9"/>
      <c r="K804" s="9"/>
      <c r="T804" s="5"/>
      <c r="U804" s="5"/>
      <c r="V804" s="26"/>
      <c r="W804" s="26"/>
      <c r="X804" s="26"/>
      <c r="Y804" s="26"/>
      <c r="Z804" s="26"/>
      <c r="AA804" s="9"/>
      <c r="AC804" s="9"/>
      <c r="AD804" s="9"/>
      <c r="AE804" s="9"/>
      <c r="AI804" s="26"/>
      <c r="AJ804" s="26"/>
      <c r="AK804" s="32"/>
      <c r="AL804" s="32"/>
      <c r="AM804" s="26"/>
      <c r="AN804" s="26"/>
      <c r="AO804" s="26"/>
      <c r="AP804" s="9"/>
      <c r="AQ804" s="9"/>
      <c r="AR804" s="9"/>
      <c r="AV804" s="5"/>
      <c r="AW804" s="5"/>
      <c r="AX804" s="26"/>
      <c r="AY804" s="26"/>
      <c r="AZ804" s="32"/>
      <c r="BA804" s="32"/>
    </row>
    <row r="805" spans="10:53">
      <c r="J805" s="9"/>
      <c r="K805" s="9"/>
      <c r="T805" s="5"/>
      <c r="U805" s="5"/>
      <c r="V805" s="26"/>
      <c r="W805" s="26"/>
      <c r="X805" s="26"/>
      <c r="Y805" s="26"/>
      <c r="Z805" s="26"/>
      <c r="AA805" s="9"/>
      <c r="AC805" s="9"/>
      <c r="AD805" s="9"/>
      <c r="AE805" s="9"/>
      <c r="AI805" s="26"/>
      <c r="AJ805" s="26"/>
      <c r="AK805" s="32"/>
      <c r="AL805" s="32"/>
      <c r="AM805" s="26"/>
      <c r="AN805" s="26"/>
      <c r="AO805" s="26"/>
      <c r="AP805" s="9"/>
      <c r="AQ805" s="9"/>
      <c r="AR805" s="9"/>
      <c r="AV805" s="5"/>
      <c r="AW805" s="5"/>
      <c r="AX805" s="26"/>
      <c r="AY805" s="26"/>
      <c r="AZ805" s="32"/>
      <c r="BA805" s="32"/>
    </row>
    <row r="806" spans="10:53">
      <c r="J806" s="9"/>
      <c r="K806" s="9"/>
      <c r="T806" s="5"/>
      <c r="U806" s="5"/>
      <c r="V806" s="26"/>
      <c r="W806" s="26"/>
      <c r="X806" s="26"/>
      <c r="Y806" s="26"/>
      <c r="Z806" s="26"/>
      <c r="AA806" s="9"/>
      <c r="AC806" s="9"/>
      <c r="AD806" s="9"/>
      <c r="AE806" s="9"/>
      <c r="AI806" s="26"/>
      <c r="AJ806" s="26"/>
      <c r="AK806" s="32"/>
      <c r="AL806" s="32"/>
      <c r="AM806" s="26"/>
      <c r="AN806" s="26"/>
      <c r="AO806" s="26"/>
      <c r="AP806" s="9"/>
      <c r="AQ806" s="9"/>
      <c r="AR806" s="9"/>
      <c r="AV806" s="5"/>
      <c r="AW806" s="5"/>
      <c r="AX806" s="26"/>
      <c r="AY806" s="26"/>
      <c r="AZ806" s="32"/>
      <c r="BA806" s="32"/>
    </row>
    <row r="807" spans="10:53">
      <c r="J807" s="9"/>
      <c r="K807" s="9"/>
      <c r="T807" s="5"/>
      <c r="U807" s="5"/>
      <c r="V807" s="26"/>
      <c r="W807" s="26"/>
      <c r="X807" s="26"/>
      <c r="Y807" s="26"/>
      <c r="Z807" s="26"/>
      <c r="AA807" s="9"/>
      <c r="AC807" s="9"/>
      <c r="AD807" s="9"/>
      <c r="AE807" s="9"/>
      <c r="AI807" s="26"/>
      <c r="AJ807" s="26"/>
      <c r="AK807" s="32"/>
      <c r="AL807" s="32"/>
      <c r="AM807" s="26"/>
      <c r="AN807" s="26"/>
      <c r="AO807" s="26"/>
      <c r="AP807" s="9"/>
      <c r="AQ807" s="9"/>
      <c r="AR807" s="9"/>
      <c r="AV807" s="5"/>
      <c r="AW807" s="5"/>
      <c r="AX807" s="26"/>
      <c r="AY807" s="26"/>
      <c r="AZ807" s="32"/>
      <c r="BA807" s="32"/>
    </row>
    <row r="808" spans="10:53">
      <c r="J808" s="9"/>
      <c r="K808" s="9"/>
      <c r="T808" s="5"/>
      <c r="U808" s="5"/>
      <c r="V808" s="26"/>
      <c r="W808" s="26"/>
      <c r="X808" s="26"/>
      <c r="Y808" s="26"/>
      <c r="Z808" s="26"/>
      <c r="AA808" s="9"/>
      <c r="AC808" s="9"/>
      <c r="AD808" s="9"/>
      <c r="AE808" s="9"/>
      <c r="AI808" s="26"/>
      <c r="AJ808" s="26"/>
      <c r="AK808" s="32"/>
      <c r="AL808" s="32"/>
      <c r="AM808" s="26"/>
      <c r="AN808" s="26"/>
      <c r="AO808" s="26"/>
      <c r="AP808" s="9"/>
      <c r="AQ808" s="9"/>
      <c r="AR808" s="9"/>
      <c r="AV808" s="5"/>
      <c r="AW808" s="5"/>
      <c r="AX808" s="26"/>
      <c r="AY808" s="26"/>
      <c r="AZ808" s="32"/>
      <c r="BA808" s="32"/>
    </row>
    <row r="809" spans="10:53">
      <c r="J809" s="9"/>
      <c r="K809" s="9"/>
      <c r="T809" s="5"/>
      <c r="U809" s="5"/>
      <c r="V809" s="26"/>
      <c r="W809" s="26"/>
      <c r="X809" s="26"/>
      <c r="Y809" s="26"/>
      <c r="Z809" s="26"/>
      <c r="AA809" s="9"/>
      <c r="AC809" s="9"/>
      <c r="AD809" s="9"/>
      <c r="AE809" s="9"/>
      <c r="AI809" s="26"/>
      <c r="AJ809" s="26"/>
      <c r="AK809" s="32"/>
      <c r="AL809" s="32"/>
      <c r="AM809" s="26"/>
      <c r="AN809" s="26"/>
      <c r="AO809" s="26"/>
      <c r="AP809" s="9"/>
      <c r="AQ809" s="9"/>
      <c r="AR809" s="9"/>
      <c r="AV809" s="5"/>
      <c r="AW809" s="5"/>
      <c r="AX809" s="26"/>
      <c r="AY809" s="26"/>
      <c r="AZ809" s="32"/>
      <c r="BA809" s="32"/>
    </row>
    <row r="810" spans="10:53">
      <c r="J810" s="9"/>
      <c r="K810" s="9"/>
      <c r="T810" s="5"/>
      <c r="U810" s="5"/>
      <c r="V810" s="26"/>
      <c r="W810" s="26"/>
      <c r="X810" s="26"/>
      <c r="Y810" s="26"/>
      <c r="Z810" s="26"/>
      <c r="AA810" s="9"/>
      <c r="AC810" s="9"/>
      <c r="AD810" s="9"/>
      <c r="AE810" s="9"/>
      <c r="AI810" s="26"/>
      <c r="AJ810" s="26"/>
      <c r="AK810" s="32"/>
      <c r="AL810" s="32"/>
      <c r="AM810" s="26"/>
      <c r="AN810" s="26"/>
      <c r="AO810" s="26"/>
      <c r="AP810" s="9"/>
      <c r="AQ810" s="9"/>
      <c r="AR810" s="9"/>
      <c r="AV810" s="5"/>
      <c r="AW810" s="5"/>
      <c r="AX810" s="26"/>
      <c r="AY810" s="26"/>
      <c r="AZ810" s="32"/>
      <c r="BA810" s="32"/>
    </row>
    <row r="811" spans="10:53">
      <c r="J811" s="9"/>
      <c r="K811" s="9"/>
      <c r="T811" s="5"/>
      <c r="U811" s="5"/>
      <c r="V811" s="26"/>
      <c r="W811" s="26"/>
      <c r="X811" s="26"/>
      <c r="Y811" s="26"/>
      <c r="Z811" s="26"/>
      <c r="AA811" s="9"/>
      <c r="AC811" s="9"/>
      <c r="AD811" s="9"/>
      <c r="AE811" s="9"/>
      <c r="AI811" s="26"/>
      <c r="AJ811" s="26"/>
      <c r="AK811" s="32"/>
      <c r="AL811" s="32"/>
      <c r="AM811" s="26"/>
      <c r="AN811" s="26"/>
      <c r="AO811" s="26"/>
      <c r="AP811" s="9"/>
      <c r="AQ811" s="9"/>
      <c r="AR811" s="9"/>
      <c r="AV811" s="5"/>
      <c r="AW811" s="5"/>
      <c r="AX811" s="26"/>
      <c r="AY811" s="26"/>
      <c r="AZ811" s="32"/>
      <c r="BA811" s="32"/>
    </row>
    <row r="812" spans="10:53">
      <c r="J812" s="9"/>
      <c r="K812" s="9"/>
      <c r="T812" s="5"/>
      <c r="U812" s="5"/>
      <c r="V812" s="26"/>
      <c r="W812" s="26"/>
      <c r="X812" s="26"/>
      <c r="Y812" s="26"/>
      <c r="Z812" s="26"/>
      <c r="AA812" s="9"/>
      <c r="AC812" s="9"/>
      <c r="AD812" s="9"/>
      <c r="AE812" s="9"/>
      <c r="AI812" s="26"/>
      <c r="AJ812" s="26"/>
      <c r="AK812" s="32"/>
      <c r="AL812" s="32"/>
      <c r="AM812" s="26"/>
      <c r="AN812" s="26"/>
      <c r="AO812" s="26"/>
      <c r="AP812" s="9"/>
      <c r="AQ812" s="9"/>
      <c r="AR812" s="9"/>
      <c r="AV812" s="5"/>
      <c r="AW812" s="5"/>
      <c r="AX812" s="26"/>
      <c r="AY812" s="26"/>
      <c r="AZ812" s="32"/>
      <c r="BA812" s="32"/>
    </row>
    <row r="813" spans="10:53">
      <c r="J813" s="9"/>
      <c r="K813" s="9"/>
      <c r="T813" s="5"/>
      <c r="U813" s="5"/>
      <c r="V813" s="26"/>
      <c r="W813" s="26"/>
      <c r="X813" s="26"/>
      <c r="Y813" s="26"/>
      <c r="Z813" s="26"/>
      <c r="AA813" s="9"/>
      <c r="AC813" s="9"/>
      <c r="AD813" s="9"/>
      <c r="AE813" s="9"/>
      <c r="AI813" s="26"/>
      <c r="AJ813" s="26"/>
      <c r="AK813" s="32"/>
      <c r="AL813" s="32"/>
      <c r="AM813" s="26"/>
      <c r="AN813" s="26"/>
      <c r="AO813" s="26"/>
      <c r="AP813" s="9"/>
      <c r="AQ813" s="9"/>
      <c r="AR813" s="9"/>
      <c r="AV813" s="5"/>
      <c r="AW813" s="5"/>
      <c r="AX813" s="26"/>
      <c r="AY813" s="26"/>
      <c r="AZ813" s="32"/>
      <c r="BA813" s="32"/>
    </row>
    <row r="814" spans="10:53">
      <c r="J814" s="9"/>
      <c r="K814" s="9"/>
      <c r="T814" s="5"/>
      <c r="U814" s="5"/>
      <c r="V814" s="26"/>
      <c r="W814" s="26"/>
      <c r="X814" s="26"/>
      <c r="Y814" s="26"/>
      <c r="Z814" s="26"/>
      <c r="AA814" s="9"/>
      <c r="AC814" s="9"/>
      <c r="AD814" s="9"/>
      <c r="AE814" s="9"/>
      <c r="AI814" s="26"/>
      <c r="AJ814" s="26"/>
      <c r="AK814" s="32"/>
      <c r="AL814" s="32"/>
      <c r="AM814" s="26"/>
      <c r="AN814" s="26"/>
      <c r="AO814" s="26"/>
      <c r="AP814" s="9"/>
      <c r="AQ814" s="9"/>
      <c r="AR814" s="9"/>
      <c r="AV814" s="5"/>
      <c r="AW814" s="5"/>
      <c r="AX814" s="26"/>
      <c r="AY814" s="26"/>
      <c r="AZ814" s="32"/>
      <c r="BA814" s="32"/>
    </row>
    <row r="815" spans="10:53">
      <c r="J815" s="9"/>
      <c r="K815" s="9"/>
      <c r="T815" s="5"/>
      <c r="U815" s="5"/>
      <c r="V815" s="26"/>
      <c r="W815" s="26"/>
      <c r="X815" s="26"/>
      <c r="Y815" s="26"/>
      <c r="Z815" s="26"/>
      <c r="AA815" s="9"/>
      <c r="AC815" s="9"/>
      <c r="AD815" s="9"/>
      <c r="AE815" s="9"/>
      <c r="AI815" s="26"/>
      <c r="AJ815" s="26"/>
      <c r="AK815" s="32"/>
      <c r="AL815" s="32"/>
      <c r="AM815" s="26"/>
      <c r="AN815" s="26"/>
      <c r="AO815" s="26"/>
      <c r="AP815" s="9"/>
      <c r="AQ815" s="9"/>
      <c r="AR815" s="9"/>
      <c r="AV815" s="5"/>
      <c r="AW815" s="5"/>
      <c r="AX815" s="26"/>
      <c r="AY815" s="26"/>
      <c r="AZ815" s="32"/>
      <c r="BA815" s="32"/>
    </row>
    <row r="816" spans="10:53">
      <c r="J816" s="9"/>
      <c r="K816" s="9"/>
      <c r="T816" s="5"/>
      <c r="U816" s="5"/>
      <c r="V816" s="26"/>
      <c r="W816" s="26"/>
      <c r="X816" s="26"/>
      <c r="Y816" s="26"/>
      <c r="Z816" s="26"/>
      <c r="AA816" s="9"/>
      <c r="AC816" s="9"/>
      <c r="AD816" s="9"/>
      <c r="AE816" s="9"/>
      <c r="AI816" s="26"/>
      <c r="AJ816" s="26"/>
      <c r="AK816" s="32"/>
      <c r="AL816" s="32"/>
      <c r="AM816" s="26"/>
      <c r="AN816" s="26"/>
      <c r="AO816" s="26"/>
      <c r="AP816" s="9"/>
      <c r="AQ816" s="9"/>
      <c r="AR816" s="9"/>
      <c r="AV816" s="5"/>
      <c r="AW816" s="5"/>
      <c r="AX816" s="26"/>
      <c r="AY816" s="26"/>
      <c r="AZ816" s="32"/>
      <c r="BA816" s="32"/>
    </row>
    <row r="817" spans="10:53">
      <c r="J817" s="9"/>
      <c r="K817" s="9"/>
      <c r="T817" s="5"/>
      <c r="U817" s="5"/>
      <c r="V817" s="26"/>
      <c r="W817" s="26"/>
      <c r="X817" s="26"/>
      <c r="Y817" s="26"/>
      <c r="Z817" s="26"/>
      <c r="AA817" s="9"/>
      <c r="AC817" s="9"/>
      <c r="AD817" s="9"/>
      <c r="AE817" s="9"/>
      <c r="AI817" s="26"/>
      <c r="AJ817" s="26"/>
      <c r="AK817" s="32"/>
      <c r="AL817" s="32"/>
      <c r="AM817" s="26"/>
      <c r="AN817" s="26"/>
      <c r="AO817" s="26"/>
      <c r="AP817" s="9"/>
      <c r="AQ817" s="9"/>
      <c r="AR817" s="9"/>
      <c r="AV817" s="5"/>
      <c r="AW817" s="5"/>
      <c r="AX817" s="26"/>
      <c r="AY817" s="26"/>
      <c r="AZ817" s="32"/>
      <c r="BA817" s="32"/>
    </row>
    <row r="818" spans="10:53">
      <c r="J818" s="9"/>
      <c r="K818" s="9"/>
      <c r="T818" s="5"/>
      <c r="U818" s="5"/>
      <c r="V818" s="26"/>
      <c r="W818" s="26"/>
      <c r="X818" s="26"/>
      <c r="Y818" s="26"/>
      <c r="Z818" s="26"/>
      <c r="AA818" s="9"/>
      <c r="AC818" s="9"/>
      <c r="AD818" s="9"/>
      <c r="AE818" s="9"/>
      <c r="AI818" s="26"/>
      <c r="AJ818" s="26"/>
      <c r="AK818" s="32"/>
      <c r="AL818" s="32"/>
      <c r="AM818" s="26"/>
      <c r="AN818" s="26"/>
      <c r="AO818" s="26"/>
      <c r="AP818" s="9"/>
      <c r="AQ818" s="9"/>
      <c r="AR818" s="9"/>
      <c r="AV818" s="5"/>
      <c r="AW818" s="5"/>
      <c r="AX818" s="26"/>
      <c r="AY818" s="26"/>
      <c r="AZ818" s="32"/>
      <c r="BA818" s="32"/>
    </row>
    <row r="819" spans="10:53">
      <c r="J819" s="9"/>
      <c r="K819" s="9"/>
      <c r="T819" s="5"/>
      <c r="U819" s="5"/>
      <c r="V819" s="26"/>
      <c r="W819" s="26"/>
      <c r="X819" s="26"/>
      <c r="Y819" s="26"/>
      <c r="Z819" s="26"/>
      <c r="AA819" s="9"/>
      <c r="AC819" s="9"/>
      <c r="AD819" s="9"/>
      <c r="AE819" s="9"/>
      <c r="AI819" s="26"/>
      <c r="AJ819" s="26"/>
      <c r="AK819" s="32"/>
      <c r="AL819" s="32"/>
      <c r="AM819" s="26"/>
      <c r="AN819" s="26"/>
      <c r="AO819" s="26"/>
      <c r="AP819" s="9"/>
      <c r="AQ819" s="9"/>
      <c r="AR819" s="9"/>
      <c r="AV819" s="5"/>
      <c r="AW819" s="5"/>
      <c r="AX819" s="26"/>
      <c r="AY819" s="26"/>
      <c r="AZ819" s="32"/>
      <c r="BA819" s="32"/>
    </row>
    <row r="820" spans="10:53">
      <c r="J820" s="9"/>
      <c r="K820" s="9"/>
      <c r="T820" s="5"/>
      <c r="U820" s="5"/>
      <c r="V820" s="26"/>
      <c r="W820" s="26"/>
      <c r="X820" s="26"/>
      <c r="Y820" s="26"/>
      <c r="Z820" s="26"/>
      <c r="AA820" s="9"/>
      <c r="AC820" s="9"/>
      <c r="AD820" s="9"/>
      <c r="AE820" s="9"/>
      <c r="AI820" s="26"/>
      <c r="AJ820" s="26"/>
      <c r="AK820" s="32"/>
      <c r="AL820" s="32"/>
      <c r="AM820" s="26"/>
      <c r="AN820" s="26"/>
      <c r="AO820" s="26"/>
      <c r="AP820" s="9"/>
      <c r="AQ820" s="9"/>
      <c r="AR820" s="9"/>
      <c r="AV820" s="5"/>
      <c r="AW820" s="5"/>
      <c r="AX820" s="26"/>
      <c r="AY820" s="26"/>
      <c r="AZ820" s="32"/>
      <c r="BA820" s="32"/>
    </row>
    <row r="821" spans="10:53">
      <c r="J821" s="9"/>
      <c r="K821" s="9"/>
      <c r="T821" s="5"/>
      <c r="U821" s="5"/>
      <c r="V821" s="26"/>
      <c r="W821" s="26"/>
      <c r="X821" s="26"/>
      <c r="Y821" s="26"/>
      <c r="Z821" s="26"/>
      <c r="AA821" s="9"/>
      <c r="AC821" s="9"/>
      <c r="AD821" s="9"/>
      <c r="AE821" s="9"/>
      <c r="AI821" s="26"/>
      <c r="AJ821" s="26"/>
      <c r="AK821" s="32"/>
      <c r="AL821" s="32"/>
      <c r="AM821" s="26"/>
      <c r="AN821" s="26"/>
      <c r="AO821" s="26"/>
      <c r="AP821" s="9"/>
      <c r="AQ821" s="9"/>
      <c r="AR821" s="9"/>
      <c r="AV821" s="5"/>
      <c r="AW821" s="5"/>
      <c r="AX821" s="26"/>
      <c r="AY821" s="26"/>
      <c r="AZ821" s="32"/>
      <c r="BA821" s="32"/>
    </row>
    <row r="822" spans="10:53">
      <c r="J822" s="9"/>
      <c r="K822" s="9"/>
      <c r="T822" s="5"/>
      <c r="U822" s="5"/>
      <c r="V822" s="26"/>
      <c r="W822" s="26"/>
      <c r="X822" s="26"/>
      <c r="Y822" s="26"/>
      <c r="Z822" s="26"/>
      <c r="AA822" s="9"/>
      <c r="AC822" s="9"/>
      <c r="AD822" s="9"/>
      <c r="AE822" s="9"/>
      <c r="AI822" s="26"/>
      <c r="AJ822" s="26"/>
      <c r="AK822" s="32"/>
      <c r="AL822" s="32"/>
      <c r="AM822" s="26"/>
      <c r="AN822" s="26"/>
      <c r="AO822" s="26"/>
      <c r="AP822" s="9"/>
      <c r="AQ822" s="9"/>
      <c r="AR822" s="9"/>
      <c r="AV822" s="5"/>
      <c r="AW822" s="5"/>
      <c r="AX822" s="26"/>
      <c r="AY822" s="26"/>
      <c r="AZ822" s="32"/>
      <c r="BA822" s="32"/>
    </row>
    <row r="823" spans="10:53">
      <c r="J823" s="9"/>
      <c r="K823" s="9"/>
      <c r="T823" s="5"/>
      <c r="U823" s="5"/>
      <c r="V823" s="26"/>
      <c r="W823" s="26"/>
      <c r="X823" s="26"/>
      <c r="Y823" s="26"/>
      <c r="Z823" s="26"/>
      <c r="AA823" s="9"/>
      <c r="AC823" s="9"/>
      <c r="AD823" s="9"/>
      <c r="AE823" s="9"/>
      <c r="AI823" s="26"/>
      <c r="AJ823" s="26"/>
      <c r="AK823" s="32"/>
      <c r="AL823" s="32"/>
      <c r="AM823" s="26"/>
      <c r="AN823" s="26"/>
      <c r="AO823" s="26"/>
      <c r="AP823" s="9"/>
      <c r="AQ823" s="9"/>
      <c r="AR823" s="9"/>
      <c r="AV823" s="5"/>
      <c r="AW823" s="5"/>
      <c r="AX823" s="26"/>
      <c r="AY823" s="26"/>
      <c r="AZ823" s="32"/>
      <c r="BA823" s="32"/>
    </row>
    <row r="824" spans="10:53">
      <c r="J824" s="9"/>
      <c r="K824" s="9"/>
      <c r="T824" s="5"/>
      <c r="U824" s="5"/>
      <c r="V824" s="26"/>
      <c r="W824" s="26"/>
      <c r="X824" s="26"/>
      <c r="Y824" s="26"/>
      <c r="Z824" s="26"/>
      <c r="AA824" s="9"/>
      <c r="AC824" s="9"/>
      <c r="AD824" s="9"/>
      <c r="AE824" s="9"/>
      <c r="AI824" s="26"/>
      <c r="AJ824" s="26"/>
      <c r="AK824" s="32"/>
      <c r="AL824" s="32"/>
      <c r="AM824" s="26"/>
      <c r="AN824" s="26"/>
      <c r="AO824" s="26"/>
      <c r="AP824" s="9"/>
      <c r="AQ824" s="9"/>
      <c r="AR824" s="9"/>
      <c r="AV824" s="5"/>
      <c r="AW824" s="5"/>
      <c r="AX824" s="26"/>
      <c r="AY824" s="26"/>
      <c r="AZ824" s="32"/>
      <c r="BA824" s="32"/>
    </row>
    <row r="825" spans="10:53">
      <c r="J825" s="9"/>
      <c r="K825" s="9"/>
      <c r="T825" s="5"/>
      <c r="U825" s="5"/>
      <c r="V825" s="26"/>
      <c r="W825" s="26"/>
      <c r="X825" s="26"/>
      <c r="Y825" s="26"/>
      <c r="Z825" s="26"/>
      <c r="AA825" s="9"/>
      <c r="AC825" s="9"/>
      <c r="AD825" s="9"/>
      <c r="AE825" s="9"/>
      <c r="AI825" s="26"/>
      <c r="AJ825" s="26"/>
      <c r="AK825" s="32"/>
      <c r="AL825" s="32"/>
      <c r="AM825" s="26"/>
      <c r="AN825" s="26"/>
      <c r="AO825" s="26"/>
      <c r="AP825" s="9"/>
      <c r="AQ825" s="9"/>
      <c r="AR825" s="9"/>
      <c r="AV825" s="5"/>
      <c r="AW825" s="5"/>
      <c r="AX825" s="26"/>
      <c r="AY825" s="26"/>
      <c r="AZ825" s="32"/>
      <c r="BA825" s="32"/>
    </row>
    <row r="826" spans="10:53">
      <c r="J826" s="9"/>
      <c r="K826" s="9"/>
      <c r="T826" s="5"/>
      <c r="U826" s="5"/>
      <c r="V826" s="26"/>
      <c r="W826" s="26"/>
      <c r="X826" s="26"/>
      <c r="Y826" s="26"/>
      <c r="Z826" s="26"/>
      <c r="AA826" s="9"/>
      <c r="AC826" s="9"/>
      <c r="AD826" s="9"/>
      <c r="AE826" s="9"/>
      <c r="AI826" s="26"/>
      <c r="AJ826" s="26"/>
      <c r="AK826" s="32"/>
      <c r="AL826" s="32"/>
      <c r="AM826" s="26"/>
      <c r="AN826" s="26"/>
      <c r="AO826" s="26"/>
      <c r="AP826" s="9"/>
      <c r="AQ826" s="9"/>
      <c r="AR826" s="9"/>
      <c r="AV826" s="5"/>
      <c r="AW826" s="5"/>
      <c r="AX826" s="26"/>
      <c r="AY826" s="26"/>
      <c r="AZ826" s="32"/>
      <c r="BA826" s="32"/>
    </row>
    <row r="827" spans="10:53">
      <c r="J827" s="9"/>
      <c r="K827" s="9"/>
      <c r="T827" s="5"/>
      <c r="U827" s="5"/>
      <c r="V827" s="26"/>
      <c r="W827" s="26"/>
      <c r="X827" s="26"/>
      <c r="Y827" s="26"/>
      <c r="Z827" s="26"/>
      <c r="AA827" s="9"/>
      <c r="AC827" s="9"/>
      <c r="AD827" s="9"/>
      <c r="AE827" s="9"/>
      <c r="AI827" s="26"/>
      <c r="AJ827" s="26"/>
      <c r="AK827" s="32"/>
      <c r="AL827" s="32"/>
      <c r="AM827" s="26"/>
      <c r="AN827" s="26"/>
      <c r="AO827" s="26"/>
      <c r="AP827" s="9"/>
      <c r="AQ827" s="9"/>
      <c r="AR827" s="9"/>
      <c r="AV827" s="5"/>
      <c r="AW827" s="5"/>
      <c r="AX827" s="26"/>
      <c r="AY827" s="26"/>
      <c r="AZ827" s="32"/>
      <c r="BA827" s="32"/>
    </row>
    <row r="828" spans="10:53">
      <c r="J828" s="9"/>
      <c r="K828" s="9"/>
      <c r="T828" s="5"/>
      <c r="U828" s="5"/>
      <c r="V828" s="26"/>
      <c r="W828" s="26"/>
      <c r="X828" s="26"/>
      <c r="Y828" s="26"/>
      <c r="Z828" s="26"/>
      <c r="AA828" s="9"/>
      <c r="AC828" s="9"/>
      <c r="AD828" s="9"/>
      <c r="AE828" s="9"/>
      <c r="AI828" s="26"/>
      <c r="AJ828" s="26"/>
      <c r="AK828" s="32"/>
      <c r="AL828" s="32"/>
      <c r="AM828" s="26"/>
      <c r="AN828" s="26"/>
      <c r="AO828" s="26"/>
      <c r="AP828" s="9"/>
      <c r="AQ828" s="9"/>
      <c r="AR828" s="9"/>
      <c r="AV828" s="5"/>
      <c r="AW828" s="5"/>
      <c r="AX828" s="26"/>
      <c r="AY828" s="26"/>
      <c r="AZ828" s="32"/>
      <c r="BA828" s="32"/>
    </row>
    <row r="829" spans="10:53">
      <c r="J829" s="9"/>
      <c r="K829" s="9"/>
      <c r="T829" s="5"/>
      <c r="U829" s="5"/>
      <c r="V829" s="26"/>
      <c r="W829" s="26"/>
      <c r="X829" s="26"/>
      <c r="Y829" s="26"/>
      <c r="Z829" s="26"/>
      <c r="AA829" s="9"/>
      <c r="AC829" s="9"/>
      <c r="AD829" s="9"/>
      <c r="AE829" s="9"/>
      <c r="AI829" s="26"/>
      <c r="AJ829" s="26"/>
      <c r="AK829" s="32"/>
      <c r="AL829" s="32"/>
      <c r="AM829" s="26"/>
      <c r="AN829" s="26"/>
      <c r="AO829" s="26"/>
      <c r="AP829" s="9"/>
      <c r="AQ829" s="9"/>
      <c r="AR829" s="9"/>
      <c r="AV829" s="5"/>
      <c r="AW829" s="5"/>
      <c r="AX829" s="26"/>
      <c r="AY829" s="26"/>
      <c r="AZ829" s="32"/>
      <c r="BA829" s="32"/>
    </row>
    <row r="830" spans="10:53">
      <c r="J830" s="9"/>
      <c r="K830" s="9"/>
      <c r="T830" s="5"/>
      <c r="U830" s="5"/>
      <c r="V830" s="26"/>
      <c r="W830" s="26"/>
      <c r="X830" s="26"/>
      <c r="Y830" s="26"/>
      <c r="Z830" s="26"/>
      <c r="AA830" s="9"/>
      <c r="AC830" s="9"/>
      <c r="AD830" s="9"/>
      <c r="AE830" s="9"/>
      <c r="AI830" s="26"/>
      <c r="AJ830" s="26"/>
      <c r="AK830" s="32"/>
      <c r="AL830" s="32"/>
      <c r="AM830" s="26"/>
      <c r="AN830" s="26"/>
      <c r="AO830" s="26"/>
      <c r="AP830" s="9"/>
      <c r="AQ830" s="9"/>
      <c r="AR830" s="9"/>
      <c r="AV830" s="5"/>
      <c r="AW830" s="5"/>
      <c r="AX830" s="26"/>
      <c r="AY830" s="26"/>
      <c r="AZ830" s="32"/>
      <c r="BA830" s="32"/>
    </row>
    <row r="831" spans="10:53">
      <c r="J831" s="9"/>
      <c r="K831" s="9"/>
      <c r="T831" s="5"/>
      <c r="U831" s="5"/>
      <c r="V831" s="26"/>
      <c r="W831" s="26"/>
      <c r="X831" s="26"/>
      <c r="Y831" s="26"/>
      <c r="Z831" s="26"/>
      <c r="AA831" s="9"/>
      <c r="AC831" s="9"/>
      <c r="AD831" s="9"/>
      <c r="AE831" s="9"/>
      <c r="AI831" s="26"/>
      <c r="AJ831" s="26"/>
      <c r="AK831" s="32"/>
      <c r="AL831" s="32"/>
      <c r="AM831" s="26"/>
      <c r="AN831" s="26"/>
      <c r="AO831" s="26"/>
      <c r="AP831" s="9"/>
      <c r="AQ831" s="9"/>
      <c r="AR831" s="9"/>
      <c r="AV831" s="5"/>
      <c r="AW831" s="5"/>
      <c r="AX831" s="26"/>
      <c r="AY831" s="26"/>
      <c r="AZ831" s="32"/>
      <c r="BA831" s="32"/>
    </row>
    <row r="832" spans="10:53">
      <c r="J832" s="9"/>
      <c r="K832" s="9"/>
      <c r="T832" s="5"/>
      <c r="U832" s="5"/>
      <c r="V832" s="26"/>
      <c r="W832" s="26"/>
      <c r="X832" s="26"/>
      <c r="Y832" s="26"/>
      <c r="Z832" s="26"/>
      <c r="AA832" s="9"/>
      <c r="AC832" s="9"/>
      <c r="AD832" s="9"/>
      <c r="AE832" s="9"/>
      <c r="AI832" s="26"/>
      <c r="AJ832" s="26"/>
      <c r="AK832" s="32"/>
      <c r="AL832" s="32"/>
      <c r="AM832" s="26"/>
      <c r="AN832" s="26"/>
      <c r="AO832" s="26"/>
      <c r="AP832" s="9"/>
      <c r="AQ832" s="9"/>
      <c r="AR832" s="9"/>
      <c r="AV832" s="5"/>
      <c r="AW832" s="5"/>
      <c r="AX832" s="26"/>
      <c r="AY832" s="26"/>
      <c r="AZ832" s="32"/>
      <c r="BA832" s="32"/>
    </row>
    <row r="833" spans="1:108">
      <c r="A833" s="10"/>
      <c r="E833" s="164"/>
      <c r="J833" s="9"/>
      <c r="K833" s="9"/>
      <c r="L833" s="164"/>
      <c r="N833" s="51"/>
      <c r="O833" s="51"/>
      <c r="T833" s="5"/>
      <c r="U833" s="5"/>
      <c r="V833" s="26"/>
      <c r="W833" s="26"/>
      <c r="X833" s="26"/>
      <c r="Y833" s="26"/>
      <c r="Z833" s="26"/>
      <c r="AA833" s="9"/>
      <c r="AB833" s="164"/>
      <c r="AC833" s="9"/>
      <c r="AD833" s="9"/>
      <c r="AE833" s="9"/>
      <c r="AI833" s="26"/>
      <c r="AJ833" s="26"/>
      <c r="AK833" s="32"/>
      <c r="AL833" s="32"/>
      <c r="AM833" s="26"/>
      <c r="AN833" s="26"/>
      <c r="AO833" s="26"/>
      <c r="AP833" s="9"/>
      <c r="AQ833" s="9"/>
      <c r="AR833" s="9"/>
      <c r="AV833" s="5"/>
      <c r="AW833" s="5"/>
      <c r="AX833" s="26"/>
      <c r="AY833" s="26"/>
      <c r="AZ833" s="32"/>
      <c r="BA833" s="32"/>
      <c r="DD833" s="164"/>
    </row>
    <row r="834" spans="1:108">
      <c r="A834" s="10"/>
      <c r="E834" s="164"/>
      <c r="J834" s="9"/>
      <c r="K834" s="9"/>
      <c r="L834" s="164"/>
      <c r="N834" s="51"/>
      <c r="O834" s="51"/>
      <c r="T834" s="5"/>
      <c r="U834" s="5"/>
      <c r="V834" s="26"/>
      <c r="W834" s="26"/>
      <c r="X834" s="26"/>
      <c r="Y834" s="26"/>
      <c r="Z834" s="26"/>
      <c r="AA834" s="9"/>
      <c r="AB834" s="164"/>
      <c r="AC834" s="9"/>
      <c r="AD834" s="9"/>
      <c r="AE834" s="9"/>
      <c r="AI834" s="26"/>
      <c r="AJ834" s="26"/>
      <c r="AK834" s="32"/>
      <c r="AL834" s="32"/>
      <c r="AM834" s="26"/>
      <c r="AN834" s="26"/>
      <c r="AO834" s="26"/>
      <c r="AP834" s="9"/>
      <c r="AQ834" s="9"/>
      <c r="AR834" s="9"/>
      <c r="AV834" s="5"/>
      <c r="AW834" s="5"/>
      <c r="AX834" s="26"/>
      <c r="AY834" s="26"/>
      <c r="AZ834" s="32"/>
      <c r="BA834" s="32"/>
      <c r="DD834" s="164"/>
    </row>
    <row r="835" spans="1:108">
      <c r="A835" s="10"/>
      <c r="E835" s="164"/>
      <c r="J835" s="9"/>
      <c r="K835" s="9"/>
      <c r="L835" s="164"/>
      <c r="N835" s="51"/>
      <c r="O835" s="51"/>
      <c r="T835" s="5"/>
      <c r="U835" s="5"/>
      <c r="V835" s="26"/>
      <c r="W835" s="26"/>
      <c r="X835" s="26"/>
      <c r="Y835" s="26"/>
      <c r="Z835" s="26"/>
      <c r="AA835" s="9"/>
      <c r="AB835" s="164"/>
      <c r="AC835" s="9"/>
      <c r="AD835" s="9"/>
      <c r="AE835" s="9"/>
      <c r="AI835" s="26"/>
      <c r="AJ835" s="26"/>
      <c r="AK835" s="32"/>
      <c r="AL835" s="32"/>
      <c r="AM835" s="26"/>
      <c r="AN835" s="26"/>
      <c r="AO835" s="26"/>
      <c r="AP835" s="9"/>
      <c r="AQ835" s="9"/>
      <c r="AR835" s="9"/>
      <c r="AV835" s="5"/>
      <c r="AW835" s="5"/>
      <c r="AX835" s="26"/>
      <c r="AY835" s="26"/>
      <c r="AZ835" s="32"/>
      <c r="BA835" s="32"/>
      <c r="DD835" s="164"/>
    </row>
    <row r="836" spans="1:108">
      <c r="A836" s="10"/>
      <c r="E836" s="164"/>
      <c r="J836" s="9"/>
      <c r="K836" s="9"/>
      <c r="L836" s="164"/>
      <c r="N836" s="51"/>
      <c r="O836" s="51"/>
      <c r="T836" s="5"/>
      <c r="U836" s="5"/>
      <c r="V836" s="26"/>
      <c r="W836" s="26"/>
      <c r="X836" s="26"/>
      <c r="Y836" s="26"/>
      <c r="Z836" s="26"/>
      <c r="AA836" s="9"/>
      <c r="AB836" s="164"/>
      <c r="AC836" s="9"/>
      <c r="AD836" s="9"/>
      <c r="AE836" s="9"/>
      <c r="AI836" s="26"/>
      <c r="AJ836" s="26"/>
      <c r="AK836" s="32"/>
      <c r="AL836" s="32"/>
      <c r="AM836" s="26"/>
      <c r="AN836" s="26"/>
      <c r="AO836" s="26"/>
      <c r="AP836" s="9"/>
      <c r="AQ836" s="9"/>
      <c r="AR836" s="9"/>
      <c r="AV836" s="5"/>
      <c r="AW836" s="5"/>
      <c r="AX836" s="26"/>
      <c r="AY836" s="26"/>
      <c r="AZ836" s="32"/>
      <c r="BA836" s="32"/>
      <c r="DD836" s="164"/>
    </row>
    <row r="837" spans="1:108">
      <c r="A837" s="10"/>
      <c r="E837" s="164"/>
      <c r="J837" s="9"/>
      <c r="K837" s="9"/>
      <c r="L837" s="164"/>
      <c r="N837" s="51"/>
      <c r="O837" s="51"/>
      <c r="T837" s="5"/>
      <c r="U837" s="5"/>
      <c r="V837" s="26"/>
      <c r="W837" s="26"/>
      <c r="X837" s="26"/>
      <c r="Y837" s="26"/>
      <c r="Z837" s="26"/>
      <c r="AA837" s="9"/>
      <c r="AB837" s="164"/>
      <c r="AC837" s="9"/>
      <c r="AD837" s="9"/>
      <c r="AE837" s="9"/>
      <c r="AI837" s="26"/>
      <c r="AJ837" s="26"/>
      <c r="AK837" s="32"/>
      <c r="AL837" s="32"/>
      <c r="AM837" s="26"/>
      <c r="AN837" s="26"/>
      <c r="AO837" s="26"/>
      <c r="AP837" s="9"/>
      <c r="AQ837" s="9"/>
      <c r="AR837" s="9"/>
      <c r="AV837" s="5"/>
      <c r="AW837" s="5"/>
      <c r="AX837" s="26"/>
      <c r="AY837" s="26"/>
      <c r="AZ837" s="32"/>
      <c r="BA837" s="32"/>
      <c r="DD837" s="164"/>
    </row>
    <row r="838" spans="1:108">
      <c r="A838" s="10"/>
      <c r="E838" s="164"/>
      <c r="J838" s="9"/>
      <c r="K838" s="9"/>
      <c r="L838" s="164"/>
      <c r="N838" s="51"/>
      <c r="O838" s="51"/>
      <c r="T838" s="5"/>
      <c r="U838" s="5"/>
      <c r="V838" s="26"/>
      <c r="W838" s="26"/>
      <c r="X838" s="26"/>
      <c r="Y838" s="26"/>
      <c r="Z838" s="26"/>
      <c r="AA838" s="9"/>
      <c r="AB838" s="164"/>
      <c r="AC838" s="9"/>
      <c r="AD838" s="9"/>
      <c r="AE838" s="9"/>
      <c r="AI838" s="26"/>
      <c r="AJ838" s="26"/>
      <c r="AK838" s="32"/>
      <c r="AL838" s="32"/>
      <c r="AM838" s="26"/>
      <c r="AN838" s="26"/>
      <c r="AO838" s="26"/>
      <c r="AP838" s="9"/>
      <c r="AQ838" s="9"/>
      <c r="AR838" s="9"/>
      <c r="AV838" s="5"/>
      <c r="AW838" s="5"/>
      <c r="AX838" s="26"/>
      <c r="AY838" s="26"/>
      <c r="AZ838" s="32"/>
      <c r="BA838" s="32"/>
      <c r="DD838" s="164"/>
    </row>
    <row r="839" spans="1:108">
      <c r="A839" s="10"/>
      <c r="E839" s="164"/>
      <c r="J839" s="9"/>
      <c r="K839" s="9"/>
      <c r="L839" s="164"/>
      <c r="N839" s="51"/>
      <c r="O839" s="51"/>
      <c r="T839" s="5"/>
      <c r="U839" s="5"/>
      <c r="V839" s="26"/>
      <c r="W839" s="26"/>
      <c r="X839" s="26"/>
      <c r="Y839" s="26"/>
      <c r="Z839" s="26"/>
      <c r="AA839" s="9"/>
      <c r="AB839" s="164"/>
      <c r="AC839" s="9"/>
      <c r="AD839" s="9"/>
      <c r="AE839" s="9"/>
      <c r="AI839" s="26"/>
      <c r="AJ839" s="26"/>
      <c r="AK839" s="32"/>
      <c r="AL839" s="32"/>
      <c r="AM839" s="26"/>
      <c r="AN839" s="26"/>
      <c r="AO839" s="26"/>
      <c r="AP839" s="9"/>
      <c r="AQ839" s="9"/>
      <c r="AR839" s="9"/>
      <c r="AV839" s="5"/>
      <c r="AW839" s="5"/>
      <c r="AX839" s="26"/>
      <c r="AY839" s="26"/>
      <c r="AZ839" s="32"/>
      <c r="BA839" s="32"/>
      <c r="DD839" s="164"/>
    </row>
    <row r="840" spans="1:108">
      <c r="A840" s="10"/>
      <c r="E840" s="164"/>
      <c r="J840" s="9"/>
      <c r="K840" s="9"/>
      <c r="L840" s="164"/>
      <c r="N840" s="51"/>
      <c r="O840" s="51"/>
      <c r="T840" s="5"/>
      <c r="U840" s="5"/>
      <c r="V840" s="26"/>
      <c r="W840" s="26"/>
      <c r="X840" s="26"/>
      <c r="Y840" s="26"/>
      <c r="Z840" s="26"/>
      <c r="AA840" s="9"/>
      <c r="AB840" s="164"/>
      <c r="AC840" s="9"/>
      <c r="AD840" s="9"/>
      <c r="AE840" s="9"/>
      <c r="AI840" s="26"/>
      <c r="AJ840" s="26"/>
      <c r="AK840" s="32"/>
      <c r="AL840" s="32"/>
      <c r="AM840" s="26"/>
      <c r="AN840" s="26"/>
      <c r="AO840" s="26"/>
      <c r="AP840" s="9"/>
      <c r="AQ840" s="9"/>
      <c r="AR840" s="9"/>
      <c r="AV840" s="5"/>
      <c r="AW840" s="5"/>
      <c r="AX840" s="26"/>
      <c r="AY840" s="26"/>
      <c r="AZ840" s="32"/>
      <c r="BA840" s="32"/>
      <c r="DD840" s="164"/>
    </row>
    <row r="841" spans="1:108">
      <c r="A841" s="10"/>
      <c r="E841" s="164"/>
      <c r="J841" s="9"/>
      <c r="K841" s="9"/>
      <c r="L841" s="164"/>
      <c r="N841" s="51"/>
      <c r="O841" s="51"/>
      <c r="T841" s="5"/>
      <c r="U841" s="5"/>
      <c r="V841" s="26"/>
      <c r="W841" s="26"/>
      <c r="X841" s="26"/>
      <c r="Y841" s="26"/>
      <c r="Z841" s="26"/>
      <c r="AA841" s="9"/>
      <c r="AB841" s="164"/>
      <c r="AC841" s="9"/>
      <c r="AD841" s="9"/>
      <c r="AE841" s="9"/>
      <c r="AI841" s="26"/>
      <c r="AJ841" s="26"/>
      <c r="AK841" s="32"/>
      <c r="AL841" s="32"/>
      <c r="AM841" s="26"/>
      <c r="AN841" s="26"/>
      <c r="AO841" s="26"/>
      <c r="AP841" s="9"/>
      <c r="AQ841" s="9"/>
      <c r="AR841" s="9"/>
      <c r="AV841" s="5"/>
      <c r="AW841" s="5"/>
      <c r="AX841" s="26"/>
      <c r="AY841" s="26"/>
      <c r="AZ841" s="32"/>
      <c r="BA841" s="32"/>
      <c r="DD841" s="164"/>
    </row>
    <row r="842" spans="1:108">
      <c r="A842" s="10"/>
      <c r="E842" s="164"/>
      <c r="J842" s="9"/>
      <c r="K842" s="9"/>
      <c r="L842" s="164"/>
      <c r="N842" s="51"/>
      <c r="O842" s="51"/>
      <c r="T842" s="5"/>
      <c r="U842" s="5"/>
      <c r="V842" s="26"/>
      <c r="W842" s="26"/>
      <c r="X842" s="26"/>
      <c r="Y842" s="26"/>
      <c r="Z842" s="26"/>
      <c r="AA842" s="9"/>
      <c r="AB842" s="164"/>
      <c r="AC842" s="9"/>
      <c r="AD842" s="9"/>
      <c r="AE842" s="9"/>
      <c r="AI842" s="26"/>
      <c r="AJ842" s="26"/>
      <c r="AK842" s="32"/>
      <c r="AL842" s="32"/>
      <c r="AM842" s="26"/>
      <c r="AN842" s="26"/>
      <c r="AO842" s="26"/>
      <c r="AP842" s="9"/>
      <c r="AQ842" s="9"/>
      <c r="AR842" s="9"/>
      <c r="AV842" s="5"/>
      <c r="AW842" s="5"/>
      <c r="AX842" s="26"/>
      <c r="AY842" s="26"/>
      <c r="AZ842" s="32"/>
      <c r="BA842" s="32"/>
      <c r="DD842" s="164"/>
    </row>
    <row r="843" spans="1:108">
      <c r="A843" s="10"/>
      <c r="E843" s="164"/>
      <c r="J843" s="9"/>
      <c r="K843" s="9"/>
      <c r="L843" s="164"/>
      <c r="N843" s="51"/>
      <c r="O843" s="51"/>
      <c r="T843" s="5"/>
      <c r="U843" s="5"/>
      <c r="V843" s="26"/>
      <c r="W843" s="26"/>
      <c r="X843" s="26"/>
      <c r="Y843" s="26"/>
      <c r="Z843" s="26"/>
      <c r="AA843" s="9"/>
      <c r="AB843" s="164"/>
      <c r="AC843" s="9"/>
      <c r="AD843" s="9"/>
      <c r="AE843" s="9"/>
      <c r="AI843" s="26"/>
      <c r="AJ843" s="26"/>
      <c r="AK843" s="32"/>
      <c r="AL843" s="32"/>
      <c r="AM843" s="26"/>
      <c r="AN843" s="26"/>
      <c r="AO843" s="26"/>
      <c r="AP843" s="9"/>
      <c r="AQ843" s="9"/>
      <c r="AR843" s="9"/>
      <c r="AV843" s="5"/>
      <c r="AW843" s="5"/>
      <c r="AX843" s="26"/>
      <c r="AY843" s="26"/>
      <c r="AZ843" s="32"/>
      <c r="BA843" s="32"/>
      <c r="DD843" s="164"/>
    </row>
    <row r="844" spans="1:108">
      <c r="A844" s="10"/>
      <c r="E844" s="164"/>
      <c r="J844" s="9"/>
      <c r="K844" s="9"/>
      <c r="L844" s="164"/>
      <c r="N844" s="51"/>
      <c r="O844" s="51"/>
      <c r="T844" s="5"/>
      <c r="U844" s="5"/>
      <c r="V844" s="26"/>
      <c r="W844" s="26"/>
      <c r="X844" s="26"/>
      <c r="Y844" s="26"/>
      <c r="Z844" s="26"/>
      <c r="AA844" s="9"/>
      <c r="AB844" s="164"/>
      <c r="AC844" s="9"/>
      <c r="AD844" s="9"/>
      <c r="AE844" s="9"/>
      <c r="AI844" s="26"/>
      <c r="AJ844" s="26"/>
      <c r="AK844" s="32"/>
      <c r="AL844" s="32"/>
      <c r="AM844" s="26"/>
      <c r="AN844" s="26"/>
      <c r="AO844" s="26"/>
      <c r="AP844" s="9"/>
      <c r="AQ844" s="9"/>
      <c r="AR844" s="9"/>
      <c r="AV844" s="5"/>
      <c r="AW844" s="5"/>
      <c r="AX844" s="26"/>
      <c r="AY844" s="26"/>
      <c r="AZ844" s="32"/>
      <c r="BA844" s="32"/>
      <c r="DD844" s="164"/>
    </row>
    <row r="845" spans="1:108">
      <c r="A845" s="10"/>
      <c r="E845" s="164"/>
      <c r="J845" s="9"/>
      <c r="K845" s="9"/>
      <c r="L845" s="164"/>
      <c r="N845" s="51"/>
      <c r="O845" s="51"/>
      <c r="T845" s="5"/>
      <c r="U845" s="5"/>
      <c r="V845" s="26"/>
      <c r="W845" s="26"/>
      <c r="X845" s="26"/>
      <c r="Y845" s="26"/>
      <c r="Z845" s="26"/>
      <c r="AA845" s="9"/>
      <c r="AB845" s="164"/>
      <c r="AC845" s="9"/>
      <c r="AD845" s="9"/>
      <c r="AE845" s="9"/>
      <c r="AI845" s="26"/>
      <c r="AJ845" s="26"/>
      <c r="AK845" s="32"/>
      <c r="AL845" s="32"/>
      <c r="AM845" s="26"/>
      <c r="AN845" s="26"/>
      <c r="AO845" s="26"/>
      <c r="AP845" s="9"/>
      <c r="AQ845" s="9"/>
      <c r="AR845" s="9"/>
      <c r="AV845" s="5"/>
      <c r="AW845" s="5"/>
      <c r="AX845" s="26"/>
      <c r="AY845" s="26"/>
      <c r="AZ845" s="32"/>
      <c r="BA845" s="32"/>
      <c r="DD845" s="164"/>
    </row>
    <row r="846" spans="1:108">
      <c r="A846" s="10"/>
      <c r="E846" s="164"/>
      <c r="J846" s="9"/>
      <c r="K846" s="9"/>
      <c r="L846" s="164"/>
      <c r="N846" s="51"/>
      <c r="O846" s="51"/>
      <c r="T846" s="5"/>
      <c r="U846" s="5"/>
      <c r="V846" s="26"/>
      <c r="W846" s="26"/>
      <c r="X846" s="26"/>
      <c r="Y846" s="26"/>
      <c r="Z846" s="26"/>
      <c r="AA846" s="9"/>
      <c r="AB846" s="164"/>
      <c r="AC846" s="9"/>
      <c r="AD846" s="9"/>
      <c r="AE846" s="9"/>
      <c r="AI846" s="26"/>
      <c r="AJ846" s="26"/>
      <c r="AK846" s="32"/>
      <c r="AL846" s="32"/>
      <c r="AM846" s="26"/>
      <c r="AN846" s="26"/>
      <c r="AO846" s="26"/>
      <c r="AP846" s="9"/>
      <c r="AQ846" s="9"/>
      <c r="AR846" s="9"/>
      <c r="AV846" s="5"/>
      <c r="AW846" s="5"/>
      <c r="AX846" s="26"/>
      <c r="AY846" s="26"/>
      <c r="AZ846" s="32"/>
      <c r="BA846" s="32"/>
      <c r="DD846" s="164"/>
    </row>
    <row r="847" spans="1:108">
      <c r="A847" s="10"/>
      <c r="E847" s="164"/>
      <c r="J847" s="9"/>
      <c r="K847" s="9"/>
      <c r="L847" s="164"/>
      <c r="N847" s="51"/>
      <c r="O847" s="51"/>
      <c r="T847" s="5"/>
      <c r="U847" s="5"/>
      <c r="V847" s="26"/>
      <c r="W847" s="26"/>
      <c r="X847" s="26"/>
      <c r="Y847" s="26"/>
      <c r="Z847" s="26"/>
      <c r="AA847" s="9"/>
      <c r="AB847" s="164"/>
      <c r="AC847" s="9"/>
      <c r="AD847" s="9"/>
      <c r="AE847" s="9"/>
      <c r="AI847" s="26"/>
      <c r="AJ847" s="26"/>
      <c r="AK847" s="32"/>
      <c r="AL847" s="32"/>
      <c r="AM847" s="26"/>
      <c r="AN847" s="26"/>
      <c r="AO847" s="26"/>
      <c r="AP847" s="9"/>
      <c r="AQ847" s="9"/>
      <c r="AR847" s="9"/>
      <c r="AV847" s="5"/>
      <c r="AW847" s="5"/>
      <c r="AX847" s="26"/>
      <c r="AY847" s="26"/>
      <c r="AZ847" s="32"/>
      <c r="BA847" s="32"/>
      <c r="DD847" s="164"/>
    </row>
    <row r="848" spans="1:108">
      <c r="A848" s="10"/>
      <c r="E848" s="164"/>
      <c r="J848" s="9"/>
      <c r="K848" s="9"/>
      <c r="L848" s="164"/>
      <c r="N848" s="51"/>
      <c r="O848" s="51"/>
      <c r="T848" s="5"/>
      <c r="U848" s="5"/>
      <c r="V848" s="26"/>
      <c r="W848" s="26"/>
      <c r="X848" s="26"/>
      <c r="Y848" s="26"/>
      <c r="Z848" s="26"/>
      <c r="AA848" s="9"/>
      <c r="AB848" s="164"/>
      <c r="AC848" s="9"/>
      <c r="AD848" s="9"/>
      <c r="AE848" s="9"/>
      <c r="AI848" s="26"/>
      <c r="AJ848" s="26"/>
      <c r="AK848" s="32"/>
      <c r="AL848" s="32"/>
      <c r="AM848" s="26"/>
      <c r="AN848" s="26"/>
      <c r="AO848" s="26"/>
      <c r="AP848" s="9"/>
      <c r="AQ848" s="9"/>
      <c r="AR848" s="9"/>
      <c r="AV848" s="5"/>
      <c r="AW848" s="5"/>
      <c r="AX848" s="26"/>
      <c r="AY848" s="26"/>
      <c r="AZ848" s="32"/>
      <c r="BA848" s="32"/>
      <c r="DD848" s="164"/>
    </row>
    <row r="849" spans="1:108">
      <c r="A849" s="10"/>
      <c r="E849" s="164"/>
      <c r="J849" s="9"/>
      <c r="K849" s="9"/>
      <c r="L849" s="164"/>
      <c r="N849" s="51"/>
      <c r="O849" s="51"/>
      <c r="T849" s="5"/>
      <c r="U849" s="5"/>
      <c r="V849" s="26"/>
      <c r="W849" s="26"/>
      <c r="X849" s="26"/>
      <c r="Y849" s="26"/>
      <c r="Z849" s="26"/>
      <c r="AA849" s="9"/>
      <c r="AB849" s="164"/>
      <c r="AC849" s="9"/>
      <c r="AD849" s="9"/>
      <c r="AE849" s="9"/>
      <c r="AI849" s="26"/>
      <c r="AJ849" s="26"/>
      <c r="AK849" s="32"/>
      <c r="AL849" s="32"/>
      <c r="AM849" s="26"/>
      <c r="AN849" s="26"/>
      <c r="AO849" s="26"/>
      <c r="AP849" s="9"/>
      <c r="AQ849" s="9"/>
      <c r="AR849" s="9"/>
      <c r="AV849" s="5"/>
      <c r="AW849" s="5"/>
      <c r="AX849" s="26"/>
      <c r="AY849" s="26"/>
      <c r="AZ849" s="32"/>
      <c r="BA849" s="32"/>
      <c r="DD849" s="164"/>
    </row>
    <row r="850" spans="1:108">
      <c r="A850" s="10"/>
      <c r="E850" s="164"/>
      <c r="J850" s="9"/>
      <c r="K850" s="9"/>
      <c r="L850" s="164"/>
      <c r="N850" s="51"/>
      <c r="O850" s="51"/>
      <c r="T850" s="5"/>
      <c r="U850" s="5"/>
      <c r="V850" s="26"/>
      <c r="W850" s="26"/>
      <c r="X850" s="26"/>
      <c r="Y850" s="26"/>
      <c r="Z850" s="26"/>
      <c r="AA850" s="9"/>
      <c r="AB850" s="164"/>
      <c r="AC850" s="9"/>
      <c r="AD850" s="9"/>
      <c r="AE850" s="9"/>
      <c r="AI850" s="26"/>
      <c r="AJ850" s="26"/>
      <c r="AK850" s="32"/>
      <c r="AL850" s="32"/>
      <c r="AM850" s="26"/>
      <c r="AN850" s="26"/>
      <c r="AO850" s="26"/>
      <c r="AP850" s="9"/>
      <c r="AQ850" s="9"/>
      <c r="AR850" s="9"/>
      <c r="AV850" s="5"/>
      <c r="AW850" s="5"/>
      <c r="AX850" s="26"/>
      <c r="AY850" s="26"/>
      <c r="AZ850" s="32"/>
      <c r="BA850" s="32"/>
      <c r="DD850" s="164"/>
    </row>
    <row r="851" spans="1:108">
      <c r="A851" s="10"/>
      <c r="E851" s="164"/>
      <c r="J851" s="9"/>
      <c r="K851" s="9"/>
      <c r="L851" s="164"/>
      <c r="N851" s="51"/>
      <c r="O851" s="51"/>
      <c r="T851" s="5"/>
      <c r="U851" s="5"/>
      <c r="V851" s="26"/>
      <c r="W851" s="26"/>
      <c r="X851" s="26"/>
      <c r="Y851" s="26"/>
      <c r="Z851" s="26"/>
      <c r="AA851" s="9"/>
      <c r="AB851" s="164"/>
      <c r="AC851" s="9"/>
      <c r="AD851" s="9"/>
      <c r="AE851" s="9"/>
      <c r="AI851" s="26"/>
      <c r="AJ851" s="26"/>
      <c r="AK851" s="32"/>
      <c r="AL851" s="32"/>
      <c r="AM851" s="26"/>
      <c r="AN851" s="26"/>
      <c r="AO851" s="26"/>
      <c r="AP851" s="9"/>
      <c r="AQ851" s="9"/>
      <c r="AR851" s="9"/>
      <c r="AV851" s="5"/>
      <c r="AW851" s="5"/>
      <c r="AX851" s="26"/>
      <c r="AY851" s="26"/>
      <c r="AZ851" s="32"/>
      <c r="BA851" s="32"/>
      <c r="DD851" s="164"/>
    </row>
    <row r="852" spans="1:108">
      <c r="A852" s="10"/>
      <c r="E852" s="164"/>
      <c r="J852" s="9"/>
      <c r="K852" s="9"/>
      <c r="L852" s="164"/>
      <c r="N852" s="51"/>
      <c r="O852" s="51"/>
      <c r="T852" s="5"/>
      <c r="U852" s="5"/>
      <c r="V852" s="26"/>
      <c r="W852" s="26"/>
      <c r="X852" s="26"/>
      <c r="Y852" s="26"/>
      <c r="Z852" s="26"/>
      <c r="AA852" s="9"/>
      <c r="AB852" s="164"/>
      <c r="AC852" s="9"/>
      <c r="AD852" s="9"/>
      <c r="AE852" s="9"/>
      <c r="AI852" s="26"/>
      <c r="AJ852" s="26"/>
      <c r="AK852" s="32"/>
      <c r="AL852" s="32"/>
      <c r="AM852" s="26"/>
      <c r="AN852" s="26"/>
      <c r="AO852" s="26"/>
      <c r="AP852" s="9"/>
      <c r="AQ852" s="9"/>
      <c r="AR852" s="9"/>
      <c r="AV852" s="5"/>
      <c r="AW852" s="5"/>
      <c r="AX852" s="26"/>
      <c r="AY852" s="26"/>
      <c r="AZ852" s="32"/>
      <c r="BA852" s="32"/>
      <c r="DD852" s="164"/>
    </row>
    <row r="853" spans="1:108">
      <c r="A853" s="10"/>
      <c r="E853" s="164"/>
      <c r="J853" s="9"/>
      <c r="K853" s="9"/>
      <c r="L853" s="164"/>
      <c r="N853" s="51"/>
      <c r="O853" s="51"/>
      <c r="T853" s="5"/>
      <c r="U853" s="5"/>
      <c r="V853" s="26"/>
      <c r="W853" s="26"/>
      <c r="X853" s="26"/>
      <c r="Y853" s="26"/>
      <c r="Z853" s="26"/>
      <c r="AA853" s="9"/>
      <c r="AB853" s="164"/>
      <c r="AC853" s="9"/>
      <c r="AD853" s="9"/>
      <c r="AE853" s="9"/>
      <c r="AI853" s="26"/>
      <c r="AJ853" s="26"/>
      <c r="AK853" s="32"/>
      <c r="AL853" s="32"/>
      <c r="AM853" s="26"/>
      <c r="AN853" s="26"/>
      <c r="AO853" s="26"/>
      <c r="AP853" s="9"/>
      <c r="AQ853" s="9"/>
      <c r="AR853" s="9"/>
      <c r="AV853" s="5"/>
      <c r="AW853" s="5"/>
      <c r="AX853" s="26"/>
      <c r="AY853" s="26"/>
      <c r="AZ853" s="32"/>
      <c r="BA853" s="32"/>
      <c r="DD853" s="164"/>
    </row>
    <row r="854" spans="1:108">
      <c r="A854" s="10"/>
      <c r="E854" s="164"/>
      <c r="J854" s="9"/>
      <c r="K854" s="9"/>
      <c r="L854" s="164"/>
      <c r="N854" s="51"/>
      <c r="O854" s="51"/>
      <c r="T854" s="5"/>
      <c r="U854" s="5"/>
      <c r="V854" s="26"/>
      <c r="W854" s="26"/>
      <c r="X854" s="26"/>
      <c r="Y854" s="26"/>
      <c r="Z854" s="26"/>
      <c r="AA854" s="9"/>
      <c r="AB854" s="164"/>
      <c r="AC854" s="9"/>
      <c r="AD854" s="9"/>
      <c r="AE854" s="9"/>
      <c r="AI854" s="26"/>
      <c r="AJ854" s="26"/>
      <c r="AK854" s="32"/>
      <c r="AL854" s="32"/>
      <c r="AM854" s="26"/>
      <c r="AN854" s="26"/>
      <c r="AO854" s="26"/>
      <c r="AP854" s="9"/>
      <c r="AQ854" s="9"/>
      <c r="AR854" s="9"/>
      <c r="AV854" s="5"/>
      <c r="AW854" s="5"/>
      <c r="AX854" s="26"/>
      <c r="AY854" s="26"/>
      <c r="AZ854" s="32"/>
      <c r="BA854" s="32"/>
      <c r="DD854" s="164"/>
    </row>
    <row r="855" spans="1:108">
      <c r="A855" s="10"/>
      <c r="E855" s="164"/>
      <c r="J855" s="9"/>
      <c r="K855" s="9"/>
      <c r="L855" s="164"/>
      <c r="N855" s="51"/>
      <c r="O855" s="51"/>
      <c r="T855" s="5"/>
      <c r="U855" s="5"/>
      <c r="V855" s="26"/>
      <c r="W855" s="26"/>
      <c r="X855" s="26"/>
      <c r="Y855" s="26"/>
      <c r="Z855" s="26"/>
      <c r="AA855" s="9"/>
      <c r="AB855" s="164"/>
      <c r="AC855" s="9"/>
      <c r="AD855" s="9"/>
      <c r="AE855" s="9"/>
      <c r="AI855" s="26"/>
      <c r="AJ855" s="26"/>
      <c r="AK855" s="32"/>
      <c r="AL855" s="32"/>
      <c r="AM855" s="26"/>
      <c r="AN855" s="26"/>
      <c r="AO855" s="26"/>
      <c r="AP855" s="9"/>
      <c r="AQ855" s="9"/>
      <c r="AR855" s="9"/>
      <c r="AV855" s="5"/>
      <c r="AW855" s="5"/>
      <c r="AX855" s="26"/>
      <c r="AY855" s="26"/>
      <c r="AZ855" s="32"/>
      <c r="BA855" s="32"/>
      <c r="DD855" s="164"/>
    </row>
    <row r="856" spans="1:108">
      <c r="A856" s="10"/>
      <c r="E856" s="164"/>
      <c r="J856" s="9"/>
      <c r="K856" s="9"/>
      <c r="L856" s="164"/>
      <c r="N856" s="51"/>
      <c r="O856" s="51"/>
      <c r="T856" s="5"/>
      <c r="U856" s="5"/>
      <c r="V856" s="26"/>
      <c r="W856" s="26"/>
      <c r="X856" s="26"/>
      <c r="Y856" s="26"/>
      <c r="Z856" s="26"/>
      <c r="AA856" s="9"/>
      <c r="AB856" s="164"/>
      <c r="AC856" s="9"/>
      <c r="AD856" s="9"/>
      <c r="AE856" s="9"/>
      <c r="AI856" s="26"/>
      <c r="AJ856" s="26"/>
      <c r="AK856" s="32"/>
      <c r="AL856" s="32"/>
      <c r="AM856" s="26"/>
      <c r="AN856" s="26"/>
      <c r="AO856" s="26"/>
      <c r="AP856" s="9"/>
      <c r="AQ856" s="9"/>
      <c r="AR856" s="9"/>
      <c r="AV856" s="5"/>
      <c r="AW856" s="5"/>
      <c r="AX856" s="26"/>
      <c r="AY856" s="26"/>
      <c r="AZ856" s="32"/>
      <c r="BA856" s="32"/>
      <c r="DD856" s="164"/>
    </row>
    <row r="857" spans="1:108">
      <c r="A857" s="10"/>
      <c r="E857" s="164"/>
      <c r="J857" s="9"/>
      <c r="K857" s="9"/>
      <c r="L857" s="164"/>
      <c r="N857" s="51"/>
      <c r="O857" s="51"/>
      <c r="T857" s="5"/>
      <c r="U857" s="5"/>
      <c r="V857" s="26"/>
      <c r="W857" s="26"/>
      <c r="X857" s="26"/>
      <c r="Y857" s="26"/>
      <c r="Z857" s="26"/>
      <c r="AA857" s="9"/>
      <c r="AB857" s="164"/>
      <c r="AC857" s="9"/>
      <c r="AD857" s="9"/>
      <c r="AE857" s="9"/>
      <c r="AI857" s="26"/>
      <c r="AJ857" s="26"/>
      <c r="AK857" s="32"/>
      <c r="AL857" s="32"/>
      <c r="AM857" s="26"/>
      <c r="AN857" s="26"/>
      <c r="AO857" s="26"/>
      <c r="AP857" s="9"/>
      <c r="AQ857" s="9"/>
      <c r="AR857" s="9"/>
      <c r="AV857" s="5"/>
      <c r="AW857" s="5"/>
      <c r="AX857" s="26"/>
      <c r="AY857" s="26"/>
      <c r="AZ857" s="32"/>
      <c r="BA857" s="32"/>
      <c r="DD857" s="164"/>
    </row>
    <row r="858" spans="1:108">
      <c r="A858" s="10"/>
      <c r="E858" s="164"/>
      <c r="J858" s="9"/>
      <c r="K858" s="9"/>
      <c r="L858" s="164"/>
      <c r="N858" s="51"/>
      <c r="O858" s="51"/>
      <c r="T858" s="5"/>
      <c r="U858" s="5"/>
      <c r="V858" s="26"/>
      <c r="W858" s="26"/>
      <c r="X858" s="26"/>
      <c r="Y858" s="26"/>
      <c r="Z858" s="26"/>
      <c r="AA858" s="9"/>
      <c r="AB858" s="164"/>
      <c r="AC858" s="9"/>
      <c r="AD858" s="9"/>
      <c r="AE858" s="9"/>
      <c r="AI858" s="26"/>
      <c r="AJ858" s="26"/>
      <c r="AK858" s="32"/>
      <c r="AL858" s="32"/>
      <c r="AM858" s="26"/>
      <c r="AN858" s="26"/>
      <c r="AO858" s="26"/>
      <c r="AP858" s="9"/>
      <c r="AQ858" s="9"/>
      <c r="AR858" s="9"/>
      <c r="AV858" s="5"/>
      <c r="AW858" s="5"/>
      <c r="AX858" s="26"/>
      <c r="AY858" s="26"/>
      <c r="AZ858" s="32"/>
      <c r="BA858" s="32"/>
      <c r="DD858" s="164"/>
    </row>
    <row r="859" spans="1:108">
      <c r="A859" s="10"/>
      <c r="E859" s="164"/>
      <c r="J859" s="9"/>
      <c r="K859" s="9"/>
      <c r="L859" s="164"/>
      <c r="N859" s="51"/>
      <c r="O859" s="51"/>
      <c r="T859" s="5"/>
      <c r="U859" s="5"/>
      <c r="V859" s="26"/>
      <c r="W859" s="26"/>
      <c r="X859" s="26"/>
      <c r="Y859" s="26"/>
      <c r="Z859" s="26"/>
      <c r="AA859" s="9"/>
      <c r="AB859" s="164"/>
      <c r="AC859" s="9"/>
      <c r="AD859" s="9"/>
      <c r="AE859" s="9"/>
      <c r="AI859" s="26"/>
      <c r="AJ859" s="26"/>
      <c r="AK859" s="32"/>
      <c r="AL859" s="32"/>
      <c r="AM859" s="26"/>
      <c r="AN859" s="26"/>
      <c r="AO859" s="26"/>
      <c r="AP859" s="9"/>
      <c r="AQ859" s="9"/>
      <c r="AR859" s="9"/>
      <c r="AV859" s="5"/>
      <c r="AW859" s="5"/>
      <c r="AX859" s="26"/>
      <c r="AY859" s="26"/>
      <c r="AZ859" s="32"/>
      <c r="BA859" s="32"/>
      <c r="DD859" s="164"/>
    </row>
    <row r="860" spans="1:108">
      <c r="A860" s="10"/>
      <c r="E860" s="164"/>
      <c r="J860" s="9"/>
      <c r="K860" s="9"/>
      <c r="L860" s="164"/>
      <c r="N860" s="51"/>
      <c r="O860" s="51"/>
      <c r="T860" s="5"/>
      <c r="U860" s="5"/>
      <c r="V860" s="26"/>
      <c r="W860" s="26"/>
      <c r="X860" s="26"/>
      <c r="Y860" s="26"/>
      <c r="Z860" s="26"/>
      <c r="AA860" s="9"/>
      <c r="AB860" s="164"/>
      <c r="AC860" s="9"/>
      <c r="AD860" s="9"/>
      <c r="AE860" s="9"/>
      <c r="AI860" s="26"/>
      <c r="AJ860" s="26"/>
      <c r="AK860" s="32"/>
      <c r="AL860" s="32"/>
      <c r="AM860" s="26"/>
      <c r="AN860" s="26"/>
      <c r="AO860" s="26"/>
      <c r="AP860" s="9"/>
      <c r="AQ860" s="9"/>
      <c r="AR860" s="9"/>
      <c r="AV860" s="5"/>
      <c r="AW860" s="5"/>
      <c r="AX860" s="26"/>
      <c r="AY860" s="26"/>
      <c r="AZ860" s="32"/>
      <c r="BA860" s="32"/>
      <c r="DD860" s="164"/>
    </row>
    <row r="861" spans="1:108">
      <c r="A861" s="10"/>
      <c r="E861" s="164"/>
      <c r="J861" s="9"/>
      <c r="K861" s="9"/>
      <c r="L861" s="164"/>
      <c r="N861" s="51"/>
      <c r="O861" s="51"/>
      <c r="T861" s="5"/>
      <c r="U861" s="5"/>
      <c r="V861" s="26"/>
      <c r="W861" s="26"/>
      <c r="X861" s="26"/>
      <c r="Y861" s="26"/>
      <c r="Z861" s="26"/>
      <c r="AA861" s="9"/>
      <c r="AB861" s="164"/>
      <c r="AC861" s="9"/>
      <c r="AD861" s="9"/>
      <c r="AE861" s="9"/>
      <c r="AI861" s="26"/>
      <c r="AJ861" s="26"/>
      <c r="AK861" s="32"/>
      <c r="AL861" s="32"/>
      <c r="AM861" s="26"/>
      <c r="AN861" s="26"/>
      <c r="AO861" s="26"/>
      <c r="AP861" s="9"/>
      <c r="AQ861" s="9"/>
      <c r="AR861" s="9"/>
      <c r="AV861" s="5"/>
      <c r="AW861" s="5"/>
      <c r="AX861" s="26"/>
      <c r="AY861" s="26"/>
      <c r="AZ861" s="32"/>
      <c r="BA861" s="32"/>
      <c r="DD861" s="164"/>
    </row>
    <row r="862" spans="1:108">
      <c r="A862" s="10"/>
      <c r="E862" s="164"/>
      <c r="J862" s="9"/>
      <c r="K862" s="9"/>
      <c r="L862" s="164"/>
      <c r="N862" s="51"/>
      <c r="O862" s="51"/>
      <c r="T862" s="5"/>
      <c r="U862" s="5"/>
      <c r="V862" s="26"/>
      <c r="W862" s="26"/>
      <c r="X862" s="26"/>
      <c r="Y862" s="26"/>
      <c r="Z862" s="26"/>
      <c r="AA862" s="9"/>
      <c r="AB862" s="164"/>
      <c r="AC862" s="9"/>
      <c r="AD862" s="9"/>
      <c r="AE862" s="9"/>
      <c r="AI862" s="26"/>
      <c r="AJ862" s="26"/>
      <c r="AK862" s="32"/>
      <c r="AL862" s="32"/>
      <c r="AM862" s="26"/>
      <c r="AN862" s="26"/>
      <c r="AO862" s="26"/>
      <c r="AP862" s="9"/>
      <c r="AQ862" s="9"/>
      <c r="AR862" s="9"/>
      <c r="AV862" s="5"/>
      <c r="AW862" s="5"/>
      <c r="AX862" s="26"/>
      <c r="AY862" s="26"/>
      <c r="AZ862" s="32"/>
      <c r="BA862" s="32"/>
      <c r="DD862" s="164"/>
    </row>
    <row r="863" spans="1:108">
      <c r="A863" s="10"/>
      <c r="E863" s="164"/>
      <c r="J863" s="9"/>
      <c r="K863" s="9"/>
      <c r="L863" s="164"/>
      <c r="N863" s="51"/>
      <c r="O863" s="51"/>
      <c r="T863" s="5"/>
      <c r="U863" s="5"/>
      <c r="V863" s="26"/>
      <c r="W863" s="26"/>
      <c r="X863" s="26"/>
      <c r="Y863" s="26"/>
      <c r="Z863" s="26"/>
      <c r="AA863" s="9"/>
      <c r="AB863" s="164"/>
      <c r="AC863" s="9"/>
      <c r="AD863" s="9"/>
      <c r="AE863" s="9"/>
      <c r="AI863" s="26"/>
      <c r="AJ863" s="26"/>
      <c r="AK863" s="32"/>
      <c r="AL863" s="32"/>
      <c r="AM863" s="26"/>
      <c r="AN863" s="26"/>
      <c r="AO863" s="26"/>
      <c r="AP863" s="9"/>
      <c r="AQ863" s="9"/>
      <c r="AR863" s="9"/>
      <c r="AV863" s="5"/>
      <c r="AW863" s="5"/>
      <c r="AX863" s="26"/>
      <c r="AY863" s="26"/>
      <c r="AZ863" s="32"/>
      <c r="BA863" s="32"/>
      <c r="DD863" s="164"/>
    </row>
    <row r="864" spans="1:108">
      <c r="A864" s="10"/>
      <c r="E864" s="164"/>
      <c r="J864" s="9"/>
      <c r="K864" s="9"/>
      <c r="L864" s="164"/>
      <c r="N864" s="51"/>
      <c r="O864" s="51"/>
      <c r="T864" s="5"/>
      <c r="U864" s="5"/>
      <c r="V864" s="26"/>
      <c r="W864" s="26"/>
      <c r="X864" s="26"/>
      <c r="Y864" s="26"/>
      <c r="Z864" s="26"/>
      <c r="AA864" s="9"/>
      <c r="AB864" s="164"/>
      <c r="AC864" s="9"/>
      <c r="AD864" s="9"/>
      <c r="AE864" s="9"/>
      <c r="AI864" s="26"/>
      <c r="AJ864" s="26"/>
      <c r="AK864" s="32"/>
      <c r="AL864" s="32"/>
      <c r="AM864" s="26"/>
      <c r="AN864" s="26"/>
      <c r="AO864" s="26"/>
      <c r="AP864" s="9"/>
      <c r="AQ864" s="9"/>
      <c r="AR864" s="9"/>
      <c r="AV864" s="5"/>
      <c r="AW864" s="5"/>
      <c r="AX864" s="26"/>
      <c r="AY864" s="26"/>
      <c r="AZ864" s="32"/>
      <c r="BA864" s="32"/>
      <c r="DD864" s="164"/>
    </row>
    <row r="865" spans="1:108">
      <c r="A865" s="10"/>
      <c r="E865" s="164"/>
      <c r="J865" s="9"/>
      <c r="K865" s="9"/>
      <c r="L865" s="164"/>
      <c r="N865" s="51"/>
      <c r="O865" s="51"/>
      <c r="T865" s="5"/>
      <c r="U865" s="5"/>
      <c r="V865" s="26"/>
      <c r="W865" s="26"/>
      <c r="X865" s="26"/>
      <c r="Y865" s="26"/>
      <c r="Z865" s="26"/>
      <c r="AA865" s="9"/>
      <c r="AB865" s="164"/>
      <c r="AC865" s="9"/>
      <c r="AD865" s="9"/>
      <c r="AE865" s="9"/>
      <c r="AI865" s="26"/>
      <c r="AJ865" s="26"/>
      <c r="AK865" s="32"/>
      <c r="AL865" s="32"/>
      <c r="AM865" s="26"/>
      <c r="AN865" s="26"/>
      <c r="AO865" s="26"/>
      <c r="AP865" s="9"/>
      <c r="AQ865" s="9"/>
      <c r="AR865" s="9"/>
      <c r="AV865" s="5"/>
      <c r="AW865" s="5"/>
      <c r="AX865" s="26"/>
      <c r="AY865" s="26"/>
      <c r="AZ865" s="32"/>
      <c r="BA865" s="32"/>
      <c r="DD865" s="164"/>
    </row>
    <row r="866" spans="1:108">
      <c r="A866" s="10"/>
      <c r="E866" s="164"/>
      <c r="J866" s="9"/>
      <c r="K866" s="9"/>
      <c r="L866" s="164"/>
      <c r="N866" s="51"/>
      <c r="O866" s="51"/>
      <c r="T866" s="5"/>
      <c r="U866" s="5"/>
      <c r="V866" s="26"/>
      <c r="W866" s="26"/>
      <c r="X866" s="26"/>
      <c r="Y866" s="26"/>
      <c r="Z866" s="26"/>
      <c r="AA866" s="9"/>
      <c r="AB866" s="164"/>
      <c r="AC866" s="9"/>
      <c r="AD866" s="9"/>
      <c r="AE866" s="9"/>
      <c r="AI866" s="26"/>
      <c r="AJ866" s="26"/>
      <c r="AK866" s="32"/>
      <c r="AL866" s="32"/>
      <c r="AM866" s="26"/>
      <c r="AN866" s="26"/>
      <c r="AO866" s="26"/>
      <c r="AP866" s="9"/>
      <c r="AQ866" s="9"/>
      <c r="AR866" s="9"/>
      <c r="AV866" s="5"/>
      <c r="AW866" s="5"/>
      <c r="AX866" s="26"/>
      <c r="AY866" s="26"/>
      <c r="AZ866" s="32"/>
      <c r="BA866" s="32"/>
      <c r="DD866" s="164"/>
    </row>
    <row r="867" spans="1:108">
      <c r="A867" s="10"/>
      <c r="E867" s="164"/>
      <c r="J867" s="9"/>
      <c r="K867" s="9"/>
      <c r="L867" s="164"/>
      <c r="N867" s="51"/>
      <c r="O867" s="51"/>
      <c r="T867" s="5"/>
      <c r="U867" s="5"/>
      <c r="V867" s="26"/>
      <c r="W867" s="26"/>
      <c r="X867" s="26"/>
      <c r="Y867" s="26"/>
      <c r="Z867" s="26"/>
      <c r="AA867" s="9"/>
      <c r="AB867" s="164"/>
      <c r="AC867" s="9"/>
      <c r="AD867" s="9"/>
      <c r="AE867" s="9"/>
      <c r="AI867" s="26"/>
      <c r="AJ867" s="26"/>
      <c r="AK867" s="32"/>
      <c r="AL867" s="32"/>
      <c r="AM867" s="26"/>
      <c r="AN867" s="26"/>
      <c r="AO867" s="26"/>
      <c r="AP867" s="9"/>
      <c r="AQ867" s="9"/>
      <c r="AR867" s="9"/>
      <c r="AV867" s="5"/>
      <c r="AW867" s="5"/>
      <c r="AX867" s="26"/>
      <c r="AY867" s="26"/>
      <c r="AZ867" s="32"/>
      <c r="BA867" s="32"/>
      <c r="DD867" s="164"/>
    </row>
    <row r="868" spans="1:108">
      <c r="A868" s="10"/>
      <c r="E868" s="164"/>
      <c r="J868" s="9"/>
      <c r="K868" s="9"/>
      <c r="L868" s="164"/>
      <c r="N868" s="51"/>
      <c r="O868" s="51"/>
      <c r="T868" s="5"/>
      <c r="U868" s="5"/>
      <c r="V868" s="26"/>
      <c r="W868" s="26"/>
      <c r="X868" s="26"/>
      <c r="Y868" s="26"/>
      <c r="Z868" s="26"/>
      <c r="AA868" s="9"/>
      <c r="AB868" s="164"/>
      <c r="AC868" s="9"/>
      <c r="AD868" s="9"/>
      <c r="AE868" s="9"/>
      <c r="AI868" s="26"/>
      <c r="AJ868" s="26"/>
      <c r="AK868" s="32"/>
      <c r="AL868" s="32"/>
      <c r="AM868" s="26"/>
      <c r="AN868" s="26"/>
      <c r="AO868" s="26"/>
      <c r="AP868" s="9"/>
      <c r="AQ868" s="9"/>
      <c r="AR868" s="9"/>
      <c r="AV868" s="5"/>
      <c r="AW868" s="5"/>
      <c r="AX868" s="26"/>
      <c r="AY868" s="26"/>
      <c r="AZ868" s="32"/>
      <c r="BA868" s="32"/>
      <c r="DD868" s="164"/>
    </row>
    <row r="869" spans="1:108">
      <c r="A869" s="10"/>
      <c r="E869" s="164"/>
      <c r="J869" s="9"/>
      <c r="K869" s="9"/>
      <c r="L869" s="164"/>
      <c r="N869" s="51"/>
      <c r="O869" s="51"/>
      <c r="T869" s="5"/>
      <c r="U869" s="5"/>
      <c r="V869" s="26"/>
      <c r="W869" s="26"/>
      <c r="X869" s="26"/>
      <c r="Y869" s="26"/>
      <c r="Z869" s="26"/>
      <c r="AA869" s="9"/>
      <c r="AB869" s="164"/>
      <c r="AC869" s="9"/>
      <c r="AD869" s="9"/>
      <c r="AE869" s="9"/>
      <c r="AI869" s="26"/>
      <c r="AJ869" s="26"/>
      <c r="AK869" s="32"/>
      <c r="AL869" s="32"/>
      <c r="AM869" s="26"/>
      <c r="AN869" s="26"/>
      <c r="AO869" s="26"/>
      <c r="AP869" s="9"/>
      <c r="AQ869" s="9"/>
      <c r="AR869" s="9"/>
      <c r="AV869" s="5"/>
      <c r="AW869" s="5"/>
      <c r="AX869" s="26"/>
      <c r="AY869" s="26"/>
      <c r="AZ869" s="32"/>
      <c r="BA869" s="32"/>
      <c r="DD869" s="164"/>
    </row>
    <row r="870" spans="1:108">
      <c r="A870" s="10"/>
      <c r="E870" s="164"/>
      <c r="J870" s="9"/>
      <c r="K870" s="9"/>
      <c r="L870" s="164"/>
      <c r="N870" s="51"/>
      <c r="O870" s="51"/>
      <c r="T870" s="5"/>
      <c r="U870" s="5"/>
      <c r="V870" s="26"/>
      <c r="W870" s="26"/>
      <c r="X870" s="26"/>
      <c r="Y870" s="26"/>
      <c r="Z870" s="26"/>
      <c r="AA870" s="9"/>
      <c r="AB870" s="164"/>
      <c r="AC870" s="9"/>
      <c r="AD870" s="9"/>
      <c r="AE870" s="9"/>
      <c r="AI870" s="26"/>
      <c r="AJ870" s="26"/>
      <c r="AK870" s="32"/>
      <c r="AL870" s="32"/>
      <c r="AM870" s="26"/>
      <c r="AN870" s="26"/>
      <c r="AO870" s="26"/>
      <c r="AP870" s="9"/>
      <c r="AQ870" s="9"/>
      <c r="AR870" s="9"/>
      <c r="AV870" s="5"/>
      <c r="AW870" s="5"/>
      <c r="AX870" s="26"/>
      <c r="AY870" s="26"/>
      <c r="AZ870" s="32"/>
      <c r="BA870" s="32"/>
      <c r="DD870" s="164"/>
    </row>
    <row r="871" spans="1:108">
      <c r="A871" s="10"/>
      <c r="E871" s="164"/>
      <c r="J871" s="9"/>
      <c r="K871" s="9"/>
      <c r="L871" s="164"/>
      <c r="N871" s="51"/>
      <c r="O871" s="51"/>
      <c r="T871" s="5"/>
      <c r="U871" s="5"/>
      <c r="V871" s="26"/>
      <c r="W871" s="26"/>
      <c r="X871" s="26"/>
      <c r="Y871" s="26"/>
      <c r="Z871" s="26"/>
      <c r="AA871" s="9"/>
      <c r="AB871" s="164"/>
      <c r="AC871" s="9"/>
      <c r="AD871" s="9"/>
      <c r="AE871" s="9"/>
      <c r="AI871" s="26"/>
      <c r="AJ871" s="26"/>
      <c r="AK871" s="32"/>
      <c r="AL871" s="32"/>
      <c r="AM871" s="26"/>
      <c r="AN871" s="26"/>
      <c r="AO871" s="26"/>
      <c r="AP871" s="9"/>
      <c r="AQ871" s="9"/>
      <c r="AR871" s="9"/>
      <c r="AV871" s="5"/>
      <c r="AW871" s="5"/>
      <c r="AX871" s="26"/>
      <c r="AY871" s="26"/>
      <c r="AZ871" s="32"/>
      <c r="BA871" s="32"/>
      <c r="DD871" s="164"/>
    </row>
    <row r="872" spans="1:108">
      <c r="A872" s="10"/>
      <c r="E872" s="164"/>
      <c r="J872" s="9"/>
      <c r="K872" s="9"/>
      <c r="L872" s="164"/>
      <c r="N872" s="51"/>
      <c r="O872" s="51"/>
      <c r="T872" s="5"/>
      <c r="U872" s="5"/>
      <c r="V872" s="26"/>
      <c r="W872" s="26"/>
      <c r="X872" s="26"/>
      <c r="Y872" s="26"/>
      <c r="Z872" s="26"/>
      <c r="AA872" s="9"/>
      <c r="AB872" s="164"/>
      <c r="AC872" s="9"/>
      <c r="AD872" s="9"/>
      <c r="AE872" s="9"/>
      <c r="AI872" s="26"/>
      <c r="AJ872" s="26"/>
      <c r="AK872" s="32"/>
      <c r="AL872" s="32"/>
      <c r="AM872" s="26"/>
      <c r="AN872" s="26"/>
      <c r="AO872" s="26"/>
      <c r="AP872" s="9"/>
      <c r="AQ872" s="9"/>
      <c r="AR872" s="9"/>
      <c r="AV872" s="5"/>
      <c r="AW872" s="5"/>
      <c r="AX872" s="26"/>
      <c r="AY872" s="26"/>
      <c r="AZ872" s="32"/>
      <c r="BA872" s="32"/>
      <c r="DD872" s="164"/>
    </row>
    <row r="873" spans="1:108">
      <c r="A873" s="10"/>
      <c r="E873" s="164"/>
      <c r="J873" s="9"/>
      <c r="K873" s="9"/>
      <c r="L873" s="164"/>
      <c r="N873" s="51"/>
      <c r="O873" s="51"/>
      <c r="T873" s="5"/>
      <c r="U873" s="5"/>
      <c r="V873" s="26"/>
      <c r="W873" s="26"/>
      <c r="X873" s="26"/>
      <c r="Y873" s="26"/>
      <c r="Z873" s="26"/>
      <c r="AA873" s="9"/>
      <c r="AB873" s="164"/>
      <c r="AC873" s="9"/>
      <c r="AD873" s="9"/>
      <c r="AE873" s="9"/>
      <c r="AI873" s="26"/>
      <c r="AJ873" s="26"/>
      <c r="AK873" s="32"/>
      <c r="AL873" s="32"/>
      <c r="AM873" s="26"/>
      <c r="AN873" s="26"/>
      <c r="AO873" s="26"/>
      <c r="AP873" s="9"/>
      <c r="AQ873" s="9"/>
      <c r="AR873" s="9"/>
      <c r="AV873" s="5"/>
      <c r="AW873" s="5"/>
      <c r="AX873" s="26"/>
      <c r="AY873" s="26"/>
      <c r="AZ873" s="32"/>
      <c r="BA873" s="32"/>
      <c r="DD873" s="164"/>
    </row>
    <row r="874" spans="1:108">
      <c r="A874" s="10"/>
      <c r="E874" s="164"/>
      <c r="J874" s="9"/>
      <c r="K874" s="9"/>
      <c r="L874" s="164"/>
      <c r="N874" s="51"/>
      <c r="O874" s="51"/>
      <c r="T874" s="5"/>
      <c r="U874" s="5"/>
      <c r="V874" s="26"/>
      <c r="W874" s="26"/>
      <c r="X874" s="26"/>
      <c r="Y874" s="26"/>
      <c r="Z874" s="26"/>
      <c r="AA874" s="9"/>
      <c r="AB874" s="164"/>
      <c r="AC874" s="9"/>
      <c r="AD874" s="9"/>
      <c r="AE874" s="9"/>
      <c r="AI874" s="26"/>
      <c r="AJ874" s="26"/>
      <c r="AK874" s="32"/>
      <c r="AL874" s="32"/>
      <c r="AM874" s="26"/>
      <c r="AN874" s="26"/>
      <c r="AO874" s="26"/>
      <c r="AP874" s="9"/>
      <c r="AQ874" s="9"/>
      <c r="AR874" s="9"/>
      <c r="AV874" s="5"/>
      <c r="AW874" s="5"/>
      <c r="AX874" s="26"/>
      <c r="AY874" s="26"/>
      <c r="AZ874" s="32"/>
      <c r="BA874" s="32"/>
      <c r="DD874" s="164"/>
    </row>
    <row r="875" spans="1:108">
      <c r="A875" s="10"/>
      <c r="E875" s="164"/>
      <c r="J875" s="9"/>
      <c r="K875" s="9"/>
      <c r="L875" s="164"/>
      <c r="N875" s="51"/>
      <c r="O875" s="51"/>
      <c r="T875" s="5"/>
      <c r="U875" s="5"/>
      <c r="V875" s="26"/>
      <c r="W875" s="26"/>
      <c r="X875" s="26"/>
      <c r="Y875" s="26"/>
      <c r="Z875" s="26"/>
      <c r="AA875" s="9"/>
      <c r="AB875" s="164"/>
      <c r="AC875" s="9"/>
      <c r="AD875" s="9"/>
      <c r="AE875" s="9"/>
      <c r="AI875" s="26"/>
      <c r="AJ875" s="26"/>
      <c r="AK875" s="32"/>
      <c r="AL875" s="32"/>
      <c r="AM875" s="26"/>
      <c r="AN875" s="26"/>
      <c r="AO875" s="26"/>
      <c r="AP875" s="9"/>
      <c r="AQ875" s="9"/>
      <c r="AR875" s="9"/>
      <c r="AV875" s="5"/>
      <c r="AW875" s="5"/>
      <c r="AX875" s="26"/>
      <c r="AY875" s="26"/>
      <c r="AZ875" s="32"/>
      <c r="BA875" s="32"/>
      <c r="DD875" s="164"/>
    </row>
    <row r="876" spans="1:108">
      <c r="A876" s="10"/>
      <c r="E876" s="164"/>
      <c r="J876" s="9"/>
      <c r="K876" s="9"/>
      <c r="L876" s="164"/>
      <c r="N876" s="51"/>
      <c r="O876" s="51"/>
      <c r="T876" s="5"/>
      <c r="U876" s="5"/>
      <c r="V876" s="26"/>
      <c r="W876" s="26"/>
      <c r="X876" s="26"/>
      <c r="Y876" s="26"/>
      <c r="Z876" s="26"/>
      <c r="AA876" s="9"/>
      <c r="AB876" s="164"/>
      <c r="AC876" s="9"/>
      <c r="AD876" s="9"/>
      <c r="AE876" s="9"/>
      <c r="AI876" s="26"/>
      <c r="AJ876" s="26"/>
      <c r="AK876" s="32"/>
      <c r="AL876" s="32"/>
      <c r="AM876" s="26"/>
      <c r="AN876" s="26"/>
      <c r="AO876" s="26"/>
      <c r="AP876" s="9"/>
      <c r="AQ876" s="9"/>
      <c r="AR876" s="9"/>
      <c r="AV876" s="5"/>
      <c r="AW876" s="5"/>
      <c r="AX876" s="26"/>
      <c r="AY876" s="26"/>
      <c r="AZ876" s="32"/>
      <c r="BA876" s="32"/>
      <c r="DD876" s="164"/>
    </row>
    <row r="877" spans="1:108">
      <c r="A877" s="10"/>
      <c r="E877" s="164"/>
      <c r="J877" s="9"/>
      <c r="K877" s="9"/>
      <c r="L877" s="164"/>
      <c r="N877" s="51"/>
      <c r="O877" s="51"/>
      <c r="T877" s="5"/>
      <c r="U877" s="5"/>
      <c r="V877" s="26"/>
      <c r="W877" s="26"/>
      <c r="X877" s="26"/>
      <c r="Y877" s="26"/>
      <c r="Z877" s="26"/>
      <c r="AA877" s="9"/>
      <c r="AB877" s="164"/>
      <c r="AC877" s="9"/>
      <c r="AD877" s="9"/>
      <c r="AE877" s="9"/>
      <c r="AI877" s="26"/>
      <c r="AJ877" s="26"/>
      <c r="AK877" s="32"/>
      <c r="AL877" s="32"/>
      <c r="AM877" s="26"/>
      <c r="AN877" s="26"/>
      <c r="AO877" s="26"/>
      <c r="AP877" s="9"/>
      <c r="AQ877" s="9"/>
      <c r="AR877" s="9"/>
      <c r="AV877" s="5"/>
      <c r="AW877" s="5"/>
      <c r="AX877" s="26"/>
      <c r="AY877" s="26"/>
      <c r="AZ877" s="32"/>
      <c r="BA877" s="32"/>
      <c r="DD877" s="164"/>
    </row>
    <row r="878" spans="1:108">
      <c r="A878" s="10"/>
      <c r="E878" s="164"/>
      <c r="J878" s="9"/>
      <c r="K878" s="9"/>
      <c r="L878" s="164"/>
      <c r="N878" s="51"/>
      <c r="O878" s="51"/>
      <c r="T878" s="5"/>
      <c r="U878" s="5"/>
      <c r="V878" s="26"/>
      <c r="W878" s="26"/>
      <c r="X878" s="26"/>
      <c r="Y878" s="26"/>
      <c r="Z878" s="26"/>
      <c r="AA878" s="9"/>
      <c r="AB878" s="164"/>
      <c r="AC878" s="9"/>
      <c r="AD878" s="9"/>
      <c r="AE878" s="9"/>
      <c r="AI878" s="26"/>
      <c r="AJ878" s="26"/>
      <c r="AK878" s="32"/>
      <c r="AL878" s="32"/>
      <c r="AM878" s="26"/>
      <c r="AN878" s="26"/>
      <c r="AO878" s="26"/>
      <c r="AP878" s="9"/>
      <c r="AQ878" s="9"/>
      <c r="AR878" s="9"/>
      <c r="AV878" s="5"/>
      <c r="AW878" s="5"/>
      <c r="AX878" s="26"/>
      <c r="AY878" s="26"/>
      <c r="AZ878" s="32"/>
      <c r="BA878" s="32"/>
      <c r="DD878" s="164"/>
    </row>
    <row r="879" spans="1:108">
      <c r="A879" s="10"/>
      <c r="E879" s="164"/>
      <c r="J879" s="9"/>
      <c r="K879" s="9"/>
      <c r="L879" s="164"/>
      <c r="N879" s="51"/>
      <c r="O879" s="51"/>
      <c r="T879" s="5"/>
      <c r="U879" s="5"/>
      <c r="V879" s="26"/>
      <c r="W879" s="26"/>
      <c r="X879" s="26"/>
      <c r="Y879" s="26"/>
      <c r="Z879" s="26"/>
      <c r="AA879" s="9"/>
      <c r="AB879" s="164"/>
      <c r="AC879" s="9"/>
      <c r="AD879" s="9"/>
      <c r="AE879" s="9"/>
      <c r="AI879" s="26"/>
      <c r="AJ879" s="26"/>
      <c r="AK879" s="32"/>
      <c r="AL879" s="32"/>
      <c r="AM879" s="26"/>
      <c r="AN879" s="26"/>
      <c r="AO879" s="26"/>
      <c r="AP879" s="9"/>
      <c r="AQ879" s="9"/>
      <c r="AR879" s="9"/>
      <c r="AV879" s="5"/>
      <c r="AW879" s="5"/>
      <c r="AX879" s="26"/>
      <c r="AY879" s="26"/>
      <c r="AZ879" s="32"/>
      <c r="BA879" s="32"/>
      <c r="DD879" s="164"/>
    </row>
    <row r="880" spans="1:108">
      <c r="A880" s="10"/>
      <c r="E880" s="164"/>
      <c r="J880" s="9"/>
      <c r="K880" s="9"/>
      <c r="L880" s="164"/>
      <c r="N880" s="51"/>
      <c r="O880" s="51"/>
      <c r="T880" s="5"/>
      <c r="U880" s="5"/>
      <c r="V880" s="26"/>
      <c r="W880" s="26"/>
      <c r="X880" s="26"/>
      <c r="Y880" s="26"/>
      <c r="Z880" s="26"/>
      <c r="AA880" s="9"/>
      <c r="AB880" s="164"/>
      <c r="AC880" s="9"/>
      <c r="AD880" s="9"/>
      <c r="AE880" s="9"/>
      <c r="AI880" s="26"/>
      <c r="AJ880" s="26"/>
      <c r="AK880" s="32"/>
      <c r="AL880" s="32"/>
      <c r="AM880" s="26"/>
      <c r="AN880" s="26"/>
      <c r="AO880" s="26"/>
      <c r="AP880" s="9"/>
      <c r="AQ880" s="9"/>
      <c r="AR880" s="9"/>
      <c r="AV880" s="5"/>
      <c r="AW880" s="5"/>
      <c r="AX880" s="26"/>
      <c r="AY880" s="26"/>
      <c r="AZ880" s="32"/>
      <c r="BA880" s="32"/>
      <c r="DD880" s="164"/>
    </row>
    <row r="881" spans="1:108">
      <c r="A881" s="10"/>
      <c r="E881" s="164"/>
      <c r="J881" s="9"/>
      <c r="K881" s="9"/>
      <c r="L881" s="164"/>
      <c r="N881" s="51"/>
      <c r="O881" s="51"/>
      <c r="T881" s="5"/>
      <c r="U881" s="5"/>
      <c r="V881" s="26"/>
      <c r="W881" s="26"/>
      <c r="X881" s="26"/>
      <c r="Y881" s="26"/>
      <c r="Z881" s="26"/>
      <c r="AA881" s="9"/>
      <c r="AB881" s="164"/>
      <c r="AC881" s="9"/>
      <c r="AD881" s="9"/>
      <c r="AE881" s="9"/>
      <c r="AI881" s="26"/>
      <c r="AJ881" s="26"/>
      <c r="AK881" s="32"/>
      <c r="AL881" s="32"/>
      <c r="AM881" s="26"/>
      <c r="AN881" s="26"/>
      <c r="AO881" s="26"/>
      <c r="AP881" s="9"/>
      <c r="AQ881" s="9"/>
      <c r="AR881" s="9"/>
      <c r="AV881" s="5"/>
      <c r="AW881" s="5"/>
      <c r="AX881" s="26"/>
      <c r="AY881" s="26"/>
      <c r="AZ881" s="32"/>
      <c r="BA881" s="32"/>
      <c r="DD881" s="164"/>
    </row>
    <row r="882" spans="1:108">
      <c r="A882" s="10"/>
      <c r="E882" s="164"/>
      <c r="J882" s="9"/>
      <c r="K882" s="9"/>
      <c r="L882" s="164"/>
      <c r="N882" s="51"/>
      <c r="O882" s="51"/>
      <c r="T882" s="5"/>
      <c r="U882" s="5"/>
      <c r="V882" s="26"/>
      <c r="W882" s="26"/>
      <c r="X882" s="26"/>
      <c r="Y882" s="26"/>
      <c r="Z882" s="26"/>
      <c r="AA882" s="9"/>
      <c r="AB882" s="164"/>
      <c r="AC882" s="9"/>
      <c r="AD882" s="9"/>
      <c r="AE882" s="9"/>
      <c r="AI882" s="26"/>
      <c r="AJ882" s="26"/>
      <c r="AK882" s="32"/>
      <c r="AL882" s="32"/>
      <c r="AM882" s="26"/>
      <c r="AN882" s="26"/>
      <c r="AO882" s="26"/>
      <c r="AP882" s="9"/>
      <c r="AQ882" s="9"/>
      <c r="AR882" s="9"/>
      <c r="AV882" s="5"/>
      <c r="AW882" s="5"/>
      <c r="AX882" s="26"/>
      <c r="AY882" s="26"/>
      <c r="AZ882" s="32"/>
      <c r="BA882" s="32"/>
      <c r="DD882" s="164"/>
    </row>
    <row r="883" spans="1:108">
      <c r="A883" s="10"/>
      <c r="E883" s="164"/>
      <c r="J883" s="9"/>
      <c r="K883" s="9"/>
      <c r="L883" s="164"/>
      <c r="N883" s="51"/>
      <c r="O883" s="51"/>
      <c r="T883" s="5"/>
      <c r="U883" s="5"/>
      <c r="V883" s="26"/>
      <c r="W883" s="26"/>
      <c r="X883" s="26"/>
      <c r="Y883" s="26"/>
      <c r="Z883" s="26"/>
      <c r="AA883" s="9"/>
      <c r="AB883" s="164"/>
      <c r="AC883" s="9"/>
      <c r="AD883" s="9"/>
      <c r="AE883" s="9"/>
      <c r="AI883" s="26"/>
      <c r="AJ883" s="26"/>
      <c r="AK883" s="32"/>
      <c r="AL883" s="32"/>
      <c r="AM883" s="26"/>
      <c r="AN883" s="26"/>
      <c r="AO883" s="26"/>
      <c r="AP883" s="9"/>
      <c r="AQ883" s="9"/>
      <c r="AR883" s="9"/>
      <c r="AV883" s="5"/>
      <c r="AW883" s="5"/>
      <c r="AX883" s="26"/>
      <c r="AY883" s="26"/>
      <c r="AZ883" s="32"/>
      <c r="BA883" s="32"/>
      <c r="DD883" s="164"/>
    </row>
    <row r="884" spans="1:108">
      <c r="A884" s="10"/>
      <c r="E884" s="164"/>
      <c r="J884" s="9"/>
      <c r="K884" s="9"/>
      <c r="L884" s="164"/>
      <c r="N884" s="51"/>
      <c r="O884" s="51"/>
      <c r="T884" s="5"/>
      <c r="U884" s="5"/>
      <c r="V884" s="26"/>
      <c r="W884" s="26"/>
      <c r="X884" s="26"/>
      <c r="Y884" s="26"/>
      <c r="Z884" s="26"/>
      <c r="AA884" s="9"/>
      <c r="AB884" s="164"/>
      <c r="AC884" s="9"/>
      <c r="AD884" s="9"/>
      <c r="AE884" s="9"/>
      <c r="AI884" s="26"/>
      <c r="AJ884" s="26"/>
      <c r="AK884" s="32"/>
      <c r="AL884" s="32"/>
      <c r="AM884" s="26"/>
      <c r="AN884" s="26"/>
      <c r="AO884" s="26"/>
      <c r="AP884" s="9"/>
      <c r="AQ884" s="9"/>
      <c r="AR884" s="9"/>
      <c r="AV884" s="5"/>
      <c r="AW884" s="5"/>
      <c r="AX884" s="26"/>
      <c r="AY884" s="26"/>
      <c r="AZ884" s="32"/>
      <c r="BA884" s="32"/>
      <c r="DD884" s="164"/>
    </row>
    <row r="885" spans="1:108">
      <c r="A885" s="10"/>
      <c r="E885" s="164"/>
      <c r="J885" s="9"/>
      <c r="K885" s="9"/>
      <c r="L885" s="164"/>
      <c r="N885" s="51"/>
      <c r="O885" s="51"/>
      <c r="T885" s="5"/>
      <c r="U885" s="5"/>
      <c r="V885" s="26"/>
      <c r="W885" s="26"/>
      <c r="X885" s="26"/>
      <c r="Y885" s="26"/>
      <c r="Z885" s="26"/>
      <c r="AA885" s="9"/>
      <c r="AB885" s="164"/>
      <c r="AC885" s="9"/>
      <c r="AD885" s="9"/>
      <c r="AE885" s="9"/>
      <c r="AI885" s="26"/>
      <c r="AJ885" s="26"/>
      <c r="AK885" s="32"/>
      <c r="AL885" s="32"/>
      <c r="AM885" s="26"/>
      <c r="AN885" s="26"/>
      <c r="AO885" s="26"/>
      <c r="AP885" s="9"/>
      <c r="AQ885" s="9"/>
      <c r="AR885" s="9"/>
      <c r="AV885" s="5"/>
      <c r="AW885" s="5"/>
      <c r="AX885" s="26"/>
      <c r="AY885" s="26"/>
      <c r="AZ885" s="32"/>
      <c r="BA885" s="32"/>
      <c r="DD885" s="164"/>
    </row>
    <row r="886" spans="1:108">
      <c r="A886" s="10"/>
      <c r="E886" s="164"/>
      <c r="J886" s="9"/>
      <c r="K886" s="9"/>
      <c r="L886" s="164"/>
      <c r="N886" s="51"/>
      <c r="O886" s="51"/>
      <c r="T886" s="5"/>
      <c r="U886" s="5"/>
      <c r="V886" s="26"/>
      <c r="W886" s="26"/>
      <c r="X886" s="26"/>
      <c r="Y886" s="26"/>
      <c r="Z886" s="26"/>
      <c r="AA886" s="9"/>
      <c r="AB886" s="164"/>
      <c r="AC886" s="9"/>
      <c r="AD886" s="9"/>
      <c r="AE886" s="9"/>
      <c r="AI886" s="26"/>
      <c r="AJ886" s="26"/>
      <c r="AK886" s="32"/>
      <c r="AL886" s="32"/>
      <c r="AM886" s="26"/>
      <c r="AN886" s="26"/>
      <c r="AO886" s="26"/>
      <c r="AP886" s="9"/>
      <c r="AQ886" s="9"/>
      <c r="AR886" s="9"/>
      <c r="AV886" s="5"/>
      <c r="AW886" s="5"/>
      <c r="AX886" s="26"/>
      <c r="AY886" s="26"/>
      <c r="AZ886" s="32"/>
      <c r="BA886" s="32"/>
      <c r="DD886" s="164"/>
    </row>
    <row r="887" spans="1:108">
      <c r="A887" s="10"/>
      <c r="E887" s="164"/>
      <c r="J887" s="9"/>
      <c r="K887" s="9"/>
      <c r="L887" s="164"/>
      <c r="N887" s="51"/>
      <c r="O887" s="51"/>
      <c r="T887" s="5"/>
      <c r="U887" s="5"/>
      <c r="V887" s="26"/>
      <c r="W887" s="26"/>
      <c r="X887" s="26"/>
      <c r="Y887" s="26"/>
      <c r="Z887" s="26"/>
      <c r="AA887" s="9"/>
      <c r="AB887" s="164"/>
      <c r="AC887" s="9"/>
      <c r="AD887" s="9"/>
      <c r="AE887" s="9"/>
      <c r="AI887" s="26"/>
      <c r="AJ887" s="26"/>
      <c r="AK887" s="32"/>
      <c r="AL887" s="32"/>
      <c r="AM887" s="26"/>
      <c r="AN887" s="26"/>
      <c r="AO887" s="26"/>
      <c r="AP887" s="9"/>
      <c r="AQ887" s="9"/>
      <c r="AR887" s="9"/>
      <c r="AV887" s="5"/>
      <c r="AW887" s="5"/>
      <c r="AX887" s="26"/>
      <c r="AY887" s="26"/>
      <c r="AZ887" s="32"/>
      <c r="BA887" s="32"/>
      <c r="DD887" s="164"/>
    </row>
    <row r="888" spans="1:108">
      <c r="A888" s="10"/>
      <c r="E888" s="164"/>
      <c r="J888" s="9"/>
      <c r="K888" s="9"/>
      <c r="L888" s="164"/>
      <c r="N888" s="51"/>
      <c r="O888" s="51"/>
      <c r="T888" s="5"/>
      <c r="U888" s="5"/>
      <c r="V888" s="26"/>
      <c r="W888" s="26"/>
      <c r="X888" s="26"/>
      <c r="Y888" s="26"/>
      <c r="Z888" s="26"/>
      <c r="AA888" s="9"/>
      <c r="AB888" s="164"/>
      <c r="AC888" s="9"/>
      <c r="AD888" s="9"/>
      <c r="AE888" s="9"/>
      <c r="AI888" s="26"/>
      <c r="AJ888" s="26"/>
      <c r="AK888" s="32"/>
      <c r="AL888" s="32"/>
      <c r="AM888" s="26"/>
      <c r="AN888" s="26"/>
      <c r="AO888" s="26"/>
      <c r="AP888" s="9"/>
      <c r="AQ888" s="9"/>
      <c r="AR888" s="9"/>
      <c r="AV888" s="5"/>
      <c r="AW888" s="5"/>
      <c r="AX888" s="26"/>
      <c r="AY888" s="26"/>
      <c r="AZ888" s="32"/>
      <c r="BA888" s="32"/>
      <c r="DD888" s="164"/>
    </row>
    <row r="889" spans="1:108">
      <c r="A889" s="10"/>
      <c r="E889" s="164"/>
      <c r="J889" s="9"/>
      <c r="K889" s="9"/>
      <c r="L889" s="164"/>
      <c r="N889" s="51"/>
      <c r="O889" s="51"/>
      <c r="T889" s="5"/>
      <c r="U889" s="5"/>
      <c r="V889" s="26"/>
      <c r="W889" s="26"/>
      <c r="X889" s="26"/>
      <c r="Y889" s="26"/>
      <c r="Z889" s="26"/>
      <c r="AA889" s="9"/>
      <c r="AB889" s="164"/>
      <c r="AC889" s="9"/>
      <c r="AD889" s="9"/>
      <c r="AE889" s="9"/>
      <c r="AI889" s="26"/>
      <c r="AJ889" s="26"/>
      <c r="AK889" s="32"/>
      <c r="AL889" s="32"/>
      <c r="AM889" s="26"/>
      <c r="AN889" s="26"/>
      <c r="AO889" s="26"/>
      <c r="AP889" s="9"/>
      <c r="AQ889" s="9"/>
      <c r="AR889" s="9"/>
      <c r="AV889" s="5"/>
      <c r="AW889" s="5"/>
      <c r="AX889" s="26"/>
      <c r="AY889" s="26"/>
      <c r="AZ889" s="32"/>
      <c r="BA889" s="32"/>
      <c r="DD889" s="164"/>
    </row>
    <row r="890" spans="1:108">
      <c r="A890" s="10"/>
      <c r="E890" s="164"/>
      <c r="J890" s="9"/>
      <c r="K890" s="9"/>
      <c r="L890" s="164"/>
      <c r="N890" s="51"/>
      <c r="O890" s="51"/>
      <c r="T890" s="5"/>
      <c r="U890" s="5"/>
      <c r="V890" s="26"/>
      <c r="W890" s="26"/>
      <c r="X890" s="26"/>
      <c r="Y890" s="26"/>
      <c r="Z890" s="26"/>
      <c r="AA890" s="9"/>
      <c r="AB890" s="164"/>
      <c r="AC890" s="9"/>
      <c r="AD890" s="9"/>
      <c r="AE890" s="9"/>
      <c r="AI890" s="26"/>
      <c r="AJ890" s="26"/>
      <c r="AK890" s="32"/>
      <c r="AL890" s="32"/>
      <c r="AM890" s="26"/>
      <c r="AN890" s="26"/>
      <c r="AO890" s="26"/>
      <c r="AP890" s="9"/>
      <c r="AQ890" s="9"/>
      <c r="AR890" s="9"/>
      <c r="AV890" s="5"/>
      <c r="AW890" s="5"/>
      <c r="AX890" s="26"/>
      <c r="AY890" s="26"/>
      <c r="AZ890" s="32"/>
      <c r="BA890" s="32"/>
      <c r="DD890" s="164"/>
    </row>
    <row r="891" spans="1:108">
      <c r="A891" s="10"/>
      <c r="E891" s="164"/>
      <c r="J891" s="9"/>
      <c r="K891" s="9"/>
      <c r="L891" s="164"/>
      <c r="N891" s="51"/>
      <c r="O891" s="51"/>
      <c r="T891" s="5"/>
      <c r="U891" s="5"/>
      <c r="V891" s="26"/>
      <c r="W891" s="26"/>
      <c r="X891" s="26"/>
      <c r="Y891" s="26"/>
      <c r="Z891" s="26"/>
      <c r="AA891" s="9"/>
      <c r="AB891" s="164"/>
      <c r="AC891" s="9"/>
      <c r="AD891" s="9"/>
      <c r="AE891" s="9"/>
      <c r="AI891" s="26"/>
      <c r="AJ891" s="26"/>
      <c r="AK891" s="32"/>
      <c r="AL891" s="32"/>
      <c r="AM891" s="26"/>
      <c r="AN891" s="26"/>
      <c r="AO891" s="26"/>
      <c r="AP891" s="9"/>
      <c r="AQ891" s="9"/>
      <c r="AR891" s="9"/>
      <c r="AV891" s="5"/>
      <c r="AW891" s="5"/>
      <c r="AX891" s="26"/>
      <c r="AY891" s="26"/>
      <c r="AZ891" s="32"/>
      <c r="BA891" s="32"/>
      <c r="DD891" s="164"/>
    </row>
    <row r="892" spans="1:108">
      <c r="A892" s="10"/>
      <c r="E892" s="164"/>
      <c r="J892" s="9"/>
      <c r="K892" s="9"/>
      <c r="L892" s="164"/>
      <c r="N892" s="51"/>
      <c r="O892" s="51"/>
      <c r="T892" s="5"/>
      <c r="U892" s="5"/>
      <c r="V892" s="26"/>
      <c r="W892" s="26"/>
      <c r="X892" s="26"/>
      <c r="Y892" s="26"/>
      <c r="Z892" s="26"/>
      <c r="AA892" s="9"/>
      <c r="AB892" s="164"/>
      <c r="AC892" s="9"/>
      <c r="AD892" s="9"/>
      <c r="AE892" s="9"/>
      <c r="AI892" s="26"/>
      <c r="AJ892" s="26"/>
      <c r="AK892" s="32"/>
      <c r="AL892" s="32"/>
      <c r="AM892" s="26"/>
      <c r="AN892" s="26"/>
      <c r="AO892" s="26"/>
      <c r="AP892" s="9"/>
      <c r="AQ892" s="9"/>
      <c r="AR892" s="9"/>
      <c r="AV892" s="5"/>
      <c r="AW892" s="5"/>
      <c r="AX892" s="26"/>
      <c r="AY892" s="26"/>
      <c r="AZ892" s="32"/>
      <c r="BA892" s="32"/>
      <c r="DD892" s="164"/>
    </row>
    <row r="893" spans="1:108">
      <c r="A893" s="10"/>
      <c r="E893" s="164"/>
      <c r="J893" s="9"/>
      <c r="K893" s="9"/>
      <c r="L893" s="164"/>
      <c r="N893" s="51"/>
      <c r="O893" s="51"/>
      <c r="T893" s="5"/>
      <c r="U893" s="5"/>
      <c r="V893" s="26"/>
      <c r="W893" s="26"/>
      <c r="X893" s="26"/>
      <c r="Y893" s="26"/>
      <c r="Z893" s="26"/>
      <c r="AA893" s="9"/>
      <c r="AB893" s="164"/>
      <c r="AC893" s="9"/>
      <c r="AD893" s="9"/>
      <c r="AE893" s="9"/>
      <c r="AI893" s="26"/>
      <c r="AJ893" s="26"/>
      <c r="AK893" s="32"/>
      <c r="AL893" s="32"/>
      <c r="AM893" s="26"/>
      <c r="AN893" s="26"/>
      <c r="AO893" s="26"/>
      <c r="AP893" s="9"/>
      <c r="AQ893" s="9"/>
      <c r="AR893" s="9"/>
      <c r="AV893" s="5"/>
      <c r="AW893" s="5"/>
      <c r="AX893" s="26"/>
      <c r="AY893" s="26"/>
      <c r="AZ893" s="32"/>
      <c r="BA893" s="32"/>
      <c r="DD893" s="164"/>
    </row>
    <row r="894" spans="1:108">
      <c r="A894" s="10"/>
      <c r="E894" s="164"/>
      <c r="J894" s="9"/>
      <c r="K894" s="9"/>
      <c r="L894" s="164"/>
      <c r="N894" s="51"/>
      <c r="O894" s="51"/>
      <c r="T894" s="5"/>
      <c r="U894" s="5"/>
      <c r="V894" s="26"/>
      <c r="W894" s="26"/>
      <c r="X894" s="26"/>
      <c r="Y894" s="26"/>
      <c r="Z894" s="26"/>
      <c r="AA894" s="9"/>
      <c r="AB894" s="164"/>
      <c r="AC894" s="9"/>
      <c r="AD894" s="9"/>
      <c r="AE894" s="9"/>
      <c r="AI894" s="26"/>
      <c r="AJ894" s="26"/>
      <c r="AK894" s="32"/>
      <c r="AL894" s="32"/>
      <c r="AM894" s="26"/>
      <c r="AN894" s="26"/>
      <c r="AO894" s="26"/>
      <c r="AP894" s="9"/>
      <c r="AQ894" s="9"/>
      <c r="AR894" s="9"/>
      <c r="AV894" s="5"/>
      <c r="AW894" s="5"/>
      <c r="AX894" s="26"/>
      <c r="AY894" s="26"/>
      <c r="AZ894" s="32"/>
      <c r="BA894" s="32"/>
      <c r="DD894" s="164"/>
    </row>
    <row r="895" spans="1:108">
      <c r="A895" s="10"/>
      <c r="E895" s="164"/>
      <c r="J895" s="9"/>
      <c r="K895" s="9"/>
      <c r="L895" s="164"/>
      <c r="N895" s="51"/>
      <c r="O895" s="51"/>
      <c r="T895" s="5"/>
      <c r="U895" s="5"/>
      <c r="V895" s="26"/>
      <c r="W895" s="26"/>
      <c r="X895" s="26"/>
      <c r="Y895" s="26"/>
      <c r="Z895" s="26"/>
      <c r="AA895" s="9"/>
      <c r="AB895" s="164"/>
      <c r="AC895" s="9"/>
      <c r="AD895" s="9"/>
      <c r="AE895" s="9"/>
      <c r="AI895" s="26"/>
      <c r="AJ895" s="26"/>
      <c r="AK895" s="32"/>
      <c r="AL895" s="32"/>
      <c r="AM895" s="26"/>
      <c r="AN895" s="26"/>
      <c r="AO895" s="26"/>
      <c r="AP895" s="9"/>
      <c r="AQ895" s="9"/>
      <c r="AR895" s="9"/>
      <c r="AV895" s="5"/>
      <c r="AW895" s="5"/>
      <c r="AX895" s="26"/>
      <c r="AY895" s="26"/>
      <c r="AZ895" s="32"/>
      <c r="BA895" s="32"/>
      <c r="DD895" s="164"/>
    </row>
    <row r="896" spans="1:108">
      <c r="A896" s="10"/>
      <c r="E896" s="164"/>
      <c r="J896" s="9"/>
      <c r="K896" s="9"/>
      <c r="L896" s="164"/>
      <c r="N896" s="51"/>
      <c r="O896" s="51"/>
      <c r="T896" s="5"/>
      <c r="U896" s="5"/>
      <c r="V896" s="26"/>
      <c r="W896" s="26"/>
      <c r="X896" s="26"/>
      <c r="Y896" s="26"/>
      <c r="Z896" s="26"/>
      <c r="AA896" s="9"/>
      <c r="AB896" s="164"/>
      <c r="AC896" s="9"/>
      <c r="AD896" s="9"/>
      <c r="AE896" s="9"/>
      <c r="AI896" s="26"/>
      <c r="AJ896" s="26"/>
      <c r="AK896" s="32"/>
      <c r="AL896" s="32"/>
      <c r="AM896" s="26"/>
      <c r="AN896" s="26"/>
      <c r="AO896" s="26"/>
      <c r="AP896" s="9"/>
      <c r="AQ896" s="9"/>
      <c r="AR896" s="9"/>
      <c r="AV896" s="5"/>
      <c r="AW896" s="5"/>
      <c r="AX896" s="26"/>
      <c r="AY896" s="26"/>
      <c r="AZ896" s="32"/>
      <c r="BA896" s="32"/>
      <c r="DD896" s="164"/>
    </row>
    <row r="897" spans="1:108">
      <c r="A897" s="10"/>
      <c r="E897" s="164"/>
      <c r="J897" s="9"/>
      <c r="K897" s="9"/>
      <c r="L897" s="164"/>
      <c r="N897" s="51"/>
      <c r="O897" s="51"/>
      <c r="T897" s="5"/>
      <c r="U897" s="5"/>
      <c r="V897" s="26"/>
      <c r="W897" s="26"/>
      <c r="X897" s="26"/>
      <c r="Y897" s="26"/>
      <c r="Z897" s="26"/>
      <c r="AA897" s="9"/>
      <c r="AB897" s="164"/>
      <c r="AC897" s="9"/>
      <c r="AD897" s="9"/>
      <c r="AE897" s="9"/>
      <c r="AI897" s="26"/>
      <c r="AJ897" s="26"/>
      <c r="AK897" s="32"/>
      <c r="AL897" s="32"/>
      <c r="AM897" s="26"/>
      <c r="AN897" s="26"/>
      <c r="AO897" s="26"/>
      <c r="AP897" s="9"/>
      <c r="AQ897" s="9"/>
      <c r="AR897" s="9"/>
      <c r="AV897" s="5"/>
      <c r="AW897" s="5"/>
      <c r="AX897" s="26"/>
      <c r="AY897" s="26"/>
      <c r="AZ897" s="32"/>
      <c r="BA897" s="32"/>
      <c r="DD897" s="164"/>
    </row>
    <row r="898" spans="1:108">
      <c r="A898" s="10"/>
      <c r="E898" s="164"/>
      <c r="J898" s="9"/>
      <c r="K898" s="9"/>
      <c r="L898" s="164"/>
      <c r="N898" s="51"/>
      <c r="O898" s="51"/>
      <c r="T898" s="5"/>
      <c r="U898" s="5"/>
      <c r="V898" s="26"/>
      <c r="W898" s="26"/>
      <c r="X898" s="26"/>
      <c r="Y898" s="26"/>
      <c r="Z898" s="26"/>
      <c r="AA898" s="9"/>
      <c r="AB898" s="164"/>
      <c r="AC898" s="9"/>
      <c r="AD898" s="9"/>
      <c r="AE898" s="9"/>
      <c r="AI898" s="26"/>
      <c r="AJ898" s="26"/>
      <c r="AK898" s="32"/>
      <c r="AL898" s="32"/>
      <c r="AM898" s="26"/>
      <c r="AN898" s="26"/>
      <c r="AO898" s="26"/>
      <c r="AP898" s="9"/>
      <c r="AQ898" s="9"/>
      <c r="AR898" s="9"/>
      <c r="AV898" s="5"/>
      <c r="AW898" s="5"/>
      <c r="AX898" s="26"/>
      <c r="AY898" s="26"/>
      <c r="AZ898" s="32"/>
      <c r="BA898" s="32"/>
      <c r="DD898" s="164"/>
    </row>
    <row r="899" spans="1:108">
      <c r="A899" s="10"/>
      <c r="E899" s="164"/>
      <c r="J899" s="9"/>
      <c r="K899" s="9"/>
      <c r="L899" s="164"/>
      <c r="N899" s="51"/>
      <c r="O899" s="51"/>
      <c r="T899" s="5"/>
      <c r="U899" s="5"/>
      <c r="V899" s="26"/>
      <c r="W899" s="26"/>
      <c r="X899" s="26"/>
      <c r="Y899" s="26"/>
      <c r="Z899" s="26"/>
      <c r="AA899" s="9"/>
      <c r="AB899" s="164"/>
      <c r="AC899" s="9"/>
      <c r="AD899" s="9"/>
      <c r="AE899" s="9"/>
      <c r="AI899" s="26"/>
      <c r="AJ899" s="26"/>
      <c r="AK899" s="32"/>
      <c r="AL899" s="32"/>
      <c r="AM899" s="26"/>
      <c r="AN899" s="26"/>
      <c r="AO899" s="26"/>
      <c r="AP899" s="9"/>
      <c r="AQ899" s="9"/>
      <c r="AR899" s="9"/>
      <c r="AV899" s="5"/>
      <c r="AW899" s="5"/>
      <c r="AX899" s="26"/>
      <c r="AY899" s="26"/>
      <c r="AZ899" s="32"/>
      <c r="BA899" s="32"/>
      <c r="DD899" s="164"/>
    </row>
    <row r="900" spans="1:108">
      <c r="A900" s="10"/>
      <c r="E900" s="164"/>
      <c r="J900" s="9"/>
      <c r="K900" s="9"/>
      <c r="L900" s="164"/>
      <c r="N900" s="51"/>
      <c r="O900" s="51"/>
      <c r="T900" s="5"/>
      <c r="U900" s="5"/>
      <c r="V900" s="26"/>
      <c r="W900" s="26"/>
      <c r="X900" s="26"/>
      <c r="Y900" s="26"/>
      <c r="Z900" s="26"/>
      <c r="AA900" s="9"/>
      <c r="AB900" s="164"/>
      <c r="AC900" s="9"/>
      <c r="AD900" s="9"/>
      <c r="AE900" s="9"/>
      <c r="AI900" s="26"/>
      <c r="AJ900" s="26"/>
      <c r="AK900" s="32"/>
      <c r="AL900" s="32"/>
      <c r="AM900" s="26"/>
      <c r="AN900" s="26"/>
      <c r="AO900" s="26"/>
      <c r="AP900" s="9"/>
      <c r="AQ900" s="9"/>
      <c r="AR900" s="9"/>
      <c r="AV900" s="5"/>
      <c r="AW900" s="5"/>
      <c r="AX900" s="26"/>
      <c r="AY900" s="26"/>
      <c r="AZ900" s="32"/>
      <c r="BA900" s="32"/>
      <c r="DD900" s="164"/>
    </row>
    <row r="901" spans="1:108">
      <c r="A901" s="10"/>
      <c r="E901" s="164"/>
      <c r="J901" s="9"/>
      <c r="K901" s="9"/>
      <c r="L901" s="164"/>
      <c r="N901" s="51"/>
      <c r="O901" s="51"/>
      <c r="T901" s="5"/>
      <c r="U901" s="5"/>
      <c r="V901" s="26"/>
      <c r="W901" s="26"/>
      <c r="X901" s="26"/>
      <c r="Y901" s="26"/>
      <c r="Z901" s="26"/>
      <c r="AA901" s="9"/>
      <c r="AB901" s="164"/>
      <c r="AC901" s="9"/>
      <c r="AD901" s="9"/>
      <c r="AE901" s="9"/>
      <c r="AI901" s="26"/>
      <c r="AJ901" s="26"/>
      <c r="AK901" s="32"/>
      <c r="AL901" s="32"/>
      <c r="AM901" s="26"/>
      <c r="AN901" s="26"/>
      <c r="AO901" s="26"/>
      <c r="AP901" s="9"/>
      <c r="AQ901" s="9"/>
      <c r="AR901" s="9"/>
      <c r="AV901" s="5"/>
      <c r="AW901" s="5"/>
      <c r="AX901" s="26"/>
      <c r="AY901" s="26"/>
      <c r="AZ901" s="32"/>
      <c r="BA901" s="32"/>
      <c r="DD901" s="164"/>
    </row>
    <row r="902" spans="1:108">
      <c r="A902" s="10"/>
      <c r="E902" s="164"/>
      <c r="J902" s="9"/>
      <c r="K902" s="9"/>
      <c r="L902" s="164"/>
      <c r="N902" s="51"/>
      <c r="O902" s="51"/>
      <c r="T902" s="5"/>
      <c r="U902" s="5"/>
      <c r="V902" s="26"/>
      <c r="W902" s="26"/>
      <c r="X902" s="26"/>
      <c r="Y902" s="26"/>
      <c r="Z902" s="26"/>
      <c r="AA902" s="9"/>
      <c r="AB902" s="164"/>
      <c r="AC902" s="9"/>
      <c r="AD902" s="9"/>
      <c r="AE902" s="9"/>
      <c r="AI902" s="26"/>
      <c r="AJ902" s="26"/>
      <c r="AK902" s="32"/>
      <c r="AL902" s="32"/>
      <c r="AM902" s="26"/>
      <c r="AN902" s="26"/>
      <c r="AO902" s="26"/>
      <c r="AP902" s="9"/>
      <c r="AQ902" s="9"/>
      <c r="AR902" s="9"/>
      <c r="AV902" s="5"/>
      <c r="AW902" s="5"/>
      <c r="AX902" s="26"/>
      <c r="AY902" s="26"/>
      <c r="AZ902" s="32"/>
      <c r="BA902" s="32"/>
      <c r="DD902" s="164"/>
    </row>
    <row r="903" spans="1:108">
      <c r="A903" s="10"/>
      <c r="E903" s="164"/>
      <c r="J903" s="9"/>
      <c r="K903" s="9"/>
      <c r="L903" s="164"/>
      <c r="N903" s="51"/>
      <c r="O903" s="51"/>
      <c r="T903" s="5"/>
      <c r="U903" s="5"/>
      <c r="V903" s="26"/>
      <c r="W903" s="26"/>
      <c r="X903" s="26"/>
      <c r="Y903" s="26"/>
      <c r="Z903" s="26"/>
      <c r="AA903" s="9"/>
      <c r="AB903" s="164"/>
      <c r="AC903" s="9"/>
      <c r="AD903" s="9"/>
      <c r="AE903" s="9"/>
      <c r="AI903" s="26"/>
      <c r="AJ903" s="26"/>
      <c r="AK903" s="32"/>
      <c r="AL903" s="32"/>
      <c r="AM903" s="26"/>
      <c r="AN903" s="26"/>
      <c r="AO903" s="26"/>
      <c r="AP903" s="9"/>
      <c r="AQ903" s="9"/>
      <c r="AR903" s="9"/>
      <c r="AV903" s="5"/>
      <c r="AW903" s="5"/>
      <c r="AX903" s="26"/>
      <c r="AY903" s="26"/>
      <c r="AZ903" s="32"/>
      <c r="BA903" s="32"/>
      <c r="DD903" s="164"/>
    </row>
    <row r="904" spans="1:108">
      <c r="A904" s="10"/>
      <c r="E904" s="164"/>
      <c r="J904" s="9"/>
      <c r="K904" s="9"/>
      <c r="L904" s="164"/>
      <c r="N904" s="51"/>
      <c r="O904" s="51"/>
      <c r="T904" s="5"/>
      <c r="U904" s="5"/>
      <c r="V904" s="26"/>
      <c r="W904" s="26"/>
      <c r="X904" s="26"/>
      <c r="Y904" s="26"/>
      <c r="Z904" s="26"/>
      <c r="AA904" s="9"/>
      <c r="AB904" s="164"/>
      <c r="AC904" s="9"/>
      <c r="AD904" s="9"/>
      <c r="AE904" s="9"/>
      <c r="AI904" s="26"/>
      <c r="AJ904" s="26"/>
      <c r="AK904" s="32"/>
      <c r="AL904" s="32"/>
      <c r="AM904" s="26"/>
      <c r="AN904" s="26"/>
      <c r="AO904" s="26"/>
      <c r="AP904" s="9"/>
      <c r="AQ904" s="9"/>
      <c r="AR904" s="9"/>
      <c r="AV904" s="5"/>
      <c r="AW904" s="5"/>
      <c r="AX904" s="26"/>
      <c r="AY904" s="26"/>
      <c r="AZ904" s="32"/>
      <c r="BA904" s="32"/>
      <c r="DD904" s="164"/>
    </row>
    <row r="905" spans="1:108">
      <c r="A905" s="10"/>
      <c r="E905" s="164"/>
      <c r="J905" s="9"/>
      <c r="K905" s="9"/>
      <c r="L905" s="164"/>
      <c r="N905" s="51"/>
      <c r="O905" s="51"/>
      <c r="T905" s="5"/>
      <c r="U905" s="5"/>
      <c r="V905" s="26"/>
      <c r="W905" s="26"/>
      <c r="X905" s="26"/>
      <c r="Y905" s="26"/>
      <c r="Z905" s="26"/>
      <c r="AA905" s="9"/>
      <c r="AB905" s="164"/>
      <c r="AC905" s="9"/>
      <c r="AD905" s="9"/>
      <c r="AE905" s="9"/>
      <c r="AI905" s="26"/>
      <c r="AJ905" s="26"/>
      <c r="AK905" s="32"/>
      <c r="AL905" s="32"/>
      <c r="AM905" s="26"/>
      <c r="AN905" s="26"/>
      <c r="AO905" s="26"/>
      <c r="AP905" s="9"/>
      <c r="AQ905" s="9"/>
      <c r="AR905" s="9"/>
      <c r="AV905" s="5"/>
      <c r="AW905" s="5"/>
      <c r="AX905" s="26"/>
      <c r="AY905" s="26"/>
      <c r="AZ905" s="32"/>
      <c r="BA905" s="32"/>
      <c r="DD905" s="164"/>
    </row>
    <row r="906" spans="1:108">
      <c r="A906" s="10"/>
      <c r="E906" s="164"/>
      <c r="J906" s="9"/>
      <c r="K906" s="9"/>
      <c r="L906" s="164"/>
      <c r="N906" s="51"/>
      <c r="O906" s="51"/>
      <c r="T906" s="5"/>
      <c r="U906" s="5"/>
      <c r="V906" s="26"/>
      <c r="W906" s="26"/>
      <c r="X906" s="26"/>
      <c r="Y906" s="26"/>
      <c r="Z906" s="26"/>
      <c r="AA906" s="9"/>
      <c r="AB906" s="164"/>
      <c r="AC906" s="9"/>
      <c r="AD906" s="9"/>
      <c r="AE906" s="9"/>
      <c r="AI906" s="26"/>
      <c r="AJ906" s="26"/>
      <c r="AK906" s="32"/>
      <c r="AL906" s="32"/>
      <c r="AM906" s="26"/>
      <c r="AN906" s="26"/>
      <c r="AO906" s="26"/>
      <c r="AP906" s="9"/>
      <c r="AQ906" s="9"/>
      <c r="AR906" s="9"/>
      <c r="AV906" s="5"/>
      <c r="AW906" s="5"/>
      <c r="AX906" s="26"/>
      <c r="AY906" s="26"/>
      <c r="AZ906" s="32"/>
      <c r="BA906" s="32"/>
      <c r="DD906" s="164"/>
    </row>
    <row r="907" spans="1:108">
      <c r="A907" s="10"/>
      <c r="E907" s="164"/>
      <c r="J907" s="9"/>
      <c r="K907" s="9"/>
      <c r="L907" s="164"/>
      <c r="N907" s="51"/>
      <c r="O907" s="51"/>
      <c r="T907" s="5"/>
      <c r="U907" s="5"/>
      <c r="V907" s="26"/>
      <c r="W907" s="26"/>
      <c r="X907" s="26"/>
      <c r="Y907" s="26"/>
      <c r="Z907" s="26"/>
      <c r="AA907" s="9"/>
      <c r="AB907" s="164"/>
      <c r="AC907" s="9"/>
      <c r="AD907" s="9"/>
      <c r="AE907" s="9"/>
      <c r="AI907" s="26"/>
      <c r="AJ907" s="26"/>
      <c r="AK907" s="32"/>
      <c r="AL907" s="32"/>
      <c r="AM907" s="26"/>
      <c r="AN907" s="26"/>
      <c r="AO907" s="26"/>
      <c r="AP907" s="9"/>
      <c r="AQ907" s="9"/>
      <c r="AR907" s="9"/>
      <c r="AV907" s="5"/>
      <c r="AW907" s="5"/>
      <c r="AX907" s="26"/>
      <c r="AY907" s="26"/>
      <c r="AZ907" s="32"/>
      <c r="BA907" s="32"/>
      <c r="DD907" s="164"/>
    </row>
    <row r="908" spans="1:108">
      <c r="A908" s="10"/>
      <c r="E908" s="164"/>
      <c r="J908" s="9"/>
      <c r="K908" s="9"/>
      <c r="L908" s="164"/>
      <c r="N908" s="51"/>
      <c r="O908" s="51"/>
      <c r="T908" s="5"/>
      <c r="U908" s="5"/>
      <c r="V908" s="26"/>
      <c r="W908" s="26"/>
      <c r="X908" s="26"/>
      <c r="Y908" s="26"/>
      <c r="Z908" s="26"/>
      <c r="AA908" s="9"/>
      <c r="AB908" s="164"/>
      <c r="AC908" s="9"/>
      <c r="AD908" s="9"/>
      <c r="AE908" s="9"/>
      <c r="AI908" s="26"/>
      <c r="AJ908" s="26"/>
      <c r="AK908" s="32"/>
      <c r="AL908" s="32"/>
      <c r="AM908" s="26"/>
      <c r="AN908" s="26"/>
      <c r="AO908" s="26"/>
      <c r="AP908" s="9"/>
      <c r="AQ908" s="9"/>
      <c r="AR908" s="9"/>
      <c r="AV908" s="5"/>
      <c r="AW908" s="5"/>
      <c r="AX908" s="26"/>
      <c r="AY908" s="26"/>
      <c r="AZ908" s="32"/>
      <c r="BA908" s="32"/>
      <c r="DD908" s="164"/>
    </row>
    <row r="909" spans="1:108">
      <c r="A909" s="10"/>
      <c r="E909" s="164"/>
      <c r="J909" s="9"/>
      <c r="K909" s="9"/>
      <c r="L909" s="164"/>
      <c r="N909" s="51"/>
      <c r="O909" s="51"/>
      <c r="T909" s="5"/>
      <c r="U909" s="5"/>
      <c r="V909" s="26"/>
      <c r="W909" s="26"/>
      <c r="X909" s="26"/>
      <c r="Y909" s="26"/>
      <c r="Z909" s="26"/>
      <c r="AA909" s="9"/>
      <c r="AB909" s="164"/>
      <c r="AC909" s="9"/>
      <c r="AD909" s="9"/>
      <c r="AE909" s="9"/>
      <c r="AI909" s="26"/>
      <c r="AJ909" s="26"/>
      <c r="AK909" s="32"/>
      <c r="AL909" s="32"/>
      <c r="AM909" s="26"/>
      <c r="AN909" s="26"/>
      <c r="AO909" s="26"/>
      <c r="AP909" s="9"/>
      <c r="AQ909" s="9"/>
      <c r="AR909" s="9"/>
      <c r="AV909" s="5"/>
      <c r="AW909" s="5"/>
      <c r="AX909" s="26"/>
      <c r="AY909" s="26"/>
      <c r="AZ909" s="32"/>
      <c r="BA909" s="32"/>
      <c r="DD909" s="164"/>
    </row>
    <row r="910" spans="1:108">
      <c r="A910" s="10"/>
      <c r="E910" s="164"/>
      <c r="J910" s="9"/>
      <c r="K910" s="9"/>
      <c r="L910" s="164"/>
      <c r="N910" s="51"/>
      <c r="O910" s="51"/>
      <c r="T910" s="5"/>
      <c r="U910" s="5"/>
      <c r="V910" s="26"/>
      <c r="W910" s="26"/>
      <c r="X910" s="26"/>
      <c r="Y910" s="26"/>
      <c r="Z910" s="26"/>
      <c r="AA910" s="9"/>
      <c r="AB910" s="164"/>
      <c r="AC910" s="9"/>
      <c r="AD910" s="9"/>
      <c r="AE910" s="9"/>
      <c r="AI910" s="26"/>
      <c r="AJ910" s="26"/>
      <c r="AK910" s="32"/>
      <c r="AL910" s="32"/>
      <c r="AM910" s="26"/>
      <c r="AN910" s="26"/>
      <c r="AO910" s="26"/>
      <c r="AP910" s="9"/>
      <c r="AQ910" s="9"/>
      <c r="AR910" s="9"/>
      <c r="AV910" s="5"/>
      <c r="AW910" s="5"/>
      <c r="AX910" s="26"/>
      <c r="AY910" s="26"/>
      <c r="AZ910" s="32"/>
      <c r="BA910" s="32"/>
      <c r="DD910" s="164"/>
    </row>
    <row r="911" spans="1:108">
      <c r="A911" s="10"/>
      <c r="E911" s="164"/>
      <c r="J911" s="9"/>
      <c r="K911" s="9"/>
      <c r="L911" s="164"/>
      <c r="N911" s="51"/>
      <c r="O911" s="51"/>
      <c r="T911" s="5"/>
      <c r="U911" s="5"/>
      <c r="V911" s="26"/>
      <c r="W911" s="26"/>
      <c r="X911" s="26"/>
      <c r="Y911" s="26"/>
      <c r="Z911" s="26"/>
      <c r="AA911" s="9"/>
      <c r="AB911" s="164"/>
      <c r="AC911" s="9"/>
      <c r="AD911" s="9"/>
      <c r="AE911" s="9"/>
      <c r="AI911" s="26"/>
      <c r="AJ911" s="26"/>
      <c r="AK911" s="32"/>
      <c r="AL911" s="32"/>
      <c r="AM911" s="26"/>
      <c r="AN911" s="26"/>
      <c r="AO911" s="26"/>
      <c r="AP911" s="9"/>
      <c r="AQ911" s="9"/>
      <c r="AR911" s="9"/>
      <c r="AV911" s="5"/>
      <c r="AW911" s="5"/>
      <c r="AX911" s="26"/>
      <c r="AY911" s="26"/>
      <c r="AZ911" s="32"/>
      <c r="BA911" s="32"/>
      <c r="DD911" s="164"/>
    </row>
    <row r="912" spans="1:108">
      <c r="A912" s="10"/>
      <c r="E912" s="164"/>
      <c r="J912" s="9"/>
      <c r="K912" s="9"/>
      <c r="L912" s="164"/>
      <c r="N912" s="51"/>
      <c r="O912" s="51"/>
      <c r="T912" s="5"/>
      <c r="U912" s="5"/>
      <c r="V912" s="26"/>
      <c r="W912" s="26"/>
      <c r="X912" s="26"/>
      <c r="Y912" s="26"/>
      <c r="Z912" s="26"/>
      <c r="AA912" s="9"/>
      <c r="AB912" s="164"/>
      <c r="AC912" s="9"/>
      <c r="AD912" s="9"/>
      <c r="AE912" s="9"/>
      <c r="AI912" s="26"/>
      <c r="AJ912" s="26"/>
      <c r="AK912" s="32"/>
      <c r="AL912" s="32"/>
      <c r="AM912" s="26"/>
      <c r="AN912" s="26"/>
      <c r="AO912" s="26"/>
      <c r="AP912" s="9"/>
      <c r="AQ912" s="9"/>
      <c r="AR912" s="9"/>
      <c r="AV912" s="5"/>
      <c r="AW912" s="5"/>
      <c r="AX912" s="26"/>
      <c r="AY912" s="26"/>
      <c r="AZ912" s="32"/>
      <c r="BA912" s="32"/>
      <c r="DD912" s="164"/>
    </row>
    <row r="913" spans="1:108">
      <c r="A913" s="10"/>
      <c r="E913" s="164"/>
      <c r="J913" s="9"/>
      <c r="K913" s="9"/>
      <c r="L913" s="164"/>
      <c r="N913" s="51"/>
      <c r="O913" s="51"/>
      <c r="T913" s="5"/>
      <c r="U913" s="5"/>
      <c r="V913" s="26"/>
      <c r="W913" s="26"/>
      <c r="X913" s="26"/>
      <c r="Y913" s="26"/>
      <c r="Z913" s="26"/>
      <c r="AA913" s="9"/>
      <c r="AB913" s="164"/>
      <c r="AC913" s="9"/>
      <c r="AD913" s="9"/>
      <c r="AE913" s="9"/>
      <c r="AI913" s="26"/>
      <c r="AJ913" s="26"/>
      <c r="AK913" s="32"/>
      <c r="AL913" s="32"/>
      <c r="AM913" s="26"/>
      <c r="AN913" s="26"/>
      <c r="AO913" s="26"/>
      <c r="AP913" s="9"/>
      <c r="AQ913" s="9"/>
      <c r="AR913" s="9"/>
      <c r="AV913" s="5"/>
      <c r="AW913" s="5"/>
      <c r="AX913" s="26"/>
      <c r="AY913" s="26"/>
      <c r="AZ913" s="32"/>
      <c r="BA913" s="32"/>
      <c r="DD913" s="164"/>
    </row>
    <row r="914" spans="1:108">
      <c r="A914" s="10"/>
      <c r="E914" s="164"/>
      <c r="J914" s="9"/>
      <c r="K914" s="9"/>
      <c r="L914" s="164"/>
      <c r="N914" s="51"/>
      <c r="O914" s="51"/>
      <c r="T914" s="5"/>
      <c r="U914" s="5"/>
      <c r="V914" s="26"/>
      <c r="W914" s="26"/>
      <c r="X914" s="26"/>
      <c r="Y914" s="26"/>
      <c r="Z914" s="26"/>
      <c r="AA914" s="9"/>
      <c r="AB914" s="164"/>
      <c r="AC914" s="9"/>
      <c r="AD914" s="9"/>
      <c r="AE914" s="9"/>
      <c r="AI914" s="26"/>
      <c r="AJ914" s="26"/>
      <c r="AK914" s="32"/>
      <c r="AL914" s="32"/>
      <c r="AM914" s="26"/>
      <c r="AN914" s="26"/>
      <c r="AO914" s="26"/>
      <c r="AP914" s="9"/>
      <c r="AQ914" s="9"/>
      <c r="AR914" s="9"/>
      <c r="AV914" s="5"/>
      <c r="AW914" s="5"/>
      <c r="AX914" s="26"/>
      <c r="AY914" s="26"/>
      <c r="AZ914" s="32"/>
      <c r="BA914" s="32"/>
      <c r="DD914" s="164"/>
    </row>
  </sheetData>
  <sheetProtection algorithmName="SHA-512" hashValue="e02MaNJ2vPSgCTgQ64uSwVYwuJG6eArATag3Syw2dafkgYa4vlYZHBQUEVkw/4FTHfXABYoSRNTfzC7bfD4P+A==" saltValue="omKmuBiIMG7pk3t4mwaOOg==" spinCount="100000" sheet="1" objects="1" scenarios="1"/>
  <hyperlinks>
    <hyperlink ref="A3" location="'M03-S02'!A1" display="'M03-S02'!A1" xr:uid="{0BE93924-AE7E-4448-B7E0-4911610C1202}"/>
    <hyperlink ref="A34" location="'M03-S03'!A1" display="'M03-S03'!A1" xr:uid="{718EE88D-0990-4514-8B43-4AC910DC4C96}"/>
    <hyperlink ref="A50" location="'M03-S04'!A1" display="'M03-S04'!A1" xr:uid="{69AE12B6-C5D8-45D9-B829-23CBE8968EE1}"/>
    <hyperlink ref="A66" location="'M03-S05'!A1" display="'M03-S05'!A1" xr:uid="{6AF27BD5-DC67-4859-A490-EE7F4B001300}"/>
    <hyperlink ref="A67" location="'M03-S06'!A1" display="'M03-S06'!A1" xr:uid="{25368735-35E6-4BFE-B05A-C9F4C8B5EE4B}"/>
    <hyperlink ref="A83" location="'M03-S07'!A1" display="'M03-S07'!A1" xr:uid="{84840D06-9E5F-4D93-80E3-436035D52B69}"/>
    <hyperlink ref="A99" location="'M03-S08'!A1" display="'M03-S08'!A1" xr:uid="{8483B77E-C80F-47B0-AA85-FDC4B2CB4B33}"/>
    <hyperlink ref="A115" location="'M04-S02'!A1" display="'M04-S02'!A1" xr:uid="{FE286AEA-66DF-43F6-B1D8-096888F6DF63}"/>
    <hyperlink ref="A146" location="'M04-S03'!A1" display="'M04-S03'!A1" xr:uid="{F6DE142D-3DAD-4039-98DB-EA6E47995131}"/>
    <hyperlink ref="A162" location="'M04-S04'!A1" display="'M04-S04'!A1" xr:uid="{9F668768-F288-4D9A-B015-6AF326AB71B0}"/>
    <hyperlink ref="A178" location="'M04-S05'!A1" display="'M04-S05'!A1" xr:uid="{1ADD9657-D6E9-44E0-A704-56B46DA42071}"/>
    <hyperlink ref="A194" location="'M04-S06'!A1" display="'M04-S06'!A1" xr:uid="{BD4A2FA4-EF52-47FD-84C9-32AAE57AD90D}"/>
    <hyperlink ref="A210" location="'M04-S07'!A1" display="'M04-S07'!A1" xr:uid="{3FD4641C-81F1-4136-8F9E-D8A7A71D81AF}"/>
    <hyperlink ref="A242" location="'M04-S09'!A1" display="'M04-S09'!A1" xr:uid="{5D35F368-468C-4410-B744-BA4C6C0C27C1}"/>
    <hyperlink ref="A226" location="'M04-S07'!A1" display="'M04-S07'!A1" xr:uid="{1D9D5A49-54CE-434C-A37E-7827DAA0A9E9}"/>
    <hyperlink ref="A258" location="'M04-S10'!A1" display="'M04-S10'!A1" xr:uid="{03964696-DF82-4ABF-8D67-718B7F2673D0}"/>
    <hyperlink ref="A289" location="'M04-S13'!A1" display="'M04-S13'!A1" xr:uid="{FC67725E-F55B-4CEA-8AF7-B0B284C9A02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2B438-2CAC-41AA-86A3-35BAB28DE6C6}">
  <ds:schemaRefs>
    <ds:schemaRef ds:uri="http://purl.org/dc/terms/"/>
    <ds:schemaRef ds:uri="http://schemas.microsoft.com/office/infopath/2007/PartnerControls"/>
    <ds:schemaRef ds:uri="http://schemas.microsoft.com/office/2006/documentManagement/types"/>
    <ds:schemaRef ds:uri="http://schemas.microsoft.com/sharepoint/v3"/>
    <ds:schemaRef ds:uri="46183eef-e5b6-4449-b443-53ec3f5c91f4"/>
    <ds:schemaRef ds:uri="http://purl.org/dc/elements/1.1/"/>
    <ds:schemaRef ds:uri="http://schemas.openxmlformats.org/package/2006/metadata/core-properties"/>
    <ds:schemaRef ds:uri="http://www.w3.org/XML/1998/namespace"/>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3FAEBE-E07F-4BA5-B41F-5529F479EA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382</vt:i4>
      </vt:variant>
    </vt:vector>
  </HeadingPairs>
  <TitlesOfParts>
    <vt:vector size="426" baseType="lpstr">
      <vt:lpstr>Changelog</vt:lpstr>
      <vt:lpstr>MASTER</vt:lpstr>
      <vt:lpstr>DATA TABLES</vt:lpstr>
      <vt:lpstr>CBDATA</vt:lpstr>
      <vt:lpstr>TEMPLATE</vt:lpstr>
      <vt:lpstr>MEASURES1_M</vt:lpstr>
      <vt:lpstr>MEASURES2_M</vt:lpstr>
      <vt:lpstr>MEASURES3_M</vt:lpstr>
      <vt:lpstr>EXPORT</vt:lpstr>
      <vt:lpstr>M01-S01</vt:lpstr>
      <vt:lpstr>M01-S02</vt:lpstr>
      <vt:lpstr>M01-S03</vt:lpstr>
      <vt:lpstr>M02-S01</vt:lpstr>
      <vt:lpstr>M02-S02</vt:lpstr>
      <vt:lpstr>M02-S03</vt:lpstr>
      <vt:lpstr>M02-S04</vt:lpstr>
      <vt:lpstr>M03-S01</vt:lpstr>
      <vt:lpstr>M03-S01A</vt:lpstr>
      <vt:lpstr>M03-S01B</vt:lpstr>
      <vt:lpstr>M03-S01C</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M04-S10</vt:lpstr>
      <vt:lpstr>M04-S13</vt:lpstr>
      <vt:lpstr>M05-S01</vt:lpstr>
      <vt:lpstr>M05-S02</vt:lpstr>
      <vt:lpstr>M05-S02-1</vt:lpstr>
      <vt:lpstr>M05-S03</vt:lpstr>
      <vt:lpstr>M05-S04</vt:lpstr>
      <vt:lpstr>M05-S05</vt:lpstr>
      <vt:lpstr>M05-S07</vt:lpstr>
      <vt:lpstr>ACTIVEBLOCK</vt:lpstr>
      <vt:lpstr>ACTIVEBONUS</vt:lpstr>
      <vt:lpstr>ACTIVECOMPL</vt:lpstr>
      <vt:lpstr>ACTIVEINC</vt:lpstr>
      <vt:lpstr>ACTIVEOFFER</vt:lpstr>
      <vt:lpstr>APP_TYPE</vt:lpstr>
      <vt:lpstr>BLOCKBIDRATE</vt:lpstr>
      <vt:lpstr>BUILDING</vt:lpstr>
      <vt:lpstr>BUSDEVELNAME</vt:lpstr>
      <vt:lpstr>CBALL</vt:lpstr>
      <vt:lpstr>CBCUSE</vt:lpstr>
      <vt:lpstr>CBPRESE</vt:lpstr>
      <vt:lpstr>CBREQ</vt:lpstr>
      <vt:lpstr>CITIES_LIST</vt:lpstr>
      <vt:lpstr>CLLIGHTBASEMAX</vt:lpstr>
      <vt:lpstr>CLLIGHTBASEMIN</vt:lpstr>
      <vt:lpstr>CLLIGHTCATLIST</vt:lpstr>
      <vt:lpstr>CLLIGHTEFFMAX</vt:lpstr>
      <vt:lpstr>CLLIGHTEFFMIN</vt:lpstr>
      <vt:lpstr>CLLIGHTMEASURES</vt:lpstr>
      <vt:lpstr>CMELIGHTACTUALW</vt:lpstr>
      <vt:lpstr>CMELIGHTBASE1</vt:lpstr>
      <vt:lpstr>CMELIGHTBASEW</vt:lpstr>
      <vt:lpstr>CMELIGHTEFF1</vt:lpstr>
      <vt:lpstr>CMELIGHTEFFBASEW</vt:lpstr>
      <vt:lpstr>CMEMISC2DESC</vt:lpstr>
      <vt:lpstr>CODE_PROJECT_M</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ELECPHASES</vt:lpstr>
      <vt:lpstr>ELOSS</vt:lpstr>
      <vt:lpstr>ENDUSECAT</vt:lpstr>
      <vt:lpstr>ENERGYCODESLIST</vt:lpstr>
      <vt:lpstr>ENERGYMODELLIST</vt:lpstr>
      <vt:lpstr>ENGCALC</vt:lpstr>
      <vt:lpstr>ENGDATE</vt:lpstr>
      <vt:lpstr>ENGNRSNAMES</vt:lpstr>
      <vt:lpstr>ENGSIGN</vt:lpstr>
      <vt:lpstr>EXPIRATION</vt:lpstr>
      <vt:lpstr>EXPIRATION_DATE</vt:lpstr>
      <vt:lpstr>EXPNOTICE</vt:lpstr>
      <vt:lpstr>FOOT1</vt:lpstr>
      <vt:lpstr>FOOT2</vt:lpstr>
      <vt:lpstr>FOOT3</vt:lpstr>
      <vt:lpstr>FOOT4</vt:lpstr>
      <vt:lpstr>FOOT5</vt:lpstr>
      <vt:lpstr>FOOT6</vt:lpstr>
      <vt:lpstr>FOOTDISCLAIM</vt:lpstr>
      <vt:lpstr>FOOTDISCLAIM_N</vt:lpstr>
      <vt:lpstr>FOOTDISCLAIM_X</vt:lpstr>
      <vt:lpstr>GDR</vt:lpstr>
      <vt:lpstr>GLOSS</vt:lpstr>
      <vt:lpstr>HTRB_Rate</vt:lpstr>
      <vt:lpstr>IMPLSPECNAME</vt:lpstr>
      <vt:lpstr>INCCOSTCAP</vt:lpstr>
      <vt:lpstr>INCENSTATUS</vt:lpstr>
      <vt:lpstr>INCENTOTAL</vt:lpstr>
      <vt:lpstr>INCENTOTALCUSE</vt:lpstr>
      <vt:lpstr>INCENTOTALPRESE</vt:lpstr>
      <vt:lpstr>INCENTTYPE_LIST</vt:lpstr>
      <vt:lpstr>INCPREAPPROVAL</vt:lpstr>
      <vt:lpstr>INSTALL</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LIST_Transformer_LF</vt:lpstr>
      <vt:lpstr>LOCATIONTYPELIST</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M4S10</vt:lpstr>
      <vt:lpstr>M4S13</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MEASTOTALCUSPA</vt:lpstr>
      <vt:lpstr>MEASTOTALPRESE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PAYMENTLIST</vt:lpstr>
      <vt:lpstr>PAYMENTLIST_N</vt:lpstr>
      <vt:lpstr>Paymentlist_x</vt:lpstr>
      <vt:lpstr>PAYPRESE</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'M03-S01A'!Print_Area</vt:lpstr>
      <vt:lpstr>'M03-S01B'!Print_Area</vt:lpstr>
      <vt:lpstr>'M03-S01C'!Print_Area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'M04-S10'!Print_Area</vt:lpstr>
      <vt:lpstr>'M04-S13'!Print_Area</vt:lpstr>
      <vt:lpstr>'M05-S01'!Print_Area</vt:lpstr>
      <vt:lpstr>'M05-S02'!Print_Area</vt:lpstr>
      <vt:lpstr>'M05-S02-1'!Print_Area</vt:lpstr>
      <vt:lpstr>'M05-S03'!Print_Area</vt:lpstr>
      <vt:lpstr>'M05-S04'!Print_Area</vt:lpstr>
      <vt:lpstr>'M05-S05'!Print_Area</vt:lpstr>
      <vt:lpstr>'M05-S07'!Print_Area</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SPACECONDTYPE</vt:lpstr>
      <vt:lpstr>SPILLOVERNUMBER</vt:lpstr>
      <vt:lpstr>STATESABBREV</vt:lpstr>
      <vt:lpstr>STDCOMPRESSINC</vt:lpstr>
      <vt:lpstr>STDCOMPRESSLIST</vt:lpstr>
      <vt:lpstr>STDHVACEFFMIN</vt:lpstr>
      <vt:lpstr>STDHVACINC</vt:lpstr>
      <vt:lpstr>STDHVACLIST</vt:lpstr>
      <vt:lpstr>STDHVACMEASURES</vt:lpstr>
      <vt:lpstr>STDHVACTONMAX</vt:lpstr>
      <vt:lpstr>STDHVACTONMIN</vt:lpstr>
      <vt:lpstr>STDLIGHTBASEMAX</vt:lpstr>
      <vt:lpstr>STDLIGHTBASEMIN</vt:lpstr>
      <vt:lpstr>STDLIGHTCATLIST</vt:lpstr>
      <vt:lpstr>STDLIGHTCONTINC</vt:lpstr>
      <vt:lpstr>STDLIGHTCONTLIST</vt:lpstr>
      <vt:lpstr>STDLIGHTEFFMAX</vt:lpstr>
      <vt:lpstr>STDLIGHTEFFMIN</vt:lpstr>
      <vt:lpstr>STDLIGHTINC</vt:lpstr>
      <vt:lpstr>STDLIGHTINEFCAT2DROP</vt:lpstr>
      <vt:lpstr>STDLIGHTINEFCAT2NAME</vt:lpstr>
      <vt:lpstr>STDLIGHTINEFCAT2W</vt:lpstr>
      <vt:lpstr>STDLIGHTLIST</vt:lpstr>
      <vt:lpstr>STDLIGHTMEASURES</vt:lpstr>
      <vt:lpstr>STDMOTORSHPMAX</vt:lpstr>
      <vt:lpstr>STDMOTORSHPMIN</vt:lpstr>
      <vt:lpstr>STDMOTORSINC</vt:lpstr>
      <vt:lpstr>STDMOTORSLIST</vt:lpstr>
      <vt:lpstr>STDREFRIGINC</vt:lpstr>
      <vt:lpstr>STDREFRIGLIST</vt:lpstr>
      <vt:lpstr>STDWATERINC</vt:lpstr>
      <vt:lpstr>STDWATERLIST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2025-04-15T15:42:25Z</cp:lastPrinted>
  <dcterms:created xsi:type="dcterms:W3CDTF">2015-10-07T20:52:11Z</dcterms:created>
  <dcterms:modified xsi:type="dcterms:W3CDTF">2025-08-26T17:43:11Z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